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784" activeTab="3"/>
  </bookViews>
  <sheets>
    <sheet name="verplichting" sheetId="1" r:id="rId1"/>
    <sheet name="verplichtingantwoord" sheetId="2" r:id="rId2"/>
    <sheet name="offerteaanvraag" sheetId="3" r:id="rId3"/>
    <sheet name="offerte" sheetId="4" r:id="rId4"/>
    <sheet name="offerteafwijzing" sheetId="5" r:id="rId5"/>
    <sheet name="bestelling" sheetId="6" r:id="rId6"/>
    <sheet name="bestellingbevestiging" sheetId="7" r:id="rId7"/>
    <sheet name="timecard" sheetId="8" r:id="rId8"/>
    <sheet name="ASN" sheetId="9" r:id="rId9"/>
    <sheet name="factuur" sheetId="10" r:id="rId10"/>
  </sheets>
  <calcPr calcId="125725"/>
</workbook>
</file>

<file path=xl/calcChain.xml><?xml version="1.0" encoding="utf-8"?>
<calcChain xmlns="http://schemas.openxmlformats.org/spreadsheetml/2006/main">
  <c r="E19" i="3"/>
  <c r="E18"/>
  <c r="E17"/>
  <c r="E16"/>
  <c r="E15"/>
  <c r="E14"/>
  <c r="E15" i="10"/>
  <c r="E25"/>
  <c r="D25"/>
  <c r="E17"/>
  <c r="D17"/>
  <c r="E14" i="7"/>
  <c r="D14"/>
  <c r="E10"/>
  <c r="D10"/>
  <c r="E26" i="6"/>
  <c r="D26"/>
  <c r="E17"/>
  <c r="D17"/>
  <c r="E17" i="5"/>
  <c r="D17"/>
  <c r="E12"/>
  <c r="D12"/>
  <c r="E27" i="4"/>
  <c r="D27"/>
  <c r="E17"/>
  <c r="D17"/>
  <c r="E21" i="3"/>
  <c r="D21"/>
  <c r="E43" i="1"/>
  <c r="E42"/>
  <c r="E41"/>
  <c r="E40"/>
  <c r="E39"/>
  <c r="E38"/>
  <c r="E37"/>
  <c r="E35"/>
  <c r="E34"/>
  <c r="E33"/>
  <c r="E32"/>
  <c r="E31"/>
  <c r="E30"/>
  <c r="E29"/>
  <c r="E28"/>
  <c r="E27"/>
  <c r="E36"/>
  <c r="E16"/>
  <c r="E12"/>
  <c r="E23" i="7"/>
  <c r="E22"/>
  <c r="E12"/>
  <c r="E4" i="9"/>
  <c r="E5"/>
  <c r="E6"/>
  <c r="E7"/>
  <c r="E8"/>
  <c r="E9"/>
  <c r="E10"/>
  <c r="E12"/>
  <c r="E13"/>
  <c r="E14"/>
  <c r="E15"/>
  <c r="E17"/>
  <c r="E18"/>
  <c r="E19"/>
  <c r="E20"/>
  <c r="E21"/>
  <c r="E22"/>
  <c r="E23"/>
  <c r="E24"/>
  <c r="E27"/>
  <c r="E29"/>
  <c r="E30"/>
  <c r="E31"/>
  <c r="E32"/>
  <c r="E33"/>
  <c r="D4" i="6"/>
  <c r="E4"/>
  <c r="D5"/>
  <c r="E5"/>
  <c r="E6"/>
  <c r="D7"/>
  <c r="E7"/>
  <c r="D8"/>
  <c r="E8"/>
  <c r="D9"/>
  <c r="E9"/>
  <c r="D10"/>
  <c r="E10"/>
  <c r="D11"/>
  <c r="E11"/>
  <c r="E12"/>
  <c r="E13"/>
  <c r="E14"/>
  <c r="E15"/>
  <c r="E16"/>
  <c r="E18"/>
  <c r="E19"/>
  <c r="E20"/>
  <c r="E21"/>
  <c r="E22"/>
  <c r="E23"/>
  <c r="E24"/>
  <c r="E25"/>
  <c r="E27"/>
  <c r="E28"/>
  <c r="E29"/>
  <c r="E30"/>
  <c r="D31"/>
  <c r="E31"/>
  <c r="E32"/>
  <c r="E33"/>
  <c r="D34"/>
  <c r="E34"/>
  <c r="E35"/>
  <c r="E36"/>
  <c r="E37"/>
  <c r="E38"/>
  <c r="E39"/>
  <c r="E40"/>
  <c r="E41"/>
  <c r="E42"/>
  <c r="E43"/>
  <c r="E44"/>
  <c r="E45"/>
  <c r="E46"/>
  <c r="E47"/>
  <c r="E48"/>
  <c r="E49"/>
  <c r="D51"/>
  <c r="E51"/>
  <c r="E52"/>
  <c r="E53"/>
  <c r="E54"/>
  <c r="E55"/>
  <c r="D56"/>
  <c r="E56"/>
  <c r="E57"/>
  <c r="E58"/>
  <c r="E59"/>
  <c r="D60"/>
  <c r="E60"/>
  <c r="D61"/>
  <c r="E61"/>
  <c r="E62"/>
  <c r="E63"/>
  <c r="E64"/>
  <c r="E65"/>
  <c r="E66"/>
  <c r="E67"/>
  <c r="E68"/>
  <c r="E69"/>
  <c r="E70"/>
  <c r="E71"/>
  <c r="E72"/>
  <c r="E73"/>
  <c r="E74"/>
  <c r="D75"/>
  <c r="E75"/>
  <c r="D76"/>
  <c r="E76"/>
  <c r="E77"/>
  <c r="E78"/>
  <c r="E79"/>
  <c r="E80"/>
  <c r="E81"/>
  <c r="E82"/>
  <c r="E83"/>
  <c r="E84"/>
  <c r="D4" i="7"/>
  <c r="E4"/>
  <c r="D5"/>
  <c r="E5"/>
  <c r="D6"/>
  <c r="E6"/>
  <c r="D7"/>
  <c r="E7"/>
  <c r="E9"/>
  <c r="D11"/>
  <c r="E11"/>
  <c r="E13"/>
  <c r="E15"/>
  <c r="E18"/>
  <c r="E19"/>
  <c r="E20"/>
  <c r="E21"/>
  <c r="D4" i="10"/>
  <c r="E4"/>
  <c r="D5"/>
  <c r="E5"/>
  <c r="D6"/>
  <c r="E6"/>
  <c r="D7"/>
  <c r="E7"/>
  <c r="D8"/>
  <c r="E8"/>
  <c r="D9"/>
  <c r="E9"/>
  <c r="E10"/>
  <c r="D11"/>
  <c r="E11"/>
  <c r="D12"/>
  <c r="E12"/>
  <c r="E13"/>
  <c r="E14"/>
  <c r="D16"/>
  <c r="E16"/>
  <c r="D18"/>
  <c r="E18"/>
  <c r="D19"/>
  <c r="E19"/>
  <c r="D20"/>
  <c r="E20"/>
  <c r="D21"/>
  <c r="E21"/>
  <c r="D22"/>
  <c r="E22"/>
  <c r="D23"/>
  <c r="E23"/>
  <c r="D24"/>
  <c r="E24"/>
  <c r="D26"/>
  <c r="E26"/>
  <c r="D27"/>
  <c r="E27"/>
  <c r="D28"/>
  <c r="E28"/>
  <c r="D29"/>
  <c r="E29"/>
  <c r="D30"/>
  <c r="E30"/>
  <c r="E31"/>
  <c r="E32"/>
  <c r="D33"/>
  <c r="E33"/>
  <c r="D34"/>
  <c r="E34"/>
  <c r="E35"/>
  <c r="E36"/>
  <c r="E37"/>
  <c r="D38"/>
  <c r="E38"/>
  <c r="D39"/>
  <c r="E39"/>
  <c r="E40"/>
  <c r="D41"/>
  <c r="E41"/>
  <c r="E42"/>
  <c r="D43"/>
  <c r="E43"/>
  <c r="E44"/>
  <c r="D45"/>
  <c r="E45"/>
  <c r="D47"/>
  <c r="E47"/>
  <c r="D48"/>
  <c r="E48"/>
  <c r="E49"/>
  <c r="D50"/>
  <c r="E50"/>
  <c r="E51"/>
  <c r="D52"/>
  <c r="E52"/>
  <c r="D53"/>
  <c r="E53"/>
  <c r="D54"/>
  <c r="E54"/>
  <c r="D55"/>
  <c r="E55"/>
  <c r="E56"/>
  <c r="D57"/>
  <c r="E57"/>
  <c r="D58"/>
  <c r="E58"/>
  <c r="E59"/>
  <c r="D60"/>
  <c r="E60"/>
  <c r="E61"/>
  <c r="E62"/>
  <c r="E63"/>
  <c r="D64"/>
  <c r="E64"/>
  <c r="E65"/>
  <c r="E66"/>
  <c r="E67"/>
  <c r="D4" i="4"/>
  <c r="E4"/>
  <c r="D5"/>
  <c r="E5"/>
  <c r="D6"/>
  <c r="E6"/>
  <c r="D7"/>
  <c r="E8"/>
  <c r="D9"/>
  <c r="E9"/>
  <c r="D10"/>
  <c r="E10"/>
  <c r="D11"/>
  <c r="E11"/>
  <c r="E12"/>
  <c r="D13"/>
  <c r="E13"/>
  <c r="E14"/>
  <c r="E15"/>
  <c r="E16"/>
  <c r="D18"/>
  <c r="E18"/>
  <c r="D19"/>
  <c r="E19"/>
  <c r="E20"/>
  <c r="E21"/>
  <c r="E22"/>
  <c r="E23"/>
  <c r="E24"/>
  <c r="D25"/>
  <c r="E25"/>
  <c r="E26"/>
  <c r="E28"/>
  <c r="E29"/>
  <c r="E30"/>
  <c r="E31"/>
  <c r="E32"/>
  <c r="E33"/>
  <c r="D34"/>
  <c r="E34"/>
  <c r="E36"/>
  <c r="E37"/>
  <c r="E38"/>
  <c r="E39"/>
  <c r="E40"/>
  <c r="E41"/>
  <c r="E42"/>
  <c r="E43"/>
  <c r="E44"/>
  <c r="E45"/>
  <c r="E46"/>
  <c r="E47"/>
  <c r="E48"/>
  <c r="E49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D4" i="3"/>
  <c r="E4"/>
  <c r="D5"/>
  <c r="E5"/>
  <c r="E6"/>
  <c r="D7"/>
  <c r="E7"/>
  <c r="D8"/>
  <c r="D9"/>
  <c r="E9"/>
  <c r="D10"/>
  <c r="E10"/>
  <c r="E11"/>
  <c r="E12"/>
  <c r="E13"/>
  <c r="E20"/>
  <c r="E22"/>
  <c r="E23"/>
  <c r="E24"/>
  <c r="E25"/>
  <c r="E26"/>
  <c r="E27"/>
  <c r="D28"/>
  <c r="E28"/>
  <c r="D29"/>
  <c r="E29"/>
  <c r="E30"/>
  <c r="D31"/>
  <c r="E31"/>
  <c r="D33"/>
  <c r="E33"/>
  <c r="E34"/>
  <c r="E35"/>
  <c r="E36"/>
  <c r="E37"/>
  <c r="E38"/>
  <c r="D39"/>
  <c r="E39"/>
  <c r="E40"/>
  <c r="D41"/>
  <c r="E41"/>
  <c r="E42"/>
  <c r="D43"/>
  <c r="E43"/>
  <c r="D44"/>
  <c r="E44"/>
  <c r="E45"/>
  <c r="E46"/>
  <c r="E47"/>
  <c r="E48"/>
  <c r="E49"/>
  <c r="E50"/>
  <c r="E51"/>
  <c r="E52"/>
  <c r="D4" i="5"/>
  <c r="E4"/>
  <c r="D5"/>
  <c r="E5"/>
  <c r="D6"/>
  <c r="E6"/>
  <c r="D7"/>
  <c r="E7"/>
  <c r="E8"/>
  <c r="D9"/>
  <c r="E9"/>
  <c r="D10"/>
  <c r="E10"/>
  <c r="E11"/>
  <c r="D13"/>
  <c r="E13"/>
  <c r="D14"/>
  <c r="E14"/>
  <c r="D15"/>
  <c r="E15"/>
  <c r="E16"/>
  <c r="E18"/>
  <c r="E19"/>
  <c r="E20"/>
  <c r="E21"/>
  <c r="D4" i="8"/>
  <c r="D5"/>
  <c r="D8"/>
  <c r="D10"/>
  <c r="D11"/>
  <c r="D13"/>
  <c r="D14"/>
  <c r="D15"/>
  <c r="D16"/>
  <c r="D17"/>
  <c r="D18"/>
  <c r="D19"/>
  <c r="D20"/>
  <c r="D21"/>
  <c r="E4" i="1"/>
  <c r="E5"/>
  <c r="E6"/>
  <c r="E7"/>
  <c r="E8"/>
  <c r="E9"/>
  <c r="E10"/>
  <c r="E11"/>
  <c r="E13"/>
  <c r="E14"/>
  <c r="E15"/>
  <c r="E17"/>
  <c r="E18"/>
  <c r="E19"/>
  <c r="E20"/>
  <c r="E21"/>
  <c r="E22"/>
  <c r="E23"/>
  <c r="E24"/>
  <c r="E25"/>
  <c r="E4" i="2"/>
  <c r="E5"/>
  <c r="E6"/>
  <c r="E7"/>
  <c r="E8"/>
  <c r="E9"/>
  <c r="E10"/>
  <c r="E11"/>
  <c r="E12"/>
  <c r="E13"/>
  <c r="E14"/>
</calcChain>
</file>

<file path=xl/comments1.xml><?xml version="1.0" encoding="utf-8"?>
<comments xmlns="http://schemas.openxmlformats.org/spreadsheetml/2006/main">
  <authors>
    <author>Menno Karres</author>
  </authors>
  <commentList>
    <comment ref="C39" authorId="0">
      <text>
        <r>
          <rPr>
            <sz val="9"/>
            <color indexed="81"/>
            <rFont val="Tahoma"/>
            <family val="2"/>
          </rPr>
          <t>totaalbedrag per soort anders dan BTW</t>
        </r>
      </text>
    </comment>
  </commentList>
</comments>
</file>

<file path=xl/sharedStrings.xml><?xml version="1.0" encoding="utf-8"?>
<sst xmlns="http://schemas.openxmlformats.org/spreadsheetml/2006/main" count="1622" uniqueCount="839">
  <si>
    <t>[UBL_NL]</t>
  </si>
  <si>
    <t>UBL-Path</t>
  </si>
  <si>
    <t>Niveau Algemeen:</t>
  </si>
  <si>
    <t>Algemeen:</t>
  </si>
  <si>
    <t>doc:Commitment</t>
  </si>
  <si>
    <t>besteldatum</t>
  </si>
  <si>
    <t>doc:Commitment/cbc:IssueDate</t>
  </si>
  <si>
    <t xml:space="preserve">volgnummer Bestelling </t>
  </si>
  <si>
    <t>inkoopordernummer (harde verplichting) of bestelaanvraagnummer (zachte verplichting)</t>
  </si>
  <si>
    <t>doc:Commitment/cbc:ID</t>
  </si>
  <si>
    <t>opmerkingen</t>
  </si>
  <si>
    <t>doc:Commitment/cbc:Note</t>
  </si>
  <si>
    <t>bestelaanvraagnummer</t>
  </si>
  <si>
    <t>doc:Commitment/cac:OrderDocumentReference/cbc:ID</t>
  </si>
  <si>
    <t>valuta</t>
  </si>
  <si>
    <t>(deze geldt voor alle bedragen op dit document)</t>
  </si>
  <si>
    <t>doc:Commitment/cbc:DocumentCurrencyCode</t>
  </si>
  <si>
    <t>Soort actie</t>
  </si>
  <si>
    <t>doc:Commitment/cbc:ActionCode</t>
  </si>
  <si>
    <t>Leverancier</t>
  </si>
  <si>
    <t>doc:Commitment/cac:SellerSupplierParty</t>
  </si>
  <si>
    <t xml:space="preserve">bedrijfsnaam </t>
  </si>
  <si>
    <t>doc:Commitment/cac:SellerSupplierParty/cac:Party/cac:PartyName/cbc:Name</t>
  </si>
  <si>
    <t>bedrijfsidentificatienummer</t>
  </si>
  <si>
    <t>(KvK)</t>
  </si>
  <si>
    <t>doc:Commitment/cac:SellerSupplierParty/cac:Party/cac:PartyIdentification/cbc:ID</t>
  </si>
  <si>
    <t>Klant</t>
  </si>
  <si>
    <t>doc:Commitment/cac:AccountingCustomerParty</t>
  </si>
  <si>
    <t>klantnummer</t>
  </si>
  <si>
    <t>bedrijfsnaam</t>
  </si>
  <si>
    <t>doc:Commitment/cac:AccountingCustomerParty/cac:Party/cac:PartyName/cbc:Name</t>
  </si>
  <si>
    <r>
      <t>(OIN)</t>
    </r>
    <r>
      <rPr>
        <sz val="8"/>
        <color indexed="17"/>
        <rFont val="Verdana"/>
        <family val="2"/>
        <charset val="1"/>
      </rPr>
      <t xml:space="preserve"> </t>
    </r>
  </si>
  <si>
    <t>doc:Commitment/cac:AccountingCustomerParty/cac:Party/cac:PartyIdentification/cbc:ID</t>
  </si>
  <si>
    <t>Totaalbedragen</t>
  </si>
  <si>
    <t>doc:Commitment/cac:AnticipatedMonetaryTotal</t>
  </si>
  <si>
    <t>totaalbedrag exclusief BTW</t>
  </si>
  <si>
    <t>doc:Commitment/cac:AnticipatedMonetaryTotal/cbc:TaxExclusiveAmount</t>
  </si>
  <si>
    <t>totaalbedrag inclusief BTW</t>
  </si>
  <si>
    <t>doc:Commitment/cac:AnticipatedMonetaryTotal/cbc:TaxInclusiveAmount</t>
  </si>
  <si>
    <t>bedrag BTW *</t>
  </si>
  <si>
    <t>doc:Commitment/cac:TaxTotal/cac:TaxSubtotal/cbc:TaxAmount</t>
  </si>
  <si>
    <t>belastingpercentage</t>
  </si>
  <si>
    <t>doc:Commitment/cac:TaxTotal/cac:TaxSubtotal/cbc:Percent</t>
  </si>
  <si>
    <t>belastingcategorie</t>
  </si>
  <si>
    <t>doc:Commitment/cac:TaxTotal/cac:TaxSubtotal/cac:TaxCategory/cac:TaxScheme/cbc:Name</t>
  </si>
  <si>
    <t>totaal bedrag (inclusief BTW)</t>
  </si>
  <si>
    <t>doc:Commitment/cac:AnticipatedMonetaryTotal/cbc:PayableAmount</t>
  </si>
  <si>
    <t xml:space="preserve">Niveau Verplichtingregel* </t>
  </si>
  <si>
    <t>regelnummer</t>
  </si>
  <si>
    <t>grootboekdatum</t>
  </si>
  <si>
    <t>Product (goederen/diensten)</t>
  </si>
  <si>
    <t>omschrijving klant</t>
  </si>
  <si>
    <t>artikelnummer klant</t>
  </si>
  <si>
    <t>hoeveelheid</t>
  </si>
  <si>
    <t>eenheid</t>
  </si>
  <si>
    <t>levertijd</t>
  </si>
  <si>
    <t>(gevraagd)</t>
  </si>
  <si>
    <t>referentie klant</t>
  </si>
  <si>
    <t>regelbedrag</t>
  </si>
  <si>
    <t>valuta regelbedrag</t>
  </si>
  <si>
    <t>BTW tarief*</t>
  </si>
  <si>
    <t>regelbedrag BTW</t>
  </si>
  <si>
    <t>valuta BTW bedrag</t>
  </si>
  <si>
    <t>doc:ApplicationResponse</t>
  </si>
  <si>
    <t>Antwoorddatum</t>
  </si>
  <si>
    <t>doc:ApplicationResponse/cbc:IssueDate</t>
  </si>
  <si>
    <t>Identificatie antwoord</t>
  </si>
  <si>
    <t>PO09876</t>
  </si>
  <si>
    <t>doc:ApplicationResponse/cbc:ID</t>
  </si>
  <si>
    <t>referentie document</t>
  </si>
  <si>
    <t>doc:ApplicationResponse/cac:DocumentResponse/cac:DocumentReference/cbc:ID</t>
  </si>
  <si>
    <t>Indicatie akkoord</t>
  </si>
  <si>
    <t>ja</t>
  </si>
  <si>
    <t>doc:ApplicationResponse/cac:DocumentResponse/cac:Response/cbc:ResponseCode</t>
  </si>
  <si>
    <t>toelichting</t>
  </si>
  <si>
    <t>doc:ApplicationResponse/cac:DocumentResponse/cac:Response/cbc:Description</t>
  </si>
  <si>
    <t>verplichtingsdatum</t>
  </si>
  <si>
    <t>doc:ApplicationResponse/cbc:ResponseDate</t>
  </si>
  <si>
    <t>Verzendende partij</t>
  </si>
  <si>
    <t>doc:ApplicationResponse/cac:SenderParty</t>
  </si>
  <si>
    <t>(OIN)</t>
  </si>
  <si>
    <t>OIN122345</t>
  </si>
  <si>
    <t>doc:ApplicationResponse/cac:SenderParty/cac:PartyIdentification/cbc:ID</t>
  </si>
  <si>
    <t>Ontvangende partij</t>
  </si>
  <si>
    <t>doc:ApplicationResponse/cac:ReceiverParty</t>
  </si>
  <si>
    <t xml:space="preserve">(OIN) </t>
  </si>
  <si>
    <t>doc:ApplicationResponse/cac:ReceiverParty/cac:PartyIdentification/cbc:ID</t>
  </si>
  <si>
    <t>[HR-XML/SETU]</t>
  </si>
  <si>
    <t>Voorbeeld</t>
  </si>
  <si>
    <t>V/O</t>
  </si>
  <si>
    <t>HR-XML Path</t>
  </si>
  <si>
    <t>StaffingOrder</t>
  </si>
  <si>
    <t>doc:RequestForQuotation</t>
  </si>
  <si>
    <t>offerteaanvraagdatum</t>
  </si>
  <si>
    <t>V</t>
  </si>
  <si>
    <t>StaffingOrder/OrderId/@validFrom</t>
  </si>
  <si>
    <t>doc:RequestForQuotation/cbc:IssueDate</t>
  </si>
  <si>
    <t>offerteaanvraagtijd</t>
  </si>
  <si>
    <t>O</t>
  </si>
  <si>
    <t>doc:RequestForQuotation/cbc:IssueTime</t>
  </si>
  <si>
    <t>volgnummer Offerteaanvraag</t>
  </si>
  <si>
    <t>StaffingOrder/OrderId/IdValue</t>
  </si>
  <si>
    <t>doc:RequestForQuotation/cbc:ID</t>
  </si>
  <si>
    <t>referentie klant*</t>
  </si>
  <si>
    <t>(kostenplaats, indien niet opgegeven bij regel)</t>
  </si>
  <si>
    <t>StaffingOrder/CustomerReportingRequirements/CostCenterCode</t>
  </si>
  <si>
    <t>StaffingOrder/OrderComments</t>
  </si>
  <si>
    <t>doc:RequestForQuotation/cbc:Note</t>
  </si>
  <si>
    <t>contractnummer</t>
  </si>
  <si>
    <t>StaffingOrder/ReferenceInformation/MasterOrderId/IdValue</t>
  </si>
  <si>
    <t>doc:RequestForQuotation/cac:Contract/cbc:ID</t>
  </si>
  <si>
    <t>leveringsconditie</t>
  </si>
  <si>
    <t>doc:RequestForQuotation/cac:DeliveryTerms</t>
  </si>
  <si>
    <t>(gevraagde indien niet opgegeven bij regel)</t>
  </si>
  <si>
    <t>doc:RequestForQuotation/cac:Delivery/cac:RequestedDeliveryPeriod/cbc:StartDate</t>
  </si>
  <si>
    <t>doc:RequestForQuotation/cbc:PricingCurrencyCode</t>
  </si>
  <si>
    <t>doc:RequestForQuotation/cac:SellerSupplierParty</t>
  </si>
  <si>
    <t xml:space="preserve">leveranciersnummer </t>
  </si>
  <si>
    <t>doc:RequestForQuotation/cac:SellerSupplierParty/cac:Party/cac:PartyName/cbc:Name</t>
  </si>
  <si>
    <t>postadres</t>
  </si>
  <si>
    <t>doc:RequestForQuotation/cac:SellerSupplierParty/cac:Party/cac:PostalAddress</t>
  </si>
  <si>
    <t xml:space="preserve">contactpersoon </t>
  </si>
  <si>
    <t>doc:RequestForQuotation/cac:SellerSupplierParty/cac:Party/cac:Contact/cbc:Name</t>
  </si>
  <si>
    <t>doc:RequestForQuotation/cac:OriginatorCustomerParty</t>
  </si>
  <si>
    <t>doc:RequestForQuotation/cac:OriginatorCustomerParty/cac:Party/cac:PartyName/cbc:Name</t>
  </si>
  <si>
    <t xml:space="preserve">vestigingsadres </t>
  </si>
  <si>
    <t>doc:RequestForQuotation/cac:OriginatorCustomerParty/cac:Party/cac:PhysicalLocation/cac:Address</t>
  </si>
  <si>
    <t xml:space="preserve">afleveradres </t>
  </si>
  <si>
    <t>StaffingOrder/StaffingPosition/WorkSite/PostalAddress</t>
  </si>
  <si>
    <t>doc:RequestForQuotation/cac:Delivery/cac:DeliveryAddress</t>
  </si>
  <si>
    <t>opdrachtgever</t>
  </si>
  <si>
    <t>StaffingOrder/OrderContact/ContactInfo/PersonName</t>
  </si>
  <si>
    <t>doc:RequestForQuotation/cac:OriginatorCustomerParty/cac:Party/cac:Contact/cbc:Name</t>
  </si>
  <si>
    <r>
      <t>(KvK, OIN)</t>
    </r>
    <r>
      <rPr>
        <sz val="8"/>
        <color indexed="30"/>
        <rFont val="Verdana"/>
        <family val="2"/>
      </rPr>
      <t xml:space="preserve"> </t>
    </r>
  </si>
  <si>
    <t>V-1x</t>
  </si>
  <si>
    <t>doc:RequestForQuotation/cac:OriginatorCustomerParty/cac:Party/cac:PartyIdentification/cbc:ID</t>
  </si>
  <si>
    <r>
      <t xml:space="preserve">Agent </t>
    </r>
    <r>
      <rPr>
        <i/>
        <sz val="9"/>
        <color indexed="17"/>
        <rFont val="Verdana"/>
        <family val="2"/>
      </rPr>
      <t>(inkoopagenten of verkoopagenten)</t>
    </r>
  </si>
  <si>
    <t>StaffingOrder/ReferenceInformation/IntermediaryId/IdValue</t>
  </si>
  <si>
    <t>doc:RequestForQuotation/cac:OriginatorCustomerParty/cac:Party/cac:AgentParty</t>
  </si>
  <si>
    <t>Niveau Offerteaanvraagregel*</t>
  </si>
  <si>
    <t>StaffingOrder/StaffingPosition</t>
  </si>
  <si>
    <t>doc:RequestForQuotation/cac:RequestForQuotationLine</t>
  </si>
  <si>
    <t>doc:RequestForQuotation/cac:RequestForQuotationLine/cac:LineItem/cbc:ID</t>
  </si>
  <si>
    <t>doc:RequestForQuotation/cac:RequestForQuotationLine/cac:LineItem/cac:Item</t>
  </si>
  <si>
    <t>artikelnummer leverancier</t>
  </si>
  <si>
    <t>doc:RequestForQuotation/cac:RequestForQuotationLine/cac:LineItem/cac:Item/cac:SellersItemIdentification/cbc:ID</t>
  </si>
  <si>
    <t>omschrijving leverancier</t>
  </si>
  <si>
    <t>doc:RequestForQuotation/cac:RequestForQuotationLine/cac:LineItem/cac:Item/cbc:Name</t>
  </si>
  <si>
    <t>doc:RequestForQuotation/cac:RequestForQuotationLine/cac:LineItem/cac:Item/cac:BuyersItemIdentification/cbc:ID</t>
  </si>
  <si>
    <t>StaffingOrder/StaffingPosition/PositionHeader/PositionDescription</t>
  </si>
  <si>
    <t>doc:RequestForQuotation/cac:RequestForQuotationLine/cac:LineItem/cac:Item/cbc:Description</t>
  </si>
  <si>
    <t>bijlagen*</t>
  </si>
  <si>
    <t>(specificaties)</t>
  </si>
  <si>
    <t>doc:RequestForQuotation/cac:RequestForQuotationLine/cac:DocumentReference/cac:Attachment</t>
  </si>
  <si>
    <t>(en eenheid)</t>
  </si>
  <si>
    <t>StaffingOrder/StaffingPosition/StaffingShift/Hours</t>
  </si>
  <si>
    <t>doc:RequestForQuotation/cac:RequestForQuotationLine/cac:LineItem/cbc:Quantity</t>
  </si>
  <si>
    <t>doc:RequestForQuotation/cac:RequestForQuotationLine/cac:LineItem/cbc:Quantity/@unitCode</t>
  </si>
  <si>
    <t>(gevraagde)</t>
  </si>
  <si>
    <t>StaffingOrder/StaffingPosition/PositionDateRange/StartDate</t>
  </si>
  <si>
    <t>doc:RequestForQuotation/cac:RequestForQuotationLine/cac:LineItem/cac:Delivery/cac:RequestedDeliveryPeriod/cbc:StartDate</t>
  </si>
  <si>
    <t>doc:RequestForQuotation/cac:RequestForQuotationLine/cac:LineItem/cac:Delivery/cac:DeliveryAddress</t>
  </si>
  <si>
    <t>contactpersoon</t>
  </si>
  <si>
    <t>doc:RequestForQuotation/cac:RequestForQuotationLine/cac:LineItem/cac:Delivery/cac:DeliveryParty/cac:Contact/cbc:Name</t>
  </si>
  <si>
    <t>(kostenplaats)</t>
  </si>
  <si>
    <t>doc:RequestForQuotation/cac:RequestForQuotationLine/cac:LineItem/cbc:AccountingCostCode</t>
  </si>
  <si>
    <t>doc:RequestForQuotation/cac:RequestForQuotationLine/cac:DocumentReference/cbc:ID</t>
  </si>
  <si>
    <t>contractindicator</t>
  </si>
  <si>
    <t>doc:RequestForQuotation/cac:RequestForQuotationLine/cac:DocumentReference/cbc:DocumentType</t>
  </si>
  <si>
    <t>referentie catalogus</t>
  </si>
  <si>
    <t>doc:RequestForQuotation/cac:RequestForQuotationLine/cac:LineItem/cac:Item/cac:CatalogueDocumentReference</t>
  </si>
  <si>
    <t>catalogus indicator</t>
  </si>
  <si>
    <t>doc:RequestForQuotation/cac:RequestForQuotationLine/cac:LineItem/cac:Item/cbc:CatalogueIndicator</t>
  </si>
  <si>
    <t>productcertificaten/garantiebewijzen*</t>
  </si>
  <si>
    <t>doc:RequestForQuotation/cac:RequestForQuotationLine/cac:LineItem/cac:Item/cac:ItemSpecificationDocumentReference</t>
  </si>
  <si>
    <t xml:space="preserve">leveringsconditie </t>
  </si>
  <si>
    <t>doc:RequestForQuotation/cac:RequestForQuotationLine/cac:LineItem/cac:DeliveryTerms</t>
  </si>
  <si>
    <t>HumanResource</t>
  </si>
  <si>
    <t>doc:Quotation</t>
  </si>
  <si>
    <t>offertedatum</t>
  </si>
  <si>
    <t>HumanResource/HumanResourceId/@validFrom</t>
  </si>
  <si>
    <t>doc:Quotation/cbc:IssueDate</t>
  </si>
  <si>
    <t xml:space="preserve">volgnummer Offerte </t>
  </si>
  <si>
    <t>HumanResource/HumanResourceId/IdValue</t>
  </si>
  <si>
    <t>doc:Quotation/cbc:ID</t>
  </si>
  <si>
    <t>(kostenplaats, indien niet vermeld op regel)</t>
  </si>
  <si>
    <t>HumanResource/UserArea/HumanResourceAdditionalNL/CustomerReportingRequirements/CostCenterCode</t>
  </si>
  <si>
    <t>gestandsdoeningtermijn</t>
  </si>
  <si>
    <t>doc:Quotation/cac:ValidityPeriod</t>
  </si>
  <si>
    <t>O-1x</t>
  </si>
  <si>
    <t>HumanResource/HumanResourceComments</t>
  </si>
  <si>
    <t>doc:Quotation/cbc:Note</t>
  </si>
  <si>
    <t>offerteaanvraagnummer</t>
  </si>
  <si>
    <t>HumanResource/ReferenceInformation/OrderId/IdValue</t>
  </si>
  <si>
    <t>doc:Quotation/cac:RequestForQuotationDocumentReference/cbc:ID</t>
  </si>
  <si>
    <t>HumanResource/ReferenceInformation/MasterOrderId/IdValue</t>
  </si>
  <si>
    <t>doc:Quotation/cac:Contract/cbc:ID</t>
  </si>
  <si>
    <t>betalingsconditie</t>
  </si>
  <si>
    <t>doc:Quotation/cac:DeliveryTerms</t>
  </si>
  <si>
    <t>(beloofde, indien niet vermeld op regel)</t>
  </si>
  <si>
    <t>HumanResource/ResourceInformation/AvailabilityDate</t>
  </si>
  <si>
    <t>doc:Quotation/cac:Delivery/cac:PromisedDeliveryPeriod/cbc:StartDate</t>
  </si>
  <si>
    <t xml:space="preserve">betalingsmethode </t>
  </si>
  <si>
    <t>doc:Quotation/cac:PaymentMeans</t>
  </si>
  <si>
    <t>doc:Quotation/cbc:PricingCurrencyCode</t>
  </si>
  <si>
    <t>doc:Quotation/cac:SellerSupplierParty</t>
  </si>
  <si>
    <t>HumanResource/ResourceInformation/EntityContactInfo/EntityName</t>
  </si>
  <si>
    <t>doc:Quotation/cac:SellerSupplierParty/cac:Party/cac:PartyName/cbc:Name</t>
  </si>
  <si>
    <t>HumanResource/ResourceInformation/EntityContactInfo/ContactMethod/PostalAddress</t>
  </si>
  <si>
    <t>doc:Quotation/cac:SellerSupplierParty/cac:Party/cac:PostalAddress</t>
  </si>
  <si>
    <t>verzendadres*</t>
  </si>
  <si>
    <t>doc:Quotation/cac:Delivery/cac:Despatch/cac:DespatchAddress</t>
  </si>
  <si>
    <t xml:space="preserve">BTW-nummer </t>
  </si>
  <si>
    <t>doc:Quotation/cac:SellerSupplierParty/cac:Party/cac:PartyIdentification/cbc:ID</t>
  </si>
  <si>
    <t>bankgegevens</t>
  </si>
  <si>
    <t>doc:Quotation/cac:PaymentMeans/cac:PayeeFinancialAccount</t>
  </si>
  <si>
    <t>bankrekeningnummer</t>
  </si>
  <si>
    <t>doc:Quotation/cac:PaymentMeans/cac:PayeeFinancialAccount/cbc:ID</t>
  </si>
  <si>
    <t>HumanResource/ResourceInformation/EntityContactInfo/PersonName</t>
  </si>
  <si>
    <t>doc:Quotation/cac:SellerSupplierParty/cac:Party/cac:Contact/cbc:Name</t>
  </si>
  <si>
    <t>doc:Quotation/cac:OriginatorCustomerParty</t>
  </si>
  <si>
    <t>doc:Quotation/cac:OriginatorCustomerParty/cac:Party/cac:PartyName</t>
  </si>
  <si>
    <t>doc:Quotation/cac:OriginatorCustomerParty/cac:Party/cac:PhysicalLocation/cac:Address</t>
  </si>
  <si>
    <t>doc:Quotation/cac:Delivery/cac:DeliveryAddress</t>
  </si>
  <si>
    <t>doc:Quotation/cac:OriginatorCustomerParty/cac:Party/cac:Contact/cbc:Name</t>
  </si>
  <si>
    <r>
      <t>(KvK, OIN)</t>
    </r>
    <r>
      <rPr>
        <sz val="8"/>
        <color indexed="17"/>
        <rFont val="Verdana"/>
        <family val="2"/>
      </rPr>
      <t xml:space="preserve"> </t>
    </r>
  </si>
  <si>
    <t>doc:Quotation/cac:OriginatorCustomerParty/cac:Party/cac:PartyIdentification/cbc:ID</t>
  </si>
  <si>
    <t>BTW-nummer</t>
  </si>
  <si>
    <t>(indien BTW verlegd is)</t>
  </si>
  <si>
    <t>HumanResource/ReferenceInformation/IntermediaryId/IdValue</t>
  </si>
  <si>
    <t>doc:Quotation/cac:OriginatorCustomerParty/cac:Party/cac:AgentParty</t>
  </si>
  <si>
    <t>Toeslagen, kortingen en belastingen*</t>
  </si>
  <si>
    <t>doc:Quotation/cac:AllowanceCharge</t>
  </si>
  <si>
    <t>toeslagen</t>
  </si>
  <si>
    <t>doc:Quotation/cac:AllowanceCharge/cbc:Amount</t>
  </si>
  <si>
    <t>doc:Quotation/cac:AllowanceCharge/cbc:ChargeIndicator</t>
  </si>
  <si>
    <t>belastingen</t>
  </si>
  <si>
    <t>(anders dan BTW)</t>
  </si>
  <si>
    <t>doc:Quotation/cac:TaxTotal/cac:TaxSubtotal/cac:TaxCategory/cac:TaxScheme/cbc:Name</t>
  </si>
  <si>
    <t>belastingbedrag</t>
  </si>
  <si>
    <t>doc:Quotation/cac:TaxTotal/cac:TaxSubtotal/cbc:TaxAmount</t>
  </si>
  <si>
    <t>doc:Quotation/cac:TaxTotal/cac:TaxSubtotal/cac:TaxCategory/cbc:Percent</t>
  </si>
  <si>
    <t>kortingen</t>
  </si>
  <si>
    <t>doc:Quotation/cac:QuotedMonetaryTotal</t>
  </si>
  <si>
    <t>doc:Quotation/cac:QuotedMonetaryTotal/cbc:TaxExclusiveAmount</t>
  </si>
  <si>
    <t xml:space="preserve">totaal bedrag BTW </t>
  </si>
  <si>
    <t>(per BTW tarief)</t>
  </si>
  <si>
    <t>BTW percentage</t>
  </si>
  <si>
    <t>doc:Quotation/cac:QuotedMonetaryTotal/cbc:PayableAmount</t>
  </si>
  <si>
    <t xml:space="preserve">Niveau Offerteregel* </t>
  </si>
  <si>
    <t>doc:Quotation/cac:QuotationLine</t>
  </si>
  <si>
    <t>doc:Quotation/cac:QuotationLine/cac:LineItem/cbc:ID</t>
  </si>
  <si>
    <t>doc:Quotation/cac:QuotationLine/cac:LineItem</t>
  </si>
  <si>
    <t>doc:Quotation/cac:QuotationLine/cac:LineItem/cac:Item/cbc:Description</t>
  </si>
  <si>
    <t>omschrijving substituut</t>
  </si>
  <si>
    <t>(eventueel voorstel substituut)</t>
  </si>
  <si>
    <t>doc:Quotation/cac:QuotationLine/cac:SellerProposedSubstituteLineItem/cac:Item/cbc:Description</t>
  </si>
  <si>
    <t>doc:Quotation/cac:QuotationLine/cac:LineItem/cac:Item/cbc:Name</t>
  </si>
  <si>
    <t>doc:Quotation/cac:QuotationLine/cac:DocumentReference/cac:Attachment</t>
  </si>
  <si>
    <t>doc:Quotation/cac:QuotationLine/cac:LineItem/cbc:Quantity</t>
  </si>
  <si>
    <t>hoeveelheid indien substituut</t>
  </si>
  <si>
    <t>doc:Quotation/cac:QuotationLine/cac:SellerProposedSubstituteLineItem/cbc:Quantity</t>
  </si>
  <si>
    <t>(beloofde)</t>
  </si>
  <si>
    <t>doc:Quotation/cac:QuotationLine/cac:LineItem/cac:Delivery/cac:PromisedDeliveryPeriod</t>
  </si>
  <si>
    <t>doc:Quotation/cac:QuotationLine/cac:LineItem/cac:Delivery/cac:DeliveryAddress</t>
  </si>
  <si>
    <t>doc:Quotation/cac:QuotationLine/cac:LineItem/cac:Delivery/cac:DeliveryParty/cac:Contact/cbc:Name</t>
  </si>
  <si>
    <t>doc:Quotation/cac:QuotationLine/cac:LineItem/cbc:AccountingCostCode</t>
  </si>
  <si>
    <t>doc:Quotation/cac:QuotationLine/cac:DocumentReference/cbc:ID</t>
  </si>
  <si>
    <t>doc:Quotation/cac:QuotationLine/cac:DocumentReference/cbc:DocumentType</t>
  </si>
  <si>
    <t>doc:Quotation/cac:QuotationLine/cac:LineItem/cac:Item/cac:CatalogueDocumentReference</t>
  </si>
  <si>
    <t>doc:Quotation/cac:QuotationLine/cac:LineItem/cac:Item/cbc:CatalogueIndicator</t>
  </si>
  <si>
    <t>doc:Quotation/cac:QuotationLine/cac:LineItem/cac:Item/cac:ItemSpecificationDocumentReference</t>
  </si>
  <si>
    <t>doc:Quotation/cac:QuotationLine/cac:LineItem/cac:DeliveryTerms</t>
  </si>
  <si>
    <t>doc:Quotation/cac:QuotationLine/cac:LineItem/cac:Item/cac:ClassifiedTaxCategory/cbc:Percent</t>
  </si>
  <si>
    <t>BTW categorie*</t>
  </si>
  <si>
    <t>doc:Quotation/cac:QuotationLine/cac:LineItem/cac:Item/cac:ClassifiedTaxCategory/cac:TaxScheme/cbc:Name</t>
  </si>
  <si>
    <t>Prijs</t>
  </si>
  <si>
    <t>doc:Quotation/cac:QuotationLine/cac:LineItem/cac:Price</t>
  </si>
  <si>
    <t>stuksprijs exclusief BTW</t>
  </si>
  <si>
    <t>doc:Quotation/cac:QuotationLine/cac:LineItem/cac:Price/cbc:PriceAmount</t>
  </si>
  <si>
    <t>doc:Quotation/cac:QuotationLine/cac:LineItem/cac:Price/cbc:PriceAmount/@currencyID</t>
  </si>
  <si>
    <t>doc:Quotation/cac:QuotationLine/cac:LineItem/cac:AllowanceCharge</t>
  </si>
  <si>
    <t>doc:Quotation/cac:QuotationLine/cac:LineItem/cac:AllowanceCharge/cbc:Amount</t>
  </si>
  <si>
    <t>doc:Quotation/cac:QuotationLine/cac:LineItem/cac:AllowanceCharge/cbc:ChargeIndicator</t>
  </si>
  <si>
    <t>kan niet zonder offerte</t>
  </si>
  <si>
    <t>doc:RequestForQuotationCancellation</t>
  </si>
  <si>
    <t>offerteafwijzingdatum</t>
  </si>
  <si>
    <t>doc:RequestForQuotationCancellation/cbc:IssueDate</t>
  </si>
  <si>
    <t xml:space="preserve">volgnummer OfferteAfwijzing </t>
  </si>
  <si>
    <t>doc:RequestForQuotationCancellation/cbc:ID</t>
  </si>
  <si>
    <t>offertenummer</t>
  </si>
  <si>
    <t>doc:RequestForQuotationCancellation/cac:DocumentReference/cbc:ID</t>
  </si>
  <si>
    <t>doc:RequestForQuotationCancellation/cac:DocumentReference/cbc:DocumentType</t>
  </si>
  <si>
    <t>doc:RequestForQuotationCancellation/cbc:AccountingCostCode</t>
  </si>
  <si>
    <t>nadere uitleg</t>
  </si>
  <si>
    <t>doc:RequestForQuotationCancellation/cbc:RejectionNote</t>
  </si>
  <si>
    <t>doc:RequestForQuotationCancellation/cac:SellerSupplierParty</t>
  </si>
  <si>
    <t>doc:RequestForQuotationCancellation/cac:SellerSupplierParty/cac:Party/cac:PartyName/cbc:Name</t>
  </si>
  <si>
    <t>doc:RequestForQuotationCancellation/cac:SellerSupplierParty/cac:Party/cac:PostalAddress</t>
  </si>
  <si>
    <t>doc:RequestForQuotationCancellation/cac:SellerSupplierParty/cac:Party/cac:Contact/cbc:Name</t>
  </si>
  <si>
    <t>doc:RequestForQuotationCancellation/cac:OriginatorCustomerParty</t>
  </si>
  <si>
    <t>doc:RequestForQuotationCancellation/cac:OriginatorCustomerParty/cac:Party/cac:PartyName/cbc:Name</t>
  </si>
  <si>
    <t>doc:RequestForQuotationCancellation/cac:OriginatorCustomerParty/cac:Party/cac:PhysicalLocation/cac:Address</t>
  </si>
  <si>
    <t>doc:RequestForQuotationCancellation/cac:OriginatorCustomerParty/cac:Party/cac:Contact/cbc:Name</t>
  </si>
  <si>
    <t>doc:RequestForQuotationCancellation/cac:OriginatorCustomerParty/cac:Party/cac:PartyIdentification/cbc:ID</t>
  </si>
  <si>
    <t>doc:Order</t>
  </si>
  <si>
    <t>doc:Order/cbc:IssueDate</t>
  </si>
  <si>
    <t>doc:Order/cbc:IssueTime</t>
  </si>
  <si>
    <t>(inkoopordernummer)</t>
  </si>
  <si>
    <t>doc:Order/cbc:ID</t>
  </si>
  <si>
    <t>(kostenplaats, indien niet genoemd op regelniveau)</t>
  </si>
  <si>
    <t>doc:Order/cbc:AccountingCostCode</t>
  </si>
  <si>
    <t>doc:Order/cbc:Note</t>
  </si>
  <si>
    <t>StaffingOrder/UserArea/StaffingOrderAdditionalNL/OfferId/IdValue</t>
  </si>
  <si>
    <t>doc:Order/cac:QuotationDocumentReference/cbc:ID</t>
  </si>
  <si>
    <t>doc:Order/cac:Contract/cbc:ID</t>
  </si>
  <si>
    <t>doc:Order/cac:DeliveryTerms</t>
  </si>
  <si>
    <t>doc:Order/cac:Delivery/cac:RequestedDeliveryPeriod</t>
  </si>
  <si>
    <t>doc:Order/cac:PaymentMeans</t>
  </si>
  <si>
    <t>doc:Order/cbc:DocumentCurrencyCode</t>
  </si>
  <si>
    <t>doc:Order/cac:SellerSupplierParty</t>
  </si>
  <si>
    <t>doc:Order/cac:SellerSupplierParty/cac:Party/cac:PartyName/cbc:Name</t>
  </si>
  <si>
    <t>doc:Order/cac:SellerSupplierParty/cac:Party/cac:PostalAddress</t>
  </si>
  <si>
    <t>doc:Order/cac:Delivery/cac:Despatch/cac:DespatchAddress</t>
  </si>
  <si>
    <t>doc:Order/cac:SellerSupplierParty/cac:Party/cac:PartyIdentification/cbc:ID</t>
  </si>
  <si>
    <t>bankgegevens*</t>
  </si>
  <si>
    <t>O-nx</t>
  </si>
  <si>
    <t>doc:Order/cac:PaymentMeans/cac:PayeeFinancialAccount</t>
  </si>
  <si>
    <t>doc:Order/cac:SellerSupplierParty/cac:Party/cac:Contact/cbc:Name</t>
  </si>
  <si>
    <t>doc:Order/cac:BuyerCustomerParty</t>
  </si>
  <si>
    <t>doc:Order/cac:BuyerCustomerParty/cac:Party/cac:PartyName/cbc:Name</t>
  </si>
  <si>
    <t xml:space="preserve">factuuradres </t>
  </si>
  <si>
    <t>doc:Order/cac:AccountingCustomerParty/cac:Party/cac:PostalAddress</t>
  </si>
  <si>
    <t>doc:Order/cac:BuyerCustomerParty/cac:Party/cac:PhysicalLocation/cac:Address</t>
  </si>
  <si>
    <t>doc:Order/cac:Delivery/cac:DeliveryAddress</t>
  </si>
  <si>
    <t>doc:Order/cac:BuyerCustomerParty/cac:Party/cac:Contact/cbc:Name</t>
  </si>
  <si>
    <t>V-nx</t>
  </si>
  <si>
    <t>doc:Order/cac:BuyerCustomerParty/cac:Party/cac:PartyIdentification/cbc:ID</t>
  </si>
  <si>
    <t>O-nee</t>
  </si>
  <si>
    <t>doc:Order/cac:BuyerCustomerParty/cac:Party/cac:AgentParty</t>
  </si>
  <si>
    <t xml:space="preserve">Transporteur </t>
  </si>
  <si>
    <t>doc:Order/cac:FreightForwarderParty</t>
  </si>
  <si>
    <t>doc:Order/cac:AllowanceCharge</t>
  </si>
  <si>
    <t>doc:Order/cac:AllowanceCharge/cbc:Amount</t>
  </si>
  <si>
    <t>doc:Order/cac:AllowanceCharge/cbc:ChargeIndicator</t>
  </si>
  <si>
    <t>doc:Order/cac:TaxTotal/cac:TaxSubtotal/cbc:TaxAmount</t>
  </si>
  <si>
    <t>doc:Order/cac:TaxTotal/cac:TaxSubtotal/cac:TaxCategory/cbc:Percent</t>
  </si>
  <si>
    <t>doc:Order/cac:TaxTotal/cac:TaxSubtotal/cac:TaxCategory/cac:TaxScheme/cbc:Name</t>
  </si>
  <si>
    <t>doc:Order/cac:AnticipatedMonetaryTotal</t>
  </si>
  <si>
    <t>doc:Order/cac:AnticipatedMonetaryTotal/cbc:TaxExclusiveAmount</t>
  </si>
  <si>
    <t>doc:Order/cac:AnticipatedMonetaryTotal/cbc:PayableAmount</t>
  </si>
  <si>
    <t xml:space="preserve">Niveau Bestelregel* </t>
  </si>
  <si>
    <t>doc:Order/cac:OrderLine</t>
  </si>
  <si>
    <t>doc:Order/cac:OrderLine/cac:LineItem/cbc:ID</t>
  </si>
  <si>
    <t>doc:Order/cac:OrderLine/cac:LineItem/cac:Item</t>
  </si>
  <si>
    <t>doc:Order/cac:OrderLine/cac:LineItem/cac:Item/cbc:Name</t>
  </si>
  <si>
    <t>omschrijving</t>
  </si>
  <si>
    <t>doc:Order/cac:OrderLine/cac:LineItem/cac:Item/cac:SellersItemIdentification/cbc:ID</t>
  </si>
  <si>
    <t>doc:Order/cac:OrderLine/cac:LineItem/cac:Item/cbc:Description</t>
  </si>
  <si>
    <t>doc:Order/cac:OrderLine/cac:LineItem/cac:Item/cac:BuyersItemIdentification/cbc:ID</t>
  </si>
  <si>
    <t>doc:Order/cac:OrderLine/cac:LineItem/cbc:Quantity</t>
  </si>
  <si>
    <t>doc:Order/cac:OrderLine/cac:LineItem/cbc:Quantity/@unitCode</t>
  </si>
  <si>
    <t>doc:Order/cac:OrderLine/cac:LineItem/cac:Delivery/cac:RequestedDeliveryPeriod</t>
  </si>
  <si>
    <t>doc:Order/cac:OrderLine/cac:LineItem/cac:Delivery/cac:DeliveryAddress</t>
  </si>
  <si>
    <t>doc:Order/cac:OrderLine/cac:LineItem/cac:Delivery/cac:DeliveryParty/cac:Contact/cbc:Name</t>
  </si>
  <si>
    <t>V-rule</t>
  </si>
  <si>
    <t>doc:Order/cac:OrderLine/cac:LineItem/cbc:AccountingCostCode</t>
  </si>
  <si>
    <t>doc:Order/cac:OrderLine/cac:LineItem/cbc:Note</t>
  </si>
  <si>
    <t>doc:Order/cac:OrderLine/cac:QuotationLineReference</t>
  </si>
  <si>
    <t>doc:Order/cac:OrderLine/cac:DocumentReference/cbc:ID</t>
  </si>
  <si>
    <t>doc:Order/cac:OrderLine/cac:DocumentReference/cbc:DocumentType</t>
  </si>
  <si>
    <t>doc:Order/cac:OrderLine/cac:LineItem/cac:Item/cac:CatalogueDocumentReference</t>
  </si>
  <si>
    <t>doc:Order/cac:OrderLine/cac:LineItem/cac:Item/cac:CatalogueItemIdentification</t>
  </si>
  <si>
    <t>productcertificaten/garantiebewijzen</t>
  </si>
  <si>
    <t>doc:Order/cac:OrderLine/cac:LineItem/cac:Item/cac:ItemSpecificationDocumentReference</t>
  </si>
  <si>
    <t>doc:Order/cac:OrderLine/cac:LineItem/cac:DeliveryTerms</t>
  </si>
  <si>
    <t>doc:Order/cac:OrderLine/cac:LineItem/cac:Item/cac:ClassifiedTaxCategory/cbc:Percent</t>
  </si>
  <si>
    <t>doc:Order/cac:OrderLine/cac:LineItem/cac:Item/cac:ClassifiedTaxCategory/cac:TaxScheme/cbc:Name</t>
  </si>
  <si>
    <t>doc:Order/cac:OrderLine/cac:LineItem/cac:Price</t>
  </si>
  <si>
    <t>StaffingOrder/StaffingPosition/Rates/Amount</t>
  </si>
  <si>
    <t>doc:Order/cac:OrderLine/cac:LineItem/cac:Price/cbc:PriceAmount</t>
  </si>
  <si>
    <t>StaffingOrder/StaffingPosition/Rates/Amount/@currency</t>
  </si>
  <si>
    <t>doc:Order/cac:OrderLine/cac:LineItem/cac:Price/cbc:PriceAmount/@currencyID</t>
  </si>
  <si>
    <t>doc:Order/cac:OrderLine/cac:LineItem/cac:AllowanceCharge</t>
  </si>
  <si>
    <t>doc:Order/cac:OrderLine/cac:LineItem/cac:AllowanceCharge/cbc:Amount</t>
  </si>
  <si>
    <t>doc:Order/cac:OrderLine/cac:LineItem/cac:AllowanceCharge/cbc:ChargeIndicator</t>
  </si>
  <si>
    <t>totaalbedrag belastingen</t>
  </si>
  <si>
    <t>doc:Order/cac:OrderLine/cac:LineItem/cbc:TotalTaxAmount</t>
  </si>
  <si>
    <t>kan niet zonder bestelling</t>
  </si>
  <si>
    <t>doc:OrderResponse</t>
  </si>
  <si>
    <t>bestellingbevestigingdatum</t>
  </si>
  <si>
    <t>doc:OrderResponse/cbc:IssueDate</t>
  </si>
  <si>
    <t>volgnummer Bestellingbevestiging</t>
  </si>
  <si>
    <t>doc:OrderResponse/cbc:ID</t>
  </si>
  <si>
    <t>volgnummer Bestelling</t>
  </si>
  <si>
    <t>HumanResource/UserArea/HumanResourceAdditionalNL/CustomerReportingRequirements/PurchaseOrderNumber</t>
  </si>
  <si>
    <t>doc:OrderResponse/cac:OrderReference/cbc:ID</t>
  </si>
  <si>
    <t>O-C</t>
  </si>
  <si>
    <t>(indien gewijzigd tov bestelling)</t>
  </si>
  <si>
    <t>doc:OrderResponse/cac:SellerSupplierParty</t>
  </si>
  <si>
    <t>doc:OrderResponse/cac:SellerSupplierParty/cac:Party/cac:PartyName/cbc:Name</t>
  </si>
  <si>
    <t>doc:OrderResponse/cac:SellerSupplierParty/cac:Party/cac:PartyIdentification/cbc:ID</t>
  </si>
  <si>
    <t>doc:OrderResponse/cac:BuyerCustomerParty</t>
  </si>
  <si>
    <t>doc:OrderResponse/cac:BuyerCustomerParty/cac:Party/cac:PartyName</t>
  </si>
  <si>
    <t>Niveau Bestelbevestigingregel*</t>
  </si>
  <si>
    <t>doc:OrderResponse/cac:OrderLine</t>
  </si>
  <si>
    <t>doc:OrderResponse/cac:OrderLine/cac:LineItem/cac:Item</t>
  </si>
  <si>
    <t>doc:OrderResponse/cac:OrderLine/cac:LineItem/cbc:Quantity</t>
  </si>
  <si>
    <t>(beloofd door de leverancier)</t>
  </si>
  <si>
    <t>doc:OrderResponse/cac:OrderLine/cac:LineItem/cac:Delivery/cac:PromisedDeliveryPeriod</t>
  </si>
  <si>
    <t>bestellingnummer</t>
  </si>
  <si>
    <t>doc:OrderResponse/cac:OrderLine/cac:DocumentReference/cbc:ID</t>
  </si>
  <si>
    <t>doc:OrderResponse/cac:OrderLine/cac:DocumentReference/cbc:DocumentType</t>
  </si>
  <si>
    <t>Toeslagen en kortingen*</t>
  </si>
  <si>
    <t>Niveau algemeen:</t>
  </si>
  <si>
    <t>Algemeen</t>
  </si>
  <si>
    <t>TimeCard</t>
  </si>
  <si>
    <t xml:space="preserve">volgnummer TimeCard </t>
  </si>
  <si>
    <t>TimeCard/Id/IdValue</t>
  </si>
  <si>
    <t>TimeCard/AdditionalData/StaffingAdditionalData/ReferenceInformation/StaffingSupplierId/IdValue</t>
  </si>
  <si>
    <t>TimeCard/AdditionalData/StaffingAdditionalData/ReferenceInformation/StaffingCustomerId/IdValue</t>
  </si>
  <si>
    <t>Product (tijdschrijver)</t>
  </si>
  <si>
    <t xml:space="preserve">(naam, nummers) </t>
  </si>
  <si>
    <t>TimeCard/ReportedResource/Person/PersonName</t>
  </si>
  <si>
    <t>Niveau TimeEvent*:</t>
  </si>
  <si>
    <t>TimeCard/ReportedTime/TimeEvent</t>
  </si>
  <si>
    <t>volgnummer Bestelling*</t>
  </si>
  <si>
    <t xml:space="preserve">(bestelregel en/of bestelregel regel) </t>
  </si>
  <si>
    <t>TimeCard/ReportedTime/TimeInterval/AdditionalData/StaffingAdditionalData/CustomerReportingRequirements/PurchaseOrderNumber</t>
  </si>
  <si>
    <t>omschrijving*</t>
  </si>
  <si>
    <t>(urensoort, activiteit)</t>
  </si>
  <si>
    <t>TimeCard/ReportedTime/TimeEvent/@type</t>
  </si>
  <si>
    <t>startdatum</t>
  </si>
  <si>
    <t>TimeCard/ReportedTime/TimeInterval/RateOrAmount</t>
  </si>
  <si>
    <t>einddatum</t>
  </si>
  <si>
    <t>TimeCard/ReportedTime/TimeInterval/StartDateTime</t>
  </si>
  <si>
    <t>einddatumtijd</t>
  </si>
  <si>
    <t>TimeCard/ReportedTime/TimeInterval/EndDateTime</t>
  </si>
  <si>
    <t>duur</t>
  </si>
  <si>
    <t>TimeCard/ReportedTime/TimeInterval/Duration</t>
  </si>
  <si>
    <t>tarief of bedrag</t>
  </si>
  <si>
    <t>TimeCard/ReportedTime/TimeEvent/RateOrAmount</t>
  </si>
  <si>
    <t>datumtijd TimeEvent</t>
  </si>
  <si>
    <t>TimeCard/ReportedTime/TimeEvent/EventDateTime</t>
  </si>
  <si>
    <t>despatch advice</t>
  </si>
  <si>
    <t>doc:DespatchAdvice</t>
  </si>
  <si>
    <t>aanmaakdatum</t>
  </si>
  <si>
    <t>x</t>
  </si>
  <si>
    <t>doc:DespatchAdvice/cbc:IssueDate</t>
  </si>
  <si>
    <t xml:space="preserve">volgnummer ASN </t>
  </si>
  <si>
    <t>doc:DespatchAdvice/cbc:ID</t>
  </si>
  <si>
    <t>(voorzien, gepland)</t>
  </si>
  <si>
    <t>doc:DespatchAdvice/cac:Shipment/cac:Delivery/cac:RequestedDeliveryPeriod</t>
  </si>
  <si>
    <t>leveringsinstructies</t>
  </si>
  <si>
    <t>doc:DespatchAdvice/cac:Shipment/cbc:DeliveryInstructions</t>
  </si>
  <si>
    <t>zending/vrachtbrief</t>
  </si>
  <si>
    <t>doc:DespatchAdvice/cac:Shipment/cbc:ID</t>
  </si>
  <si>
    <t>pakbon</t>
  </si>
  <si>
    <t>doc:DespatchAdvice/cac:Shipment/cac:Consignment/cbc:ID</t>
  </si>
  <si>
    <t>doc:DespatchAdvice/cac:SellerSupplierParty/cac:Party/cac:PartyName/cbc:Name</t>
  </si>
  <si>
    <t>doc:DespatchAdvice/cac:Shipment/cac:Delivery/cac:Despatch/cac:DespatchAddress</t>
  </si>
  <si>
    <t>doc:DespatchAdvice/cac:SellerSupplierParty/cac:Party/cac:PartyIdentification/cbc:ID</t>
  </si>
  <si>
    <t>doc:DespatchAdvice/cac:SellerSupplierParty/cac:Party/cac:Contact/cbc:Name</t>
  </si>
  <si>
    <t>doc:DespatchAdvice/cac:DeliveryCustomerParty/cac:Party/cac:PartyName/cbc:Name</t>
  </si>
  <si>
    <t>doc:DespatchAdvice/cac:Shipment/cac:Delivery/cac:DeliveryAddress</t>
  </si>
  <si>
    <t>doc:DespatchAdvice/cac:DeliveryCustomerParty/cac:Party/cac:Contact/cbc:Name</t>
  </si>
  <si>
    <t>doc:DespatchAdvice/cac:DespatchSupplierParty</t>
  </si>
  <si>
    <t>doc:DespatchAdvice/cac:DespatchSupplierParty/cac:Party/cac:PartyName/cbc:Name</t>
  </si>
  <si>
    <t>doc:DespatchAdvice/cac:DespatchSupplierParty/cac:Party/cac:Contact/cbc:Name</t>
  </si>
  <si>
    <t>doc:DespatchAdvice/cac:DespatchSupplierParty/cac:Party/cac:Contact/cbc:Telephone</t>
  </si>
  <si>
    <t>doc:DespatchAdvice/cac:DespatchSupplierParty/cac:Party/cac:Contact/cbc:ElectronicMail</t>
  </si>
  <si>
    <t xml:space="preserve">Niveau ASN regel* </t>
  </si>
  <si>
    <t>doc:DespatchAdvice/cac:DespatchLine/cbc:ID</t>
  </si>
  <si>
    <t>doc:DespatchAdvice/cac:DespatchLine/cac:Item/cbc:Name</t>
  </si>
  <si>
    <t>doc:DespatchAdvice/cac:DespatchLine/cac:Item/cbc:Description</t>
  </si>
  <si>
    <t>doc:DespatchAdvice/cac:DespatchLine/cbc:DeliveredQuantity</t>
  </si>
  <si>
    <t>doc:DespatchAdvice/cac:DespatchLine/cac:OrderLineReference/cac:OrderReference/cbc:ID</t>
  </si>
  <si>
    <t>doc:DespatchAdvice/cac:DespatchLine/cac:OrderLineReference/cbc:LineID</t>
  </si>
  <si>
    <t xml:space="preserve">[HR-XML/SETU]  </t>
  </si>
  <si>
    <t>[UBL]</t>
  </si>
  <si>
    <t>HRXML-path</t>
  </si>
  <si>
    <t>UBL-path</t>
  </si>
  <si>
    <t>Er zijn 5 factuursoorten: debetfactuur, creditfactuur, voorsteldebetfactuur, voorstelcreditfactuur en proformafactuur</t>
  </si>
  <si>
    <t>Invoice</t>
  </si>
  <si>
    <t>doc:Invoice</t>
  </si>
  <si>
    <t xml:space="preserve">factuurdatum   </t>
  </si>
  <si>
    <t>Invoice/Header/DocumentDateTime</t>
  </si>
  <si>
    <t>doc:Invoice/cbc:IssueDate</t>
  </si>
  <si>
    <r>
      <t>volgnummer factuur</t>
    </r>
    <r>
      <rPr>
        <sz val="9"/>
        <color indexed="60"/>
        <rFont val="Verdana"/>
        <family val="2"/>
      </rPr>
      <t xml:space="preserve"> </t>
    </r>
  </si>
  <si>
    <t>(leeg bij voorstelfactuur)</t>
  </si>
  <si>
    <t>12345/09876DBF</t>
  </si>
  <si>
    <t>Invoice/Header/DocumentIds/DocumentId/Id</t>
  </si>
  <si>
    <t>doc:Invoice/cbc:ID</t>
  </si>
  <si>
    <t xml:space="preserve">referentie klant* </t>
  </si>
  <si>
    <t xml:space="preserve">(kostenplaats indien opdrachtgever niet aangegeven is) </t>
  </si>
  <si>
    <t>Invoice/Header/UserArea/StaffingAdditionalData/CustomerReportingRequirements/CostCenterCode</t>
  </si>
  <si>
    <t>doc:Invoice/cbc:AccountingCostCode</t>
  </si>
  <si>
    <t>inhaalactie</t>
  </si>
  <si>
    <t>Invoice/Header/Note</t>
  </si>
  <si>
    <t>doc:Invoice/cbc:Note</t>
  </si>
  <si>
    <t>factuursoort</t>
  </si>
  <si>
    <t>Debetfactuur</t>
  </si>
  <si>
    <t>Invoice/Header/Type</t>
  </si>
  <si>
    <t>doc:Invoice/cbc:InvoiceTypeCode</t>
  </si>
  <si>
    <t>Euro</t>
  </si>
  <si>
    <t>doc:Invoice/cbc:DocumentCurrencyCode</t>
  </si>
  <si>
    <t>vervaldatum</t>
  </si>
  <si>
    <t>Invoice/Header/PaymentTerms/DueDate</t>
  </si>
  <si>
    <t>doc:Invoice/cac:InvoicePeriod/cbc:EndDate</t>
  </si>
  <si>
    <t>30 dagen netto</t>
  </si>
  <si>
    <t>Invoice/Header/PaymentTerms</t>
  </si>
  <si>
    <t>doc:Invoice/cac:PaymentTerms</t>
  </si>
  <si>
    <t>DDU Rotterdam</t>
  </si>
  <si>
    <t>doc:Invoice/cac:DeliveryTerms</t>
  </si>
  <si>
    <t>L/C at sight</t>
  </si>
  <si>
    <t>doc:Invoice/cac:PaymentMeans</t>
  </si>
  <si>
    <t>Invoice/Header/Parties/SupplierParty</t>
  </si>
  <si>
    <t>doc:Invoice/cac:SellerSupplierParty</t>
  </si>
  <si>
    <t>Leverancier BV</t>
  </si>
  <si>
    <t>Invoice/Header/Parties/SupplierParty/Name</t>
  </si>
  <si>
    <t>doc:Invoice/cac:SellerSupplierParty/cac:Party/cac:PartyName/cbc:Name</t>
  </si>
  <si>
    <t xml:space="preserve">adres </t>
  </si>
  <si>
    <t>Wegweg 1 III
NL - 1234AB Plaatsplaats</t>
  </si>
  <si>
    <t>Invoice/Header/Parties/SupplierParty/Addresses/PrimaryAddress</t>
  </si>
  <si>
    <t>doc:Invoice/cac:SellerSupplierParty/cac:Party/cac:PostalAddress</t>
  </si>
  <si>
    <t>NL12345678B02</t>
  </si>
  <si>
    <t>Invoice/Header/Parties/SupplierParty/TaxId</t>
  </si>
  <si>
    <t>doc:Invoice/cac:SellerSupplierParty/cac:Party/cac:PartyIdentification/cbc:ID</t>
  </si>
  <si>
    <r>
      <t>(KvK)</t>
    </r>
    <r>
      <rPr>
        <sz val="8"/>
        <color indexed="17"/>
        <rFont val="Verdana"/>
        <family val="2"/>
      </rPr>
      <t xml:space="preserve"> </t>
    </r>
  </si>
  <si>
    <t>Invoice/Header/UserArea/StaffingOrganizationNL/ChamberofCommerceReference</t>
  </si>
  <si>
    <t>(nummer)</t>
  </si>
  <si>
    <t>Invoice/Header/UserArea/StaffingOrganization/PaymentInfo/BankAccountInfo/BankInfoByJurisdiction/BankAccountNumber</t>
  </si>
  <si>
    <t>doc:Invoice/cac:PaymentMeans/cac:PayeeFinancialAccount/cbc:ID</t>
  </si>
  <si>
    <t>Invoice/Header/Parties/SupplierParty/Contacts/Contact/Person/PersonName</t>
  </si>
  <si>
    <t>doc:Invoice/cac:SellerSupplierParty/cac:Party/cac:Contact/cbc:Name</t>
  </si>
  <si>
    <t>Invoice/Header/Parties/CustomerParty</t>
  </si>
  <si>
    <t>doc:Invoice/cac:BuyerCustomerParty</t>
  </si>
  <si>
    <t>Invoice/Header/Parties/CustomerParty/Name</t>
  </si>
  <si>
    <t>doc:Invoice/cac:BuyerCustomerParty/cac:Party/cac:PartyName/cbc:Name</t>
  </si>
  <si>
    <t>Invoice/Header/Parties/BillToParty/Addresses</t>
  </si>
  <si>
    <t>doc:Invoice/cac:AccountingCustomerParty/cac:Party/cac:PostalAddress</t>
  </si>
  <si>
    <t>Invoice/Header/Parties/CustomerParty/Addresses</t>
  </si>
  <si>
    <t>doc:Invoice/cac:Delivery/cac:DeliveryAddress</t>
  </si>
  <si>
    <t>(zwart: persoon die meer weet van deze factuur)</t>
  </si>
  <si>
    <t>Invoice/Header/Parties/CustomerParty/Contacts/Contact/Person/PersonName</t>
  </si>
  <si>
    <t>doc:Invoice/cac:BuyerCustomerParty/cac:Party/cac:Contact/cbc:Name</t>
  </si>
  <si>
    <r>
      <t>(indien BTW verlegd is)</t>
    </r>
    <r>
      <rPr>
        <sz val="8"/>
        <color indexed="17"/>
        <rFont val="Verdana"/>
        <family val="2"/>
      </rPr>
      <t xml:space="preserve"> </t>
    </r>
  </si>
  <si>
    <t>Invoice/Header/Parties/CustomerParty/TaxId</t>
  </si>
  <si>
    <t>doc:Invoice/cac:BuyerCustomerParty/cac:Party/cac:PartyIdentification/cbc:ID</t>
  </si>
  <si>
    <t>doc:Invoice/cac:AllowanceCharge</t>
  </si>
  <si>
    <t>(indien van toepassing)</t>
  </si>
  <si>
    <t>Invoice/Header/PaymentTerms/DiscountAmount</t>
  </si>
  <si>
    <t>doc:Invoice/cac:AllowanceCharge/cbc:Amount</t>
  </si>
  <si>
    <t>doc:Invoice/cac:AllowanceCharge/cbc:ChargeIndicator</t>
  </si>
  <si>
    <t xml:space="preserve">belastingen </t>
  </si>
  <si>
    <t>doc:Invoice/cac:TaxTotal/cac:TaxSubtotal/cbc:TaxAmount</t>
  </si>
  <si>
    <t>doc:Invoice/cac:TaxTotal/cac:TaxSubtotal/cac:TaxCategory/cac:TaxScheme/cbc:Name</t>
  </si>
  <si>
    <t>doc:Invoice/cac:TaxTotal/cac:TaxSubtotal/cac:TaxCategory/cbc:Percent</t>
  </si>
  <si>
    <t>(per valuta)</t>
  </si>
  <si>
    <t>doc:Invoice/cac:LegalMonetaryTotal</t>
  </si>
  <si>
    <t>Invoice/Header/Tax/PercentQuantity</t>
  </si>
  <si>
    <t>totaalbedrag exclusief belastingen</t>
  </si>
  <si>
    <t>doc:Invoice/cac:LegalMonetaryTotal/cbc:TaxExclusiveAmount</t>
  </si>
  <si>
    <t>(per tarief)</t>
  </si>
  <si>
    <t>Invoice/Header/TotalTax</t>
  </si>
  <si>
    <t>BTW categorie</t>
  </si>
  <si>
    <t>totaal bedrag</t>
  </si>
  <si>
    <t>Invoice/Header/TotalAmount</t>
  </si>
  <si>
    <t>doc:Invoice/cac:LegalMonetaryTotal/cbc:PayableAmount</t>
  </si>
  <si>
    <t>Niveau Factuurregel*</t>
  </si>
  <si>
    <t>Invoice/Line</t>
  </si>
  <si>
    <t>doc:Invoice/cac:InvoiceLine</t>
  </si>
  <si>
    <t>Invoice/Line/LineNumber</t>
  </si>
  <si>
    <t>doc:Invoice/cac:InvoiceLine/cbc:ID</t>
  </si>
  <si>
    <t>doc:Invoice/cac:InvoiceLine/cac:Item</t>
  </si>
  <si>
    <t>(leverancier)</t>
  </si>
  <si>
    <t>Invoice/Line/Description</t>
  </si>
  <si>
    <t>doc:Invoice/cac:InvoiceLine/cac:Item/cbc:Description</t>
  </si>
  <si>
    <t>artikelnummer</t>
  </si>
  <si>
    <t>doc:Invoice/cac:InvoiceLine/cac:Item/cac:SellersItemIdentification/cbc:ID</t>
  </si>
  <si>
    <t>Invoice/Line/ItemQuantity</t>
  </si>
  <si>
    <t>doc:Invoice/cac:InvoiceLine/cbc:InvoicedQuantity</t>
  </si>
  <si>
    <t xml:space="preserve">levertijd </t>
  </si>
  <si>
    <t>(gerealiseerde leverdatum)</t>
  </si>
  <si>
    <t>Invoice/Line/UserArea/TimeCard/ReportedTime</t>
  </si>
  <si>
    <t>doc:Invoice/cac:Delivery/cbc:ActualDeliveryDate</t>
  </si>
  <si>
    <t>bestellingregelnummer</t>
  </si>
  <si>
    <t>(inkooporderregel)</t>
  </si>
  <si>
    <t>Invoice/Line/UserArea/StaffingAdditionalData/CustomerReportingRequirements/PurchaseOrderLineItem</t>
  </si>
  <si>
    <t>doc:Invoice/cac:InvoiceLine/cac:OrderLineReference/cbc:LineID</t>
  </si>
  <si>
    <t>(inkooporder)</t>
  </si>
  <si>
    <t>Invoice/Line/UserArea/StaffingAdditionalData/CustomerReportingRequirements/PurchaseOrderNumber</t>
  </si>
  <si>
    <t>doc:Invoice/cac:InvoiceLine/cac:OrderLineReference/cac:OrderReference/cbc:ID</t>
  </si>
  <si>
    <t>doc:Invoice/cac:InvoiceLine/cac:Price</t>
  </si>
  <si>
    <t>stuksprijs exclusief belasting</t>
  </si>
  <si>
    <t>Invoice/Line/Price/Amount</t>
  </si>
  <si>
    <t>doc:Invoice/cac:InvoiceLine/cac:Price/cbc:PriceAmount</t>
  </si>
  <si>
    <t>BTW tarief</t>
  </si>
  <si>
    <t>Invoice/Line/Tax/PercentQuantity</t>
  </si>
  <si>
    <t>doc:Invoice/cac:InvoiceLine/cac:Item/cac:ClassifiedTaxCategory/cbc:Percent</t>
  </si>
  <si>
    <t>doc:Invoice/cac:InvoiceLine/cac:Item/cac:ClassifiedTaxCategory/cac:TaxScheme/cbc:Name</t>
  </si>
  <si>
    <t>Invoice/Line/Price/Amount/@currency</t>
  </si>
  <si>
    <t>doc:Invoice/cac:InvoiceLine/cac:Price/cbc:PriceAmount/@currencyID</t>
  </si>
  <si>
    <t>doc:Invoice/cac:InvoiceLine/cac:AllowanceCharge</t>
  </si>
  <si>
    <r>
      <t>(indien van toepassing)</t>
    </r>
    <r>
      <rPr>
        <sz val="8"/>
        <color indexed="17"/>
        <rFont val="Verdana"/>
        <family val="2"/>
      </rPr>
      <t xml:space="preserve"> </t>
    </r>
  </si>
  <si>
    <t>doc:Invoice/cac:InvoiceLine/cac:AllowanceCharge/cbc:Amount</t>
  </si>
  <si>
    <t>doc:Invoice/cac:InvoiceLine/cac:AllowanceCharge/cbc:ChargeIndicator</t>
  </si>
  <si>
    <t>Invoice/Line/Tax/TaxAmount</t>
  </si>
  <si>
    <t>Spelregels met betrekking tot bericht: ApplicationResponse</t>
  </si>
  <si>
    <t>project X</t>
  </si>
  <si>
    <t>EURO</t>
  </si>
  <si>
    <t>Bestelling</t>
  </si>
  <si>
    <t>Jansen, Etc. BV</t>
  </si>
  <si>
    <t>000056644755000</t>
  </si>
  <si>
    <t>Ministerie Y</t>
  </si>
  <si>
    <t>BTW</t>
  </si>
  <si>
    <t>(alleen gevuld bij harde verplichting)</t>
  </si>
  <si>
    <t>(Budgetcheck of Bestelling)</t>
  </si>
  <si>
    <t>(Bij bestelaanvraag niet verplicht)</t>
  </si>
  <si>
    <t>(te betalen bedrag)</t>
  </si>
  <si>
    <t>(Exclusief BTW, inclusief toeslagen, kortingen etc.)</t>
  </si>
  <si>
    <t>001000</t>
  </si>
  <si>
    <t>zwarte pen</t>
  </si>
  <si>
    <t>EA</t>
  </si>
  <si>
    <t>mag ook blauw zijn</t>
  </si>
  <si>
    <t>(Datum waarop antwoordbericht is gemaakt)</t>
  </si>
  <si>
    <t>(Door verzender toegekend nummer)</t>
  </si>
  <si>
    <t>(Ja of Nee)</t>
  </si>
  <si>
    <t>(Alleen gevuld in geval van niet akkoord)</t>
  </si>
  <si>
    <t>(Datum waarop verplichting is vastgelegd in systeem)</t>
  </si>
  <si>
    <t>UBL</t>
  </si>
  <si>
    <t>HR-XML</t>
  </si>
  <si>
    <t>Spelregels met betrekking tot bericht: Commitment</t>
  </si>
  <si>
    <t xml:space="preserve">volgnummer  </t>
  </si>
  <si>
    <t>Budgetcheck VRAAG (zachte verplichting) of Bestellingverplichting (harde verplichting)</t>
  </si>
  <si>
    <t>Budgetcheck ANTWOORD (zachte verplichting) of Bestellingverplichting (harde verplichting)</t>
  </si>
  <si>
    <t>(Verwijzing naar budgetcheck VRAAG)</t>
  </si>
  <si>
    <t>kortingindicator</t>
  </si>
  <si>
    <t>toeslagindicator</t>
  </si>
  <si>
    <t>(naam die aangeeft dat het om BTW gaat)</t>
  </si>
  <si>
    <t>(KvK, OIN, in geval van voorstelfactuur)</t>
  </si>
  <si>
    <r>
      <t>(anders dan BTW)</t>
    </r>
    <r>
      <rPr>
        <sz val="8"/>
        <color indexed="21"/>
        <rFont val="Verdana"/>
        <family val="2"/>
      </rPr>
      <t xml:space="preserve"> </t>
    </r>
  </si>
  <si>
    <r>
      <t>(inclusief BTW)</t>
    </r>
    <r>
      <rPr>
        <sz val="8"/>
        <color indexed="21"/>
        <rFont val="Verdana"/>
        <family val="2"/>
      </rPr>
      <t xml:space="preserve"> </t>
    </r>
  </si>
  <si>
    <t>(BIC en IBAN nummer)</t>
  </si>
  <si>
    <t>Voorbeeld UBL</t>
  </si>
  <si>
    <t>Voorbeeld HR-XML</t>
  </si>
  <si>
    <t>voorbeeld UBL</t>
  </si>
  <si>
    <t>H5/09876DBF</t>
  </si>
  <si>
    <t>H4500123456</t>
  </si>
  <si>
    <t>inhuur LB</t>
  </si>
  <si>
    <t>30 dagen</t>
  </si>
  <si>
    <t>Inleenlev BV</t>
  </si>
  <si>
    <t>Wegweg 1 III NL - 1234AB Plaatsplaats</t>
  </si>
  <si>
    <t>Ver huurling</t>
  </si>
  <si>
    <t>klant2</t>
  </si>
  <si>
    <t>factuurstraatpostbus 2 1234AB Zetten (NB)</t>
  </si>
  <si>
    <t>afleverweg 2 naast 9 B-1234 Belgieplaats</t>
  </si>
  <si>
    <t>I.Nkoper</t>
  </si>
  <si>
    <t>NL1234567B02</t>
  </si>
  <si>
    <t>messenslijpen</t>
  </si>
  <si>
    <t>PO450012345</t>
  </si>
  <si>
    <t>020</t>
  </si>
  <si>
    <t>Verk Oper</t>
  </si>
  <si>
    <t>kredietbeperking 2%</t>
  </si>
  <si>
    <t>true</t>
  </si>
  <si>
    <t>0000555670054</t>
  </si>
  <si>
    <t>btw</t>
  </si>
  <si>
    <t>00200</t>
  </si>
  <si>
    <t>010</t>
  </si>
  <si>
    <t>false</t>
  </si>
  <si>
    <t>1 keer</t>
  </si>
  <si>
    <t>10 stuks</t>
  </si>
  <si>
    <t>(despatch advice) Kan niet zonder bestelling</t>
  </si>
  <si>
    <t>Spelregels met betrekking tot bericht: ASN</t>
  </si>
  <si>
    <t>Spelregels met betrekking tot bericht: Factuur</t>
  </si>
  <si>
    <t>besteltijd</t>
  </si>
  <si>
    <t>voorbeeld HR-XML</t>
  </si>
  <si>
    <t>Spelregels met betrekking tot bericht: Bestelling</t>
  </si>
  <si>
    <t>(DocumentType='Contract')</t>
  </si>
  <si>
    <r>
      <t xml:space="preserve">Agent </t>
    </r>
    <r>
      <rPr>
        <i/>
        <sz val="9"/>
        <color indexed="21"/>
        <rFont val="Verdana"/>
        <family val="2"/>
      </rPr>
      <t>(inkoopagenten of verkoopagenten)</t>
    </r>
  </si>
  <si>
    <t>catalogusindicator</t>
  </si>
  <si>
    <t>(ChargeIndicator = true)</t>
  </si>
  <si>
    <t>(totaalbedrag per percentage BTW)</t>
  </si>
  <si>
    <t>(BTW percentage)</t>
  </si>
  <si>
    <t>(Identificatie van belastingsoort BTW)</t>
  </si>
  <si>
    <t>(omschrijving)</t>
  </si>
  <si>
    <t>(ChargeIndicator = false)</t>
  </si>
  <si>
    <t>( ChargeIndicator = false)</t>
  </si>
  <si>
    <t>(Identificatie van belastingsoort (anders dan BTW))</t>
  </si>
  <si>
    <t>(percentage belasting (indien van toepassing))</t>
  </si>
  <si>
    <t>(BIC, IBAN)</t>
  </si>
  <si>
    <t>C987</t>
  </si>
  <si>
    <t>verzendWegweg 1 III
NL - 1234AB Plaatsplaats</t>
  </si>
  <si>
    <t>Ver Koper</t>
  </si>
  <si>
    <t>345345450000</t>
  </si>
  <si>
    <t>straatpostbus 12
1234AB Zetten (NB)</t>
  </si>
  <si>
    <t>factuurstraatpostbus 2
1234AB Zetten (NB)</t>
  </si>
  <si>
    <t>StaffingagencyX</t>
  </si>
  <si>
    <t>SalesagencyZ</t>
  </si>
  <si>
    <t>Maersk</t>
  </si>
  <si>
    <t>administratiekosten</t>
  </si>
  <si>
    <t>duty</t>
  </si>
  <si>
    <t>(percentage)</t>
  </si>
  <si>
    <t>euro</t>
  </si>
  <si>
    <t>blauwe pen</t>
  </si>
  <si>
    <t>schoonmaak</t>
  </si>
  <si>
    <t>yourt bzl</t>
  </si>
  <si>
    <t>12nc85564</t>
  </si>
  <si>
    <t>stuks</t>
  </si>
  <si>
    <t>vanaf 15-3-2011</t>
  </si>
  <si>
    <t>afleverweg 2 naast 9
B-1234 Belgieplaats</t>
  </si>
  <si>
    <t>On Tvanger</t>
  </si>
  <si>
    <t>niet aanbellen</t>
  </si>
  <si>
    <t>55889 030</t>
  </si>
  <si>
    <t>contract</t>
  </si>
  <si>
    <t>cat1234</t>
  </si>
  <si>
    <t>ISO90012nc</t>
  </si>
  <si>
    <t>EXW Dubai</t>
  </si>
  <si>
    <t>(bijv. orderkosten)</t>
  </si>
  <si>
    <t>belastingpercentage*</t>
  </si>
  <si>
    <t>belastingcategorie*</t>
  </si>
  <si>
    <t>totaal bedrag BTW*</t>
  </si>
  <si>
    <t>(inclusief kortingen en toeslagen)</t>
  </si>
  <si>
    <t>Spelregels met betrekking tot bericht: Offerteaanvraag</t>
  </si>
  <si>
    <t>(DocumentType=’Contract’ of 'Specificaties')</t>
  </si>
  <si>
    <t>SO1000311210</t>
  </si>
  <si>
    <t>OAU123456</t>
  </si>
  <si>
    <t>DDP</t>
  </si>
  <si>
    <t>USD</t>
  </si>
  <si>
    <t>myart10</t>
  </si>
  <si>
    <t>zie specificatie in pdf</t>
  </si>
  <si>
    <t>50 uur</t>
  </si>
  <si>
    <t>geencat</t>
  </si>
  <si>
    <t>ISO90014n</t>
  </si>
  <si>
    <t>Ex Works Dubai</t>
  </si>
  <si>
    <t>10:55:23</t>
  </si>
  <si>
    <t>Specificaties</t>
  </si>
  <si>
    <r>
      <t>(KvK, OIN)</t>
    </r>
    <r>
      <rPr>
        <sz val="8"/>
        <color indexed="21"/>
        <rFont val="Verdana"/>
        <family val="2"/>
      </rPr>
      <t xml:space="preserve"> </t>
    </r>
  </si>
  <si>
    <t>(Name = BTW)</t>
  </si>
  <si>
    <t>(Name = iets anders)</t>
  </si>
  <si>
    <t>SWIFT456789</t>
  </si>
  <si>
    <t>blauw potlood</t>
  </si>
  <si>
    <t>zie bijlage</t>
  </si>
  <si>
    <t>iso-nen0384 994</t>
  </si>
  <si>
    <t>DDP Belgieplaats</t>
  </si>
  <si>
    <t>Automatische incasso</t>
  </si>
  <si>
    <t>Spelregels met betrekking tot bericht: Offerte</t>
  </si>
  <si>
    <t>(DocumentType = 'Offerte')</t>
  </si>
  <si>
    <t>Spelregels met betrekking tot bericht: OfferteAfwijzing</t>
  </si>
  <si>
    <t>offerte</t>
  </si>
  <si>
    <t>456551-5512-2554</t>
  </si>
  <si>
    <t>458/8445/555</t>
  </si>
  <si>
    <t>te duur</t>
  </si>
  <si>
    <t>te laat</t>
  </si>
  <si>
    <t>Uit Zender</t>
  </si>
  <si>
    <t>Uit-Verkopper, tata BV</t>
  </si>
  <si>
    <t>Ver Huurling</t>
  </si>
  <si>
    <t>(inhuurbestelling)</t>
  </si>
  <si>
    <t>Spelregels met betrekking tot bericht: Bestellingbevestiging</t>
  </si>
  <si>
    <t>(DocumentType = 'Bestelling')</t>
  </si>
  <si>
    <t>jansen en co</t>
  </si>
  <si>
    <t>Ministerie van Inhuur</t>
  </si>
  <si>
    <t>Inkoopbedrijf Drzzs</t>
  </si>
  <si>
    <t>00001540000442</t>
  </si>
  <si>
    <t>00001540000452</t>
  </si>
  <si>
    <t>VAR, CV, VOG</t>
  </si>
  <si>
    <t>Spelregels met betrekking tot bericht: TimeCard</t>
  </si>
  <si>
    <t>(gerapporteerde tijd en declaraties)</t>
  </si>
  <si>
    <t>(KvK, BTW nr, nr waaronder lev. bekend is in DigiInkoop)</t>
  </si>
  <si>
    <t>00001500045885000</t>
  </si>
  <si>
    <t>Theo Tijdschrijver</t>
  </si>
  <si>
    <t>450055166-01000</t>
  </si>
  <si>
    <t>project uren</t>
  </si>
  <si>
    <t>(bestellingnummer )</t>
  </si>
  <si>
    <t>(bestellingregelnummer)</t>
  </si>
  <si>
    <t>(naam)</t>
  </si>
  <si>
    <t>(telefoon)</t>
  </si>
  <si>
    <t>(e-mail)</t>
  </si>
  <si>
    <t>(shipment)</t>
  </si>
  <si>
    <t>(consigment)</t>
  </si>
  <si>
    <t>leveranciersnummer</t>
  </si>
  <si>
    <t>(uitgegeven door klant)</t>
  </si>
  <si>
    <t>doc:Commitment/cac:SellerSupplierParty/cbc:CustomerAssignedAccountID</t>
  </si>
  <si>
    <t>(uitgegeven door leverancier)</t>
  </si>
  <si>
    <t>doc:Commitment/cac:AccountingCustomerParty/cbc:SupplierAssignedAccountID</t>
  </si>
  <si>
    <t xml:space="preserve">Kostenplaats, </t>
  </si>
  <si>
    <t>kostensoort, eerste referentie klant</t>
  </si>
  <si>
    <t>255589@2577145</t>
  </si>
  <si>
    <t>doc:Commitment/nl-cac:CommitmentLine</t>
  </si>
  <si>
    <t>doc:Commitment/nl-cac:CommitmentLine/cac:LineItem/cbc:ID</t>
  </si>
  <si>
    <t>doc:Commitment/nl-cac:CommitmentLine/cac:ValidityPeriod/cbc:EndDate</t>
  </si>
  <si>
    <t>doc:Commitment/nl-cac:CommitmentLine/cac:LineItem/cac:Item</t>
  </si>
  <si>
    <t>doc:Commitment/nl-cac:CommitmentLine/cac:LineItem/cac:Item/cbc:Name</t>
  </si>
  <si>
    <t>doc:Commitment/nl-cac:CommitmentLine/cac:LineItem/cac:Item/cac:BuyersItemIdentification/cbc:ID</t>
  </si>
  <si>
    <t>doc:Commitment/nl-cac:CommitmentLine/cac:LineItem/cbc:Quantity</t>
  </si>
  <si>
    <t>doc:Commitment/nl-cac:CommitmentLine/cac:LineItem/cbc:Quantity/@unitCode</t>
  </si>
  <si>
    <t>doc:Commitment/nl-cac:CommitmentLine/cac:LineItem/cac:Delivery/cac:RequestedDeliveryPeriod/cbc:EndDate</t>
  </si>
  <si>
    <t>doc:Commitment/nl-cac:CommitmentLine/cac:LineItem/cbc:AccountingCost</t>
  </si>
  <si>
    <t>doc:Commitment/nl-cac:CommitmentLine/cac:LineItem/cbc:AccountingCostCode</t>
  </si>
  <si>
    <t>doc:Commitment/nl-cac:CommitmentLine/cac:LineItem/cbc:Note</t>
  </si>
  <si>
    <t>doc:Commitment/nl-cac:CommitmentLine/cac:LineItem/cbc:LineExtensionAmount</t>
  </si>
  <si>
    <t>doc:Commitment/nl-cac:CommitmentLine/cac:LineItem/cbc:LineExtensionAmount/@currencyID</t>
  </si>
  <si>
    <t>doc:Commitment/nl-cac:CommitmentLine/cac:LineItem/cac:Item/cac:ClassifiedTaxCategory/cbc:Percent</t>
  </si>
  <si>
    <t>doc:Commitment/nl-cac:CommitmentLine/cac:LineItem/cbc:TotalTaxAmount</t>
  </si>
  <si>
    <t>doc:Commitment/nl-cac:CommitmentLine/cac:LineItem/cbc:TotalTaxAmount/@currencyID</t>
  </si>
  <si>
    <t>EUR</t>
  </si>
  <si>
    <t>StaffingOrder/ReferenceInformation/StaffingSupplierId/IdValue</t>
  </si>
  <si>
    <t>doc:RequestForQuotation/cac:SellerSupplierParty/cbc:CustomerAssignedAccountID</t>
  </si>
  <si>
    <t>HumanResource/ReferenceInformation/StaffingSupplierId/IdValue</t>
  </si>
  <si>
    <t>doc:Quotation/cac:SellerSupplierParty/cbc:CustomerAssignedAccountID</t>
  </si>
  <si>
    <t>HumanResource/ReferenceInformation/StaffingCustomerId/IdValue</t>
  </si>
  <si>
    <t>doc:Quotation/cac:OriginatorCustomerParty/cbc:SupplierAssignedAccountID</t>
  </si>
  <si>
    <t>doc:RequestForQuotationCancellation/cac:SellerSupplierParty/cbc:CustomerAssignedAccountID</t>
  </si>
  <si>
    <t>doc:RequestForQuotationCancellation/cac:OriginatorCustomerParty/cbc:SupplierAssignedAccountID</t>
  </si>
  <si>
    <t>doc:Order/cac:SellerSupplierParty/cbc:CustomerAssignedAccountID</t>
  </si>
  <si>
    <t>StaffingOrder/ReferenceInformation/StaffingCustomerId/IdValue</t>
  </si>
  <si>
    <t>doc:Order/cac:BuyerCustomerParty/cbc:SupplierAssignedAccountID</t>
  </si>
  <si>
    <t>doc:OrderResponse/cac:SellerSupplierParty/cbc:CustomerAssignedAccountID</t>
  </si>
  <si>
    <t>doc:OrderResponse/cac:BuyerCustomerParty/cbc:SupplierAssignedAccountID</t>
  </si>
  <si>
    <t>Invoice/Header/Parties/SupplierParty/PartyId/Id</t>
  </si>
  <si>
    <t>doc:Invoice/cac:SellerSupplierParty/cbc:CustomerAssignedAccountID</t>
  </si>
  <si>
    <t>Invoice/Header/Parties/CustomerParty/PartyId/Id</t>
  </si>
  <si>
    <t>doc:Invoice/cac:BuyerCustomerParty/cbc:SupplierAssignedAccountID</t>
  </si>
  <si>
    <t>doc:Invoice/ext:UBLExtensions/ext:UBLExtension/ext:ExtensionContent/nl-cbc:LastInvoiceOnOrderIndicator</t>
  </si>
  <si>
    <t>laatste factuur</t>
  </si>
  <si>
    <t>doc:RequestForQuotation/ext:UBLExtensions/ext:UBLExtension/ext:ExtensionContent/nl-cbc:AwardDate</t>
  </si>
  <si>
    <t>gunningsdatum</t>
  </si>
  <si>
    <t>doc:RequestForQuotation/ext:UBLExtensions/ext:UBLExtension/ext:ExtensionContent/nl-cbc:NegotiationStyle</t>
  </si>
  <si>
    <t>onderhandelingsstijl</t>
  </si>
  <si>
    <t>doc:RequestForQuotation/ext:UBLExtensions/ext:UBLExtension/ext:ExtensionContent/nl-cac:RequestedValidityPeriod/cbc:StartDate</t>
  </si>
  <si>
    <t>doc:RequestForQuotation/ext:UBLExtensions/ext:UBLExtension/ext:ExtensionContent/nl-cac:RequestedValidityPeriod/cbc:EndDate</t>
  </si>
  <si>
    <t>doc:RequestForQuotation/ext:UBLExtensions/ext:UBLExtension/ext:ExtensionContent/nl-cac:GrantedValidityPeriod/cbc:StartDate</t>
  </si>
  <si>
    <t>doc:RequestForQuotation/ext:UBLExtensions/ext:UBLExtension/ext:ExtensionContent/nl-cac:GrantedValidityPeriod/cbc:EndDate</t>
  </si>
  <si>
    <t>eenvoudig</t>
  </si>
  <si>
    <t>(eenvoudig of standaard)</t>
  </si>
  <si>
    <t>begindatum offerte</t>
  </si>
  <si>
    <t>einddatum offerte</t>
  </si>
  <si>
    <t>begindatum aanbiedingsperiode</t>
  </si>
  <si>
    <t>einddatum aanbiedingsperiode</t>
  </si>
</sst>
</file>

<file path=xl/styles.xml><?xml version="1.0" encoding="utf-8"?>
<styleSheet xmlns="http://schemas.openxmlformats.org/spreadsheetml/2006/main">
  <numFmts count="2">
    <numFmt numFmtId="164" formatCode="_ &quot;€ &quot;* #,##0.00_ ;_ &quot;€ &quot;* \-#,##0.00_ ;_ &quot;€ &quot;* \-??_ ;_ @_ "/>
    <numFmt numFmtId="165" formatCode="d\ mmm\ yy"/>
  </numFmts>
  <fonts count="55">
    <font>
      <sz val="10"/>
      <name val="Arial"/>
      <family val="2"/>
    </font>
    <font>
      <sz val="10"/>
      <name val="Arial"/>
    </font>
    <font>
      <u/>
      <sz val="9"/>
      <color indexed="12"/>
      <name val="Verdana"/>
      <family val="2"/>
      <charset val="1"/>
    </font>
    <font>
      <sz val="10"/>
      <name val="Arial"/>
      <family val="2"/>
      <charset val="1"/>
    </font>
    <font>
      <sz val="9"/>
      <color indexed="8"/>
      <name val="Verdana"/>
      <family val="2"/>
    </font>
    <font>
      <sz val="9"/>
      <color indexed="8"/>
      <name val="Verdana"/>
      <family val="2"/>
      <charset val="1"/>
    </font>
    <font>
      <sz val="8"/>
      <color indexed="8"/>
      <name val="Verdana"/>
      <family val="2"/>
      <charset val="1"/>
    </font>
    <font>
      <b/>
      <sz val="10"/>
      <color indexed="8"/>
      <name val="Verdana"/>
      <family val="2"/>
      <charset val="1"/>
    </font>
    <font>
      <sz val="8"/>
      <color indexed="8"/>
      <name val="Verdana"/>
      <family val="2"/>
    </font>
    <font>
      <b/>
      <sz val="8"/>
      <color indexed="8"/>
      <name val="Verdana"/>
      <family val="2"/>
      <charset val="1"/>
    </font>
    <font>
      <b/>
      <sz val="9"/>
      <color indexed="8"/>
      <name val="Verdana"/>
      <family val="2"/>
      <charset val="1"/>
    </font>
    <font>
      <i/>
      <sz val="8"/>
      <color indexed="8"/>
      <name val="Verdana"/>
      <family val="2"/>
      <charset val="1"/>
    </font>
    <font>
      <sz val="8"/>
      <name val="Verdana"/>
      <family val="2"/>
      <charset val="1"/>
    </font>
    <font>
      <sz val="9"/>
      <color indexed="17"/>
      <name val="Verdana"/>
      <family val="2"/>
      <charset val="1"/>
    </font>
    <font>
      <sz val="9"/>
      <name val="Verdana"/>
      <family val="2"/>
      <charset val="1"/>
    </font>
    <font>
      <i/>
      <sz val="8"/>
      <name val="Verdana"/>
      <family val="2"/>
      <charset val="1"/>
    </font>
    <font>
      <sz val="9"/>
      <color indexed="57"/>
      <name val="Verdana"/>
      <family val="2"/>
      <charset val="1"/>
    </font>
    <font>
      <i/>
      <sz val="8"/>
      <color indexed="17"/>
      <name val="Verdana"/>
      <family val="2"/>
      <charset val="1"/>
    </font>
    <font>
      <sz val="8"/>
      <color indexed="17"/>
      <name val="Verdana"/>
      <family val="2"/>
      <charset val="1"/>
    </font>
    <font>
      <b/>
      <sz val="9"/>
      <color indexed="8"/>
      <name val="Verdana"/>
      <family val="2"/>
    </font>
    <font>
      <sz val="9"/>
      <color indexed="17"/>
      <name val="Verdana"/>
      <family val="2"/>
    </font>
    <font>
      <i/>
      <sz val="8"/>
      <color indexed="8"/>
      <name val="Verdana"/>
      <family val="2"/>
    </font>
    <font>
      <sz val="9"/>
      <name val="Verdana"/>
      <family val="2"/>
    </font>
    <font>
      <i/>
      <sz val="8"/>
      <name val="Verdana"/>
      <family val="2"/>
    </font>
    <font>
      <i/>
      <sz val="8"/>
      <color indexed="17"/>
      <name val="Verdana"/>
      <family val="2"/>
    </font>
    <font>
      <sz val="9"/>
      <color indexed="30"/>
      <name val="Verdana"/>
      <family val="2"/>
    </font>
    <font>
      <i/>
      <sz val="8"/>
      <color indexed="30"/>
      <name val="Verdana"/>
      <family val="2"/>
    </font>
    <font>
      <sz val="8"/>
      <color indexed="30"/>
      <name val="Verdana"/>
      <family val="2"/>
    </font>
    <font>
      <i/>
      <sz val="9"/>
      <color indexed="17"/>
      <name val="Verdana"/>
      <family val="2"/>
    </font>
    <font>
      <sz val="8"/>
      <color indexed="17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11"/>
      <color indexed="62"/>
      <name val="Calibri"/>
      <family val="2"/>
    </font>
    <font>
      <sz val="9"/>
      <color indexed="60"/>
      <name val="Verdana"/>
      <family val="2"/>
    </font>
    <font>
      <u/>
      <sz val="9"/>
      <color indexed="12"/>
      <name val="Verdana"/>
      <family val="2"/>
    </font>
    <font>
      <b/>
      <sz val="8"/>
      <color indexed="8"/>
      <name val="Verdana"/>
      <family val="2"/>
    </font>
    <font>
      <sz val="8"/>
      <color indexed="21"/>
      <name val="Verdana"/>
      <family val="2"/>
    </font>
    <font>
      <i/>
      <sz val="9"/>
      <color indexed="21"/>
      <name val="Verdana"/>
      <family val="2"/>
    </font>
    <font>
      <u/>
      <sz val="8"/>
      <color indexed="12"/>
      <name val="Verdana"/>
      <family val="2"/>
      <charset val="1"/>
    </font>
    <font>
      <sz val="8"/>
      <color indexed="57"/>
      <name val="Verdana"/>
      <family val="2"/>
      <charset val="1"/>
    </font>
    <font>
      <b/>
      <sz val="10"/>
      <name val="Arial"/>
      <family val="2"/>
    </font>
    <font>
      <b/>
      <sz val="10"/>
      <color indexed="8"/>
      <name val="Verdana"/>
      <family val="2"/>
    </font>
    <font>
      <sz val="9"/>
      <color indexed="81"/>
      <name val="Tahoma"/>
      <family val="2"/>
    </font>
    <font>
      <b/>
      <sz val="8"/>
      <name val="Verdana"/>
      <family val="2"/>
      <charset val="1"/>
    </font>
    <font>
      <u/>
      <sz val="8"/>
      <name val="Verdana"/>
      <family val="2"/>
      <charset val="1"/>
    </font>
    <font>
      <b/>
      <sz val="8"/>
      <name val="Verdana"/>
      <family val="2"/>
    </font>
    <font>
      <b/>
      <sz val="8"/>
      <name val="Arial"/>
      <family val="2"/>
    </font>
    <font>
      <sz val="10"/>
      <name val="Verdana"/>
      <family val="2"/>
    </font>
    <font>
      <i/>
      <sz val="8"/>
      <name val="Arial"/>
      <family val="2"/>
    </font>
    <font>
      <sz val="9"/>
      <color rgb="FF00B050"/>
      <name val="Verdana"/>
      <family val="2"/>
      <charset val="1"/>
    </font>
    <font>
      <i/>
      <sz val="8"/>
      <color rgb="FF00B050"/>
      <name val="Verdana"/>
      <family val="2"/>
      <charset val="1"/>
    </font>
    <font>
      <sz val="8"/>
      <color rgb="FF00B050"/>
      <name val="Verdana"/>
      <family val="2"/>
      <charset val="1"/>
    </font>
    <font>
      <sz val="9"/>
      <color rgb="FF00B050"/>
      <name val="Verdana"/>
      <family val="2"/>
    </font>
    <font>
      <i/>
      <sz val="8"/>
      <color rgb="FF00B050"/>
      <name val="Verdana"/>
      <family val="2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0">
    <xf numFmtId="0" fontId="0" fillId="0" borderId="0"/>
    <xf numFmtId="0" fontId="4" fillId="0" borderId="0"/>
    <xf numFmtId="0" fontId="4" fillId="0" borderId="0"/>
    <xf numFmtId="0" fontId="5" fillId="0" borderId="0"/>
    <xf numFmtId="0" fontId="2" fillId="0" borderId="0"/>
    <xf numFmtId="0" fontId="2" fillId="0" borderId="0"/>
    <xf numFmtId="9" fontId="1" fillId="0" borderId="0" applyFill="0" applyBorder="0" applyAlignment="0" applyProtection="0"/>
    <xf numFmtId="0" fontId="3" fillId="0" borderId="0"/>
    <xf numFmtId="164" fontId="4" fillId="0" borderId="0"/>
    <xf numFmtId="164" fontId="4" fillId="0" borderId="0"/>
  </cellStyleXfs>
  <cellXfs count="249">
    <xf numFmtId="0" fontId="0" fillId="0" borderId="0" xfId="0"/>
    <xf numFmtId="0" fontId="5" fillId="0" borderId="0" xfId="3" applyFont="1" applyAlignment="1">
      <alignment vertical="top"/>
    </xf>
    <xf numFmtId="0" fontId="6" fillId="0" borderId="0" xfId="3" applyFont="1" applyAlignment="1">
      <alignment vertical="top"/>
    </xf>
    <xf numFmtId="0" fontId="6" fillId="0" borderId="0" xfId="3" applyFont="1" applyFill="1" applyAlignment="1">
      <alignment vertical="top"/>
    </xf>
    <xf numFmtId="0" fontId="9" fillId="0" borderId="0" xfId="5" applyNumberFormat="1" applyFont="1" applyFill="1" applyBorder="1" applyAlignment="1" applyProtection="1">
      <alignment vertical="top"/>
    </xf>
    <xf numFmtId="0" fontId="4" fillId="0" borderId="0" xfId="1" applyFont="1" applyFill="1"/>
    <xf numFmtId="0" fontId="11" fillId="0" borderId="0" xfId="2" applyFont="1" applyBorder="1"/>
    <xf numFmtId="0" fontId="6" fillId="0" borderId="0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6" fillId="0" borderId="0" xfId="7" applyFont="1" applyAlignment="1">
      <alignment vertical="top"/>
    </xf>
    <xf numFmtId="0" fontId="12" fillId="0" borderId="0" xfId="7" applyFont="1" applyAlignment="1">
      <alignment vertical="top"/>
    </xf>
    <xf numFmtId="14" fontId="6" fillId="0" borderId="0" xfId="3" applyNumberFormat="1" applyFont="1" applyFill="1" applyAlignment="1">
      <alignment vertical="top"/>
    </xf>
    <xf numFmtId="0" fontId="11" fillId="0" borderId="0" xfId="3" applyFont="1" applyBorder="1" applyAlignment="1">
      <alignment vertical="top" wrapText="1"/>
    </xf>
    <xf numFmtId="0" fontId="11" fillId="0" borderId="0" xfId="3" applyFont="1" applyBorder="1" applyAlignment="1">
      <alignment vertical="top"/>
    </xf>
    <xf numFmtId="0" fontId="14" fillId="0" borderId="0" xfId="3" applyFont="1" applyBorder="1" applyAlignment="1">
      <alignment vertical="top"/>
    </xf>
    <xf numFmtId="0" fontId="15" fillId="0" borderId="0" xfId="3" applyFont="1" applyBorder="1" applyAlignment="1">
      <alignment vertical="top"/>
    </xf>
    <xf numFmtId="0" fontId="16" fillId="0" borderId="0" xfId="3" applyFont="1" applyBorder="1" applyAlignment="1">
      <alignment vertical="top"/>
    </xf>
    <xf numFmtId="0" fontId="17" fillId="0" borderId="0" xfId="3" applyFont="1" applyBorder="1" applyAlignment="1">
      <alignment vertical="top"/>
    </xf>
    <xf numFmtId="164" fontId="6" fillId="0" borderId="0" xfId="9" applyFont="1" applyFill="1" applyBorder="1" applyAlignment="1" applyProtection="1">
      <alignment vertical="top"/>
    </xf>
    <xf numFmtId="9" fontId="6" fillId="0" borderId="0" xfId="3" applyNumberFormat="1" applyFont="1" applyFill="1" applyAlignment="1">
      <alignment vertical="top"/>
    </xf>
    <xf numFmtId="0" fontId="14" fillId="0" borderId="1" xfId="7" applyFont="1" applyBorder="1" applyAlignment="1">
      <alignment vertical="top"/>
    </xf>
    <xf numFmtId="0" fontId="12" fillId="0" borderId="0" xfId="7" applyFont="1" applyBorder="1" applyAlignment="1">
      <alignment vertical="top"/>
    </xf>
    <xf numFmtId="0" fontId="12" fillId="0" borderId="0" xfId="7" applyFont="1" applyFill="1" applyAlignment="1">
      <alignment vertical="top"/>
    </xf>
    <xf numFmtId="0" fontId="14" fillId="0" borderId="0" xfId="7" applyFont="1" applyBorder="1" applyAlignment="1">
      <alignment vertical="top"/>
    </xf>
    <xf numFmtId="0" fontId="4" fillId="0" borderId="0" xfId="1" applyFont="1"/>
    <xf numFmtId="15" fontId="6" fillId="0" borderId="0" xfId="3" applyNumberFormat="1" applyFont="1" applyFill="1" applyAlignment="1">
      <alignment vertical="top"/>
    </xf>
    <xf numFmtId="0" fontId="14" fillId="0" borderId="0" xfId="3" applyFont="1" applyFill="1" applyBorder="1" applyAlignment="1">
      <alignment vertical="top"/>
    </xf>
    <xf numFmtId="164" fontId="6" fillId="0" borderId="0" xfId="8" applyFont="1" applyFill="1" applyBorder="1" applyAlignment="1" applyProtection="1">
      <alignment vertical="top"/>
    </xf>
    <xf numFmtId="0" fontId="9" fillId="0" borderId="0" xfId="7" applyFont="1" applyAlignment="1">
      <alignment vertical="top"/>
    </xf>
    <xf numFmtId="0" fontId="6" fillId="0" borderId="0" xfId="3" applyFont="1" applyFill="1" applyBorder="1" applyAlignment="1">
      <alignment vertical="top"/>
    </xf>
    <xf numFmtId="14" fontId="6" fillId="0" borderId="0" xfId="3" applyNumberFormat="1" applyFont="1" applyFill="1" applyBorder="1" applyAlignment="1">
      <alignment vertical="top"/>
    </xf>
    <xf numFmtId="0" fontId="12" fillId="0" borderId="0" xfId="7" applyFont="1" applyFill="1" applyBorder="1" applyAlignment="1">
      <alignment vertical="top"/>
    </xf>
    <xf numFmtId="0" fontId="13" fillId="0" borderId="0" xfId="3" applyFont="1" applyAlignment="1">
      <alignment vertical="top"/>
    </xf>
    <xf numFmtId="0" fontId="18" fillId="0" borderId="0" xfId="7" applyFont="1" applyAlignment="1">
      <alignment vertical="top"/>
    </xf>
    <xf numFmtId="0" fontId="8" fillId="0" borderId="0" xfId="1" applyFont="1" applyFill="1"/>
    <xf numFmtId="0" fontId="19" fillId="0" borderId="0" xfId="1" applyFont="1" applyFill="1"/>
    <xf numFmtId="0" fontId="20" fillId="0" borderId="0" xfId="1" applyFont="1" applyFill="1"/>
    <xf numFmtId="0" fontId="21" fillId="0" borderId="0" xfId="1" applyFont="1" applyFill="1"/>
    <xf numFmtId="0" fontId="0" fillId="0" borderId="0" xfId="0" applyFill="1"/>
    <xf numFmtId="0" fontId="22" fillId="0" borderId="0" xfId="1" applyFont="1" applyFill="1"/>
    <xf numFmtId="0" fontId="20" fillId="0" borderId="0" xfId="2" applyFont="1" applyFill="1" applyBorder="1"/>
    <xf numFmtId="0" fontId="0" fillId="0" borderId="0" xfId="1" applyFont="1" applyFill="1"/>
    <xf numFmtId="0" fontId="4" fillId="0" borderId="0" xfId="1" applyFill="1"/>
    <xf numFmtId="0" fontId="0" fillId="0" borderId="0" xfId="0" applyFont="1" applyFill="1"/>
    <xf numFmtId="0" fontId="4" fillId="0" borderId="0" xfId="0" applyFont="1" applyFill="1"/>
    <xf numFmtId="0" fontId="19" fillId="0" borderId="0" xfId="0" applyFont="1" applyFill="1"/>
    <xf numFmtId="0" fontId="8" fillId="0" borderId="0" xfId="0" applyFont="1" applyFill="1"/>
    <xf numFmtId="0" fontId="21" fillId="0" borderId="0" xfId="0" applyFont="1" applyFill="1"/>
    <xf numFmtId="0" fontId="20" fillId="0" borderId="0" xfId="0" applyFont="1" applyFill="1"/>
    <xf numFmtId="0" fontId="24" fillId="0" borderId="0" xfId="0" applyFont="1" applyFill="1"/>
    <xf numFmtId="0" fontId="22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1" applyFont="1" applyFill="1"/>
    <xf numFmtId="0" fontId="30" fillId="0" borderId="0" xfId="1" applyFont="1" applyFill="1"/>
    <xf numFmtId="0" fontId="8" fillId="0" borderId="0" xfId="1" applyFont="1" applyFill="1" applyAlignment="1">
      <alignment horizontal="left"/>
    </xf>
    <xf numFmtId="0" fontId="21" fillId="0" borderId="0" xfId="2" applyFont="1" applyFill="1" applyBorder="1"/>
    <xf numFmtId="0" fontId="4" fillId="0" borderId="0" xfId="2" applyFont="1" applyFill="1" applyBorder="1"/>
    <xf numFmtId="0" fontId="8" fillId="0" borderId="0" xfId="4" applyNumberFormat="1" applyFont="1" applyFill="1" applyBorder="1" applyAlignment="1" applyProtection="1"/>
    <xf numFmtId="165" fontId="8" fillId="0" borderId="0" xfId="4" applyNumberFormat="1" applyFont="1" applyFill="1" applyBorder="1" applyAlignment="1" applyProtection="1"/>
    <xf numFmtId="165" fontId="8" fillId="0" borderId="0" xfId="1" applyNumberFormat="1" applyFont="1" applyFill="1"/>
    <xf numFmtId="0" fontId="8" fillId="0" borderId="0" xfId="1" applyFont="1" applyFill="1" applyAlignment="1">
      <alignment wrapText="1"/>
    </xf>
    <xf numFmtId="0" fontId="34" fillId="0" borderId="0" xfId="4" applyNumberFormat="1" applyFont="1" applyFill="1" applyBorder="1" applyAlignment="1" applyProtection="1"/>
    <xf numFmtId="0" fontId="4" fillId="0" borderId="0" xfId="1" applyFont="1" applyFill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0" xfId="1" applyFont="1" applyFill="1" applyAlignment="1">
      <alignment horizontal="left" vertical="center"/>
    </xf>
    <xf numFmtId="0" fontId="49" fillId="0" borderId="0" xfId="3" applyFont="1" applyBorder="1" applyAlignment="1">
      <alignment vertical="top"/>
    </xf>
    <xf numFmtId="0" fontId="50" fillId="0" borderId="0" xfId="3" applyFont="1" applyBorder="1" applyAlignment="1">
      <alignment vertical="top"/>
    </xf>
    <xf numFmtId="0" fontId="51" fillId="0" borderId="0" xfId="3" applyFont="1" applyBorder="1" applyAlignment="1">
      <alignment vertical="top"/>
    </xf>
    <xf numFmtId="0" fontId="49" fillId="0" borderId="0" xfId="3" applyFont="1" applyFill="1" applyBorder="1" applyAlignment="1">
      <alignment vertical="top"/>
    </xf>
    <xf numFmtId="0" fontId="6" fillId="0" borderId="0" xfId="3" quotePrefix="1" applyFont="1" applyFill="1" applyAlignment="1">
      <alignment vertical="top"/>
    </xf>
    <xf numFmtId="0" fontId="7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10" fillId="0" borderId="4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49" fillId="0" borderId="6" xfId="3" applyFont="1" applyBorder="1" applyAlignment="1">
      <alignment vertical="top"/>
    </xf>
    <xf numFmtId="0" fontId="50" fillId="0" borderId="6" xfId="3" applyFont="1" applyBorder="1" applyAlignment="1">
      <alignment vertical="top"/>
    </xf>
    <xf numFmtId="0" fontId="5" fillId="0" borderId="0" xfId="3" applyFont="1" applyFill="1" applyAlignment="1">
      <alignment vertical="top"/>
    </xf>
    <xf numFmtId="0" fontId="19" fillId="0" borderId="0" xfId="3" applyFont="1" applyBorder="1" applyAlignment="1">
      <alignment vertical="top"/>
    </xf>
    <xf numFmtId="0" fontId="19" fillId="0" borderId="4" xfId="3" applyFont="1" applyBorder="1" applyAlignment="1">
      <alignment vertical="top"/>
    </xf>
    <xf numFmtId="0" fontId="16" fillId="0" borderId="4" xfId="3" applyFont="1" applyBorder="1" applyAlignment="1">
      <alignment vertical="top"/>
    </xf>
    <xf numFmtId="0" fontId="14" fillId="0" borderId="4" xfId="7" applyFont="1" applyBorder="1" applyAlignment="1">
      <alignment vertical="top"/>
    </xf>
    <xf numFmtId="0" fontId="5" fillId="0" borderId="6" xfId="3" applyFont="1" applyBorder="1" applyAlignment="1">
      <alignment vertical="top"/>
    </xf>
    <xf numFmtId="0" fontId="6" fillId="0" borderId="6" xfId="3" applyFont="1" applyBorder="1" applyAlignment="1">
      <alignment vertical="top"/>
    </xf>
    <xf numFmtId="14" fontId="5" fillId="0" borderId="0" xfId="3" applyNumberFormat="1" applyFont="1" applyFill="1" applyAlignment="1">
      <alignment vertical="top"/>
    </xf>
    <xf numFmtId="164" fontId="5" fillId="0" borderId="0" xfId="9" applyFont="1" applyFill="1" applyBorder="1" applyAlignment="1" applyProtection="1">
      <alignment vertical="top"/>
    </xf>
    <xf numFmtId="9" fontId="5" fillId="0" borderId="0" xfId="3" applyNumberFormat="1" applyFont="1" applyFill="1" applyAlignment="1">
      <alignment vertical="top"/>
    </xf>
    <xf numFmtId="0" fontId="14" fillId="0" borderId="0" xfId="7" applyFont="1" applyFill="1" applyAlignment="1">
      <alignment vertical="top"/>
    </xf>
    <xf numFmtId="15" fontId="5" fillId="0" borderId="0" xfId="3" applyNumberFormat="1" applyFont="1" applyFill="1" applyAlignment="1">
      <alignment vertical="top"/>
    </xf>
    <xf numFmtId="164" fontId="5" fillId="0" borderId="0" xfId="8" applyFont="1" applyFill="1" applyBorder="1" applyAlignment="1" applyProtection="1">
      <alignment vertical="top"/>
    </xf>
    <xf numFmtId="0" fontId="9" fillId="0" borderId="4" xfId="3" applyFont="1" applyBorder="1" applyAlignment="1">
      <alignment vertical="top"/>
    </xf>
    <xf numFmtId="0" fontId="31" fillId="0" borderId="0" xfId="0" applyFont="1"/>
    <xf numFmtId="0" fontId="6" fillId="0" borderId="0" xfId="3" applyFont="1" applyBorder="1" applyAlignment="1">
      <alignment horizontal="center" vertical="top"/>
    </xf>
    <xf numFmtId="0" fontId="19" fillId="0" borderId="0" xfId="7" applyFont="1" applyAlignment="1">
      <alignment vertical="top"/>
    </xf>
    <xf numFmtId="0" fontId="19" fillId="0" borderId="0" xfId="3" applyFont="1" applyAlignment="1">
      <alignment vertical="top"/>
    </xf>
    <xf numFmtId="0" fontId="52" fillId="0" borderId="0" xfId="2" applyFont="1" applyFill="1" applyBorder="1"/>
    <xf numFmtId="0" fontId="53" fillId="0" borderId="0" xfId="2" applyFont="1" applyFill="1" applyBorder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11" fillId="0" borderId="0" xfId="3" applyFont="1" applyBorder="1" applyAlignment="1">
      <alignment horizontal="center" vertical="top" wrapText="1"/>
    </xf>
    <xf numFmtId="0" fontId="11" fillId="0" borderId="0" xfId="3" applyFont="1" applyBorder="1" applyAlignment="1">
      <alignment horizontal="center" vertical="top"/>
    </xf>
    <xf numFmtId="0" fontId="15" fillId="0" borderId="0" xfId="3" applyFont="1" applyBorder="1" applyAlignment="1">
      <alignment horizontal="center" vertical="top"/>
    </xf>
    <xf numFmtId="0" fontId="17" fillId="0" borderId="0" xfId="3" applyFont="1" applyBorder="1" applyAlignment="1">
      <alignment horizontal="center" vertical="top"/>
    </xf>
    <xf numFmtId="0" fontId="39" fillId="0" borderId="0" xfId="3" applyFont="1" applyBorder="1" applyAlignment="1">
      <alignment horizontal="center" vertical="top"/>
    </xf>
    <xf numFmtId="0" fontId="12" fillId="0" borderId="0" xfId="7" applyFont="1" applyBorder="1" applyAlignment="1">
      <alignment horizontal="center" vertical="top"/>
    </xf>
    <xf numFmtId="0" fontId="12" fillId="0" borderId="7" xfId="1" applyFont="1" applyFill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0" fontId="6" fillId="0" borderId="0" xfId="3" applyFont="1" applyAlignment="1">
      <alignment horizontal="center" vertical="top"/>
    </xf>
    <xf numFmtId="0" fontId="6" fillId="0" borderId="0" xfId="3" applyFont="1" applyFill="1" applyAlignment="1">
      <alignment horizontal="center" vertical="top"/>
    </xf>
    <xf numFmtId="0" fontId="17" fillId="0" borderId="6" xfId="3" applyFont="1" applyBorder="1" applyAlignment="1">
      <alignment vertical="top"/>
    </xf>
    <xf numFmtId="0" fontId="12" fillId="0" borderId="0" xfId="1" applyFont="1" applyFill="1" applyBorder="1" applyAlignment="1">
      <alignment vertical="top"/>
    </xf>
    <xf numFmtId="0" fontId="9" fillId="0" borderId="0" xfId="3" applyFont="1" applyFill="1" applyBorder="1" applyAlignment="1">
      <alignment horizontal="center" vertical="top"/>
    </xf>
    <xf numFmtId="0" fontId="6" fillId="0" borderId="0" xfId="3" applyFont="1" applyFill="1" applyBorder="1" applyAlignment="1">
      <alignment horizontal="center" vertical="top"/>
    </xf>
    <xf numFmtId="0" fontId="38" fillId="0" borderId="0" xfId="4" applyNumberFormat="1" applyFont="1" applyFill="1" applyBorder="1" applyAlignment="1" applyProtection="1">
      <alignment horizontal="center" vertical="top"/>
    </xf>
    <xf numFmtId="0" fontId="12" fillId="0" borderId="0" xfId="1" applyFont="1" applyFill="1" applyBorder="1" applyAlignment="1">
      <alignment horizontal="center" vertical="top"/>
    </xf>
    <xf numFmtId="0" fontId="10" fillId="0" borderId="3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 applyAlignment="1">
      <alignment vertical="top"/>
    </xf>
    <xf numFmtId="0" fontId="40" fillId="0" borderId="0" xfId="0" applyFont="1"/>
    <xf numFmtId="0" fontId="9" fillId="0" borderId="0" xfId="4" applyFont="1" applyFill="1" applyBorder="1"/>
    <xf numFmtId="0" fontId="38" fillId="0" borderId="0" xfId="4" applyNumberFormat="1" applyFont="1" applyFill="1" applyBorder="1" applyAlignment="1" applyProtection="1">
      <alignment vertical="top"/>
    </xf>
    <xf numFmtId="0" fontId="9" fillId="0" borderId="0" xfId="3" applyFont="1" applyFill="1" applyAlignment="1">
      <alignment vertical="top"/>
    </xf>
    <xf numFmtId="0" fontId="9" fillId="0" borderId="0" xfId="1" applyFont="1" applyFill="1"/>
    <xf numFmtId="0" fontId="35" fillId="0" borderId="0" xfId="1" applyFont="1" applyFill="1"/>
    <xf numFmtId="0" fontId="35" fillId="0" borderId="0" xfId="4" applyNumberFormat="1" applyFont="1" applyFill="1" applyBorder="1" applyAlignment="1" applyProtection="1"/>
    <xf numFmtId="0" fontId="19" fillId="0" borderId="0" xfId="1" applyFont="1" applyFill="1" applyAlignment="1">
      <alignment horizontal="center"/>
    </xf>
    <xf numFmtId="0" fontId="8" fillId="0" borderId="0" xfId="1" applyFont="1" applyFill="1" applyAlignment="1">
      <alignment horizontal="left" vertical="top" wrapText="1"/>
    </xf>
    <xf numFmtId="0" fontId="8" fillId="0" borderId="0" xfId="1" quotePrefix="1" applyFont="1" applyFill="1"/>
    <xf numFmtId="164" fontId="8" fillId="0" borderId="0" xfId="8" applyFont="1"/>
    <xf numFmtId="14" fontId="8" fillId="0" borderId="0" xfId="1" applyNumberFormat="1" applyFont="1" applyFill="1"/>
    <xf numFmtId="15" fontId="8" fillId="0" borderId="0" xfId="1" applyNumberFormat="1" applyFont="1" applyFill="1"/>
    <xf numFmtId="0" fontId="41" fillId="0" borderId="2" xfId="1" applyFont="1" applyFill="1" applyBorder="1"/>
    <xf numFmtId="0" fontId="19" fillId="0" borderId="3" xfId="1" applyFont="1" applyFill="1" applyBorder="1"/>
    <xf numFmtId="0" fontId="35" fillId="0" borderId="3" xfId="1" applyFont="1" applyFill="1" applyBorder="1"/>
    <xf numFmtId="0" fontId="35" fillId="0" borderId="8" xfId="4" applyNumberFormat="1" applyFont="1" applyFill="1" applyBorder="1" applyAlignment="1" applyProtection="1"/>
    <xf numFmtId="0" fontId="4" fillId="0" borderId="4" xfId="1" applyFont="1" applyFill="1" applyBorder="1"/>
    <xf numFmtId="0" fontId="19" fillId="0" borderId="4" xfId="1" applyFont="1" applyFill="1" applyBorder="1"/>
    <xf numFmtId="0" fontId="4" fillId="0" borderId="0" xfId="1" applyFont="1" applyFill="1" applyBorder="1"/>
    <xf numFmtId="0" fontId="8" fillId="0" borderId="0" xfId="1" applyFont="1" applyFill="1" applyBorder="1"/>
    <xf numFmtId="0" fontId="8" fillId="0" borderId="7" xfId="1" applyFont="1" applyFill="1" applyBorder="1"/>
    <xf numFmtId="0" fontId="25" fillId="0" borderId="0" xfId="1" applyFont="1" applyFill="1" applyBorder="1"/>
    <xf numFmtId="0" fontId="8" fillId="0" borderId="7" xfId="4" applyNumberFormat="1" applyFont="1" applyFill="1" applyBorder="1" applyAlignment="1" applyProtection="1"/>
    <xf numFmtId="0" fontId="21" fillId="0" borderId="0" xfId="1" applyFont="1" applyFill="1" applyBorder="1"/>
    <xf numFmtId="0" fontId="52" fillId="0" borderId="0" xfId="1" applyFont="1" applyFill="1" applyBorder="1"/>
    <xf numFmtId="0" fontId="22" fillId="0" borderId="0" xfId="1" applyFont="1" applyFill="1" applyBorder="1"/>
    <xf numFmtId="0" fontId="23" fillId="0" borderId="0" xfId="1" applyFont="1" applyFill="1" applyBorder="1"/>
    <xf numFmtId="0" fontId="53" fillId="0" borderId="0" xfId="1" applyFont="1" applyFill="1" applyBorder="1"/>
    <xf numFmtId="0" fontId="54" fillId="0" borderId="0" xfId="1" applyFont="1" applyFill="1" applyBorder="1"/>
    <xf numFmtId="0" fontId="26" fillId="0" borderId="0" xfId="1" applyFont="1" applyFill="1" applyBorder="1"/>
    <xf numFmtId="0" fontId="4" fillId="0" borderId="4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7" xfId="1" applyFont="1" applyFill="1" applyBorder="1" applyAlignment="1">
      <alignment vertical="center"/>
    </xf>
    <xf numFmtId="0" fontId="25" fillId="0" borderId="4" xfId="1" applyFont="1" applyFill="1" applyBorder="1"/>
    <xf numFmtId="0" fontId="4" fillId="0" borderId="5" xfId="1" applyFont="1" applyFill="1" applyBorder="1"/>
    <xf numFmtId="0" fontId="25" fillId="0" borderId="6" xfId="1" applyFont="1" applyFill="1" applyBorder="1"/>
    <xf numFmtId="0" fontId="8" fillId="0" borderId="6" xfId="1" applyFont="1" applyFill="1" applyBorder="1"/>
    <xf numFmtId="0" fontId="8" fillId="0" borderId="9" xfId="1" applyFont="1" applyFill="1" applyBorder="1"/>
    <xf numFmtId="0" fontId="4" fillId="0" borderId="4" xfId="1" applyFont="1" applyFill="1" applyBorder="1" applyAlignment="1">
      <alignment horizontal="left" vertical="top"/>
    </xf>
    <xf numFmtId="0" fontId="25" fillId="0" borderId="0" xfId="1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left" vertical="top"/>
    </xf>
    <xf numFmtId="0" fontId="8" fillId="0" borderId="7" xfId="1" applyFont="1" applyFill="1" applyBorder="1" applyAlignment="1">
      <alignment horizontal="left" vertical="top"/>
    </xf>
    <xf numFmtId="0" fontId="4" fillId="0" borderId="0" xfId="1" applyFont="1" applyFill="1" applyAlignment="1">
      <alignment horizontal="left" vertical="top"/>
    </xf>
    <xf numFmtId="0" fontId="19" fillId="0" borderId="0" xfId="1" applyFont="1" applyFill="1" applyAlignment="1">
      <alignment vertical="center"/>
    </xf>
    <xf numFmtId="0" fontId="35" fillId="0" borderId="0" xfId="1" applyFont="1" applyFill="1" applyAlignment="1">
      <alignment vertical="center"/>
    </xf>
    <xf numFmtId="0" fontId="35" fillId="0" borderId="0" xfId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14" fontId="8" fillId="0" borderId="0" xfId="1" applyNumberFormat="1" applyFont="1" applyFill="1" applyAlignment="1">
      <alignment vertical="center"/>
    </xf>
    <xf numFmtId="14" fontId="8" fillId="0" borderId="0" xfId="1" applyNumberFormat="1" applyFont="1" applyFill="1" applyAlignment="1">
      <alignment horizontal="left" vertical="center"/>
    </xf>
    <xf numFmtId="0" fontId="8" fillId="0" borderId="0" xfId="1" quotePrefix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164" fontId="8" fillId="0" borderId="0" xfId="8" applyFont="1" applyAlignment="1">
      <alignment horizontal="left" vertical="center"/>
    </xf>
    <xf numFmtId="0" fontId="8" fillId="0" borderId="0" xfId="1" quotePrefix="1" applyFont="1" applyFill="1" applyAlignment="1">
      <alignment vertical="center"/>
    </xf>
    <xf numFmtId="9" fontId="30" fillId="0" borderId="0" xfId="6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0" fillId="0" borderId="0" xfId="0" applyFont="1" applyFill="1" applyAlignment="1">
      <alignment vertical="center"/>
    </xf>
    <xf numFmtId="9" fontId="30" fillId="0" borderId="0" xfId="6" applyFont="1" applyFill="1"/>
    <xf numFmtId="0" fontId="8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9" fontId="8" fillId="0" borderId="0" xfId="1" applyNumberFormat="1" applyFont="1" applyFill="1" applyAlignment="1">
      <alignment horizontal="left" vertical="center"/>
    </xf>
    <xf numFmtId="0" fontId="41" fillId="0" borderId="2" xfId="1" applyFont="1" applyFill="1" applyBorder="1" applyAlignment="1">
      <alignment vertical="center"/>
    </xf>
    <xf numFmtId="0" fontId="19" fillId="0" borderId="3" xfId="1" applyFont="1" applyFill="1" applyBorder="1" applyAlignment="1">
      <alignment vertical="center"/>
    </xf>
    <xf numFmtId="0" fontId="35" fillId="0" borderId="3" xfId="1" applyFont="1" applyFill="1" applyBorder="1" applyAlignment="1">
      <alignment vertical="center"/>
    </xf>
    <xf numFmtId="0" fontId="35" fillId="0" borderId="8" xfId="1" applyFont="1" applyFill="1" applyBorder="1" applyAlignment="1">
      <alignment vertical="center"/>
    </xf>
    <xf numFmtId="0" fontId="52" fillId="0" borderId="4" xfId="1" applyFont="1" applyFill="1" applyBorder="1"/>
    <xf numFmtId="0" fontId="0" fillId="0" borderId="4" xfId="0" applyFill="1" applyBorder="1"/>
    <xf numFmtId="0" fontId="31" fillId="0" borderId="0" xfId="0" applyFont="1" applyFill="1" applyBorder="1"/>
    <xf numFmtId="0" fontId="30" fillId="0" borderId="7" xfId="0" applyFont="1" applyFill="1" applyBorder="1"/>
    <xf numFmtId="0" fontId="0" fillId="0" borderId="0" xfId="0" applyFill="1" applyBorder="1"/>
    <xf numFmtId="0" fontId="52" fillId="0" borderId="6" xfId="1" applyFont="1" applyFill="1" applyBorder="1"/>
    <xf numFmtId="0" fontId="54" fillId="0" borderId="6" xfId="1" applyFont="1" applyFill="1" applyBorder="1"/>
    <xf numFmtId="0" fontId="9" fillId="0" borderId="3" xfId="3" applyFont="1" applyBorder="1" applyAlignment="1">
      <alignment horizontal="center" vertical="top"/>
    </xf>
    <xf numFmtId="0" fontId="43" fillId="0" borderId="8" xfId="3" applyFont="1" applyFill="1" applyBorder="1" applyAlignment="1">
      <alignment horizontal="center" vertical="top"/>
    </xf>
    <xf numFmtId="0" fontId="12" fillId="0" borderId="7" xfId="3" applyFont="1" applyFill="1" applyBorder="1" applyAlignment="1">
      <alignment horizontal="center" vertical="top"/>
    </xf>
    <xf numFmtId="0" fontId="44" fillId="0" borderId="7" xfId="4" applyNumberFormat="1" applyFont="1" applyFill="1" applyBorder="1" applyAlignment="1" applyProtection="1">
      <alignment horizontal="center" vertical="top"/>
    </xf>
    <xf numFmtId="0" fontId="44" fillId="0" borderId="9" xfId="4" applyNumberFormat="1" applyFont="1" applyFill="1" applyBorder="1" applyAlignment="1" applyProtection="1">
      <alignment horizontal="center" vertical="top"/>
    </xf>
    <xf numFmtId="0" fontId="12" fillId="0" borderId="0" xfId="3" applyFont="1" applyFill="1" applyAlignment="1">
      <alignment horizontal="center" vertical="top"/>
    </xf>
    <xf numFmtId="0" fontId="43" fillId="0" borderId="8" xfId="4" applyFont="1" applyFill="1" applyBorder="1" applyAlignment="1">
      <alignment horizontal="center" vertical="top"/>
    </xf>
    <xf numFmtId="0" fontId="12" fillId="0" borderId="0" xfId="3" applyFont="1" applyFill="1" applyBorder="1" applyAlignment="1">
      <alignment horizontal="center" vertical="top"/>
    </xf>
    <xf numFmtId="14" fontId="8" fillId="0" borderId="0" xfId="1" quotePrefix="1" applyNumberFormat="1" applyFont="1" applyFill="1"/>
    <xf numFmtId="0" fontId="35" fillId="0" borderId="3" xfId="4" applyFont="1" applyFill="1" applyBorder="1"/>
    <xf numFmtId="0" fontId="35" fillId="0" borderId="8" xfId="4" applyFont="1" applyFill="1" applyBorder="1"/>
    <xf numFmtId="0" fontId="20" fillId="0" borderId="0" xfId="1" applyFont="1" applyFill="1" applyBorder="1"/>
    <xf numFmtId="0" fontId="24" fillId="0" borderId="0" xfId="1" applyFont="1" applyFill="1" applyBorder="1"/>
    <xf numFmtId="0" fontId="20" fillId="0" borderId="4" xfId="1" applyFont="1" applyFill="1" applyBorder="1"/>
    <xf numFmtId="0" fontId="20" fillId="0" borderId="6" xfId="1" applyFont="1" applyFill="1" applyBorder="1"/>
    <xf numFmtId="0" fontId="8" fillId="0" borderId="0" xfId="1" applyFont="1" applyFill="1" applyAlignment="1"/>
    <xf numFmtId="14" fontId="8" fillId="0" borderId="0" xfId="1" applyNumberFormat="1" applyFont="1" applyFill="1" applyAlignment="1"/>
    <xf numFmtId="164" fontId="8" fillId="0" borderId="0" xfId="8" applyFont="1" applyAlignment="1"/>
    <xf numFmtId="0" fontId="35" fillId="0" borderId="8" xfId="1" applyFont="1" applyFill="1" applyBorder="1"/>
    <xf numFmtId="0" fontId="8" fillId="0" borderId="7" xfId="4" applyFont="1" applyFill="1" applyBorder="1"/>
    <xf numFmtId="0" fontId="53" fillId="0" borderId="6" xfId="1" applyFont="1" applyFill="1" applyBorder="1"/>
    <xf numFmtId="0" fontId="19" fillId="0" borderId="0" xfId="1" applyFont="1" applyFill="1" applyAlignment="1"/>
    <xf numFmtId="0" fontId="35" fillId="0" borderId="0" xfId="1" applyFont="1" applyFill="1" applyAlignment="1"/>
    <xf numFmtId="0" fontId="35" fillId="0" borderId="0" xfId="1" applyFont="1" applyFill="1" applyAlignment="1">
      <alignment horizontal="left"/>
    </xf>
    <xf numFmtId="0" fontId="41" fillId="0" borderId="2" xfId="1" applyFont="1" applyFill="1" applyBorder="1" applyAlignment="1"/>
    <xf numFmtId="0" fontId="19" fillId="0" borderId="3" xfId="1" applyFont="1" applyFill="1" applyBorder="1" applyAlignment="1"/>
    <xf numFmtId="0" fontId="35" fillId="0" borderId="3" xfId="1" applyFont="1" applyFill="1" applyBorder="1" applyAlignment="1"/>
    <xf numFmtId="0" fontId="35" fillId="0" borderId="8" xfId="1" applyFont="1" applyFill="1" applyBorder="1" applyAlignment="1"/>
    <xf numFmtId="0" fontId="26" fillId="0" borderId="6" xfId="1" applyFont="1" applyFill="1" applyBorder="1"/>
    <xf numFmtId="0" fontId="21" fillId="0" borderId="6" xfId="1" applyFont="1" applyFill="1" applyBorder="1"/>
    <xf numFmtId="0" fontId="4" fillId="0" borderId="6" xfId="1" applyFont="1" applyFill="1" applyBorder="1"/>
    <xf numFmtId="0" fontId="40" fillId="0" borderId="0" xfId="0" applyFont="1" applyFill="1"/>
    <xf numFmtId="0" fontId="45" fillId="0" borderId="0" xfId="1" applyFont="1" applyFill="1"/>
    <xf numFmtId="0" fontId="46" fillId="0" borderId="0" xfId="0" applyFont="1"/>
    <xf numFmtId="0" fontId="47" fillId="0" borderId="0" xfId="0" applyFont="1" applyFill="1"/>
    <xf numFmtId="21" fontId="8" fillId="0" borderId="0" xfId="1" applyNumberFormat="1" applyFont="1" applyFill="1"/>
    <xf numFmtId="0" fontId="4" fillId="0" borderId="3" xfId="1" applyFont="1" applyFill="1" applyBorder="1"/>
    <xf numFmtId="0" fontId="21" fillId="0" borderId="3" xfId="1" applyFont="1" applyFill="1" applyBorder="1"/>
    <xf numFmtId="0" fontId="8" fillId="0" borderId="8" xfId="1" applyFont="1" applyFill="1" applyBorder="1"/>
    <xf numFmtId="0" fontId="22" fillId="0" borderId="4" xfId="1" applyFont="1" applyFill="1" applyBorder="1"/>
    <xf numFmtId="0" fontId="30" fillId="0" borderId="7" xfId="1" applyFont="1" applyFill="1" applyBorder="1"/>
    <xf numFmtId="0" fontId="21" fillId="0" borderId="6" xfId="2" applyFont="1" applyFill="1" applyBorder="1"/>
    <xf numFmtId="0" fontId="19" fillId="0" borderId="2" xfId="1" applyFont="1" applyFill="1" applyBorder="1"/>
    <xf numFmtId="0" fontId="8" fillId="0" borderId="3" xfId="1" applyFont="1" applyFill="1" applyBorder="1"/>
    <xf numFmtId="0" fontId="48" fillId="0" borderId="0" xfId="0" applyFont="1" applyFill="1" applyBorder="1"/>
    <xf numFmtId="0" fontId="22" fillId="0" borderId="0" xfId="1" applyFont="1" applyFill="1" applyBorder="1" applyAlignment="1">
      <alignment vertical="center"/>
    </xf>
    <xf numFmtId="0" fontId="23" fillId="0" borderId="0" xfId="1" applyFont="1" applyFill="1" applyBorder="1" applyAlignment="1">
      <alignment vertical="center"/>
    </xf>
    <xf numFmtId="0" fontId="2" fillId="0" borderId="10" xfId="4" applyNumberFormat="1" applyFill="1" applyBorder="1" applyAlignment="1" applyProtection="1">
      <alignment vertical="top"/>
    </xf>
    <xf numFmtId="0" fontId="13" fillId="0" borderId="0" xfId="3" applyFont="1" applyFill="1" applyBorder="1" applyAlignment="1">
      <alignment vertical="top"/>
    </xf>
    <xf numFmtId="0" fontId="2" fillId="0" borderId="0" xfId="4"/>
    <xf numFmtId="0" fontId="24" fillId="0" borderId="0" xfId="1" applyFont="1" applyFill="1"/>
    <xf numFmtId="0" fontId="23" fillId="0" borderId="0" xfId="1" applyFont="1" applyFill="1"/>
    <xf numFmtId="0" fontId="21" fillId="0" borderId="0" xfId="1" applyFont="1" applyFill="1" applyBorder="1" applyAlignment="1">
      <alignment horizontal="left" vertical="top" wrapText="1"/>
    </xf>
    <xf numFmtId="0" fontId="21" fillId="0" borderId="7" xfId="1" applyFont="1" applyFill="1" applyBorder="1" applyAlignment="1">
      <alignment horizontal="left" vertical="top" wrapText="1"/>
    </xf>
    <xf numFmtId="0" fontId="22" fillId="0" borderId="0" xfId="0" applyFont="1"/>
  </cellXfs>
  <cellStyles count="10">
    <cellStyle name="Excel Built-in Normal" xfId="1"/>
    <cellStyle name="Excel Built-in Normal 1" xfId="2"/>
    <cellStyle name="Excel Built-in Normal_voorbeeldberichten" xfId="3"/>
    <cellStyle name="Hyperlink" xfId="4" builtinId="8"/>
    <cellStyle name="Hyperlink 2_voorbeeldberichten" xfId="5"/>
    <cellStyle name="Procent" xfId="6" builtinId="5"/>
    <cellStyle name="Standaard" xfId="0" builtinId="0"/>
    <cellStyle name="Standaard 2" xfId="7"/>
    <cellStyle name="Valuta" xfId="8" builtinId="4"/>
    <cellStyle name="Valuta 2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B05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C:\Users\rhocon\AppData\Local\Microsoft\Windows\Temporary%20Internet%20Files\Content.Outlook\Microsoft\Windows\Temporary%20Internet%20Files\Content.Outlook\M6TZNGPA\Mapping_eFactuur_NL_v1.1_2010-09-15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C:\Users\rhocon\AppData\Local\Microsoft\Windows\Temporary%20Internet%20Files\Content.Outlook\OMWYH4SD\RequestForQuotation.xl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C:\Users\rhocon\AppData\Local\Microsoft\Windows\Temporary%20Internet%20Files\Content.Outlook\OMWYH4SD\RequestForQuotation.xls" TargetMode="External"/><Relationship Id="rId1" Type="http://schemas.openxmlformats.org/officeDocument/2006/relationships/hyperlink" Target="file:///C:\Users\rhocon\AppData\Local\Microsoft\Windows\Temporary%20Internet%20Files\Content.Outlook\OMWYH4SD\Mapping_StaffingOrder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zoomScaleNormal="100" workbookViewId="0"/>
  </sheetViews>
  <sheetFormatPr defaultColWidth="8.140625" defaultRowHeight="11.25" customHeight="1"/>
  <cols>
    <col min="1" max="1" width="1.28515625" style="1" customWidth="1"/>
    <col min="2" max="2" width="26.42578125" style="1" customWidth="1"/>
    <col min="3" max="3" width="42.85546875" style="2" customWidth="1"/>
    <col min="4" max="4" width="12.42578125" style="110" customWidth="1"/>
    <col min="5" max="5" width="9.28515625" style="199" customWidth="1"/>
    <col min="6" max="6" width="2" style="111" customWidth="1"/>
    <col min="7" max="7" width="18" style="3" customWidth="1"/>
    <col min="8" max="8" width="2" style="80" customWidth="1"/>
    <col min="9" max="9" width="2" style="3" customWidth="1"/>
    <col min="10" max="10" width="97.7109375" style="2" customWidth="1"/>
    <col min="11" max="243" width="8.42578125" style="2" customWidth="1"/>
    <col min="244" max="244" width="1.85546875" style="2" customWidth="1"/>
    <col min="245" max="245" width="17.42578125" style="2" customWidth="1"/>
    <col min="246" max="246" width="33.85546875" style="2" customWidth="1"/>
    <col min="247" max="249" width="8.140625" style="2"/>
    <col min="250" max="250" width="8.42578125" style="2" customWidth="1"/>
    <col min="251" max="251" width="54.7109375" style="2" customWidth="1"/>
    <col min="252" max="252" width="82.85546875" style="2" customWidth="1"/>
    <col min="253" max="16384" width="8.140625" style="2"/>
  </cols>
  <sheetData>
    <row r="1" spans="1:13" ht="12.75">
      <c r="A1" s="73" t="s">
        <v>632</v>
      </c>
      <c r="B1" s="74"/>
      <c r="C1" s="74"/>
      <c r="D1" s="194" t="s">
        <v>631</v>
      </c>
      <c r="E1" s="195" t="s">
        <v>630</v>
      </c>
      <c r="F1" s="114"/>
      <c r="G1" s="124" t="s">
        <v>644</v>
      </c>
      <c r="H1" s="124"/>
      <c r="I1" s="124"/>
      <c r="J1" s="125" t="s">
        <v>1</v>
      </c>
    </row>
    <row r="2" spans="1:13" ht="11.25" customHeight="1">
      <c r="A2" s="93"/>
      <c r="B2" s="6" t="s">
        <v>634</v>
      </c>
      <c r="C2" s="7"/>
      <c r="D2" s="95"/>
      <c r="E2" s="196"/>
      <c r="F2" s="115"/>
      <c r="H2" s="3"/>
    </row>
    <row r="3" spans="1:13" s="97" customFormat="1" ht="11.25" customHeight="1">
      <c r="A3" s="82" t="s">
        <v>2</v>
      </c>
      <c r="B3" s="81"/>
      <c r="C3" s="81"/>
      <c r="D3" s="81"/>
      <c r="E3" s="196"/>
      <c r="J3" s="35"/>
      <c r="K3" s="96"/>
      <c r="L3" s="96"/>
      <c r="M3" s="96"/>
    </row>
    <row r="4" spans="1:13" ht="11.25" customHeight="1">
      <c r="A4" s="76" t="s">
        <v>3</v>
      </c>
      <c r="B4" s="8"/>
      <c r="C4" s="7"/>
      <c r="D4" s="95"/>
      <c r="E4" s="197" t="str">
        <f>HYPERLINK("Commitment.xls#doc_Commitment","[UBL_NL]")</f>
        <v>[UBL_NL]</v>
      </c>
      <c r="F4" s="116"/>
      <c r="J4" s="5" t="s">
        <v>4</v>
      </c>
      <c r="K4" s="9"/>
      <c r="L4" s="9"/>
      <c r="M4" s="10"/>
    </row>
    <row r="5" spans="1:13" ht="11.25" customHeight="1">
      <c r="A5" s="76"/>
      <c r="B5" s="8" t="s">
        <v>5</v>
      </c>
      <c r="C5" s="7"/>
      <c r="D5" s="95"/>
      <c r="E5" s="197" t="str">
        <f>HYPERLINK("Commitment.xls#doc_Commitment_cbc_IssueDate","[UBL_NL]")</f>
        <v>[UBL_NL]</v>
      </c>
      <c r="F5" s="116"/>
      <c r="G5" s="11">
        <v>40564</v>
      </c>
      <c r="H5" s="87"/>
      <c r="I5" s="11"/>
      <c r="J5" s="5" t="s">
        <v>6</v>
      </c>
      <c r="K5" s="9"/>
      <c r="L5" s="9"/>
      <c r="M5" s="10"/>
    </row>
    <row r="6" spans="1:13" ht="24" customHeight="1">
      <c r="A6" s="76"/>
      <c r="B6" s="8" t="s">
        <v>633</v>
      </c>
      <c r="C6" s="12" t="s">
        <v>8</v>
      </c>
      <c r="D6" s="102"/>
      <c r="E6" s="197" t="str">
        <f>HYPERLINK("Commitment.xls#doc_Commitment_cbc_ID","[UBL_NL]")</f>
        <v>[UBL_NL]</v>
      </c>
      <c r="F6" s="116"/>
      <c r="G6" s="3">
        <v>4500511124</v>
      </c>
      <c r="J6" s="5" t="s">
        <v>9</v>
      </c>
      <c r="K6" s="9"/>
      <c r="L6" s="9"/>
      <c r="M6" s="10"/>
    </row>
    <row r="7" spans="1:13" ht="11.25" customHeight="1">
      <c r="A7" s="76"/>
      <c r="B7" s="68" t="s">
        <v>10</v>
      </c>
      <c r="C7" s="13"/>
      <c r="D7" s="103"/>
      <c r="E7" s="197" t="str">
        <f>HYPERLINK("Commitment.xls#doc_Commitment_cbc_Note","[UBL_NL]")</f>
        <v>[UBL_NL]</v>
      </c>
      <c r="F7" s="116"/>
      <c r="G7" s="3" t="s">
        <v>609</v>
      </c>
      <c r="J7" s="5" t="s">
        <v>11</v>
      </c>
      <c r="K7" s="10"/>
      <c r="L7" s="10"/>
      <c r="M7" s="10"/>
    </row>
    <row r="8" spans="1:13" ht="11.25" customHeight="1">
      <c r="A8" s="76"/>
      <c r="B8" s="14" t="s">
        <v>12</v>
      </c>
      <c r="C8" s="13" t="s">
        <v>616</v>
      </c>
      <c r="D8" s="103"/>
      <c r="E8" s="197" t="str">
        <f>HYPERLINK("Commitment.xls#doc_Commitment_cac_OrderDocumentReference_cbc_ID","[UBL_NL]")</f>
        <v>[UBL_NL]</v>
      </c>
      <c r="F8" s="116"/>
      <c r="G8" s="3">
        <v>67150556885</v>
      </c>
      <c r="J8" s="5" t="s">
        <v>13</v>
      </c>
      <c r="K8" s="10"/>
      <c r="L8" s="10"/>
      <c r="M8" s="10"/>
    </row>
    <row r="9" spans="1:13" ht="11.25" customHeight="1">
      <c r="A9" s="76"/>
      <c r="B9" s="14" t="s">
        <v>14</v>
      </c>
      <c r="C9" s="15" t="s">
        <v>15</v>
      </c>
      <c r="D9" s="104"/>
      <c r="E9" s="197" t="str">
        <f>HYPERLINK("Commitment.xls#doc_Commitment_cbc_DocumentCurrencyCode","[UBL_NL]")</f>
        <v>[UBL_NL]</v>
      </c>
      <c r="F9" s="116"/>
      <c r="G9" s="3" t="s">
        <v>805</v>
      </c>
      <c r="J9" s="5" t="s">
        <v>16</v>
      </c>
      <c r="K9" s="9"/>
      <c r="L9" s="9"/>
      <c r="M9" s="10"/>
    </row>
    <row r="10" spans="1:13" ht="11.25" customHeight="1">
      <c r="A10" s="76"/>
      <c r="B10" s="8" t="s">
        <v>17</v>
      </c>
      <c r="C10" s="13" t="s">
        <v>617</v>
      </c>
      <c r="D10" s="103"/>
      <c r="E10" s="197" t="str">
        <f>HYPERLINK("Commitment.xls#doc_Commitment_cbc_ActionCode","[UBL_NL]")</f>
        <v>[UBL_NL]</v>
      </c>
      <c r="F10" s="116"/>
      <c r="G10" s="3" t="s">
        <v>611</v>
      </c>
      <c r="J10" s="5" t="s">
        <v>18</v>
      </c>
      <c r="K10" s="9"/>
      <c r="L10" s="9"/>
      <c r="M10" s="10"/>
    </row>
    <row r="11" spans="1:13" ht="11.25" customHeight="1">
      <c r="A11" s="76" t="s">
        <v>19</v>
      </c>
      <c r="B11" s="16"/>
      <c r="C11" s="69" t="s">
        <v>618</v>
      </c>
      <c r="D11" s="105"/>
      <c r="E11" s="197" t="str">
        <f>HYPERLINK("Commitment.xls#doc_Commitment_cac_SellerSupplierParty","[UBL_NL]")</f>
        <v>[UBL_NL]</v>
      </c>
      <c r="F11" s="116"/>
      <c r="J11" s="5" t="s">
        <v>20</v>
      </c>
      <c r="K11" s="9"/>
      <c r="L11" s="9"/>
      <c r="M11" s="10"/>
    </row>
    <row r="12" spans="1:13" ht="11.25" customHeight="1">
      <c r="A12" s="76"/>
      <c r="B12" s="16" t="s">
        <v>780</v>
      </c>
      <c r="C12" s="17" t="s">
        <v>781</v>
      </c>
      <c r="D12" s="17"/>
      <c r="E12" s="241" t="str">
        <f>HYPERLINK("Commitment.xls#doc_Commitment_cac_SellerSupplierParty_cbc_CustomerAssignedAccountID","[UBL_NL]")</f>
        <v>[UBL_NL]</v>
      </c>
      <c r="F12" s="116"/>
      <c r="H12" s="3"/>
      <c r="I12" s="2"/>
      <c r="J12" s="5" t="s">
        <v>782</v>
      </c>
      <c r="K12" s="9"/>
      <c r="L12" s="9"/>
      <c r="M12" s="10"/>
    </row>
    <row r="13" spans="1:13" ht="11.25" customHeight="1">
      <c r="A13" s="83"/>
      <c r="B13" s="68" t="s">
        <v>21</v>
      </c>
      <c r="C13" s="70"/>
      <c r="D13" s="106"/>
      <c r="E13" s="197" t="str">
        <f>HYPERLINK("Commitment.xls#doc_Commitment_cac_SellerSupplierParty_cac_Party_cac_PartyName_cbc_Name","[UBL_NL]")</f>
        <v>[UBL_NL]</v>
      </c>
      <c r="F13" s="116"/>
      <c r="G13" s="3" t="s">
        <v>612</v>
      </c>
      <c r="J13" s="5" t="s">
        <v>22</v>
      </c>
      <c r="K13" s="9"/>
      <c r="L13" s="9"/>
      <c r="M13" s="10"/>
    </row>
    <row r="14" spans="1:13" ht="11.25" customHeight="1">
      <c r="A14" s="76"/>
      <c r="B14" s="68" t="s">
        <v>23</v>
      </c>
      <c r="C14" s="69" t="s">
        <v>24</v>
      </c>
      <c r="D14" s="105"/>
      <c r="E14" s="197" t="str">
        <f>HYPERLINK("Commitment.xls#doc_Commitment_cac_SellerSupplierParty_cac_Party_cac_PartyIdentification_cbc_ID","[UBL_NL]")</f>
        <v>[UBL_NL]</v>
      </c>
      <c r="F14" s="116"/>
      <c r="G14" s="3">
        <v>12355841</v>
      </c>
      <c r="J14" s="5" t="s">
        <v>25</v>
      </c>
      <c r="K14" s="9"/>
      <c r="L14" s="9"/>
      <c r="M14" s="10"/>
    </row>
    <row r="15" spans="1:13" ht="11.25" customHeight="1">
      <c r="A15" s="76" t="s">
        <v>26</v>
      </c>
      <c r="B15" s="8"/>
      <c r="C15" s="70"/>
      <c r="D15" s="95"/>
      <c r="E15" s="197" t="str">
        <f>HYPERLINK("Commitment.xls#doc_Commitment_cac_AccountingCustomerParty","[UBL_NL]")</f>
        <v>[UBL_NL]</v>
      </c>
      <c r="F15" s="116"/>
      <c r="J15" s="5" t="s">
        <v>27</v>
      </c>
      <c r="K15" s="9"/>
      <c r="L15" s="9"/>
      <c r="M15" s="10"/>
    </row>
    <row r="16" spans="1:13" ht="11.25" customHeight="1">
      <c r="A16" s="76"/>
      <c r="B16" s="242" t="s">
        <v>28</v>
      </c>
      <c r="C16" s="17" t="s">
        <v>783</v>
      </c>
      <c r="D16" s="17"/>
      <c r="E16" s="241" t="str">
        <f>HYPERLINK("Commitment.xls#doc_Commitment_cac_AccountingCustomerParty_cbc_SupplierAssignedAccountID","[UBL_NL]")</f>
        <v>[UBL_NL]</v>
      </c>
      <c r="F16" s="116"/>
      <c r="H16" s="3"/>
      <c r="I16" s="2"/>
      <c r="J16" s="5" t="s">
        <v>784</v>
      </c>
      <c r="K16" s="9"/>
      <c r="L16" s="9"/>
      <c r="M16" s="10"/>
    </row>
    <row r="17" spans="1:13" ht="11.25" customHeight="1">
      <c r="A17" s="76"/>
      <c r="B17" s="8" t="s">
        <v>29</v>
      </c>
      <c r="C17" s="7"/>
      <c r="D17" s="95"/>
      <c r="E17" s="197" t="str">
        <f>HYPERLINK("Commitment.xls#doc_Commitment_cac_AccountingCustomerParty_cac_Party_cac_PartyName_cbc_Name","[UBL_NL]")</f>
        <v>[UBL_NL]</v>
      </c>
      <c r="F17" s="116"/>
      <c r="G17" s="3" t="s">
        <v>614</v>
      </c>
      <c r="J17" s="5" t="s">
        <v>30</v>
      </c>
      <c r="K17" s="9"/>
      <c r="L17" s="9"/>
      <c r="M17" s="10"/>
    </row>
    <row r="18" spans="1:13" ht="11.25" customHeight="1">
      <c r="A18" s="76"/>
      <c r="B18" s="8" t="s">
        <v>23</v>
      </c>
      <c r="C18" s="13" t="s">
        <v>31</v>
      </c>
      <c r="D18" s="103"/>
      <c r="E18" s="197" t="str">
        <f>HYPERLINK("Commitment.xls#doc_Commitment_cac_AccountingCustomerParty_cac_Party_cac_PartyIdentification_cbc_ID","[UBL_NL]")</f>
        <v>[UBL_NL]</v>
      </c>
      <c r="F18" s="116"/>
      <c r="G18" s="72" t="s">
        <v>613</v>
      </c>
      <c r="J18" s="5" t="s">
        <v>32</v>
      </c>
      <c r="K18" s="9"/>
      <c r="L18" s="9"/>
      <c r="M18" s="10"/>
    </row>
    <row r="19" spans="1:13" ht="11.25" customHeight="1">
      <c r="A19" s="76" t="s">
        <v>33</v>
      </c>
      <c r="B19" s="8"/>
      <c r="C19" s="7"/>
      <c r="D19" s="95"/>
      <c r="E19" s="197" t="str">
        <f>HYPERLINK("Commitment.xls#doc_Commitment_cac_AnticipatedMonetaryTotal","[UBL_NL]")</f>
        <v>[UBL_NL]</v>
      </c>
      <c r="F19" s="116"/>
      <c r="J19" s="5" t="s">
        <v>34</v>
      </c>
      <c r="K19" s="9"/>
      <c r="L19" s="9"/>
      <c r="M19" s="10"/>
    </row>
    <row r="20" spans="1:13" ht="11.25" customHeight="1">
      <c r="A20" s="76"/>
      <c r="B20" s="71" t="s">
        <v>35</v>
      </c>
      <c r="C20" s="7"/>
      <c r="D20" s="95"/>
      <c r="E20" s="197" t="str">
        <f>HYPERLINK("Commitment.xls#doc_Commitment_cac_AnticipatedMonetaryTotal_cbc_TaxExclusiveAmount","[UBL_NL]")</f>
        <v>[UBL_NL]</v>
      </c>
      <c r="F20" s="116"/>
      <c r="G20" s="18">
        <v>1000</v>
      </c>
      <c r="H20" s="88"/>
      <c r="I20" s="18"/>
      <c r="J20" s="5" t="s">
        <v>36</v>
      </c>
      <c r="K20" s="9"/>
      <c r="L20" s="9"/>
      <c r="M20" s="10"/>
    </row>
    <row r="21" spans="1:13" ht="11.25" customHeight="1">
      <c r="A21" s="76"/>
      <c r="B21" s="71" t="s">
        <v>37</v>
      </c>
      <c r="C21" s="7"/>
      <c r="D21" s="95"/>
      <c r="E21" s="197" t="str">
        <f>HYPERLINK("Commitment.xls#doc_Commitment_cac_AnticipatedMonetaryTotal_cbc_TaxInclusiveAmount","[UBL_NL]")</f>
        <v>[UBL_NL]</v>
      </c>
      <c r="F21" s="116"/>
      <c r="G21" s="18">
        <v>1190</v>
      </c>
      <c r="H21" s="88"/>
      <c r="I21" s="18"/>
      <c r="J21" s="5" t="s">
        <v>38</v>
      </c>
      <c r="K21" s="9"/>
      <c r="L21" s="9"/>
      <c r="M21" s="10"/>
    </row>
    <row r="22" spans="1:13" ht="11.25" customHeight="1">
      <c r="A22" s="76"/>
      <c r="B22" s="71" t="s">
        <v>39</v>
      </c>
      <c r="C22" s="7"/>
      <c r="D22" s="95"/>
      <c r="E22" s="197" t="str">
        <f>HYPERLINK("Commitment.xls#doc_Commitment_cac_TaxTotal_cac_TaxSubtotal_cbc_TaxAmount","[UBL_NL]")</f>
        <v>[UBL_NL]</v>
      </c>
      <c r="F22" s="116"/>
      <c r="G22" s="18">
        <v>190</v>
      </c>
      <c r="H22" s="88"/>
      <c r="I22" s="18"/>
      <c r="J22" s="5" t="s">
        <v>40</v>
      </c>
      <c r="K22" s="9"/>
      <c r="L22" s="9"/>
      <c r="M22" s="10"/>
    </row>
    <row r="23" spans="1:13" ht="11.25" customHeight="1">
      <c r="A23" s="76"/>
      <c r="B23" s="71" t="s">
        <v>41</v>
      </c>
      <c r="C23" s="7"/>
      <c r="D23" s="95"/>
      <c r="E23" s="197" t="str">
        <f>HYPERLINK("Commitment.xls#doc_Commitment_cac_TaxTotal_cac_TaxSubtotal_cbc_Percent","[UBL_NL]")</f>
        <v>[UBL_NL]</v>
      </c>
      <c r="F23" s="116"/>
      <c r="G23" s="19">
        <v>0.19</v>
      </c>
      <c r="H23" s="89"/>
      <c r="I23" s="19"/>
      <c r="J23" s="5" t="s">
        <v>42</v>
      </c>
      <c r="K23" s="9"/>
      <c r="L23" s="9"/>
      <c r="M23" s="10"/>
    </row>
    <row r="24" spans="1:13" ht="11.25" customHeight="1">
      <c r="A24" s="84"/>
      <c r="B24" s="71" t="s">
        <v>43</v>
      </c>
      <c r="C24" s="21"/>
      <c r="D24" s="107"/>
      <c r="E24" s="197" t="str">
        <f>HYPERLINK("Commitment.xls#doc_Commitment_cac_TaxTotal_cac_TaxSubtotal_cac_TaxCategory_cac_TaxScheme_cbc_Name","[UBL_NL]")</f>
        <v>[UBL_NL]</v>
      </c>
      <c r="F24" s="116"/>
      <c r="G24" s="22" t="s">
        <v>615</v>
      </c>
      <c r="H24" s="90"/>
      <c r="I24" s="22"/>
      <c r="J24" s="5" t="s">
        <v>44</v>
      </c>
      <c r="K24" s="9"/>
      <c r="L24" s="9"/>
      <c r="M24" s="10"/>
    </row>
    <row r="25" spans="1:13" ht="11.25" customHeight="1">
      <c r="A25" s="76"/>
      <c r="B25" s="71" t="s">
        <v>45</v>
      </c>
      <c r="C25" s="69" t="s">
        <v>619</v>
      </c>
      <c r="D25" s="95"/>
      <c r="E25" s="197" t="str">
        <f>HYPERLINK("Commitment.xls#doc_Commitment_cac_AnticipatedMonetaryTotal_cbc_PayableAmount","[UBL_NL]")</f>
        <v>[UBL_NL]</v>
      </c>
      <c r="F25" s="116"/>
      <c r="G25" s="18">
        <v>1190</v>
      </c>
      <c r="H25" s="88"/>
      <c r="I25" s="18"/>
      <c r="J25" s="5" t="s">
        <v>46</v>
      </c>
      <c r="K25" s="9"/>
      <c r="L25" s="9"/>
      <c r="M25" s="10"/>
    </row>
    <row r="26" spans="1:13" ht="11.25" customHeight="1">
      <c r="A26" s="84"/>
      <c r="B26" s="23"/>
      <c r="C26" s="21"/>
      <c r="D26" s="107"/>
      <c r="E26" s="108"/>
      <c r="F26" s="117"/>
      <c r="G26" s="22"/>
      <c r="H26" s="90"/>
      <c r="I26" s="22"/>
      <c r="J26" s="5"/>
      <c r="K26" s="9"/>
      <c r="L26" s="9"/>
      <c r="M26" s="10"/>
    </row>
    <row r="27" spans="1:13" ht="11.25" customHeight="1">
      <c r="A27" s="75" t="s">
        <v>47</v>
      </c>
      <c r="B27" s="8"/>
      <c r="C27" s="7"/>
      <c r="D27" s="95"/>
      <c r="E27" s="243" t="str">
        <f>HYPERLINK("Commitment.xls#doc_Commitment_nl-cac_CommitmentLine","[UBL_NL]")</f>
        <v>[UBL_NL]</v>
      </c>
      <c r="F27" s="116"/>
      <c r="J27" s="5" t="s">
        <v>788</v>
      </c>
      <c r="K27" s="9"/>
      <c r="L27" s="9"/>
      <c r="M27" s="10"/>
    </row>
    <row r="28" spans="1:13" ht="11.25" customHeight="1">
      <c r="A28" s="75"/>
      <c r="B28" s="8" t="s">
        <v>48</v>
      </c>
      <c r="C28" s="7"/>
      <c r="D28" s="95"/>
      <c r="E28" s="243" t="str">
        <f>HYPERLINK("Commitment.xls#doc_Commitment_nl-cac_CommitmentLine_cac_LineItem_cbc_ID","[UBL_NL]")</f>
        <v>[UBL_NL]</v>
      </c>
      <c r="F28" s="116"/>
      <c r="G28" s="72" t="s">
        <v>621</v>
      </c>
      <c r="J28" s="5" t="s">
        <v>789</v>
      </c>
      <c r="K28" s="9"/>
      <c r="L28" s="9"/>
      <c r="M28" s="10"/>
    </row>
    <row r="29" spans="1:13" ht="11.25" customHeight="1">
      <c r="A29" s="76"/>
      <c r="B29" s="14" t="s">
        <v>49</v>
      </c>
      <c r="C29" s="7"/>
      <c r="D29" s="95"/>
      <c r="E29" s="243" t="str">
        <f>HYPERLINK("Commitment.xls#doc_Commitment_nl-cac_CommitmentLine_cac_ValidityPeriod_cbc_EndDate","[UBL_NL]")</f>
        <v>[UBL_NL]</v>
      </c>
      <c r="F29" s="116"/>
      <c r="G29" s="11">
        <v>40563</v>
      </c>
      <c r="H29" s="87"/>
      <c r="I29" s="11"/>
      <c r="J29" s="5" t="s">
        <v>790</v>
      </c>
      <c r="K29" s="9"/>
      <c r="L29" s="9"/>
      <c r="M29"/>
    </row>
    <row r="30" spans="1:13" ht="11.25" customHeight="1">
      <c r="A30" s="76" t="s">
        <v>50</v>
      </c>
      <c r="B30" s="8"/>
      <c r="C30" s="7"/>
      <c r="D30" s="95"/>
      <c r="E30" s="243" t="str">
        <f>HYPERLINK("Commitment.xls#doc_Commitment_nl-cac_CommitmentLine_cac_LineItem_cac_Item","[UBL_NL]")</f>
        <v>[UBL_NL]</v>
      </c>
      <c r="F30" s="116"/>
      <c r="J30" s="5" t="s">
        <v>791</v>
      </c>
      <c r="K30" s="9"/>
      <c r="L30" s="9"/>
      <c r="M30" s="10"/>
    </row>
    <row r="31" spans="1:13" ht="11.25" customHeight="1">
      <c r="A31" s="76"/>
      <c r="B31" s="71" t="s">
        <v>51</v>
      </c>
      <c r="C31" s="70"/>
      <c r="D31" s="95"/>
      <c r="E31" s="243" t="str">
        <f>HYPERLINK("Commitment.xls#doc_Commitment_nl-cac_CommitmentLine_cac_LineItem_cac_Item_cbc_Name","[UBL_NL]")</f>
        <v>[UBL_NL]</v>
      </c>
      <c r="F31" s="116"/>
      <c r="G31" s="3" t="s">
        <v>622</v>
      </c>
      <c r="J31" s="5" t="s">
        <v>792</v>
      </c>
      <c r="K31" s="9"/>
      <c r="L31" s="9"/>
      <c r="M31" s="10"/>
    </row>
    <row r="32" spans="1:13" ht="11.25" customHeight="1">
      <c r="A32" s="76"/>
      <c r="B32" s="71" t="s">
        <v>52</v>
      </c>
      <c r="C32" s="70"/>
      <c r="D32" s="95"/>
      <c r="E32" s="243" t="str">
        <f>HYPERLINK("Commitment.xls#doc_Commitment_nl-cac_CommitmentLine_cac_LineItem_cac_Item_cac_BuyersItemIdentification_cbc_ID","[UBL_NL]")</f>
        <v>[UBL_NL]</v>
      </c>
      <c r="F32" s="116"/>
      <c r="G32" s="3">
        <v>56811227</v>
      </c>
      <c r="J32" s="5" t="s">
        <v>793</v>
      </c>
      <c r="K32" s="9"/>
      <c r="L32" s="9"/>
      <c r="M32" s="10"/>
    </row>
    <row r="33" spans="1:16" ht="11.25" customHeight="1">
      <c r="A33" s="76"/>
      <c r="B33" s="71" t="s">
        <v>53</v>
      </c>
      <c r="C33" s="70"/>
      <c r="D33" s="95"/>
      <c r="E33" s="243" t="str">
        <f>HYPERLINK("Commitment.xls#doc_Commitment_nl-cac_CommitmentLine_cac_LineItem_cbc_Quantity","[UBL_NL]")</f>
        <v>[UBL_NL]</v>
      </c>
      <c r="F33" s="116"/>
      <c r="G33" s="3">
        <v>500</v>
      </c>
      <c r="J33" s="5" t="s">
        <v>794</v>
      </c>
      <c r="K33" s="9"/>
      <c r="L33" s="9"/>
      <c r="M33" s="10"/>
    </row>
    <row r="34" spans="1:16" ht="11.25" customHeight="1">
      <c r="A34" s="76"/>
      <c r="B34" s="71" t="s">
        <v>54</v>
      </c>
      <c r="C34" s="70"/>
      <c r="D34" s="95"/>
      <c r="E34" s="243" t="str">
        <f>HYPERLINK("Commitment.xls#doc_Commitment_nl-cac_CommitmentLine_cac_LineItem_cbc_Quantity_unitCode","[UBL_NL]")</f>
        <v>[UBL_NL]</v>
      </c>
      <c r="F34" s="116"/>
      <c r="G34" s="3" t="s">
        <v>623</v>
      </c>
      <c r="J34" s="24" t="s">
        <v>795</v>
      </c>
      <c r="K34" s="10"/>
      <c r="L34" s="10"/>
      <c r="M34" s="10"/>
      <c r="N34" s="10"/>
      <c r="O34" s="10"/>
      <c r="P34" s="10"/>
    </row>
    <row r="35" spans="1:16" ht="11.25" customHeight="1">
      <c r="A35" s="76"/>
      <c r="B35" s="71" t="s">
        <v>55</v>
      </c>
      <c r="C35" s="69" t="s">
        <v>56</v>
      </c>
      <c r="D35" s="105"/>
      <c r="E35" s="243" t="str">
        <f>HYPERLINK("Commitment.xls#doc_Commitment_nl-cac_CommitmentLine_cac_LineItem_cac_Delivery_cac_RequestedDeliveryPeriod_cbc_EndDate","[UBL_NL]")</f>
        <v>[UBL_NL]</v>
      </c>
      <c r="F35" s="116"/>
      <c r="G35" s="25">
        <v>40568</v>
      </c>
      <c r="H35" s="91"/>
      <c r="I35" s="25"/>
      <c r="J35" s="5" t="s">
        <v>796</v>
      </c>
      <c r="K35" s="9"/>
      <c r="L35" s="9"/>
      <c r="M35" s="10"/>
    </row>
    <row r="36" spans="1:16" ht="11.25" customHeight="1">
      <c r="A36" s="76"/>
      <c r="B36" s="71" t="s">
        <v>786</v>
      </c>
      <c r="C36" s="69"/>
      <c r="D36" s="105"/>
      <c r="E36" s="243" t="str">
        <f>HYPERLINK("Commitment.xls#doc_Commitment_cac_CommitmentLine_cac_LineItem_cbc_AccountingCost","[UBL_NL]")</f>
        <v>[UBL_NL]</v>
      </c>
      <c r="F36" s="116"/>
      <c r="G36" s="25" t="s">
        <v>787</v>
      </c>
      <c r="H36" s="91"/>
      <c r="I36" s="25"/>
      <c r="J36" s="5" t="s">
        <v>797</v>
      </c>
      <c r="K36" s="9"/>
      <c r="L36" s="9"/>
      <c r="M36" s="10"/>
    </row>
    <row r="37" spans="1:16" ht="11.25" customHeight="1">
      <c r="A37" s="76"/>
      <c r="B37" s="26" t="s">
        <v>785</v>
      </c>
      <c r="C37" s="17"/>
      <c r="D37" s="105"/>
      <c r="E37" s="243" t="str">
        <f>HYPERLINK("Commitment.xls#doc_Commitment_nl-cac_CommitmentLine_cac_LineItem_cbc_AccountingCostCode","[UBL_NL]")</f>
        <v>[UBL_NL]</v>
      </c>
      <c r="F37" s="116"/>
      <c r="G37" s="3">
        <v>4544</v>
      </c>
      <c r="J37" s="5" t="s">
        <v>798</v>
      </c>
      <c r="K37" s="9"/>
      <c r="L37" s="9"/>
      <c r="M37" s="10"/>
    </row>
    <row r="38" spans="1:16" ht="11.25" customHeight="1">
      <c r="A38" s="76"/>
      <c r="B38" s="71" t="s">
        <v>10</v>
      </c>
      <c r="C38" s="13"/>
      <c r="D38" s="103"/>
      <c r="E38" s="243" t="str">
        <f>HYPERLINK("Commitment.xls#doc_Commitment_nl-cac_CommitmentLine_cac_LineItem_cbc_Note","[UBL_NL]")</f>
        <v>[UBL_NL]</v>
      </c>
      <c r="F38" s="116"/>
      <c r="G38" s="3" t="s">
        <v>624</v>
      </c>
      <c r="J38" s="5" t="s">
        <v>799</v>
      </c>
      <c r="K38" s="9"/>
      <c r="L38" s="9"/>
      <c r="M38" s="10"/>
    </row>
    <row r="39" spans="1:16" ht="11.25" customHeight="1">
      <c r="A39" s="76"/>
      <c r="B39" s="8" t="s">
        <v>58</v>
      </c>
      <c r="C39" s="13" t="s">
        <v>620</v>
      </c>
      <c r="D39" s="103"/>
      <c r="E39" s="243" t="str">
        <f>HYPERLINK("Commitment.xls#doc_Commitment_nl-cac_CommitmentLine_cac_LineItem_cbc_LineExtensionAmount","[UBL_NL]")</f>
        <v>[UBL_NL]</v>
      </c>
      <c r="F39" s="116"/>
      <c r="G39" s="27">
        <v>1000</v>
      </c>
      <c r="H39" s="92"/>
      <c r="I39" s="27"/>
      <c r="J39" s="5" t="s">
        <v>800</v>
      </c>
      <c r="K39" s="9"/>
      <c r="L39" s="9"/>
      <c r="M39" s="10"/>
    </row>
    <row r="40" spans="1:16" ht="11.25" customHeight="1">
      <c r="A40" s="76"/>
      <c r="B40" s="8" t="s">
        <v>59</v>
      </c>
      <c r="C40" s="7"/>
      <c r="D40" s="95"/>
      <c r="E40" s="243" t="str">
        <f>HYPERLINK("Commitment.xls#doc_Commitment_nl-cac_CommitmentLine_cac_LineItem_cbc_LineExtensionAmount_currencyID","[UBL_NL]")</f>
        <v>[UBL_NL]</v>
      </c>
      <c r="F40" s="116"/>
      <c r="G40" s="19" t="s">
        <v>805</v>
      </c>
      <c r="H40" s="89"/>
      <c r="I40" s="19"/>
      <c r="J40" s="24" t="s">
        <v>801</v>
      </c>
      <c r="K40" s="9"/>
      <c r="L40" s="9"/>
      <c r="M40" s="10"/>
    </row>
    <row r="41" spans="1:16" ht="11.25" customHeight="1">
      <c r="A41" s="76"/>
      <c r="B41" s="8" t="s">
        <v>60</v>
      </c>
      <c r="C41" s="7"/>
      <c r="D41" s="95"/>
      <c r="E41" s="243" t="str">
        <f>HYPERLINK("Commitment.xls#doc_Commitment_nl-cac_CommitmentLine_cac_LineItem_cac_Item_cac_ClassifiedTaxCategory_cbc_Percent","[UBL_NL]")</f>
        <v>[UBL_NL]</v>
      </c>
      <c r="F41" s="116"/>
      <c r="G41" s="19">
        <v>0.19</v>
      </c>
      <c r="H41" s="89"/>
      <c r="I41" s="19"/>
      <c r="J41" s="5" t="s">
        <v>802</v>
      </c>
      <c r="K41" s="9"/>
      <c r="L41" s="9"/>
      <c r="M41" s="10"/>
    </row>
    <row r="42" spans="1:16" ht="11.25" customHeight="1">
      <c r="A42" s="76"/>
      <c r="B42" s="8" t="s">
        <v>61</v>
      </c>
      <c r="C42" s="7"/>
      <c r="D42" s="95"/>
      <c r="E42" s="243" t="str">
        <f>HYPERLINK("Commitment.xls#doc_Commitment_nl-cac_CommitmentLine_cac_LineItem_cbc_TotalTaxAmount","[UBL_NL]")</f>
        <v>[UBL_NL]</v>
      </c>
      <c r="F42" s="116"/>
      <c r="G42" s="27">
        <v>190</v>
      </c>
      <c r="H42" s="92"/>
      <c r="I42" s="27"/>
      <c r="J42" s="5" t="s">
        <v>803</v>
      </c>
      <c r="K42" s="9"/>
      <c r="L42" s="9"/>
      <c r="M42" s="10"/>
    </row>
    <row r="43" spans="1:16" ht="11.25" customHeight="1" thickBot="1">
      <c r="A43" s="77"/>
      <c r="B43" s="85" t="s">
        <v>62</v>
      </c>
      <c r="C43" s="86"/>
      <c r="D43" s="109"/>
      <c r="E43" s="243" t="str">
        <f>HYPERLINK("Commitment.xls#doc_Commitment_nl-cac_CommitmentLine_cac_LineItem_cbc_TotalTaxAmount_currencyID","[UBL_NL]")</f>
        <v>[UBL_NL]</v>
      </c>
      <c r="F43" s="116"/>
      <c r="G43" s="19" t="s">
        <v>805</v>
      </c>
      <c r="H43" s="89"/>
      <c r="I43" s="19"/>
      <c r="J43" s="24" t="s">
        <v>804</v>
      </c>
      <c r="K43" s="9"/>
      <c r="L43" s="9"/>
      <c r="M43" s="10"/>
    </row>
    <row r="44" spans="1:16" ht="11.25" customHeight="1">
      <c r="J44" s="5"/>
    </row>
    <row r="45" spans="1:16" ht="11.25" customHeight="1">
      <c r="J45" s="5"/>
    </row>
    <row r="46" spans="1:16" ht="11.25" customHeight="1">
      <c r="J46" s="5"/>
    </row>
    <row r="47" spans="1:16" ht="11.25" customHeight="1">
      <c r="J47" s="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Roman,Standaard"&amp;12&amp;A</oddHeader>
    <oddFooter>&amp;C&amp;"Times New Roman,Standaard"&amp;12Page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67"/>
  <sheetViews>
    <sheetView zoomScaleNormal="100" workbookViewId="0">
      <selection activeCell="A15" sqref="A15"/>
    </sheetView>
  </sheetViews>
  <sheetFormatPr defaultColWidth="9.28515625" defaultRowHeight="11.25"/>
  <cols>
    <col min="1" max="1" width="1.28515625" style="5" customWidth="1"/>
    <col min="2" max="2" width="26.42578125" style="5" customWidth="1"/>
    <col min="3" max="3" width="42.85546875" style="34" customWidth="1"/>
    <col min="4" max="4" width="13.28515625" style="34" customWidth="1"/>
    <col min="5" max="5" width="9.140625" style="34" customWidth="1"/>
    <col min="6" max="7" width="19.28515625" style="34" customWidth="1"/>
    <col min="8" max="8" width="9.28515625" style="100"/>
    <col min="9" max="9" width="17.28515625" style="5" customWidth="1"/>
    <col min="10" max="10" width="86" style="5" bestFit="1" customWidth="1"/>
    <col min="11" max="11" width="9" style="5" customWidth="1"/>
    <col min="12" max="12" width="42.28515625" style="5" customWidth="1"/>
    <col min="13" max="16384" width="9.28515625" style="5"/>
  </cols>
  <sheetData>
    <row r="1" spans="1:10" s="35" customFormat="1" ht="12.75">
      <c r="A1" s="134" t="s">
        <v>674</v>
      </c>
      <c r="B1" s="135"/>
      <c r="C1" s="136"/>
      <c r="D1" s="136" t="s">
        <v>478</v>
      </c>
      <c r="E1" s="137" t="s">
        <v>479</v>
      </c>
      <c r="F1" s="126" t="s">
        <v>645</v>
      </c>
      <c r="G1" s="127" t="s">
        <v>644</v>
      </c>
      <c r="H1" s="128" t="s">
        <v>89</v>
      </c>
      <c r="I1" s="35" t="s">
        <v>480</v>
      </c>
      <c r="J1" s="35" t="s">
        <v>481</v>
      </c>
    </row>
    <row r="2" spans="1:10" ht="23.25" customHeight="1">
      <c r="A2" s="138"/>
      <c r="B2" s="246" t="s">
        <v>482</v>
      </c>
      <c r="C2" s="246"/>
      <c r="D2" s="246"/>
      <c r="E2" s="247"/>
    </row>
    <row r="3" spans="1:10">
      <c r="A3" s="139" t="s">
        <v>414</v>
      </c>
      <c r="B3" s="140"/>
      <c r="C3" s="141"/>
      <c r="D3" s="141"/>
      <c r="E3" s="142"/>
    </row>
    <row r="4" spans="1:10">
      <c r="A4" s="138" t="s">
        <v>415</v>
      </c>
      <c r="B4" s="140"/>
      <c r="C4" s="141"/>
      <c r="D4" s="141" t="str">
        <f>HYPERLINK("Mapping_Invoice.xls#Invoice","[HR-XML/SETU]")</f>
        <v>[HR-XML/SETU]</v>
      </c>
      <c r="E4" s="142" t="str">
        <f>HYPERLINK("Invoice.xls#doc_Invoice","[UBL_NL]")</f>
        <v>[UBL_NL]</v>
      </c>
      <c r="I4" s="5" t="s">
        <v>483</v>
      </c>
      <c r="J4" s="5" t="s">
        <v>484</v>
      </c>
    </row>
    <row r="5" spans="1:10">
      <c r="A5" s="138"/>
      <c r="B5" s="143" t="s">
        <v>485</v>
      </c>
      <c r="C5" s="141"/>
      <c r="D5" s="60" t="str">
        <f>HYPERLINK("Mapping_Invoice.xls#Invoice_Header_DocumentDateTime","[HR-XML/SETU]")</f>
        <v>[HR-XML/SETU]</v>
      </c>
      <c r="E5" s="144" t="str">
        <f>HYPERLINK("Invoice.xls#doc_Invoice_cbc_IssueDate","[UBL_NL]")</f>
        <v>[UBL_NL]</v>
      </c>
      <c r="F5" s="61">
        <v>40930</v>
      </c>
      <c r="G5" s="61">
        <v>40930</v>
      </c>
      <c r="H5" s="100" t="s">
        <v>94</v>
      </c>
      <c r="I5" s="5" t="s">
        <v>486</v>
      </c>
      <c r="J5" s="5" t="s">
        <v>487</v>
      </c>
    </row>
    <row r="6" spans="1:10">
      <c r="A6" s="138"/>
      <c r="B6" s="143" t="s">
        <v>488</v>
      </c>
      <c r="C6" s="145" t="s">
        <v>489</v>
      </c>
      <c r="D6" s="141" t="str">
        <f>HYPERLINK("Mapping_Invoice.xls#Invoice_Header_DocumentIds_DocumentId_Id","[HR-XML/SETU]")</f>
        <v>[HR-XML/SETU]</v>
      </c>
      <c r="E6" s="142" t="str">
        <f>HYPERLINK("Invoice.xls#doc_Invoice_cbc_ID","[UBL_NL]")</f>
        <v>[UBL_NL]</v>
      </c>
      <c r="F6" s="34" t="s">
        <v>647</v>
      </c>
      <c r="G6" s="34" t="s">
        <v>490</v>
      </c>
      <c r="H6" s="100" t="s">
        <v>94</v>
      </c>
      <c r="I6" s="5" t="s">
        <v>491</v>
      </c>
      <c r="J6" s="5" t="s">
        <v>492</v>
      </c>
    </row>
    <row r="7" spans="1:10">
      <c r="A7" s="138"/>
      <c r="B7" s="140" t="s">
        <v>493</v>
      </c>
      <c r="C7" s="145" t="s">
        <v>494</v>
      </c>
      <c r="D7" s="141" t="str">
        <f>HYPERLINK("Mapping_Invoice.xls#Invoice_Header_UserArea_StaffingAdditionalData_CustomerReportingRequirements_CostCenterCode","[HR-XML/SETU]")</f>
        <v>[HR-XML/SETU]</v>
      </c>
      <c r="E7" s="142" t="str">
        <f>HYPERLINK("Invoice.xls#doc_Invoice_cbc_AccountingCostCode","[UBL_NL]")</f>
        <v>[UBL_NL]</v>
      </c>
      <c r="F7" s="34" t="s">
        <v>648</v>
      </c>
      <c r="G7" s="34">
        <v>4500123456</v>
      </c>
      <c r="H7" s="100" t="s">
        <v>94</v>
      </c>
      <c r="I7" s="5" t="s">
        <v>495</v>
      </c>
      <c r="J7" s="5" t="s">
        <v>496</v>
      </c>
    </row>
    <row r="8" spans="1:10">
      <c r="A8" s="138"/>
      <c r="B8" s="146" t="s">
        <v>10</v>
      </c>
      <c r="C8" s="145"/>
      <c r="D8" s="141" t="str">
        <f>HYPERLINK("Mapping_Invoice.xls#Invoice_Header_Note","[HR-XML/SETU]")</f>
        <v>[HR-XML/SETU]</v>
      </c>
      <c r="E8" s="142" t="str">
        <f>HYPERLINK("Invoice.xls#doc_Invoice_cbc_Note","[UBL_NL]")</f>
        <v>[UBL_NL]</v>
      </c>
      <c r="F8" s="34" t="s">
        <v>649</v>
      </c>
      <c r="G8" s="34" t="s">
        <v>497</v>
      </c>
      <c r="I8" s="5" t="s">
        <v>498</v>
      </c>
      <c r="J8" s="5" t="s">
        <v>499</v>
      </c>
    </row>
    <row r="9" spans="1:10">
      <c r="A9" s="138"/>
      <c r="B9" s="147" t="s">
        <v>500</v>
      </c>
      <c r="C9" s="148"/>
      <c r="D9" s="141" t="str">
        <f>HYPERLINK("Mapping_Invoice.xls#Invoice_Header_Type","[HR-XML/SETU]")</f>
        <v>[HR-XML/SETU]</v>
      </c>
      <c r="E9" s="142" t="str">
        <f>HYPERLINK("Invoice.xls#doc_Invoice_cbc_InvoiceTypeCode","[UBL_NL]")</f>
        <v>[UBL_NL]</v>
      </c>
      <c r="F9" s="34" t="s">
        <v>501</v>
      </c>
      <c r="G9" s="34" t="s">
        <v>501</v>
      </c>
      <c r="H9" s="100" t="s">
        <v>98</v>
      </c>
      <c r="I9" s="5" t="s">
        <v>502</v>
      </c>
      <c r="J9" s="5" t="s">
        <v>503</v>
      </c>
    </row>
    <row r="10" spans="1:10">
      <c r="A10" s="138"/>
      <c r="B10" s="146" t="s">
        <v>14</v>
      </c>
      <c r="C10" s="149" t="s">
        <v>15</v>
      </c>
      <c r="D10" s="141"/>
      <c r="E10" s="142" t="str">
        <f>HYPERLINK("Invoice.xls#doc_Invoice_cbc_DocumentCurrencyCode","[UBL_NL]")</f>
        <v>[UBL_NL]</v>
      </c>
      <c r="G10" s="34" t="s">
        <v>504</v>
      </c>
      <c r="H10" s="100" t="s">
        <v>98</v>
      </c>
      <c r="J10" s="5" t="s">
        <v>505</v>
      </c>
    </row>
    <row r="11" spans="1:10">
      <c r="A11" s="138"/>
      <c r="B11" s="146" t="s">
        <v>506</v>
      </c>
      <c r="C11" s="149"/>
      <c r="D11" s="141" t="str">
        <f>HYPERLINK("Mapping_Invoice.xls#Invoice_Header_PaymentTerms_DueDate","[HR-XML/SETU]")</f>
        <v>[HR-XML/SETU]</v>
      </c>
      <c r="E11" s="142" t="str">
        <f>HYPERLINK("Invoice.xls#doc_Invoice_cac_InvoicePeriod_cbc_EndDate","[UBL_NL]")</f>
        <v>[UBL_NL]</v>
      </c>
      <c r="F11" s="133">
        <v>40960</v>
      </c>
      <c r="G11" s="62">
        <v>40960</v>
      </c>
      <c r="H11" s="100" t="s">
        <v>98</v>
      </c>
      <c r="I11" s="5" t="s">
        <v>507</v>
      </c>
      <c r="J11" s="5" t="s">
        <v>508</v>
      </c>
    </row>
    <row r="12" spans="1:10">
      <c r="A12" s="138"/>
      <c r="B12" s="146" t="s">
        <v>197</v>
      </c>
      <c r="C12" s="150"/>
      <c r="D12" s="141" t="str">
        <f>HYPERLINK("Mapping_Invoice.xls#Invoice_Header_PaymentTerms","[HR-XML/SETU]")</f>
        <v>[HR-XML/SETU]</v>
      </c>
      <c r="E12" s="142" t="str">
        <f>HYPERLINK("Invoice.xls#doc_Invoice_cac_PaymentTerms","[UBL_NL]")</f>
        <v>[UBL_NL]</v>
      </c>
      <c r="F12" s="34" t="s">
        <v>650</v>
      </c>
      <c r="G12" s="34" t="s">
        <v>509</v>
      </c>
      <c r="H12" s="100" t="s">
        <v>98</v>
      </c>
      <c r="I12" s="5" t="s">
        <v>510</v>
      </c>
      <c r="J12" s="5" t="s">
        <v>511</v>
      </c>
    </row>
    <row r="13" spans="1:10">
      <c r="A13" s="138"/>
      <c r="B13" s="146" t="s">
        <v>111</v>
      </c>
      <c r="C13" s="150"/>
      <c r="D13" s="141"/>
      <c r="E13" s="142" t="str">
        <f>HYPERLINK("Invoice.xls#doc_Invoice_cac_DeliveryTerms","[UBL_NL]")</f>
        <v>[UBL_NL]</v>
      </c>
      <c r="G13" s="34" t="s">
        <v>512</v>
      </c>
      <c r="H13" s="100" t="s">
        <v>98</v>
      </c>
      <c r="J13" s="5" t="s">
        <v>513</v>
      </c>
    </row>
    <row r="14" spans="1:10">
      <c r="A14" s="138"/>
      <c r="B14" s="146" t="s">
        <v>202</v>
      </c>
      <c r="C14" s="150"/>
      <c r="D14" s="141"/>
      <c r="E14" s="142" t="str">
        <f>HYPERLINK("Invoice.xls#doc_Invoice_cac_PaymentMeans","[UBL_NL]")</f>
        <v>[UBL_NL]</v>
      </c>
      <c r="G14" s="34" t="s">
        <v>514</v>
      </c>
      <c r="H14" s="100" t="s">
        <v>98</v>
      </c>
      <c r="J14" s="5" t="s">
        <v>515</v>
      </c>
    </row>
    <row r="15" spans="1:10" ht="12.75">
      <c r="A15" s="138"/>
      <c r="B15" s="146" t="s">
        <v>824</v>
      </c>
      <c r="C15" s="150"/>
      <c r="D15" s="141"/>
      <c r="E15" s="243" t="str">
        <f>HYPERLINK("Invoice.xls#doc_Invoice_ext_UBLExtensions_ext_UBLExtension_ext_ExtensionContent_nl-cbc_LastInvoiceOnOrderIndicator","[UBL_NL]")</f>
        <v>[UBL_NL]</v>
      </c>
      <c r="G15" s="34" t="s">
        <v>669</v>
      </c>
      <c r="H15" s="100" t="s">
        <v>98</v>
      </c>
      <c r="J15" t="s">
        <v>823</v>
      </c>
    </row>
    <row r="16" spans="1:10">
      <c r="A16" s="138" t="s">
        <v>19</v>
      </c>
      <c r="B16" s="140"/>
      <c r="C16" s="141"/>
      <c r="D16" s="141" t="str">
        <f>HYPERLINK("Mapping_Invoice.xls#Invoice_Header_Parties_SupplierParty","[HR-XML/SETU]")</f>
        <v>[HR-XML/SETU]</v>
      </c>
      <c r="E16" s="142" t="str">
        <f>HYPERLINK("Invoice.xls#doc_Invoice_cac_SellerSupplierParty","[UBL_NL]")</f>
        <v>[UBL_NL]</v>
      </c>
      <c r="H16" s="100" t="s">
        <v>94</v>
      </c>
      <c r="I16" s="5" t="s">
        <v>516</v>
      </c>
      <c r="J16" s="5" t="s">
        <v>517</v>
      </c>
    </row>
    <row r="17" spans="1:11">
      <c r="A17" s="138"/>
      <c r="B17" s="36" t="s">
        <v>117</v>
      </c>
      <c r="C17" s="244" t="s">
        <v>781</v>
      </c>
      <c r="D17" s="34" t="str">
        <f>HYPERLINK("Mapping_Invoice.xls#Invoice_Header_Parties_SupplierParty_PartyId_Id","[HR-XML/SETU]")</f>
        <v>[HR-XML/SETU]</v>
      </c>
      <c r="E17" s="34" t="str">
        <f>HYPERLINK("Invoice.xls#doc_Invoice_cac_SellerSupplierParty_cbc_CustomerAssignedAccountID","[UBL_NL]")</f>
        <v>[UBL_NL]</v>
      </c>
      <c r="G17" s="34">
        <v>90807060</v>
      </c>
      <c r="H17" s="5" t="s">
        <v>98</v>
      </c>
      <c r="I17" s="5" t="s">
        <v>819</v>
      </c>
      <c r="J17" s="5" t="s">
        <v>820</v>
      </c>
    </row>
    <row r="18" spans="1:11">
      <c r="A18" s="138"/>
      <c r="B18" s="143" t="s">
        <v>21</v>
      </c>
      <c r="C18" s="141"/>
      <c r="D18" s="141" t="str">
        <f>HYPERLINK("Mapping_Invoice.xls#Invoice_Header_Parties_SupplierParty_Name","[HR-XML/SETU]")</f>
        <v>[HR-XML/SETU]</v>
      </c>
      <c r="E18" s="142" t="str">
        <f>HYPERLINK("Invoice.xls#doc_Invoice_cac_SellerSupplierParty_cac_Party_cac_PartyName_cbc_Name","[UBL_NL]")</f>
        <v>[UBL_NL]</v>
      </c>
      <c r="F18" s="34" t="s">
        <v>651</v>
      </c>
      <c r="G18" s="34" t="s">
        <v>518</v>
      </c>
      <c r="H18" s="100" t="s">
        <v>94</v>
      </c>
      <c r="I18" s="5" t="s">
        <v>519</v>
      </c>
      <c r="J18" s="5" t="s">
        <v>520</v>
      </c>
    </row>
    <row r="19" spans="1:11" s="165" customFormat="1" ht="31.5">
      <c r="A19" s="161"/>
      <c r="B19" s="162" t="s">
        <v>521</v>
      </c>
      <c r="C19" s="163"/>
      <c r="D19" s="163" t="str">
        <f>HYPERLINK("Mapping_Invoice.xls#Invoice_Header_Parties_SupplierParty_Addresses_PrimaryAddress","[HR-XML/SETU]")</f>
        <v>[HR-XML/SETU]</v>
      </c>
      <c r="E19" s="164" t="str">
        <f>HYPERLINK("Invoice.xls#doc_Invoice_cac_SellerSupplierParty_cac_Party_cac_PostalAddress","[UBL_NL]")</f>
        <v>[UBL_NL]</v>
      </c>
      <c r="F19" s="129" t="s">
        <v>652</v>
      </c>
      <c r="G19" s="129" t="s">
        <v>522</v>
      </c>
      <c r="H19" s="165" t="s">
        <v>94</v>
      </c>
      <c r="I19" s="165" t="s">
        <v>523</v>
      </c>
      <c r="J19" s="165" t="s">
        <v>524</v>
      </c>
    </row>
    <row r="20" spans="1:11">
      <c r="A20" s="138"/>
      <c r="B20" s="143" t="s">
        <v>212</v>
      </c>
      <c r="C20" s="141"/>
      <c r="D20" s="141" t="str">
        <f>HYPERLINK("Mapping_Invoice.xls#Invoice_Header_Parties_SupplierParty_TaxId","[HR-XML/SETU]")</f>
        <v>[HR-XML/SETU]</v>
      </c>
      <c r="E20" s="142" t="str">
        <f>HYPERLINK("Invoice.xls#doc_Invoice_cac_SellerSupplierParty_cac_Party_cac_PartyIdentification_cbc_ID","[UBL_NL]")</f>
        <v>[UBL_NL]</v>
      </c>
      <c r="F20" s="34" t="s">
        <v>525</v>
      </c>
      <c r="G20" s="34" t="s">
        <v>525</v>
      </c>
      <c r="H20" s="100" t="s">
        <v>94</v>
      </c>
      <c r="I20" s="5" t="s">
        <v>526</v>
      </c>
      <c r="J20" s="5" t="s">
        <v>527</v>
      </c>
    </row>
    <row r="21" spans="1:11">
      <c r="A21" s="138"/>
      <c r="B21" s="143" t="s">
        <v>23</v>
      </c>
      <c r="C21" s="151" t="s">
        <v>528</v>
      </c>
      <c r="D21" s="141" t="str">
        <f>HYPERLINK("Mapping_Invoice.xls#Invoice_Header_UserArea_StaffingOrganizationNL_ChamberofCommerceReference","[HR-XML/SETU]")</f>
        <v>[HR-XML/SETU]</v>
      </c>
      <c r="E21" s="142" t="str">
        <f>HYPERLINK("Invoice.xls#doc_Invoice_cac_SellerSupplierParty_cac_Party_cac_PartyIdentification_cbc_ID","[UBL_NL]")</f>
        <v>[UBL_NL]</v>
      </c>
      <c r="F21" s="34">
        <v>345345345</v>
      </c>
      <c r="G21" s="34">
        <v>345345345</v>
      </c>
      <c r="H21" s="100" t="s">
        <v>94</v>
      </c>
      <c r="I21" s="5" t="s">
        <v>529</v>
      </c>
      <c r="J21" s="5" t="s">
        <v>527</v>
      </c>
    </row>
    <row r="22" spans="1:11">
      <c r="A22" s="138"/>
      <c r="B22" s="146" t="s">
        <v>214</v>
      </c>
      <c r="C22" s="149" t="s">
        <v>643</v>
      </c>
      <c r="D22" s="141" t="str">
        <f>HYPERLINK("Mapping_Invoice.xls#Invoice_Header_UserArea_StaffingOrganization_PaymentInfo_BankAccountInfo_BankInfoByJurisdiction_BankAccountNumber","[HR-XML/SETU]")</f>
        <v>[HR-XML/SETU]</v>
      </c>
      <c r="E22" s="142" t="str">
        <f>HYPERLINK("Invoice.xls#doc_Invoice_cac_PaymentMeans_cac_PayeeFinancialAccount_cbc_ID","[UBL_NL]")</f>
        <v>[UBL_NL]</v>
      </c>
      <c r="F22" s="34">
        <v>2233445566</v>
      </c>
      <c r="G22" s="34">
        <v>2233445566</v>
      </c>
      <c r="H22" s="100" t="s">
        <v>94</v>
      </c>
      <c r="I22" s="5" t="s">
        <v>531</v>
      </c>
      <c r="J22" s="5" t="s">
        <v>532</v>
      </c>
    </row>
    <row r="23" spans="1:11">
      <c r="A23" s="138"/>
      <c r="B23" s="146" t="s">
        <v>121</v>
      </c>
      <c r="C23" s="150"/>
      <c r="D23" s="141" t="str">
        <f>HYPERLINK("Mapping_Invoice.xls#Invoice_Header_Parties_SupplierParty_Contacts_Contact_Person_PersonName","[HR-XML/SETU]")</f>
        <v>[HR-XML/SETU]</v>
      </c>
      <c r="E23" s="142" t="str">
        <f>HYPERLINK("Invoice.xls#doc_Invoice_cac_SellerSupplierParty_cac_Party_cac_Contact_cbc_Name","[UBL_NL]")</f>
        <v>[UBL_NL]</v>
      </c>
      <c r="F23" s="66" t="s">
        <v>653</v>
      </c>
      <c r="G23" s="34" t="s">
        <v>662</v>
      </c>
      <c r="H23" s="100" t="s">
        <v>98</v>
      </c>
      <c r="I23" s="5" t="s">
        <v>533</v>
      </c>
      <c r="J23" s="5" t="s">
        <v>534</v>
      </c>
    </row>
    <row r="24" spans="1:11" s="65" customFormat="1" ht="11.25" customHeight="1">
      <c r="A24" s="152" t="s">
        <v>26</v>
      </c>
      <c r="B24" s="153"/>
      <c r="C24" s="154"/>
      <c r="D24" s="154" t="str">
        <f>HYPERLINK("Mapping_Invoice.xls#Invoice_Header_Parties_CustomerParty","[HR-XML/SETU]")</f>
        <v>[HR-XML/SETU]</v>
      </c>
      <c r="E24" s="155" t="str">
        <f>HYPERLINK("Invoice.xls#doc_Invoice_cac_BuyerCustomerParty","[UBL_NL]")</f>
        <v>[UBL_NL]</v>
      </c>
      <c r="F24" s="66"/>
      <c r="G24" s="66"/>
      <c r="H24" s="101"/>
      <c r="I24" s="65" t="s">
        <v>535</v>
      </c>
      <c r="J24" s="5" t="s">
        <v>536</v>
      </c>
    </row>
    <row r="25" spans="1:11" s="65" customFormat="1" ht="11.25" customHeight="1">
      <c r="A25" s="152"/>
      <c r="B25" s="36" t="s">
        <v>28</v>
      </c>
      <c r="C25" s="244" t="s">
        <v>783</v>
      </c>
      <c r="D25" s="66" t="str">
        <f>HYPERLINK("Mapping_Invoice.xls#Invoice_Header_Parties_CustomerParty_PartyId_Id","[HR-XML/SETU]")</f>
        <v>[HR-XML/SETU]</v>
      </c>
      <c r="E25" s="66" t="str">
        <f>HYPERLINK("Invoice.xls#doc_Invoice_cac_BuyerCustomerParty_cbc_SupplierAssignedAccountID","[UBL_NL]")</f>
        <v>[UBL_NL]</v>
      </c>
      <c r="F25" s="66"/>
      <c r="G25" s="66"/>
      <c r="H25" s="101" t="s">
        <v>98</v>
      </c>
      <c r="I25" s="65" t="s">
        <v>821</v>
      </c>
      <c r="J25" s="5" t="s">
        <v>822</v>
      </c>
    </row>
    <row r="26" spans="1:11">
      <c r="A26" s="138"/>
      <c r="B26" s="143" t="s">
        <v>21</v>
      </c>
      <c r="C26" s="141"/>
      <c r="D26" s="141" t="str">
        <f>HYPERLINK("Mapping_Invoice.xls#Invoice_Header_Parties_CustomerParty_Name","[HR-XML/SETU]")</f>
        <v>[HR-XML/SETU]</v>
      </c>
      <c r="E26" s="142" t="str">
        <f>HYPERLINK("Invoice.xls#doc_Invoice_cac_BuyerCustomerParty_cac_Party_cac_PartyName_cbc_Name","[UBL_NL]")</f>
        <v>[UBL_NL]</v>
      </c>
      <c r="F26" s="34" t="s">
        <v>654</v>
      </c>
      <c r="G26" s="34" t="s">
        <v>654</v>
      </c>
      <c r="H26" s="100" t="s">
        <v>94</v>
      </c>
      <c r="I26" s="5" t="s">
        <v>537</v>
      </c>
      <c r="J26" s="5" t="s">
        <v>538</v>
      </c>
      <c r="K26" s="64"/>
    </row>
    <row r="27" spans="1:11">
      <c r="A27" s="138"/>
      <c r="B27" s="143" t="s">
        <v>331</v>
      </c>
      <c r="C27" s="141"/>
      <c r="D27" s="141" t="str">
        <f>HYPERLINK("Mapping_Invoice.xls#Invoice_Header_Parties_BillToParty_Addresses","[HR-XML/SETU]")</f>
        <v>[HR-XML/SETU]</v>
      </c>
      <c r="E27" s="142" t="str">
        <f>HYPERLINK("Invoice.xls#doc_Invoice_cac_AccountingCustomerParty_cac_Party_cac_PostalAddress","[UBL_NL]")</f>
        <v>[UBL_NL]</v>
      </c>
      <c r="F27" s="34" t="s">
        <v>655</v>
      </c>
      <c r="G27" s="34" t="s">
        <v>655</v>
      </c>
      <c r="H27" s="100" t="s">
        <v>94</v>
      </c>
      <c r="I27" s="5" t="s">
        <v>539</v>
      </c>
      <c r="J27" s="5" t="s">
        <v>540</v>
      </c>
      <c r="K27" s="64"/>
    </row>
    <row r="28" spans="1:11">
      <c r="A28" s="138"/>
      <c r="B28" s="146" t="s">
        <v>127</v>
      </c>
      <c r="C28" s="141"/>
      <c r="D28" s="141" t="str">
        <f>HYPERLINK("Mapping_Invoice.xls#Invoice_Header_Parties_CustomerParty_Addresses","[HR-XML/SETU]")</f>
        <v>[HR-XML/SETU]</v>
      </c>
      <c r="E28" s="142" t="str">
        <f>HYPERLINK("Invoice.xls#doc_Invoice_cac_Delivery_cac_DeliveryAddress","[UBL_NL]")</f>
        <v>[UBL_NL]</v>
      </c>
      <c r="F28" s="34" t="s">
        <v>656</v>
      </c>
      <c r="G28" s="34" t="s">
        <v>656</v>
      </c>
      <c r="H28" s="100" t="s">
        <v>98</v>
      </c>
      <c r="I28" s="5" t="s">
        <v>541</v>
      </c>
      <c r="J28" s="5" t="s">
        <v>542</v>
      </c>
    </row>
    <row r="29" spans="1:11">
      <c r="A29" s="138"/>
      <c r="B29" s="140" t="s">
        <v>130</v>
      </c>
      <c r="C29" s="145" t="s">
        <v>543</v>
      </c>
      <c r="D29" s="141" t="str">
        <f>HYPERLINK("Mapping_Invoice.xls#Invoice_Header_Parties_CustomerParty_Contacts_Contact_Person_PersonName","[HR-XML/SETU]")</f>
        <v>[HR-XML/SETU]</v>
      </c>
      <c r="E29" s="142" t="str">
        <f>HYPERLINK("Invoice.xls#doc_Invoice_cac_BuyerCustomerParty_cac_Party_cac_Contact_cbc_Name","[UBL_NL]")</f>
        <v>[UBL_NL]</v>
      </c>
      <c r="F29" s="34" t="s">
        <v>657</v>
      </c>
      <c r="G29" s="34" t="s">
        <v>657</v>
      </c>
      <c r="H29" s="100" t="s">
        <v>94</v>
      </c>
      <c r="I29" s="5" t="s">
        <v>544</v>
      </c>
      <c r="J29" s="5" t="s">
        <v>545</v>
      </c>
    </row>
    <row r="30" spans="1:11">
      <c r="A30" s="138"/>
      <c r="B30" s="143" t="s">
        <v>212</v>
      </c>
      <c r="C30" s="151" t="s">
        <v>546</v>
      </c>
      <c r="D30" s="141" t="str">
        <f>HYPERLINK("Mapping_Invoice.xls#Invoice_Header_Parties_CustomerParty_TaxId","[HR-XML/SETU]")</f>
        <v>[HR-XML/SETU]</v>
      </c>
      <c r="E30" s="142" t="str">
        <f>HYPERLINK("Invoice.xls#doc_Invoice_cac_BuyerCustomerParty_cac_Party_cac_PartyIdentification_cbc_ID","[UBL_NL]")</f>
        <v>[UBL_NL]</v>
      </c>
      <c r="F30" s="34" t="s">
        <v>658</v>
      </c>
      <c r="G30" s="34" t="s">
        <v>658</v>
      </c>
      <c r="H30" s="100" t="s">
        <v>94</v>
      </c>
      <c r="I30" s="5" t="s">
        <v>547</v>
      </c>
      <c r="J30" s="5" t="s">
        <v>548</v>
      </c>
    </row>
    <row r="31" spans="1:11">
      <c r="A31" s="138"/>
      <c r="B31" s="143" t="s">
        <v>23</v>
      </c>
      <c r="C31" s="151" t="s">
        <v>640</v>
      </c>
      <c r="D31" s="141"/>
      <c r="E31" s="142" t="str">
        <f>HYPERLINK("Invoice.xls#doc_Invoice_cac_BuyerCustomerParty_cac_Party_cac_PartyIdentification_cbc_ID","[UBL_NL]")</f>
        <v>[UBL_NL]</v>
      </c>
      <c r="G31" s="130" t="s">
        <v>665</v>
      </c>
      <c r="H31" s="100" t="s">
        <v>94</v>
      </c>
      <c r="J31" s="5" t="s">
        <v>548</v>
      </c>
    </row>
    <row r="32" spans="1:11">
      <c r="A32" s="138" t="s">
        <v>413</v>
      </c>
      <c r="B32" s="140"/>
      <c r="C32" s="145"/>
      <c r="D32" s="141"/>
      <c r="E32" s="142" t="str">
        <f>HYPERLINK("Invoice.xls#doc_Invoice_cac_AllowanceCharge","[UBL_NL]")</f>
        <v>[UBL_NL]</v>
      </c>
      <c r="J32" s="5" t="s">
        <v>549</v>
      </c>
    </row>
    <row r="33" spans="1:10">
      <c r="A33" s="138"/>
      <c r="B33" s="143" t="s">
        <v>233</v>
      </c>
      <c r="C33" s="151" t="s">
        <v>550</v>
      </c>
      <c r="D33" s="141" t="str">
        <f>HYPERLINK("Mapping_Invoice.xls#Invoice_Header_PaymentTerms_DiscountAmount","[HR-XML/SETU]")</f>
        <v>[HR-XML/SETU]</v>
      </c>
      <c r="E33" s="142" t="str">
        <f>HYPERLINK("Invoice.xls#doc_Invoice_cac_AllowanceCharge_cbc_Amount","[UBL_NL]")</f>
        <v>[UBL_NL]</v>
      </c>
      <c r="F33" s="34">
        <v>45</v>
      </c>
      <c r="G33" s="34" t="s">
        <v>663</v>
      </c>
      <c r="H33" s="100" t="s">
        <v>94</v>
      </c>
      <c r="I33" s="5" t="s">
        <v>551</v>
      </c>
      <c r="J33" s="5" t="s">
        <v>552</v>
      </c>
    </row>
    <row r="34" spans="1:10">
      <c r="A34" s="138"/>
      <c r="B34" s="143" t="s">
        <v>638</v>
      </c>
      <c r="C34" s="141"/>
      <c r="D34" s="141" t="str">
        <f>HYPERLINK("Mapping_Invoice.xls#Invoice_Header_PaymentTerms_DiscountAmount","[HR-XML/SETU]")</f>
        <v>[HR-XML/SETU]</v>
      </c>
      <c r="E34" s="142" t="str">
        <f>HYPERLINK("Invoice.xls#doc_Invoice_cac_AllowanceCharge_cbc_ChargeIndicator","[UBL_NL]")</f>
        <v>[UBL_NL]</v>
      </c>
      <c r="F34" s="34" t="s">
        <v>664</v>
      </c>
      <c r="G34" s="34" t="s">
        <v>664</v>
      </c>
      <c r="H34" s="100" t="s">
        <v>94</v>
      </c>
      <c r="I34" s="5" t="s">
        <v>551</v>
      </c>
      <c r="J34" s="5" t="s">
        <v>553</v>
      </c>
    </row>
    <row r="35" spans="1:10">
      <c r="A35" s="138"/>
      <c r="B35" s="146" t="s">
        <v>554</v>
      </c>
      <c r="C35" s="149" t="s">
        <v>237</v>
      </c>
      <c r="D35" s="141"/>
      <c r="E35" s="142" t="str">
        <f>HYPERLINK("Invoice.xls#doc_Invoice_cac_TaxTotal_cac_TaxSubtotal_cbc_TaxAmount","[UBL_NL]")</f>
        <v>[UBL_NL]</v>
      </c>
      <c r="H35" s="100" t="s">
        <v>98</v>
      </c>
      <c r="J35" s="5" t="s">
        <v>555</v>
      </c>
    </row>
    <row r="36" spans="1:10">
      <c r="A36" s="138"/>
      <c r="B36" s="146" t="s">
        <v>43</v>
      </c>
      <c r="C36" s="149" t="s">
        <v>237</v>
      </c>
      <c r="D36" s="141"/>
      <c r="E36" s="142" t="str">
        <f>HYPERLINK("Invoice.xls#doc_Invoice_cac_TaxTotal_cac_TaxSubtotal_cac_TaxCategory_cac_TaxScheme_cbc_Name","[UBL_NL]")</f>
        <v>[UBL_NL]</v>
      </c>
      <c r="J36" s="5" t="s">
        <v>556</v>
      </c>
    </row>
    <row r="37" spans="1:10">
      <c r="A37" s="138"/>
      <c r="B37" s="146" t="s">
        <v>41</v>
      </c>
      <c r="C37" s="149" t="s">
        <v>237</v>
      </c>
      <c r="D37" s="141"/>
      <c r="E37" s="142" t="str">
        <f>HYPERLINK("Invoice.xls#doc_Invoice_cac_TaxTotal_cac_TaxSubtotal_cac_TaxCategory_cbc_Percent","[UBL_NL]")</f>
        <v>[UBL_NL]</v>
      </c>
      <c r="J37" s="5" t="s">
        <v>557</v>
      </c>
    </row>
    <row r="38" spans="1:10">
      <c r="A38" s="138"/>
      <c r="B38" s="143" t="s">
        <v>242</v>
      </c>
      <c r="C38" s="151" t="s">
        <v>550</v>
      </c>
      <c r="D38" s="141" t="str">
        <f>HYPERLINK("Mapping_Invoice.xls#Invoice_Header_PaymentTerms_DiscountAmount","[HR-XML/SETU]")</f>
        <v>[HR-XML/SETU]</v>
      </c>
      <c r="E38" s="142" t="str">
        <f>HYPERLINK("Invoice.xls#doc_Invoice_cac_AllowanceCharge_cbc_Amount","[UBL_NL]")</f>
        <v>[UBL_NL]</v>
      </c>
      <c r="F38" s="131">
        <v>350</v>
      </c>
      <c r="G38" s="131">
        <v>25</v>
      </c>
      <c r="H38" s="100" t="s">
        <v>94</v>
      </c>
      <c r="I38" s="5" t="s">
        <v>551</v>
      </c>
      <c r="J38" s="5" t="s">
        <v>552</v>
      </c>
    </row>
    <row r="39" spans="1:10">
      <c r="A39" s="138"/>
      <c r="B39" s="143" t="s">
        <v>637</v>
      </c>
      <c r="C39" s="141"/>
      <c r="D39" s="141" t="str">
        <f>HYPERLINK("Mapping_Invoice.xls#Invoice_Header_PaymentTerms_DiscountAmount","[HR-XML/SETU]")</f>
        <v>[HR-XML/SETU]</v>
      </c>
      <c r="E39" s="142" t="str">
        <f>HYPERLINK("Invoice.xls#doc_Invoice_cac_AllowanceCharge_cbc_ChargeIndicator","[UBL_NL]")</f>
        <v>[UBL_NL]</v>
      </c>
      <c r="F39" s="34" t="s">
        <v>664</v>
      </c>
      <c r="G39" s="34" t="s">
        <v>664</v>
      </c>
      <c r="H39" s="100" t="s">
        <v>94</v>
      </c>
      <c r="I39" s="5" t="s">
        <v>551</v>
      </c>
      <c r="J39" s="5" t="s">
        <v>553</v>
      </c>
    </row>
    <row r="40" spans="1:10">
      <c r="A40" s="138" t="s">
        <v>33</v>
      </c>
      <c r="B40" s="140"/>
      <c r="C40" s="145" t="s">
        <v>558</v>
      </c>
      <c r="D40" s="141"/>
      <c r="E40" s="142" t="str">
        <f>HYPERLINK("Invoice.xls#doc_Invoice_cac_LegalMonetaryTotal","[UBL_NL]")</f>
        <v>[UBL_NL]</v>
      </c>
      <c r="J40" s="5" t="s">
        <v>559</v>
      </c>
    </row>
    <row r="41" spans="1:10">
      <c r="A41" s="138"/>
      <c r="B41" s="143" t="s">
        <v>60</v>
      </c>
      <c r="C41" s="141"/>
      <c r="D41" s="141" t="str">
        <f>HYPERLINK("Mapping_Invoice.xls#Invoice_Header_Tax_PercentQuantity","[HR-XML/SETU]")</f>
        <v>[HR-XML/SETU]</v>
      </c>
      <c r="E41" s="142" t="str">
        <f>HYPERLINK("Invoice.xls#doc_Invoice_cac_TaxTotal_cac_TaxSubtotal_cac_TaxCategory_cbc_Percent","[UBL_NL]")</f>
        <v>[UBL_NL]</v>
      </c>
      <c r="F41" s="179">
        <v>0.2</v>
      </c>
      <c r="G41" s="179">
        <v>0.17</v>
      </c>
      <c r="H41" s="100" t="s">
        <v>94</v>
      </c>
      <c r="I41" s="5" t="s">
        <v>560</v>
      </c>
      <c r="J41" s="5" t="s">
        <v>557</v>
      </c>
    </row>
    <row r="42" spans="1:10" ht="12.75">
      <c r="A42" s="138"/>
      <c r="B42" s="143" t="s">
        <v>561</v>
      </c>
      <c r="C42" s="141"/>
      <c r="D42" s="141"/>
      <c r="E42" s="142" t="str">
        <f>HYPERLINK("Invoice.xls#doc_Invoice_cac_LegalMonetaryTotal_cbc_TaxExclusiveAmount","[UBL_NL]")</f>
        <v>[UBL_NL]</v>
      </c>
      <c r="F42" s="131">
        <v>1645</v>
      </c>
      <c r="G42" s="131">
        <v>1994</v>
      </c>
      <c r="H42" s="100" t="s">
        <v>94</v>
      </c>
      <c r="I42" s="38"/>
      <c r="J42" s="5" t="s">
        <v>562</v>
      </c>
    </row>
    <row r="43" spans="1:10">
      <c r="A43" s="138"/>
      <c r="B43" s="143" t="s">
        <v>245</v>
      </c>
      <c r="C43" s="151" t="s">
        <v>563</v>
      </c>
      <c r="D43" s="141" t="str">
        <f>HYPERLINK("Mapping_Invoice.xls#Invoice_Header_TotalTax","[HR-XML/SETU]")</f>
        <v>[HR-XML/SETU]</v>
      </c>
      <c r="E43" s="142" t="str">
        <f>HYPERLINK("Invoice.xls#doc_Invoice_cac_TaxTotal_cac_TaxSubtotal_cbc_TaxAmount","[UBL_NL]")</f>
        <v>[UBL_NL]</v>
      </c>
      <c r="F43" s="131">
        <v>329</v>
      </c>
      <c r="G43" s="131">
        <v>338.98</v>
      </c>
      <c r="H43" s="100" t="s">
        <v>94</v>
      </c>
      <c r="I43" s="5" t="s">
        <v>564</v>
      </c>
      <c r="J43" s="5" t="s">
        <v>555</v>
      </c>
    </row>
    <row r="44" spans="1:10">
      <c r="A44" s="138"/>
      <c r="B44" s="143" t="s">
        <v>565</v>
      </c>
      <c r="C44" s="151" t="s">
        <v>639</v>
      </c>
      <c r="D44" s="141"/>
      <c r="E44" s="142" t="str">
        <f>HYPERLINK("Invoice.xls#doc_Invoice_cac_TaxTotal_cac_TaxSubtotal_cac_TaxCategory_cac_TaxScheme_cbc_Name","[UBL_NL]")</f>
        <v>[UBL_NL]</v>
      </c>
      <c r="F44" s="34" t="s">
        <v>666</v>
      </c>
      <c r="G44" s="34" t="s">
        <v>666</v>
      </c>
      <c r="H44" s="100" t="s">
        <v>94</v>
      </c>
      <c r="J44" s="5" t="s">
        <v>556</v>
      </c>
    </row>
    <row r="45" spans="1:10">
      <c r="A45" s="138"/>
      <c r="B45" s="146" t="s">
        <v>566</v>
      </c>
      <c r="C45" s="149" t="s">
        <v>642</v>
      </c>
      <c r="D45" s="141" t="str">
        <f>HYPERLINK("Mapping_Invoice.xls#Invoice_Header_TotalAmount","[HR-XML/SETU]")</f>
        <v>[HR-XML/SETU]</v>
      </c>
      <c r="E45" s="142" t="str">
        <f>HYPERLINK("Invoice.xls#doc_Invoice_cac_LegalMonetaryTotal_cbc_PayableAmount","[UBL_NL]")</f>
        <v>[UBL_NL]</v>
      </c>
      <c r="F45" s="131">
        <v>1974</v>
      </c>
      <c r="G45" s="131">
        <v>2379.6396</v>
      </c>
      <c r="H45" s="100" t="s">
        <v>98</v>
      </c>
      <c r="I45" s="5" t="s">
        <v>567</v>
      </c>
      <c r="J45" s="5" t="s">
        <v>568</v>
      </c>
    </row>
    <row r="46" spans="1:10">
      <c r="A46" s="156"/>
      <c r="B46" s="140"/>
      <c r="C46" s="141"/>
      <c r="D46" s="141"/>
      <c r="E46" s="142"/>
    </row>
    <row r="47" spans="1:10">
      <c r="A47" s="139" t="s">
        <v>569</v>
      </c>
      <c r="B47" s="140"/>
      <c r="C47" s="141"/>
      <c r="D47" s="141" t="str">
        <f>HYPERLINK("Mapping_Invoice.xls#Invoice_Line","[HR-XML/SETU]")</f>
        <v>[HR-XML/SETU]</v>
      </c>
      <c r="E47" s="142" t="str">
        <f>HYPERLINK("Invoice.xls#doc_Invoice_cac_InvoiceLine","[UBL_NL]")</f>
        <v>[UBL_NL]</v>
      </c>
      <c r="I47" s="5" t="s">
        <v>570</v>
      </c>
      <c r="J47" s="5" t="s">
        <v>571</v>
      </c>
    </row>
    <row r="48" spans="1:10">
      <c r="A48" s="139"/>
      <c r="B48" s="59" t="s">
        <v>48</v>
      </c>
      <c r="C48" s="141"/>
      <c r="D48" s="141" t="str">
        <f>HYPERLINK("Mapping_Invoice.xls#Invoice_Line_LineNumber","[HR-XML/SETU]")</f>
        <v>[HR-XML/SETU]</v>
      </c>
      <c r="E48" s="142" t="str">
        <f>HYPERLINK("Invoice.xls#doc_Invoice_cac_InvoiceLine_cbc_ID","[UBL_NL]")</f>
        <v>[UBL_NL]</v>
      </c>
      <c r="F48" s="130" t="s">
        <v>667</v>
      </c>
      <c r="G48" s="34">
        <v>1000</v>
      </c>
      <c r="I48" s="5" t="s">
        <v>572</v>
      </c>
      <c r="J48" s="5" t="s">
        <v>573</v>
      </c>
    </row>
    <row r="49" spans="1:10">
      <c r="A49" s="138" t="s">
        <v>50</v>
      </c>
      <c r="B49" s="140"/>
      <c r="C49" s="141"/>
      <c r="D49" s="141"/>
      <c r="E49" s="142" t="str">
        <f>HYPERLINK("Invoice.xls#doc_Invoice_cac_InvoiceLine_cac_Item","[UBL_NL]")</f>
        <v>[UBL_NL]</v>
      </c>
      <c r="J49" s="5" t="s">
        <v>574</v>
      </c>
    </row>
    <row r="50" spans="1:10">
      <c r="A50" s="138"/>
      <c r="B50" s="143" t="s">
        <v>356</v>
      </c>
      <c r="C50" s="151" t="s">
        <v>575</v>
      </c>
      <c r="D50" s="141" t="str">
        <f>HYPERLINK("Mapping_Invoice.xls#Invoice_Line_Description","[HR-XML/SETU]")</f>
        <v>[HR-XML/SETU]</v>
      </c>
      <c r="E50" s="142" t="str">
        <f>HYPERLINK("Invoice.xls#doc_Invoice_cac_InvoiceLine_cac_Item_cbc_Description","[UBL_NL]")</f>
        <v>[UBL_NL]</v>
      </c>
      <c r="F50" s="34" t="s">
        <v>659</v>
      </c>
      <c r="H50" s="100" t="s">
        <v>94</v>
      </c>
      <c r="I50" s="5" t="s">
        <v>576</v>
      </c>
      <c r="J50" s="5" t="s">
        <v>577</v>
      </c>
    </row>
    <row r="51" spans="1:10">
      <c r="A51" s="138"/>
      <c r="B51" s="98" t="s">
        <v>578</v>
      </c>
      <c r="C51" s="99" t="s">
        <v>575</v>
      </c>
      <c r="D51" s="141"/>
      <c r="E51" s="142" t="str">
        <f>HYPERLINK("Invoice.xls#doc_Invoice_cac_InvoiceLine_cac_Item_cac_SellersItemIdentification_cbc_ID","[UBL_NL]")</f>
        <v>[UBL_NL]</v>
      </c>
      <c r="G51" s="34">
        <v>100</v>
      </c>
      <c r="J51" s="5" t="s">
        <v>579</v>
      </c>
    </row>
    <row r="52" spans="1:10">
      <c r="A52" s="138"/>
      <c r="B52" s="143" t="s">
        <v>53</v>
      </c>
      <c r="C52" s="151" t="s">
        <v>154</v>
      </c>
      <c r="D52" s="141" t="str">
        <f>HYPERLINK("Mapping_Invoice.xls#Invoice_Line_ItemQuantity","[HR-XML/SETU]")</f>
        <v>[HR-XML/SETU]</v>
      </c>
      <c r="E52" s="142" t="str">
        <f>HYPERLINK("Invoice.xls#doc_Invoice_cac_InvoiceLine_cbc_InvoicedQuantity","[UBL_NL]")</f>
        <v>[UBL_NL]</v>
      </c>
      <c r="F52" s="34" t="s">
        <v>670</v>
      </c>
      <c r="G52" s="34" t="s">
        <v>671</v>
      </c>
      <c r="H52" s="100" t="s">
        <v>94</v>
      </c>
      <c r="I52" s="5" t="s">
        <v>580</v>
      </c>
      <c r="J52" s="5" t="s">
        <v>581</v>
      </c>
    </row>
    <row r="53" spans="1:10">
      <c r="A53" s="138"/>
      <c r="B53" s="143" t="s">
        <v>582</v>
      </c>
      <c r="C53" s="151" t="s">
        <v>583</v>
      </c>
      <c r="D53" s="141" t="str">
        <f>HYPERLINK("Mapping_Invoice.xls#Invoice_Line_UserArea_TimeCard_ReportedTime","[HR-XML/SETU]")</f>
        <v>[HR-XML/SETU]</v>
      </c>
      <c r="E53" s="142" t="str">
        <f>HYPERLINK("Invoice.xls#doc_Invoice_cac_Delivery_cbc_ActualDeliveryDate","[UBL_NL]")</f>
        <v>[UBL_NL]</v>
      </c>
      <c r="F53" s="132">
        <v>40929</v>
      </c>
      <c r="G53" s="132">
        <v>40929</v>
      </c>
      <c r="H53" s="100" t="s">
        <v>94</v>
      </c>
      <c r="I53" s="5" t="s">
        <v>584</v>
      </c>
      <c r="J53" s="5" t="s">
        <v>585</v>
      </c>
    </row>
    <row r="54" spans="1:10">
      <c r="A54" s="138"/>
      <c r="B54" s="146" t="s">
        <v>586</v>
      </c>
      <c r="C54" s="149" t="s">
        <v>587</v>
      </c>
      <c r="D54" s="141" t="str">
        <f>HYPERLINK("Mapping_Invoice.xls#Invoice_Line_UserArea_StaffingAdditionalData_CustomerReportingRequirements_PurchaseOrderLineItem","[HR-XML/SETU]")</f>
        <v>[HR-XML/SETU]</v>
      </c>
      <c r="E54" s="142" t="str">
        <f>HYPERLINK("Invoice.xls#doc_Invoice_cac_InvoiceLine_cac_OrderLineReference_cbc_LineID","[UBL_NL]")</f>
        <v>[UBL_NL]</v>
      </c>
      <c r="F54" s="34" t="s">
        <v>660</v>
      </c>
      <c r="G54" s="34" t="s">
        <v>67</v>
      </c>
      <c r="H54" s="100" t="s">
        <v>98</v>
      </c>
      <c r="I54" s="5" t="s">
        <v>588</v>
      </c>
      <c r="J54" s="5" t="s">
        <v>589</v>
      </c>
    </row>
    <row r="55" spans="1:10">
      <c r="A55" s="138"/>
      <c r="B55" s="146" t="s">
        <v>410</v>
      </c>
      <c r="C55" s="149" t="s">
        <v>590</v>
      </c>
      <c r="D55" s="141" t="str">
        <f>HYPERLINK("Mapping_Invoice.xls#Invoice_Line_UserArea_StaffingAdditionalData_CustomerReportingRequirements_PurchaseOrderNumber","[HR-XML/SETU]")</f>
        <v>[HR-XML/SETU]</v>
      </c>
      <c r="E55" s="142" t="str">
        <f>HYPERLINK("Invoice.xls#doc_Invoice_cac_InvoiceLine_cac_OrderLineReference_cac_OrderReference_cbc_ID","[UBL_NL]")</f>
        <v>[UBL_NL]</v>
      </c>
      <c r="F55" s="34" t="s">
        <v>661</v>
      </c>
      <c r="G55" s="34" t="s">
        <v>668</v>
      </c>
      <c r="I55" s="5" t="s">
        <v>591</v>
      </c>
      <c r="J55" s="5" t="s">
        <v>592</v>
      </c>
    </row>
    <row r="56" spans="1:10" ht="12.75">
      <c r="A56" s="138" t="s">
        <v>276</v>
      </c>
      <c r="B56" s="140"/>
      <c r="C56" s="141"/>
      <c r="D56" s="141"/>
      <c r="E56" s="142" t="str">
        <f>HYPERLINK("Invoice.xls#doc_Invoice_cac_InvoiceLine_cac_Price","[UBL_NL]")</f>
        <v>[UBL_NL]</v>
      </c>
      <c r="I56" s="38"/>
      <c r="J56" s="5" t="s">
        <v>593</v>
      </c>
    </row>
    <row r="57" spans="1:10">
      <c r="A57" s="138"/>
      <c r="B57" s="143" t="s">
        <v>594</v>
      </c>
      <c r="C57" s="141"/>
      <c r="D57" s="141" t="str">
        <f>HYPERLINK("Mapping_Invoice.xls#Invoice_Line_Price_Amount","[HR-XML/SETU]")</f>
        <v>[HR-XML/SETU]</v>
      </c>
      <c r="E57" s="142" t="str">
        <f>HYPERLINK("Invoice.xls#doc_Invoice_cac_InvoiceLine_cac_Price_cbc_PriceAmount","[UBL_NL]")</f>
        <v>[UBL_NL]</v>
      </c>
      <c r="F57" s="131">
        <v>195</v>
      </c>
      <c r="G57" s="131">
        <v>200</v>
      </c>
      <c r="H57" s="100" t="s">
        <v>94</v>
      </c>
      <c r="I57" s="5" t="s">
        <v>595</v>
      </c>
      <c r="J57" s="5" t="s">
        <v>596</v>
      </c>
    </row>
    <row r="58" spans="1:10">
      <c r="A58" s="138"/>
      <c r="B58" s="146" t="s">
        <v>597</v>
      </c>
      <c r="C58" s="150"/>
      <c r="D58" s="141" t="str">
        <f>HYPERLINK("Mapping_Invoice.xls#Invoice_Line_Tax_PercentQuantity","[HR-XML/SETU]")</f>
        <v>[HR-XML/SETU]</v>
      </c>
      <c r="E58" s="142" t="str">
        <f>HYPERLINK("Invoice.xls#doc_Invoice_cac_InvoiceLine_cac_Item_cac_ClassifiedTaxCategory_cbc_Percent","[UBL_NL]")</f>
        <v>[UBL_NL]</v>
      </c>
      <c r="G58" s="179">
        <v>0.17</v>
      </c>
      <c r="H58" s="100" t="s">
        <v>98</v>
      </c>
      <c r="I58" s="5" t="s">
        <v>598</v>
      </c>
      <c r="J58" s="5" t="s">
        <v>599</v>
      </c>
    </row>
    <row r="59" spans="1:10">
      <c r="A59" s="138"/>
      <c r="B59" s="146" t="s">
        <v>565</v>
      </c>
      <c r="C59" s="149" t="s">
        <v>639</v>
      </c>
      <c r="D59" s="141"/>
      <c r="E59" s="142" t="str">
        <f>HYPERLINK("Invoice.xls#doc_Invoice_cac_InvoiceLine_cac_Item_cac_ClassifiedTaxCategory_cac_TaxScheme_cbc_Name","[UBL_NL]")</f>
        <v>[UBL_NL]</v>
      </c>
      <c r="G59" s="34" t="s">
        <v>666</v>
      </c>
      <c r="J59" s="5" t="s">
        <v>600</v>
      </c>
    </row>
    <row r="60" spans="1:10">
      <c r="A60" s="138"/>
      <c r="B60" s="140" t="s">
        <v>14</v>
      </c>
      <c r="C60" s="145"/>
      <c r="D60" s="141" t="str">
        <f>HYPERLINK("Mapping_Invoice.xls#Invoice_Line_Price_Amount_currency","[HR-XML/SETU]")</f>
        <v>[HR-XML/SETU]</v>
      </c>
      <c r="E60" s="142" t="str">
        <f>HYPERLINK("Invoice.xls#doc_Invoice_cac_InvoiceLine_cac_Price_cbc_PriceAmount_currencyID","[UBL_NL]")</f>
        <v>[UBL_NL]</v>
      </c>
      <c r="F60" s="34" t="s">
        <v>610</v>
      </c>
      <c r="H60" s="100" t="s">
        <v>94</v>
      </c>
      <c r="I60" s="5" t="s">
        <v>601</v>
      </c>
      <c r="J60" s="5" t="s">
        <v>602</v>
      </c>
    </row>
    <row r="61" spans="1:10">
      <c r="A61" s="138" t="s">
        <v>413</v>
      </c>
      <c r="B61" s="140"/>
      <c r="C61" s="141"/>
      <c r="D61" s="141"/>
      <c r="E61" s="142" t="str">
        <f>HYPERLINK("Invoice.xls#doc_Invoice_cac_InvoiceLine_cac_AllowanceCharge","[UBL_NL]")</f>
        <v>[UBL_NL]</v>
      </c>
      <c r="J61" s="5" t="s">
        <v>603</v>
      </c>
    </row>
    <row r="62" spans="1:10">
      <c r="A62" s="138"/>
      <c r="B62" s="143" t="s">
        <v>233</v>
      </c>
      <c r="C62" s="151" t="s">
        <v>604</v>
      </c>
      <c r="D62" s="141"/>
      <c r="E62" s="142" t="str">
        <f>HYPERLINK("Invoice.xls#doc_Invoice_cac_InvoiceLine_cac_AllowanceCharge_cbc_Amount","[UBL_NL]")</f>
        <v>[UBL_NL]</v>
      </c>
      <c r="G62" s="131">
        <v>22</v>
      </c>
      <c r="H62" s="100" t="s">
        <v>94</v>
      </c>
      <c r="J62" s="5" t="s">
        <v>605</v>
      </c>
    </row>
    <row r="63" spans="1:10">
      <c r="A63" s="138"/>
      <c r="B63" s="143" t="s">
        <v>638</v>
      </c>
      <c r="C63" s="141"/>
      <c r="D63" s="141"/>
      <c r="E63" s="142" t="str">
        <f>HYPERLINK("Invoice.xls#doc_Invoice_cac_InvoiceLine_cac_AllowanceCharge_cbc_ChargeIndicator","[UBL_NL]")</f>
        <v>[UBL_NL]</v>
      </c>
      <c r="G63" s="34" t="s">
        <v>664</v>
      </c>
      <c r="H63" s="100" t="s">
        <v>94</v>
      </c>
      <c r="J63" s="5" t="s">
        <v>606</v>
      </c>
    </row>
    <row r="64" spans="1:10">
      <c r="A64" s="138"/>
      <c r="B64" s="146" t="s">
        <v>236</v>
      </c>
      <c r="C64" s="149" t="s">
        <v>641</v>
      </c>
      <c r="D64" s="141" t="str">
        <f>HYPERLINK("Mapping_Invoice.xls#Invoice_Line_Tax_TaxAmount","[HR-XML/SETU]")</f>
        <v>[HR-XML/SETU]</v>
      </c>
      <c r="E64" s="142" t="str">
        <f>HYPERLINK("Invoice.xls#doc_Invoice_cac_InvoiceLine_cac_Item_cac_ClassifiedTaxCategory_cbc_Percent","[UBL_NL]")</f>
        <v>[UBL_NL]</v>
      </c>
      <c r="H64" s="100" t="s">
        <v>98</v>
      </c>
      <c r="I64" s="5" t="s">
        <v>607</v>
      </c>
      <c r="J64" s="5" t="s">
        <v>599</v>
      </c>
    </row>
    <row r="65" spans="1:10">
      <c r="A65" s="138"/>
      <c r="B65" s="146" t="s">
        <v>43</v>
      </c>
      <c r="C65" s="149" t="s">
        <v>641</v>
      </c>
      <c r="D65" s="141"/>
      <c r="E65" s="142" t="str">
        <f>HYPERLINK("Invoice.xls#doc_Invoice_cac_InvoiceLine_cac_Item_cac_ClassifiedTaxCategory_cac_TaxScheme_cbc_Name","[UBL_NL]")</f>
        <v>[UBL_NL]</v>
      </c>
      <c r="J65" s="5" t="s">
        <v>600</v>
      </c>
    </row>
    <row r="66" spans="1:10">
      <c r="A66" s="138"/>
      <c r="B66" s="143" t="s">
        <v>242</v>
      </c>
      <c r="C66" s="151" t="s">
        <v>604</v>
      </c>
      <c r="D66" s="141"/>
      <c r="E66" s="142" t="str">
        <f>HYPERLINK("Invoice.xls#doc_Invoice_cac_InvoiceLine_cac_AllowanceCharge_cbc_Amount","[UBL_NL]")</f>
        <v>[UBL_NL]</v>
      </c>
      <c r="H66" s="100" t="s">
        <v>94</v>
      </c>
      <c r="J66" s="5" t="s">
        <v>605</v>
      </c>
    </row>
    <row r="67" spans="1:10" ht="12" thickBot="1">
      <c r="A67" s="157"/>
      <c r="B67" s="158" t="s">
        <v>637</v>
      </c>
      <c r="C67" s="159"/>
      <c r="D67" s="159"/>
      <c r="E67" s="160" t="str">
        <f>HYPERLINK("Invoice.xls#doc_Invoice_cac_InvoiceLine_cac_AllowanceCharge_cbc_ChargeIndicator","[UBL_NL]")</f>
        <v>[UBL_NL]</v>
      </c>
      <c r="G67" s="34" t="s">
        <v>669</v>
      </c>
      <c r="H67" s="100" t="s">
        <v>94</v>
      </c>
      <c r="J67" s="5" t="s">
        <v>606</v>
      </c>
    </row>
  </sheetData>
  <sheetProtection selectLockedCells="1" selectUnlockedCells="1"/>
  <mergeCells count="1">
    <mergeCell ref="B2:E2"/>
  </mergeCells>
  <hyperlinks>
    <hyperlink ref="E1" r:id="rId1" location="Invoice!a1%23Invoice!a1%23Invoice!a1%23Invoice!a1%23Invoice!a1%23Invoice!a1%23Invoice!a1%23Invoice!a1%23Invoice!a1%23Invoice!a1%23Invoice!a1%23Invoice!a1%23Invoice!a1%23Inv%23Invoice!a1%23Invoice!a1%23Invoice!a1%23Invoice!a1%23Invoice!a1%23Invoice!a1%23In"/>
  </hyperlinks>
  <pageMargins left="0.7" right="0.7" top="0.75" bottom="0.75" header="0.51180555555555551" footer="0.51180555555555551"/>
  <pageSetup paperSize="9"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selection activeCell="E12" sqref="E12"/>
    </sheetView>
  </sheetViews>
  <sheetFormatPr defaultColWidth="8.140625" defaultRowHeight="11.25" customHeight="1"/>
  <cols>
    <col min="1" max="1" width="1.28515625" style="1" customWidth="1"/>
    <col min="2" max="2" width="26.42578125" style="1" customWidth="1"/>
    <col min="3" max="3" width="42.85546875" style="2" customWidth="1"/>
    <col min="4" max="4" width="12.42578125" style="2" customWidth="1"/>
    <col min="5" max="5" width="9.140625" style="199" customWidth="1"/>
    <col min="6" max="6" width="2" style="3" customWidth="1"/>
    <col min="7" max="7" width="18" style="3" customWidth="1"/>
    <col min="8" max="8" width="2" style="3" customWidth="1"/>
    <col min="9" max="9" width="2" style="2" customWidth="1"/>
    <col min="10" max="10" width="79.42578125" style="2" bestFit="1" customWidth="1"/>
    <col min="11" max="11" width="11.5703125" style="2" customWidth="1"/>
    <col min="12" max="246" width="8.42578125" style="2" customWidth="1"/>
    <col min="247" max="247" width="1.85546875" style="2" customWidth="1"/>
    <col min="248" max="248" width="17.42578125" style="2" customWidth="1"/>
    <col min="249" max="249" width="33.85546875" style="2" customWidth="1"/>
    <col min="250" max="252" width="8.140625" style="2"/>
    <col min="253" max="253" width="8.42578125" style="2" customWidth="1"/>
    <col min="254" max="254" width="54.7109375" style="2" customWidth="1"/>
    <col min="255" max="255" width="82.85546875" style="2" customWidth="1"/>
    <col min="256" max="16384" width="8.140625" style="2"/>
  </cols>
  <sheetData>
    <row r="1" spans="1:16" s="120" customFormat="1" ht="12" customHeight="1">
      <c r="A1" s="73" t="s">
        <v>608</v>
      </c>
      <c r="B1" s="118"/>
      <c r="C1" s="119"/>
      <c r="D1" s="119"/>
      <c r="E1" s="200" t="s">
        <v>0</v>
      </c>
      <c r="F1" s="122"/>
      <c r="G1" s="4" t="s">
        <v>644</v>
      </c>
      <c r="H1" s="4"/>
      <c r="J1" s="35" t="s">
        <v>1</v>
      </c>
      <c r="K1" s="121"/>
    </row>
    <row r="2" spans="1:16" ht="11.25" customHeight="1">
      <c r="A2" s="93"/>
      <c r="B2" s="6" t="s">
        <v>635</v>
      </c>
      <c r="C2" s="7"/>
      <c r="D2" s="7"/>
      <c r="E2" s="196"/>
      <c r="F2" s="29"/>
      <c r="J2" s="34"/>
      <c r="K2" s="94"/>
    </row>
    <row r="3" spans="1:16" ht="11.25" customHeight="1">
      <c r="A3" s="75" t="s">
        <v>2</v>
      </c>
      <c r="B3" s="8"/>
      <c r="C3" s="7"/>
      <c r="D3" s="7"/>
      <c r="E3" s="196"/>
      <c r="F3" s="29"/>
      <c r="I3" s="28"/>
      <c r="J3" s="5"/>
      <c r="K3"/>
      <c r="L3" s="9"/>
      <c r="M3" s="9"/>
      <c r="N3" s="9"/>
      <c r="O3" s="9"/>
      <c r="P3" s="9"/>
    </row>
    <row r="4" spans="1:16" ht="11.25" customHeight="1">
      <c r="A4" s="76" t="s">
        <v>3</v>
      </c>
      <c r="B4" s="8"/>
      <c r="C4" s="7"/>
      <c r="D4" s="7"/>
      <c r="E4" s="197" t="str">
        <f>HYPERLINK("ApplicationResponse.xls#doc_ApplicationResponse","[UBL_NL]")</f>
        <v>[UBL_NL]</v>
      </c>
      <c r="F4" s="123"/>
      <c r="G4" s="29"/>
      <c r="H4" s="29"/>
      <c r="I4" s="9"/>
      <c r="J4" s="5" t="s">
        <v>63</v>
      </c>
      <c r="K4"/>
      <c r="L4" s="9"/>
      <c r="M4" s="9"/>
      <c r="N4" s="9"/>
      <c r="O4" s="9"/>
      <c r="P4" s="10"/>
    </row>
    <row r="5" spans="1:16" ht="11.25" customHeight="1">
      <c r="A5" s="76"/>
      <c r="B5" s="8" t="s">
        <v>64</v>
      </c>
      <c r="C5" s="13" t="s">
        <v>625</v>
      </c>
      <c r="D5" s="13"/>
      <c r="E5" s="197" t="str">
        <f>HYPERLINK("ApplicationResponse.xls#doc_ApplicationResponse_cbc_IssueDate","[UBL_NL]")</f>
        <v>[UBL_NL]</v>
      </c>
      <c r="F5" s="123"/>
      <c r="G5" s="30">
        <v>40564</v>
      </c>
      <c r="H5" s="30"/>
      <c r="I5" s="9"/>
      <c r="J5" s="5" t="s">
        <v>65</v>
      </c>
      <c r="K5"/>
      <c r="L5" s="9"/>
      <c r="M5" s="9"/>
      <c r="N5" s="9"/>
      <c r="O5" s="9"/>
      <c r="P5" s="10"/>
    </row>
    <row r="6" spans="1:16" ht="12.75" customHeight="1">
      <c r="A6" s="76"/>
      <c r="B6" s="68" t="s">
        <v>66</v>
      </c>
      <c r="C6" s="69" t="s">
        <v>626</v>
      </c>
      <c r="D6" s="17"/>
      <c r="E6" s="197" t="str">
        <f>HYPERLINK("ApplicationResponse.xls#doc_ApplicationResponse_cbc_ID","[UBL_NL]")</f>
        <v>[UBL_NL]</v>
      </c>
      <c r="F6" s="123"/>
      <c r="G6" s="29" t="s">
        <v>67</v>
      </c>
      <c r="H6" s="29"/>
      <c r="I6" s="9"/>
      <c r="J6" s="5" t="s">
        <v>68</v>
      </c>
      <c r="K6"/>
      <c r="L6" s="9"/>
      <c r="M6" s="9"/>
      <c r="N6" s="9"/>
      <c r="O6" s="9"/>
      <c r="P6" s="10"/>
    </row>
    <row r="7" spans="1:16" ht="11.25" customHeight="1">
      <c r="A7" s="76"/>
      <c r="B7" s="8" t="s">
        <v>69</v>
      </c>
      <c r="C7" s="13" t="s">
        <v>636</v>
      </c>
      <c r="D7" s="13"/>
      <c r="E7" s="197" t="str">
        <f>HYPERLINK("ApplicationResponse.xls#doc_ApplicationResponse_cac_DocumentResponse_cac_DocumentReference_cbc_ID","[UBL_NL]")</f>
        <v>[UBL_NL]</v>
      </c>
      <c r="F7" s="123"/>
      <c r="G7" s="29">
        <v>123456789</v>
      </c>
      <c r="H7" s="29"/>
      <c r="I7" s="9"/>
      <c r="J7" s="5" t="s">
        <v>70</v>
      </c>
      <c r="K7"/>
      <c r="L7" s="9"/>
      <c r="M7" s="9"/>
      <c r="N7" s="9"/>
      <c r="O7" s="9"/>
      <c r="P7" s="10"/>
    </row>
    <row r="8" spans="1:16" ht="11.25" customHeight="1">
      <c r="A8" s="76"/>
      <c r="B8" s="14" t="s">
        <v>71</v>
      </c>
      <c r="C8" s="15" t="s">
        <v>627</v>
      </c>
      <c r="D8" s="15"/>
      <c r="E8" s="197" t="str">
        <f>HYPERLINK("ApplicationResponse.xls#doc_ApplicationResponse_cac_DocumentResponse_cac_Response_cbc_ResponseCode","[UBL_NL]")</f>
        <v>[UBL_NL]</v>
      </c>
      <c r="F8" s="123"/>
      <c r="G8" s="29" t="s">
        <v>72</v>
      </c>
      <c r="H8" s="29"/>
      <c r="I8" s="9"/>
      <c r="J8" s="5" t="s">
        <v>73</v>
      </c>
      <c r="K8"/>
      <c r="L8" s="9"/>
      <c r="M8" s="9"/>
      <c r="N8" s="9"/>
      <c r="O8" s="9"/>
      <c r="P8" s="10"/>
    </row>
    <row r="9" spans="1:16" ht="11.25" customHeight="1">
      <c r="A9" s="76"/>
      <c r="B9" s="68" t="s">
        <v>74</v>
      </c>
      <c r="C9" s="69" t="s">
        <v>628</v>
      </c>
      <c r="D9" s="17"/>
      <c r="E9" s="197" t="str">
        <f>HYPERLINK("ApplicationResponse.xls#doc_ApplicationResponse_cac_DocumentResponse_cac_Response_cbc_Description","[UBL_NL]")</f>
        <v>[UBL_NL]</v>
      </c>
      <c r="F9" s="123"/>
      <c r="G9" s="29"/>
      <c r="H9" s="29"/>
      <c r="I9" s="9"/>
      <c r="J9" s="5" t="s">
        <v>75</v>
      </c>
      <c r="K9"/>
      <c r="L9" s="9"/>
      <c r="M9" s="9"/>
      <c r="N9" s="9"/>
      <c r="O9" s="9"/>
      <c r="P9" s="10"/>
    </row>
    <row r="10" spans="1:16" ht="11.25" customHeight="1">
      <c r="A10" s="76"/>
      <c r="B10" s="14" t="s">
        <v>76</v>
      </c>
      <c r="C10" s="13" t="s">
        <v>629</v>
      </c>
      <c r="D10" s="13"/>
      <c r="E10" s="197" t="str">
        <f>HYPERLINK("ApplicationResponse.xls#doc_ApplicationResponse_cbc_ResponseDate","[UBL_NL]")</f>
        <v>[UBL_NL]</v>
      </c>
      <c r="F10" s="123"/>
      <c r="G10" s="30">
        <v>40564</v>
      </c>
      <c r="H10" s="30"/>
      <c r="I10" s="9"/>
      <c r="J10" s="5" t="s">
        <v>77</v>
      </c>
      <c r="K10"/>
      <c r="L10" s="9"/>
      <c r="M10" s="9"/>
      <c r="N10" s="9"/>
      <c r="O10" s="9"/>
      <c r="P10" s="10"/>
    </row>
    <row r="11" spans="1:16" ht="11.25" customHeight="1">
      <c r="A11" s="76" t="s">
        <v>78</v>
      </c>
      <c r="B11" s="8"/>
      <c r="C11" s="13"/>
      <c r="D11" s="13"/>
      <c r="E11" s="197" t="str">
        <f>HYPERLINK("ApplicationResponse.xls#doc_ApplicationResponse_cac_SenderParty","[UBL_NL]")</f>
        <v>[UBL_NL]</v>
      </c>
      <c r="F11" s="123"/>
      <c r="G11" s="29"/>
      <c r="H11" s="29"/>
      <c r="I11" s="9"/>
      <c r="J11" s="5" t="s">
        <v>79</v>
      </c>
      <c r="K11"/>
      <c r="L11" s="9"/>
      <c r="M11" s="9"/>
      <c r="N11" s="9"/>
      <c r="O11" s="9"/>
      <c r="P11" s="10"/>
    </row>
    <row r="12" spans="1:16" ht="11.25" customHeight="1">
      <c r="A12" s="76"/>
      <c r="B12" s="68" t="s">
        <v>23</v>
      </c>
      <c r="C12" s="69" t="s">
        <v>80</v>
      </c>
      <c r="D12" s="17"/>
      <c r="E12" s="197" t="str">
        <f>HYPERLINK("ApplicationResponse.xls#doc_ApplicationResponse_cac_SenderParty_cac_PartyIdentification_cbc_ID","[UBL_NL]")</f>
        <v>[UBL_NL]</v>
      </c>
      <c r="F12" s="123"/>
      <c r="G12" s="29" t="s">
        <v>81</v>
      </c>
      <c r="H12" s="29"/>
      <c r="I12" s="9"/>
      <c r="J12" s="5" t="s">
        <v>82</v>
      </c>
      <c r="K12"/>
      <c r="L12" s="9"/>
      <c r="M12" s="9"/>
      <c r="N12" s="9"/>
      <c r="O12" s="9"/>
      <c r="P12" s="10"/>
    </row>
    <row r="13" spans="1:16" ht="11.25" customHeight="1">
      <c r="A13" s="76" t="s">
        <v>83</v>
      </c>
      <c r="B13" s="8"/>
      <c r="C13" s="13"/>
      <c r="D13" s="13"/>
      <c r="E13" s="197" t="str">
        <f>HYPERLINK("ApplicationResponse.xls#doc_ApplicationResponse_cac_ReceiverParty","[UBL_NL]")</f>
        <v>[UBL_NL]</v>
      </c>
      <c r="F13" s="123"/>
      <c r="G13" s="29"/>
      <c r="H13" s="29"/>
      <c r="I13" s="9"/>
      <c r="J13" s="5" t="s">
        <v>84</v>
      </c>
      <c r="K13"/>
      <c r="L13" s="9"/>
      <c r="M13" s="9"/>
      <c r="N13" s="9"/>
      <c r="O13" s="9"/>
      <c r="P13" s="10"/>
    </row>
    <row r="14" spans="1:16" ht="11.25" customHeight="1" thickBot="1">
      <c r="A14" s="77"/>
      <c r="B14" s="78" t="s">
        <v>23</v>
      </c>
      <c r="C14" s="79" t="s">
        <v>85</v>
      </c>
      <c r="D14" s="112"/>
      <c r="E14" s="198" t="str">
        <f>HYPERLINK("ApplicationResponse.xls#doc_ApplicationResponse_cac_ReceiverParty_cac_PartyIdentification_cbc_ID","[UBL_NL]")</f>
        <v>[UBL_NL]</v>
      </c>
      <c r="F14" s="123"/>
      <c r="G14" s="29" t="s">
        <v>81</v>
      </c>
      <c r="H14" s="29"/>
      <c r="I14" s="9"/>
      <c r="J14" s="5" t="s">
        <v>86</v>
      </c>
      <c r="K14"/>
      <c r="L14" s="9"/>
      <c r="M14" s="9"/>
      <c r="N14" s="9"/>
      <c r="O14" s="9"/>
      <c r="P14" s="10"/>
    </row>
    <row r="15" spans="1:16" ht="12" customHeight="1">
      <c r="A15" s="20"/>
      <c r="B15" s="23"/>
      <c r="C15" s="21"/>
      <c r="D15" s="21"/>
      <c r="E15" s="117"/>
      <c r="F15" s="113"/>
      <c r="G15" s="31"/>
      <c r="H15" s="31"/>
      <c r="I15" s="9"/>
      <c r="J15" s="9"/>
      <c r="K15" s="5"/>
      <c r="L15" s="9"/>
      <c r="M15" s="9"/>
      <c r="N15" s="9"/>
      <c r="O15" s="9"/>
      <c r="P15" s="10"/>
    </row>
    <row r="16" spans="1:16" ht="11.25" customHeight="1">
      <c r="B16" s="32"/>
      <c r="C16" s="7"/>
      <c r="D16" s="7"/>
      <c r="E16" s="201"/>
      <c r="F16" s="29"/>
      <c r="G16" s="29"/>
      <c r="H16" s="29"/>
      <c r="I16" s="9"/>
      <c r="J16" s="33"/>
      <c r="K16" s="5"/>
      <c r="L16" s="9"/>
      <c r="M16" s="9"/>
      <c r="N16" s="9"/>
      <c r="O16" s="9"/>
      <c r="P16" s="10"/>
    </row>
    <row r="17" spans="3:11" ht="11.25" customHeight="1">
      <c r="C17" s="17"/>
      <c r="D17" s="17"/>
      <c r="K17" s="5"/>
    </row>
    <row r="18" spans="3:11" ht="11.25" customHeight="1">
      <c r="K18" s="5"/>
    </row>
    <row r="19" spans="3:11" ht="11.25" customHeight="1">
      <c r="K19" s="5"/>
    </row>
    <row r="20" spans="3:11" ht="11.25" customHeight="1">
      <c r="K20" s="5"/>
    </row>
  </sheetData>
  <sheetProtection selectLockedCells="1" selectUnlockedCells="1"/>
  <hyperlinks>
    <hyperlink ref="E1" r:id="rId1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147"/>
  <sheetViews>
    <sheetView topLeftCell="A26" zoomScaleNormal="100" workbookViewId="0">
      <selection activeCell="B61" sqref="B61"/>
    </sheetView>
  </sheetViews>
  <sheetFormatPr defaultColWidth="9.28515625" defaultRowHeight="11.25" customHeight="1"/>
  <cols>
    <col min="1" max="1" width="1.28515625" style="5" customWidth="1"/>
    <col min="2" max="2" width="26.42578125" style="5" customWidth="1"/>
    <col min="3" max="3" width="42" style="34" customWidth="1"/>
    <col min="4" max="4" width="13.28515625" style="34" customWidth="1"/>
    <col min="5" max="5" width="9.140625" style="34" customWidth="1"/>
    <col min="6" max="7" width="19.28515625" style="34" customWidth="1"/>
    <col min="8" max="8" width="6.42578125" style="5" customWidth="1"/>
    <col min="9" max="9" width="28.7109375" style="5" customWidth="1"/>
    <col min="10" max="10" width="120.140625" style="5" bestFit="1" customWidth="1"/>
    <col min="11" max="16384" width="9.28515625" style="5"/>
  </cols>
  <sheetData>
    <row r="1" spans="1:10" s="35" customFormat="1" ht="11.25" customHeight="1">
      <c r="A1" s="134" t="s">
        <v>723</v>
      </c>
      <c r="B1" s="135"/>
      <c r="C1" s="136"/>
      <c r="D1" s="203" t="s">
        <v>87</v>
      </c>
      <c r="E1" s="204" t="s">
        <v>0</v>
      </c>
      <c r="F1" s="167" t="s">
        <v>676</v>
      </c>
      <c r="G1" s="168" t="s">
        <v>644</v>
      </c>
      <c r="H1" s="35" t="s">
        <v>89</v>
      </c>
      <c r="I1" s="35" t="s">
        <v>90</v>
      </c>
      <c r="J1" s="35" t="s">
        <v>1</v>
      </c>
    </row>
    <row r="2" spans="1:10" ht="11.25" customHeight="1">
      <c r="A2" s="138"/>
      <c r="B2" s="140"/>
      <c r="C2" s="141"/>
      <c r="D2" s="141"/>
      <c r="E2" s="142"/>
    </row>
    <row r="3" spans="1:10" ht="11.25" customHeight="1">
      <c r="A3" s="139" t="s">
        <v>2</v>
      </c>
      <c r="B3" s="140"/>
      <c r="C3" s="141"/>
      <c r="D3" s="141"/>
      <c r="E3" s="142"/>
    </row>
    <row r="4" spans="1:10" ht="11.25" customHeight="1">
      <c r="A4" s="138" t="s">
        <v>3</v>
      </c>
      <c r="B4" s="140"/>
      <c r="C4" s="141"/>
      <c r="D4" s="141" t="str">
        <f>HYPERLINK("Mapping_StaffingOrder.xls#StaffingOrder","[HR-XML/SETU]")</f>
        <v>[HR-XML/SETU]</v>
      </c>
      <c r="E4" s="142" t="str">
        <f>HYPERLINK("RequestForQuotation.xls#doc_RequestForQuotation","[UBL_NL]")</f>
        <v>[UBL_NL]</v>
      </c>
      <c r="I4" s="5" t="s">
        <v>91</v>
      </c>
      <c r="J4" s="5" t="s">
        <v>92</v>
      </c>
    </row>
    <row r="5" spans="1:10" ht="11.25" customHeight="1">
      <c r="A5" s="138"/>
      <c r="B5" s="140" t="s">
        <v>93</v>
      </c>
      <c r="C5" s="141"/>
      <c r="D5" s="141" t="str">
        <f>HYPERLINK("Mapping_StaffingOrder.xls#StaffingOrder_OrderId_validFrom","[HR-XML/SETU]")</f>
        <v>[HR-XML/SETU]</v>
      </c>
      <c r="E5" s="142" t="str">
        <f>HYPERLINK("RequestForQuotation.xls#doc_RequestForQuotation_cbc_IssueDate","[UBL_NL]")</f>
        <v>[UBL_NL]</v>
      </c>
      <c r="F5" s="132">
        <v>40543</v>
      </c>
      <c r="G5" s="132">
        <v>40543</v>
      </c>
      <c r="H5" s="5" t="s">
        <v>94</v>
      </c>
      <c r="I5" s="5" t="s">
        <v>95</v>
      </c>
      <c r="J5" s="5" t="s">
        <v>96</v>
      </c>
    </row>
    <row r="6" spans="1:10" ht="11.25" customHeight="1">
      <c r="A6" s="138"/>
      <c r="B6" s="205" t="s">
        <v>97</v>
      </c>
      <c r="C6" s="141"/>
      <c r="D6" s="141"/>
      <c r="E6" s="142" t="str">
        <f>HYPERLINK("RequestForQuotation.xls#doc_RequestForQuotation_cbc_IssueTime","[UBL_NL]")</f>
        <v>[UBL_NL]</v>
      </c>
      <c r="F6" s="132"/>
      <c r="G6" s="202" t="s">
        <v>735</v>
      </c>
      <c r="H6" s="5" t="s">
        <v>98</v>
      </c>
      <c r="J6" s="5" t="s">
        <v>99</v>
      </c>
    </row>
    <row r="7" spans="1:10" ht="11.25" customHeight="1">
      <c r="A7" s="138"/>
      <c r="B7" s="140" t="s">
        <v>100</v>
      </c>
      <c r="C7" s="141"/>
      <c r="D7" s="141" t="str">
        <f>HYPERLINK("Mapping_StaffingOrder.xls#StaffingOrder_OrderId_IdValue","[HR-XML/SETU]")</f>
        <v>[HR-XML/SETU]</v>
      </c>
      <c r="E7" s="142" t="str">
        <f>HYPERLINK("RequestForQuotation.xls#doc_RequestForQuotation_cbc_ID","[UBL_NL]")</f>
        <v>[UBL_NL]</v>
      </c>
      <c r="F7" s="34" t="s">
        <v>725</v>
      </c>
      <c r="G7" s="34" t="s">
        <v>726</v>
      </c>
      <c r="H7" s="5" t="s">
        <v>94</v>
      </c>
      <c r="I7" s="5" t="s">
        <v>101</v>
      </c>
      <c r="J7" s="5" t="s">
        <v>102</v>
      </c>
    </row>
    <row r="8" spans="1:10" ht="11.25" customHeight="1">
      <c r="A8" s="138"/>
      <c r="B8" s="140" t="s">
        <v>103</v>
      </c>
      <c r="C8" s="145" t="s">
        <v>104</v>
      </c>
      <c r="D8" s="141" t="str">
        <f>HYPERLINK("Mapping_StaffingOrder.xls#StaffingOrder_CustomerReportingRequirements_CostCenterCode","[HR-XML/SETU]")</f>
        <v>[HR-XML/SETU]</v>
      </c>
      <c r="E8" s="142"/>
      <c r="F8" s="34" t="s">
        <v>648</v>
      </c>
      <c r="H8" s="5" t="s">
        <v>94</v>
      </c>
      <c r="I8" s="5" t="s">
        <v>105</v>
      </c>
      <c r="J8" s="38"/>
    </row>
    <row r="9" spans="1:10" ht="11.25" customHeight="1">
      <c r="A9" s="138"/>
      <c r="B9" s="205" t="s">
        <v>10</v>
      </c>
      <c r="C9" s="145"/>
      <c r="D9" s="141" t="str">
        <f>HYPERLINK("Mapping_StaffingOrder.xls#StaffingOrder_OrderComments","[HR-XML/SETU]")</f>
        <v>[HR-XML/SETU]</v>
      </c>
      <c r="E9" s="142" t="str">
        <f>HYPERLINK("RequestForQuotation.xls#doc_RequestForQuotation_cbc_Note","[UBL_NL]")</f>
        <v>[UBL_NL]</v>
      </c>
      <c r="F9" s="34" t="s">
        <v>649</v>
      </c>
      <c r="G9" s="34" t="s">
        <v>497</v>
      </c>
      <c r="I9" s="5" t="s">
        <v>106</v>
      </c>
      <c r="J9" s="5" t="s">
        <v>107</v>
      </c>
    </row>
    <row r="10" spans="1:10" ht="11.25" customHeight="1">
      <c r="A10" s="138"/>
      <c r="B10" s="205" t="s">
        <v>108</v>
      </c>
      <c r="C10" s="141"/>
      <c r="D10" s="141" t="str">
        <f>HYPERLINK("Mapping_StaffingOrder.xls#StaffingOrder_ReferenceInformation_MasterOrderId_IdValue","[HR-XML/SETU]")</f>
        <v>[HR-XML/SETU]</v>
      </c>
      <c r="E10" s="142" t="str">
        <f>HYPERLINK("RequestForQuotation.xls#doc_RequestForQuotation_cac_Contract_cbc_ID","[UBL_NL]")</f>
        <v>[UBL_NL]</v>
      </c>
      <c r="F10" s="34" t="s">
        <v>691</v>
      </c>
      <c r="H10" s="5" t="s">
        <v>98</v>
      </c>
      <c r="I10" s="5" t="s">
        <v>109</v>
      </c>
      <c r="J10" s="5" t="s">
        <v>110</v>
      </c>
    </row>
    <row r="11" spans="1:10" ht="11.25" customHeight="1">
      <c r="A11" s="138"/>
      <c r="B11" s="205" t="s">
        <v>111</v>
      </c>
      <c r="C11" s="141"/>
      <c r="D11" s="141"/>
      <c r="E11" s="142" t="str">
        <f>HYPERLINK("RequestForQuotation.xls#doc_RequestForQuotation_cac_DeliveryTerms","[UBL_NL]")</f>
        <v>[UBL_NL]</v>
      </c>
      <c r="G11" s="34" t="s">
        <v>727</v>
      </c>
      <c r="H11" s="5" t="s">
        <v>98</v>
      </c>
      <c r="J11" s="5" t="s">
        <v>112</v>
      </c>
    </row>
    <row r="12" spans="1:10" ht="11.25" customHeight="1">
      <c r="A12" s="138"/>
      <c r="B12" s="147" t="s">
        <v>55</v>
      </c>
      <c r="C12" s="148" t="s">
        <v>113</v>
      </c>
      <c r="D12" s="141"/>
      <c r="E12" s="142" t="str">
        <f>HYPERLINK("RequestForQuotation.xls#doc_RequestForQuotation_cac_Delivery_cac_RequestedDeliveryPeriod_cbc_StartDate","[UBL_NL]")</f>
        <v>[UBL_NL]</v>
      </c>
      <c r="J12" s="5" t="s">
        <v>114</v>
      </c>
    </row>
    <row r="13" spans="1:10" ht="11.25" customHeight="1">
      <c r="A13" s="138"/>
      <c r="B13" s="205" t="s">
        <v>14</v>
      </c>
      <c r="C13" s="206" t="s">
        <v>15</v>
      </c>
      <c r="D13" s="141"/>
      <c r="E13" s="142" t="str">
        <f>HYPERLINK("RequestForQuotation.xls#doc_RequestForQuotation_cbc_PricingCurrencyCode","[UBL_NL]")</f>
        <v>[UBL_NL]</v>
      </c>
      <c r="G13" s="34" t="s">
        <v>728</v>
      </c>
      <c r="H13" s="5" t="s">
        <v>98</v>
      </c>
      <c r="J13" s="5" t="s">
        <v>115</v>
      </c>
    </row>
    <row r="14" spans="1:10" ht="11.25" customHeight="1">
      <c r="A14" s="138"/>
      <c r="B14" s="205" t="s">
        <v>826</v>
      </c>
      <c r="C14" s="206"/>
      <c r="D14" s="141"/>
      <c r="E14" s="243" t="str">
        <f>HYPERLINK("RequestForQuotation.xls#doc_RequestForQuotation_ext_UBLExtensions_ext_UBLExtension_ext_ExtensionContent_nl-cbc_AwardDate","[UBL_NL]")</f>
        <v>[UBL_NL]</v>
      </c>
      <c r="H14" s="5" t="s">
        <v>98</v>
      </c>
      <c r="I14" s="5" t="s">
        <v>106</v>
      </c>
      <c r="J14" t="s">
        <v>825</v>
      </c>
    </row>
    <row r="15" spans="1:10" ht="11.25" customHeight="1">
      <c r="A15" s="138"/>
      <c r="B15" s="205" t="s">
        <v>828</v>
      </c>
      <c r="C15" s="206" t="s">
        <v>834</v>
      </c>
      <c r="D15" s="141"/>
      <c r="E15" s="243" t="str">
        <f>HYPERLINK("RequestForQuotation.xls#doc_RequestForQuotation_ext_UBLExtensions_ext_UBLExtension_ext_ExtensionContent_nl-cbc_NegotiationStyle","[UBL_NL]")</f>
        <v>[UBL_NL]</v>
      </c>
      <c r="G15" s="34" t="s">
        <v>833</v>
      </c>
      <c r="H15" s="5" t="s">
        <v>98</v>
      </c>
      <c r="J15" s="5" t="s">
        <v>827</v>
      </c>
    </row>
    <row r="16" spans="1:10" ht="11.25" customHeight="1">
      <c r="A16" s="138"/>
      <c r="B16" s="205" t="s">
        <v>835</v>
      </c>
      <c r="C16" s="206"/>
      <c r="D16" s="141"/>
      <c r="E16" s="243" t="str">
        <f>HYPERLINK("RequestForQuotation.xls#doc_RequestForQuotation_ext_UBLExtensions_ext_UBLExtension_ext_ExtensionContent_nl-cac_RequestedValidityPeriod_cbc_StartDate","[UBL_NL]")</f>
        <v>[UBL_NL]</v>
      </c>
      <c r="H16" s="5" t="s">
        <v>94</v>
      </c>
      <c r="I16" s="5" t="s">
        <v>106</v>
      </c>
      <c r="J16" s="5" t="s">
        <v>829</v>
      </c>
    </row>
    <row r="17" spans="1:10" ht="11.25" customHeight="1">
      <c r="A17" s="138"/>
      <c r="B17" s="205" t="s">
        <v>836</v>
      </c>
      <c r="C17" s="206"/>
      <c r="D17" s="141"/>
      <c r="E17" s="243" t="str">
        <f>HYPERLINK("RequestForQuotation.xls#doc_RequestForQuotation_ext_UBLExtensions_ext_UBLExtension_ext_ExtensionContent_nl-cac_RequestedValidityPeriod_cbc_EndDate","[UBL_NL]")</f>
        <v>[UBL_NL]</v>
      </c>
      <c r="H17" s="5" t="s">
        <v>94</v>
      </c>
      <c r="I17" s="5" t="s">
        <v>106</v>
      </c>
      <c r="J17" s="5" t="s">
        <v>830</v>
      </c>
    </row>
    <row r="18" spans="1:10" ht="11.25" customHeight="1">
      <c r="A18" s="138"/>
      <c r="B18" s="205" t="s">
        <v>837</v>
      </c>
      <c r="C18" s="206"/>
      <c r="D18" s="141"/>
      <c r="E18" s="243" t="str">
        <f>HYPERLINK("RequestForQuotation.xls#doc_RequestForQuotation_ext_UBLExtensions_ext_UBLExtension_ext_ExtensionContent_nl-cac_GrantedValidityPeriod_cbc_StartDate","[UBL_NL]")</f>
        <v>[UBL_NL]</v>
      </c>
      <c r="H18" s="5" t="s">
        <v>94</v>
      </c>
      <c r="I18" s="5" t="s">
        <v>106</v>
      </c>
      <c r="J18" s="5" t="s">
        <v>831</v>
      </c>
    </row>
    <row r="19" spans="1:10" ht="11.25" customHeight="1">
      <c r="A19" s="138"/>
      <c r="B19" s="205" t="s">
        <v>838</v>
      </c>
      <c r="C19" s="206"/>
      <c r="D19" s="141"/>
      <c r="E19" s="243" t="str">
        <f>HYPERLINK("RequestForQuotation.xls#doc_RequestForQuotation_ext_UBLExtensions_ext_UBLExtension_ext_ExtensionContent_nl-cac_GrantedValidityPeriod_cbc_EndDate","[UBL_NL]")</f>
        <v>[UBL_NL]</v>
      </c>
      <c r="H19" s="5" t="s">
        <v>94</v>
      </c>
      <c r="I19" s="5" t="s">
        <v>106</v>
      </c>
      <c r="J19" s="5" t="s">
        <v>832</v>
      </c>
    </row>
    <row r="20" spans="1:10" ht="11.25" customHeight="1">
      <c r="A20" s="138" t="s">
        <v>19</v>
      </c>
      <c r="B20" s="140"/>
      <c r="C20" s="141"/>
      <c r="D20" s="141"/>
      <c r="E20" s="142" t="str">
        <f>HYPERLINK("RequestForQuotation.xls#doc_RequestForQuotation_cac_SellerSupplierParty","[UBL_NL]")</f>
        <v>[UBL_NL]</v>
      </c>
      <c r="H20" s="5" t="s">
        <v>94</v>
      </c>
      <c r="J20" s="5" t="s">
        <v>116</v>
      </c>
    </row>
    <row r="21" spans="1:10" ht="11.25" customHeight="1">
      <c r="A21" s="138"/>
      <c r="B21" s="36" t="s">
        <v>117</v>
      </c>
      <c r="C21" s="244" t="s">
        <v>781</v>
      </c>
      <c r="D21" s="34" t="str">
        <f>HYPERLINK("Mapping_StaffingOrder.xls#StaffingOrder_ReferenceInformation_StaffingSupplierId_IdValue","[HR-XML/SETU]")</f>
        <v>[HR-XML/SETU]</v>
      </c>
      <c r="E21" s="34" t="str">
        <f>HYPERLINK("RequestForQuotation.xls#doc_RequestForQuotation_cac_SellerSupplierParty_cbc_CustomerAssignedAccountID","[UBL_NL]")</f>
        <v>[UBL_NL]</v>
      </c>
      <c r="H21" s="5" t="s">
        <v>98</v>
      </c>
      <c r="I21" s="5" t="s">
        <v>806</v>
      </c>
      <c r="J21" s="5" t="s">
        <v>807</v>
      </c>
    </row>
    <row r="22" spans="1:10" ht="11.25" customHeight="1">
      <c r="A22" s="138"/>
      <c r="B22" s="147" t="s">
        <v>21</v>
      </c>
      <c r="C22" s="141"/>
      <c r="D22" s="141"/>
      <c r="E22" s="142" t="str">
        <f>HYPERLINK("RequestForQuotation.xls#doc_RequestForQuotation_cac_SellerSupplierParty_cac_Party_cac_PartyName_cbc_Name","[UBL_NL]")</f>
        <v>[UBL_NL]</v>
      </c>
      <c r="G22" s="34" t="s">
        <v>518</v>
      </c>
      <c r="H22" s="5" t="s">
        <v>94</v>
      </c>
      <c r="J22" s="5" t="s">
        <v>118</v>
      </c>
    </row>
    <row r="23" spans="1:10" ht="11.25" customHeight="1">
      <c r="A23" s="138"/>
      <c r="B23" s="140" t="s">
        <v>119</v>
      </c>
      <c r="C23" s="141"/>
      <c r="D23" s="141"/>
      <c r="E23" s="142" t="str">
        <f>HYPERLINK("RequestForQuotation.xls#doc_RequestForQuotation_cac_SellerSupplierParty_cac_Party_cac_PostalAddress","[UBL_NL]")</f>
        <v>[UBL_NL]</v>
      </c>
      <c r="G23" s="63" t="s">
        <v>522</v>
      </c>
      <c r="H23" s="5" t="s">
        <v>94</v>
      </c>
      <c r="J23" s="5" t="s">
        <v>120</v>
      </c>
    </row>
    <row r="24" spans="1:10" ht="11.25" customHeight="1">
      <c r="A24" s="138"/>
      <c r="B24" s="205" t="s">
        <v>121</v>
      </c>
      <c r="C24" s="141"/>
      <c r="D24" s="141"/>
      <c r="E24" s="142" t="str">
        <f>HYPERLINK("RequestForQuotation.xls#doc_RequestForQuotation_cac_SellerSupplierParty_cac_Party_cac_Contact_cbc_Name","[UBL_NL]")</f>
        <v>[UBL_NL]</v>
      </c>
      <c r="G24" s="34" t="s">
        <v>693</v>
      </c>
      <c r="H24" s="5" t="s">
        <v>98</v>
      </c>
      <c r="J24" s="5" t="s">
        <v>122</v>
      </c>
    </row>
    <row r="25" spans="1:10" ht="11.25" customHeight="1">
      <c r="A25" s="138" t="s">
        <v>26</v>
      </c>
      <c r="B25" s="140"/>
      <c r="C25" s="141"/>
      <c r="D25" s="141"/>
      <c r="E25" s="142" t="str">
        <f>HYPERLINK("RequestForQuotation.xls#doc_RequestForQuotation_cac_OriginatorCustomerParty","[UBL_NL]")</f>
        <v>[UBL_NL]</v>
      </c>
      <c r="H25" s="5" t="s">
        <v>94</v>
      </c>
      <c r="J25" s="5" t="s">
        <v>123</v>
      </c>
    </row>
    <row r="26" spans="1:10" ht="11.25" customHeight="1">
      <c r="A26" s="138"/>
      <c r="B26" s="147" t="s">
        <v>29</v>
      </c>
      <c r="C26" s="141"/>
      <c r="D26" s="141"/>
      <c r="E26" s="142" t="str">
        <f>HYPERLINK("RequestForQuotation.xls#doc_RequestForQuotation_cac_OriginatorCustomerParty_cac_Party_cac_PartyName_cbc_Name","[UBL_NL]")</f>
        <v>[UBL_NL]</v>
      </c>
      <c r="G26" s="34" t="s">
        <v>654</v>
      </c>
      <c r="H26" s="5" t="s">
        <v>94</v>
      </c>
      <c r="J26" s="5" t="s">
        <v>124</v>
      </c>
    </row>
    <row r="27" spans="1:10" ht="11.25" customHeight="1">
      <c r="A27" s="138"/>
      <c r="B27" s="205" t="s">
        <v>125</v>
      </c>
      <c r="C27" s="141"/>
      <c r="D27" s="141"/>
      <c r="E27" s="142" t="str">
        <f>HYPERLINK("RequestForQuotation.xls#doc_RequestForQuotation_cac_OriginatorCustomerParty_cac_Party_cac_PhysicalLocation_cac_Address","[UBL_NL]")</f>
        <v>[UBL_NL]</v>
      </c>
      <c r="G27" s="63" t="s">
        <v>522</v>
      </c>
      <c r="H27" s="5" t="s">
        <v>98</v>
      </c>
      <c r="J27" s="5" t="s">
        <v>126</v>
      </c>
    </row>
    <row r="28" spans="1:10" ht="11.25" customHeight="1">
      <c r="A28" s="138"/>
      <c r="B28" s="205" t="s">
        <v>127</v>
      </c>
      <c r="C28" s="141"/>
      <c r="D28" s="141" t="str">
        <f>HYPERLINK("Mapping_StaffingOrder.xls#StaffingOrder_StaffingPosition_WorkSite_PostalAddress","[HR-XML/SETU]")</f>
        <v>[HR-XML/SETU]</v>
      </c>
      <c r="E28" s="142" t="str">
        <f>HYPERLINK("RequestForQuotation.xls#doc_RequestForQuotation_cac_Delivery_cac_DeliveryAddress","[UBL_NL]")</f>
        <v>[UBL_NL]</v>
      </c>
      <c r="F28" s="63" t="s">
        <v>710</v>
      </c>
      <c r="H28" s="5" t="s">
        <v>98</v>
      </c>
      <c r="I28" s="5" t="s">
        <v>128</v>
      </c>
      <c r="J28" s="5" t="s">
        <v>129</v>
      </c>
    </row>
    <row r="29" spans="1:10" ht="11.25" customHeight="1">
      <c r="A29" s="138"/>
      <c r="B29" s="140" t="s">
        <v>130</v>
      </c>
      <c r="C29" s="141"/>
      <c r="D29" s="141" t="str">
        <f>HYPERLINK("Mapping_StaffingOrder.xls#StaffingOrder_OrderContact_ContactInfo_PersonName","[HR-XML/SETU]")</f>
        <v>[HR-XML/SETU]</v>
      </c>
      <c r="E29" s="142" t="str">
        <f>HYPERLINK("RequestForQuotation.xls#doc_RequestForQuotation_cac_OriginatorCustomerParty_cac_Party_cac_Contact_cbc_Name","[UBL_NL]")</f>
        <v>[UBL_NL]</v>
      </c>
      <c r="F29" s="34" t="s">
        <v>657</v>
      </c>
      <c r="G29" s="34" t="s">
        <v>657</v>
      </c>
      <c r="H29" s="5" t="s">
        <v>94</v>
      </c>
      <c r="I29" s="5" t="s">
        <v>131</v>
      </c>
      <c r="J29" s="5" t="s">
        <v>132</v>
      </c>
    </row>
    <row r="30" spans="1:10" ht="11.25" customHeight="1">
      <c r="A30" s="138"/>
      <c r="B30" s="143" t="s">
        <v>23</v>
      </c>
      <c r="C30" s="151" t="s">
        <v>133</v>
      </c>
      <c r="D30" s="141"/>
      <c r="E30" s="142" t="str">
        <f>HYPERLINK("RequestForQuotation.xls#doc_RequestForQuotation_cac_OriginatorCustomerParty_cac_Party_cac_PartyIdentification_cbc_ID","[UBL_NL]")</f>
        <v>[UBL_NL]</v>
      </c>
      <c r="G30" s="34" t="s">
        <v>81</v>
      </c>
      <c r="H30" s="5" t="s">
        <v>134</v>
      </c>
      <c r="I30" s="248" t="s">
        <v>815</v>
      </c>
      <c r="J30" s="5" t="s">
        <v>135</v>
      </c>
    </row>
    <row r="31" spans="1:10" ht="11.25" customHeight="1">
      <c r="A31" s="207" t="s">
        <v>136</v>
      </c>
      <c r="B31" s="140"/>
      <c r="C31" s="141"/>
      <c r="D31" s="141" t="str">
        <f>HYPERLINK("Mapping_StaffingOrder.xls#StaffingOrder_ReferenceInformation_IntermediaryId_IdValue","[HR-XML/SETU]")</f>
        <v>[HR-XML/SETU]</v>
      </c>
      <c r="E31" s="142" t="str">
        <f>HYPERLINK("RequestForQuotation.xls#doc_RequestForQuotation_cac_OriginatorCustomerParty_cac_Party_cac_AgentParty","[UBL_NL]")</f>
        <v>[UBL_NL]</v>
      </c>
      <c r="F31" s="34" t="s">
        <v>697</v>
      </c>
      <c r="G31" s="34" t="s">
        <v>698</v>
      </c>
      <c r="H31" s="5" t="s">
        <v>98</v>
      </c>
      <c r="I31" s="5" t="s">
        <v>137</v>
      </c>
      <c r="J31" s="5" t="s">
        <v>138</v>
      </c>
    </row>
    <row r="32" spans="1:10" ht="11.25" customHeight="1">
      <c r="A32" s="138"/>
      <c r="B32" s="140"/>
      <c r="C32" s="141"/>
      <c r="D32" s="141"/>
      <c r="E32" s="142"/>
    </row>
    <row r="33" spans="1:10" ht="11.25" customHeight="1">
      <c r="A33" s="139" t="s">
        <v>139</v>
      </c>
      <c r="B33" s="140"/>
      <c r="C33" s="141"/>
      <c r="D33" s="141" t="str">
        <f>HYPERLINK("Mapping_StaffingOrder.xls#StaffingOrder_StaffingPosition","[HR-XML/SETU]")</f>
        <v>[HR-XML/SETU]</v>
      </c>
      <c r="E33" s="142" t="str">
        <f>HYPERLINK("RequestForQuotation.xls#doc_RequestForQuotation_cac_RequestForQuotationLine","[UBL_NL]")</f>
        <v>[UBL_NL]</v>
      </c>
      <c r="I33" s="5" t="s">
        <v>140</v>
      </c>
      <c r="J33" s="5" t="s">
        <v>141</v>
      </c>
    </row>
    <row r="34" spans="1:10" ht="11.25" customHeight="1">
      <c r="A34" s="139"/>
      <c r="B34" s="140" t="s">
        <v>48</v>
      </c>
      <c r="C34" s="141"/>
      <c r="D34" s="141"/>
      <c r="E34" s="142" t="str">
        <f>HYPERLINK("RequestForQuotation.xls#doc_RequestForQuotation_cac_RequestForQuotationLine_cac_LineItem_cbc_ID","[UBL_NL]")</f>
        <v>[UBL_NL]</v>
      </c>
      <c r="G34" s="34">
        <v>1</v>
      </c>
      <c r="H34" s="5" t="s">
        <v>94</v>
      </c>
      <c r="J34" s="5" t="s">
        <v>142</v>
      </c>
    </row>
    <row r="35" spans="1:10" ht="11.25" customHeight="1">
      <c r="A35" s="138" t="s">
        <v>50</v>
      </c>
      <c r="B35" s="140"/>
      <c r="C35" s="141"/>
      <c r="D35" s="141"/>
      <c r="E35" s="142" t="str">
        <f>HYPERLINK("RequestForQuotation.xls#doc_RequestForQuotation_cac_RequestForQuotationLine_cac_LineItem_cac_Item","[UBL_NL]")</f>
        <v>[UBL_NL]</v>
      </c>
      <c r="J35" s="5" t="s">
        <v>143</v>
      </c>
    </row>
    <row r="36" spans="1:10" ht="11.25" customHeight="1">
      <c r="A36" s="138"/>
      <c r="B36" s="40" t="s">
        <v>144</v>
      </c>
      <c r="C36" s="141"/>
      <c r="D36" s="141"/>
      <c r="E36" s="142" t="str">
        <f>HYPERLINK("RequestForQuotation.xls#doc_RequestForQuotation_cac_RequestForQuotationLine_cac_LineItem_cac_Item_cac_SellersItemIdentification_cbc_ID","[UBL_NL]")</f>
        <v>[UBL_NL]</v>
      </c>
      <c r="G36" s="34" t="s">
        <v>704</v>
      </c>
      <c r="J36" s="5" t="s">
        <v>145</v>
      </c>
    </row>
    <row r="37" spans="1:10" ht="11.25" customHeight="1">
      <c r="A37" s="138"/>
      <c r="B37" s="205" t="s">
        <v>146</v>
      </c>
      <c r="C37" s="206"/>
      <c r="D37" s="141"/>
      <c r="E37" s="142" t="str">
        <f>HYPERLINK("RequestForQuotation.xls#doc_RequestForQuotation_cac_RequestForQuotationLine_cac_LineItem_cac_Item_cbc_Name","[UBL_NL]")</f>
        <v>[UBL_NL]</v>
      </c>
      <c r="G37" s="34">
        <v>25488436</v>
      </c>
      <c r="H37" s="5" t="s">
        <v>98</v>
      </c>
      <c r="J37" s="5" t="s">
        <v>147</v>
      </c>
    </row>
    <row r="38" spans="1:10" ht="11.25" customHeight="1">
      <c r="A38" s="138"/>
      <c r="B38" s="40" t="s">
        <v>52</v>
      </c>
      <c r="C38" s="206"/>
      <c r="D38" s="141"/>
      <c r="E38" s="142" t="str">
        <f>HYPERLINK("RequestForQuotation.xls#doc_RequestForQuotation_cac_RequestForQuotationLine_cac_LineItem_cac_Item_cac_BuyersItemIdentification_cbc_ID","[UBL_NL]")</f>
        <v>[UBL_NL]</v>
      </c>
      <c r="G38" s="34" t="s">
        <v>729</v>
      </c>
      <c r="J38" s="5" t="s">
        <v>148</v>
      </c>
    </row>
    <row r="39" spans="1:10" ht="11.25" customHeight="1">
      <c r="A39" s="138"/>
      <c r="B39" s="140" t="s">
        <v>51</v>
      </c>
      <c r="C39" s="141"/>
      <c r="D39" s="141" t="str">
        <f>HYPERLINK("Mapping_StaffingOrder.xls#StaffingOrder_StaffingPosition_PositionHeader_PositionDescription","[HR-XML/SETU]")</f>
        <v>[HR-XML/SETU]</v>
      </c>
      <c r="E39" s="142" t="str">
        <f>HYPERLINK("RequestForQuotation.xls#doc_RequestForQuotation_cac_RequestForQuotationLine_cac_LineItem_cac_Item_cbc_Description","[UBL_NL]")</f>
        <v>[UBL_NL]</v>
      </c>
      <c r="F39" s="34" t="s">
        <v>659</v>
      </c>
      <c r="G39" s="34" t="s">
        <v>706</v>
      </c>
      <c r="H39" s="5" t="s">
        <v>94</v>
      </c>
      <c r="I39" s="5" t="s">
        <v>149</v>
      </c>
      <c r="J39" s="5" t="s">
        <v>150</v>
      </c>
    </row>
    <row r="40" spans="1:10" ht="11.25" customHeight="1">
      <c r="A40" s="138"/>
      <c r="B40" s="205" t="s">
        <v>151</v>
      </c>
      <c r="C40" s="206" t="s">
        <v>152</v>
      </c>
      <c r="D40" s="141"/>
      <c r="E40" s="142" t="str">
        <f>HYPERLINK("RequestForQuotation.xls#doc_RequestForQuotation_cac_RequestForQuotationLine_cac_DocumentReference_cac_Attachment","[UBL_NL]")</f>
        <v>[UBL_NL]</v>
      </c>
      <c r="G40" s="34" t="s">
        <v>730</v>
      </c>
      <c r="H40" s="5" t="s">
        <v>98</v>
      </c>
      <c r="J40" s="5" t="s">
        <v>153</v>
      </c>
    </row>
    <row r="41" spans="1:10" ht="11.25" customHeight="1">
      <c r="A41" s="138"/>
      <c r="B41" s="140" t="s">
        <v>53</v>
      </c>
      <c r="C41" s="145" t="s">
        <v>154</v>
      </c>
      <c r="D41" s="141" t="str">
        <f>HYPERLINK("Mapping_StaffingOrder.xls#StaffingOrder_StaffingPosition_StaffingShift_Hours","[HR-XML/SETU]")</f>
        <v>[HR-XML/SETU]</v>
      </c>
      <c r="E41" s="142" t="str">
        <f>HYPERLINK("RequestForQuotation.xls#doc_RequestForQuotation_cac_RequestForQuotationLine_cac_LineItem_cbc_Quantity","[UBL_NL]")</f>
        <v>[UBL_NL]</v>
      </c>
      <c r="F41" s="34" t="s">
        <v>731</v>
      </c>
      <c r="G41" s="34">
        <v>10</v>
      </c>
      <c r="H41" s="5" t="s">
        <v>94</v>
      </c>
      <c r="I41" s="5" t="s">
        <v>155</v>
      </c>
      <c r="J41" s="5" t="s">
        <v>156</v>
      </c>
    </row>
    <row r="42" spans="1:10" ht="11.25" customHeight="1">
      <c r="A42" s="138"/>
      <c r="B42" s="140" t="s">
        <v>54</v>
      </c>
      <c r="C42" s="141"/>
      <c r="D42" s="141"/>
      <c r="E42" s="142" t="str">
        <f>HYPERLINK("RequestForQuotation.xls#doc_RequestForQuotation_cac_RequestForQuotationLine_cac_LineItem_cbc_Quantity_unitCode","[UBL_NL]")</f>
        <v>[UBL_NL]</v>
      </c>
      <c r="G42" s="34" t="s">
        <v>708</v>
      </c>
      <c r="H42" s="5" t="s">
        <v>94</v>
      </c>
      <c r="J42" s="5" t="s">
        <v>157</v>
      </c>
    </row>
    <row r="43" spans="1:10" ht="11.25" customHeight="1">
      <c r="A43" s="138"/>
      <c r="B43" s="140" t="s">
        <v>55</v>
      </c>
      <c r="C43" s="145" t="s">
        <v>158</v>
      </c>
      <c r="D43" s="141" t="str">
        <f>HYPERLINK("Mapping_StaffingOrder.xls#StaffingOrder_StaffingPosition_PositionDateRange_StartDate","[HR-XML/SETU]")</f>
        <v>[HR-XML/SETU]</v>
      </c>
      <c r="E43" s="142" t="str">
        <f>HYPERLINK("RequestForQuotation.xls#doc_RequestForQuotation_cac_RequestForQuotationLine_cac_LineItem_cac_Delivery_cac_RequestedDeliveryPeriod_cbc_StartDate","[UBL_NL]")</f>
        <v>[UBL_NL]</v>
      </c>
      <c r="F43" s="132">
        <v>40575</v>
      </c>
      <c r="G43" s="132">
        <v>40544</v>
      </c>
      <c r="H43" s="5" t="s">
        <v>94</v>
      </c>
      <c r="I43" s="5" t="s">
        <v>159</v>
      </c>
      <c r="J43" s="5" t="s">
        <v>160</v>
      </c>
    </row>
    <row r="44" spans="1:10" ht="11.25" customHeight="1">
      <c r="A44" s="138"/>
      <c r="B44" s="205" t="s">
        <v>127</v>
      </c>
      <c r="C44" s="141"/>
      <c r="D44" s="141" t="str">
        <f>HYPERLINK("Mapping_StaffingOrder.xls#StaffingOrder_StaffingPosition_WorkSite_PostalAddress","[HR-XML/SETU]")</f>
        <v>[HR-XML/SETU]</v>
      </c>
      <c r="E44" s="142" t="str">
        <f>HYPERLINK("RequestForQuotation.xls#doc_RequestForQuotation_cac_RequestForQuotationLine_cac_LineItem_cac_Delivery_cac_DeliveryAddress","[UBL_NL]")</f>
        <v>[UBL_NL]</v>
      </c>
      <c r="G44" s="63" t="s">
        <v>710</v>
      </c>
      <c r="H44" s="5" t="s">
        <v>98</v>
      </c>
      <c r="I44" s="5" t="s">
        <v>128</v>
      </c>
      <c r="J44" s="5" t="s">
        <v>161</v>
      </c>
    </row>
    <row r="45" spans="1:10" ht="11.25" customHeight="1">
      <c r="A45" s="138"/>
      <c r="B45" s="205" t="s">
        <v>162</v>
      </c>
      <c r="C45" s="141"/>
      <c r="D45" s="141"/>
      <c r="E45" s="142" t="str">
        <f>HYPERLINK("RequestForQuotation.xls#doc_RequestForQuotation_cac_RequestForQuotationLine_cac_LineItem_cac_Delivery_cac_DeliveryParty_cac_Contact_cbc_Name","[UBL_NL]")</f>
        <v>[UBL_NL]</v>
      </c>
      <c r="G45" s="34" t="s">
        <v>711</v>
      </c>
      <c r="H45" s="5" t="s">
        <v>98</v>
      </c>
      <c r="J45" s="5" t="s">
        <v>163</v>
      </c>
    </row>
    <row r="46" spans="1:10" ht="11.25" customHeight="1">
      <c r="A46" s="138"/>
      <c r="B46" s="140" t="s">
        <v>57</v>
      </c>
      <c r="C46" s="145" t="s">
        <v>164</v>
      </c>
      <c r="D46" s="141"/>
      <c r="E46" s="142" t="str">
        <f>HYPERLINK("RequestForQuotation.xls#doc_RequestForQuotation_cac_RequestForQuotationLine_cac_LineItem_cbc_AccountingCostCode","[UBL_NL]")</f>
        <v>[UBL_NL]</v>
      </c>
      <c r="G46" s="34">
        <v>85006478</v>
      </c>
      <c r="H46" s="5" t="s">
        <v>94</v>
      </c>
      <c r="J46" s="5" t="s">
        <v>165</v>
      </c>
    </row>
    <row r="47" spans="1:10" ht="11.25" customHeight="1">
      <c r="A47" s="138"/>
      <c r="B47" s="205" t="s">
        <v>108</v>
      </c>
      <c r="C47" s="141"/>
      <c r="D47" s="141"/>
      <c r="E47" s="142" t="str">
        <f>HYPERLINK("RequestForQuotation.xls#doc_RequestForQuotation_cac_RequestForQuotationLine_cac_DocumentReference_cbc_ID","[UBL_NL]")</f>
        <v>[UBL_NL]</v>
      </c>
      <c r="G47" s="34">
        <v>665544</v>
      </c>
      <c r="H47" s="5" t="s">
        <v>98</v>
      </c>
      <c r="J47" s="39" t="s">
        <v>166</v>
      </c>
    </row>
    <row r="48" spans="1:10" ht="11.25" customHeight="1">
      <c r="A48" s="138"/>
      <c r="B48" s="205" t="s">
        <v>167</v>
      </c>
      <c r="C48" s="206" t="s">
        <v>724</v>
      </c>
      <c r="D48" s="141"/>
      <c r="E48" s="142" t="str">
        <f>HYPERLINK("RequestForQuotation.xls#doc_RequestForQuotation_cac_RequestForQuotationLine_cac_DocumentReference_cbc_DocumentType","[UBL_NL]")</f>
        <v>[UBL_NL]</v>
      </c>
      <c r="G48" s="34" t="s">
        <v>736</v>
      </c>
      <c r="J48" s="39" t="s">
        <v>168</v>
      </c>
    </row>
    <row r="49" spans="1:10" ht="11.25" customHeight="1">
      <c r="A49" s="138"/>
      <c r="B49" s="205" t="s">
        <v>169</v>
      </c>
      <c r="C49" s="141"/>
      <c r="D49" s="141"/>
      <c r="E49" s="142" t="str">
        <f>HYPERLINK("RequestForQuotation.xls#doc_RequestForQuotation_cac_RequestForQuotationLine_cac_LineItem_cac_Item_cac_CatalogueDocumentReference","[UBL_NL]")</f>
        <v>[UBL_NL]</v>
      </c>
      <c r="G49" s="34" t="s">
        <v>732</v>
      </c>
      <c r="H49" s="5" t="s">
        <v>98</v>
      </c>
      <c r="J49" s="5" t="s">
        <v>170</v>
      </c>
    </row>
    <row r="50" spans="1:10" ht="11.25" customHeight="1">
      <c r="A50" s="138"/>
      <c r="B50" s="205" t="s">
        <v>171</v>
      </c>
      <c r="C50" s="141"/>
      <c r="D50" s="141"/>
      <c r="E50" s="142" t="str">
        <f>HYPERLINK("RequestForQuotation.xls#doc_RequestForQuotation_cac_RequestForQuotationLine_cac_LineItem_cac_Item_cbc_CatalogueIndicator","[UBL_NL]")</f>
        <v>[UBL_NL]</v>
      </c>
      <c r="G50" s="34" t="s">
        <v>669</v>
      </c>
      <c r="H50" s="5" t="s">
        <v>94</v>
      </c>
      <c r="J50" s="5" t="s">
        <v>172</v>
      </c>
    </row>
    <row r="51" spans="1:10" ht="11.25" customHeight="1">
      <c r="A51" s="138"/>
      <c r="B51" s="205" t="s">
        <v>173</v>
      </c>
      <c r="C51" s="141"/>
      <c r="D51" s="141"/>
      <c r="E51" s="142" t="str">
        <f>HYPERLINK("RequestForQuotation.xls#doc_RequestForQuotation_cac_RequestForQuotationLine_cac_LineItem_cac_Item_cac_ItemSpecificationDocumentReference","[UBL_NL]")</f>
        <v>[UBL_NL]</v>
      </c>
      <c r="G51" s="34" t="s">
        <v>733</v>
      </c>
      <c r="H51" s="5" t="s">
        <v>98</v>
      </c>
      <c r="J51" s="5" t="s">
        <v>174</v>
      </c>
    </row>
    <row r="52" spans="1:10" ht="11.25" customHeight="1" thickBot="1">
      <c r="A52" s="157"/>
      <c r="B52" s="208" t="s">
        <v>175</v>
      </c>
      <c r="C52" s="159"/>
      <c r="D52" s="159"/>
      <c r="E52" s="160" t="str">
        <f>HYPERLINK("RequestForQuotation.xls#doc_RequestForQuotation_cac_RequestForQuotationLine_cac_LineItem_cac_DeliveryTerms","[UBL_NL]")</f>
        <v>[UBL_NL]</v>
      </c>
      <c r="G52" s="34" t="s">
        <v>734</v>
      </c>
      <c r="H52" s="5" t="s">
        <v>98</v>
      </c>
      <c r="J52" s="5" t="s">
        <v>176</v>
      </c>
    </row>
    <row r="78" spans="9:9" ht="11.25" customHeight="1">
      <c r="I78" s="38"/>
    </row>
    <row r="82" spans="9:9" ht="11.25" customHeight="1">
      <c r="I82" s="38"/>
    </row>
    <row r="86" spans="9:9" ht="11.25" customHeight="1">
      <c r="I86" s="38"/>
    </row>
    <row r="95" spans="9:9" ht="11.25" customHeight="1">
      <c r="I95" s="41"/>
    </row>
    <row r="99" spans="9:9" ht="11.25" customHeight="1">
      <c r="I99" s="38"/>
    </row>
    <row r="109" spans="9:9" ht="11.25" customHeight="1">
      <c r="I109" s="38"/>
    </row>
    <row r="112" spans="9:9" ht="11.25" customHeight="1">
      <c r="I112" s="38"/>
    </row>
    <row r="115" spans="9:9" ht="11.25" customHeight="1">
      <c r="I115" s="38"/>
    </row>
    <row r="117" spans="9:9" ht="11.25" customHeight="1">
      <c r="I117" s="38"/>
    </row>
    <row r="140" spans="9:9" ht="11.25" customHeight="1">
      <c r="I140" s="38"/>
    </row>
    <row r="143" spans="9:9" ht="11.25" customHeight="1">
      <c r="I143" s="42"/>
    </row>
    <row r="147" spans="9:9" ht="11.25" customHeight="1">
      <c r="I147" s="38"/>
    </row>
  </sheetData>
  <sheetProtection selectLockedCells="1" selectUnlockedCells="1"/>
  <hyperlinks>
    <hyperlink ref="D1" r:id="rId1"/>
    <hyperlink ref="E1" r:id="rId2"/>
  </hyperlinks>
  <pageMargins left="0.7" right="0.7" top="0.75" bottom="0.75" header="0.51180555555555551" footer="0.51180555555555551"/>
  <pageSetup paperSize="9" firstPageNumber="0" orientation="portrait" horizontalDpi="300" verticalDpi="300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tabSelected="1" topLeftCell="A11" zoomScaleNormal="100" workbookViewId="0">
      <selection activeCell="B17" sqref="B17"/>
    </sheetView>
  </sheetViews>
  <sheetFormatPr defaultColWidth="9.28515625" defaultRowHeight="11.25" customHeight="1"/>
  <cols>
    <col min="1" max="1" width="1.28515625" style="5" customWidth="1"/>
    <col min="2" max="2" width="26.42578125" style="5" customWidth="1"/>
    <col min="3" max="3" width="42.140625" style="34" customWidth="1"/>
    <col min="4" max="4" width="14.42578125" style="34" customWidth="1"/>
    <col min="5" max="5" width="9.140625" style="34" customWidth="1"/>
    <col min="6" max="6" width="19.42578125" style="209" customWidth="1"/>
    <col min="7" max="7" width="14.5703125" style="209" bestFit="1" customWidth="1"/>
    <col min="8" max="8" width="5.28515625" style="5" bestFit="1" customWidth="1"/>
    <col min="9" max="9" width="66" style="5" customWidth="1"/>
    <col min="10" max="10" width="99.42578125" style="5" customWidth="1"/>
    <col min="12" max="16384" width="9.28515625" style="5"/>
  </cols>
  <sheetData>
    <row r="1" spans="1:11" s="35" customFormat="1" ht="11.25" customHeight="1">
      <c r="A1" s="134" t="s">
        <v>746</v>
      </c>
      <c r="B1" s="135"/>
      <c r="C1" s="136"/>
      <c r="D1" s="136" t="s">
        <v>87</v>
      </c>
      <c r="E1" s="212" t="s">
        <v>0</v>
      </c>
      <c r="F1" s="168" t="s">
        <v>645</v>
      </c>
      <c r="G1" s="168" t="s">
        <v>644</v>
      </c>
      <c r="H1" s="126" t="s">
        <v>89</v>
      </c>
      <c r="I1" s="126" t="s">
        <v>90</v>
      </c>
      <c r="J1" s="126" t="s">
        <v>1</v>
      </c>
      <c r="K1" s="121"/>
    </row>
    <row r="2" spans="1:11" ht="11.25" customHeight="1">
      <c r="A2" s="139"/>
      <c r="B2" s="140"/>
      <c r="C2" s="141"/>
      <c r="D2" s="141"/>
      <c r="E2" s="142"/>
    </row>
    <row r="3" spans="1:11" ht="11.25" customHeight="1">
      <c r="A3" s="139" t="s">
        <v>2</v>
      </c>
      <c r="B3" s="140"/>
      <c r="C3" s="141"/>
      <c r="D3" s="141"/>
      <c r="E3" s="142"/>
    </row>
    <row r="4" spans="1:11" ht="11.25" customHeight="1">
      <c r="A4" s="138" t="s">
        <v>3</v>
      </c>
      <c r="B4" s="140"/>
      <c r="C4" s="141"/>
      <c r="D4" s="141" t="str">
        <f>HYPERLINK("Mapping_HumanResource.xls#HumanResource","[HR-XML/SETU]")</f>
        <v>[HR-XML/SETU]</v>
      </c>
      <c r="E4" s="142" t="str">
        <f>HYPERLINK("Quotation.xls#doc_Quotation","[UBL_NL]")</f>
        <v>[UBL_NL]</v>
      </c>
      <c r="I4" s="5" t="s">
        <v>177</v>
      </c>
      <c r="J4" s="5" t="s">
        <v>178</v>
      </c>
    </row>
    <row r="5" spans="1:11" ht="11.25" customHeight="1">
      <c r="A5" s="138"/>
      <c r="B5" s="140" t="s">
        <v>179</v>
      </c>
      <c r="C5" s="141"/>
      <c r="D5" s="141" t="str">
        <f>HYPERLINK("Mapping_HumanResource.xls#HumanResource_HumanResourceId_validFrom","[HR-XML/SETU]")</f>
        <v>[HR-XML/SETU]</v>
      </c>
      <c r="E5" s="142" t="str">
        <f>HYPERLINK("Quotation.xls#doc_Quotation_cbc_IssueDate","[UBL_NL]")</f>
        <v>[UBL_NL]</v>
      </c>
      <c r="F5" s="210">
        <v>40553</v>
      </c>
      <c r="G5" s="210">
        <v>40554</v>
      </c>
      <c r="H5" s="5" t="s">
        <v>94</v>
      </c>
      <c r="I5" s="5" t="s">
        <v>180</v>
      </c>
      <c r="J5" s="5" t="s">
        <v>181</v>
      </c>
    </row>
    <row r="6" spans="1:11" ht="11.25" customHeight="1">
      <c r="A6" s="138"/>
      <c r="B6" s="140" t="s">
        <v>182</v>
      </c>
      <c r="C6" s="141"/>
      <c r="D6" s="141" t="str">
        <f>HYPERLINK("Mapping_HumanResource.xls#HumanResource_HumanResourceId_IdValue","[HR-XML/SETU]")</f>
        <v>[HR-XML/SETU]</v>
      </c>
      <c r="E6" s="142" t="str">
        <f>HYPERLINK("Quotation.xls#doc_Quotation_cbc_ID","[UBL_NL]")</f>
        <v>[UBL_NL]</v>
      </c>
      <c r="F6" s="209">
        <v>55889</v>
      </c>
      <c r="G6" s="209">
        <v>55889</v>
      </c>
      <c r="H6" s="5" t="s">
        <v>94</v>
      </c>
      <c r="I6" s="5" t="s">
        <v>183</v>
      </c>
      <c r="J6" s="5" t="s">
        <v>184</v>
      </c>
    </row>
    <row r="7" spans="1:11" ht="11.25" customHeight="1">
      <c r="A7" s="138"/>
      <c r="B7" s="140" t="s">
        <v>103</v>
      </c>
      <c r="C7" s="145" t="s">
        <v>185</v>
      </c>
      <c r="D7" s="141" t="str">
        <f>HYPERLINK("Mapping_HumanResource.xls#HumanResource_UserArea_HumanResourceAdditionalNL_CustomerReportingRequirements_CostCenterCode","[HR-XML/SETU]")</f>
        <v>[HR-XML/SETU]</v>
      </c>
      <c r="E7" s="142"/>
      <c r="F7" s="209" t="s">
        <v>648</v>
      </c>
      <c r="H7" s="5" t="s">
        <v>134</v>
      </c>
      <c r="I7" s="5" t="s">
        <v>186</v>
      </c>
      <c r="J7" s="38"/>
    </row>
    <row r="8" spans="1:11" ht="11.25" customHeight="1">
      <c r="A8" s="138"/>
      <c r="B8" s="146" t="s">
        <v>187</v>
      </c>
      <c r="C8" s="149"/>
      <c r="D8" s="141"/>
      <c r="E8" s="142" t="str">
        <f>HYPERLINK("Quotation.xls#doc_Quotation_cac_ValidityPeriod","[UBL_NL]")</f>
        <v>[UBL_NL]</v>
      </c>
      <c r="G8" s="210">
        <v>40614</v>
      </c>
      <c r="H8" s="5" t="s">
        <v>94</v>
      </c>
      <c r="J8" s="5" t="s">
        <v>188</v>
      </c>
    </row>
    <row r="9" spans="1:11" ht="11.25" customHeight="1">
      <c r="A9" s="138"/>
      <c r="B9" s="146" t="s">
        <v>10</v>
      </c>
      <c r="C9" s="149"/>
      <c r="D9" s="141" t="str">
        <f>HYPERLINK("Mapping_HumanResource.xls#HumanResource_HumanResourceComments","[HR-XML/SETU]")</f>
        <v>[HR-XML/SETU]</v>
      </c>
      <c r="E9" s="142" t="str">
        <f>HYPERLINK("Quotation.xls#doc_Quotation_cbc_Note","[UBL_NL]")</f>
        <v>[UBL_NL]</v>
      </c>
      <c r="F9" s="209" t="s">
        <v>649</v>
      </c>
      <c r="G9" s="209" t="s">
        <v>497</v>
      </c>
      <c r="H9" s="5" t="s">
        <v>189</v>
      </c>
      <c r="I9" s="5" t="s">
        <v>190</v>
      </c>
      <c r="J9" s="5" t="s">
        <v>191</v>
      </c>
    </row>
    <row r="10" spans="1:11" ht="11.25" customHeight="1">
      <c r="A10" s="138"/>
      <c r="B10" s="146" t="s">
        <v>192</v>
      </c>
      <c r="C10" s="150"/>
      <c r="D10" s="141" t="str">
        <f>HYPERLINK("Mapping_HumanResource.xls#HumanResource_ReferenceInformation_OrderId_IdValue","[HR-XML/SETU]")</f>
        <v>[HR-XML/SETU]</v>
      </c>
      <c r="E10" s="142" t="str">
        <f>HYPERLINK("Quotation.xls#doc_Quotation_cac_RequestForQuotationDocumentReference_cbc_ID","[UBL_NL]")</f>
        <v>[UBL_NL]</v>
      </c>
      <c r="F10" s="209" t="s">
        <v>725</v>
      </c>
      <c r="G10" s="209" t="s">
        <v>726</v>
      </c>
      <c r="H10" s="5" t="s">
        <v>98</v>
      </c>
      <c r="I10" s="5" t="s">
        <v>193</v>
      </c>
      <c r="J10" s="5" t="s">
        <v>194</v>
      </c>
    </row>
    <row r="11" spans="1:11" ht="11.25" customHeight="1">
      <c r="A11" s="138"/>
      <c r="B11" s="146" t="s">
        <v>108</v>
      </c>
      <c r="C11" s="150"/>
      <c r="D11" s="141" t="str">
        <f>HYPERLINK("Mapping_HumanResource.xls#HumanResource_ReferenceInformation_MasterOrderId_IdValue","[HR-XML/SETU]")</f>
        <v>[HR-XML/SETU]</v>
      </c>
      <c r="E11" s="142" t="str">
        <f>HYPERLINK("Quotation.xls#doc_Quotation_cac_Contract_cbc_ID","[UBL_NL]")</f>
        <v>[UBL_NL]</v>
      </c>
      <c r="F11" s="209" t="s">
        <v>691</v>
      </c>
      <c r="H11" s="5" t="s">
        <v>98</v>
      </c>
      <c r="I11" s="5" t="s">
        <v>195</v>
      </c>
      <c r="J11" s="5" t="s">
        <v>196</v>
      </c>
    </row>
    <row r="12" spans="1:11" ht="11.25" customHeight="1">
      <c r="A12" s="138"/>
      <c r="B12" s="146" t="s">
        <v>111</v>
      </c>
      <c r="C12" s="150"/>
      <c r="D12" s="141"/>
      <c r="E12" s="142" t="str">
        <f>HYPERLINK("Quotation.xls#doc_Quotation_cac_DeliveryTerms","[UBL_NL]")</f>
        <v>[UBL_NL]</v>
      </c>
      <c r="H12" s="5" t="s">
        <v>98</v>
      </c>
      <c r="J12" s="5" t="s">
        <v>198</v>
      </c>
    </row>
    <row r="13" spans="1:11" ht="11.25" customHeight="1">
      <c r="A13" s="138"/>
      <c r="B13" s="140" t="s">
        <v>55</v>
      </c>
      <c r="C13" s="145" t="s">
        <v>199</v>
      </c>
      <c r="D13" s="141" t="str">
        <f>HYPERLINK("Mapping_HumanResource.xls#HumanResource_ResourceInformation_AvailabilityDate","[HR-XML/SETU]")</f>
        <v>[HR-XML/SETU]</v>
      </c>
      <c r="E13" s="142" t="str">
        <f>HYPERLINK("Quotation.xls#doc_Quotation_cac_Delivery_cac_PromisedDeliveryPeriod_cbc_StartDate","[UBL_NL]")</f>
        <v>[UBL_NL]</v>
      </c>
      <c r="F13" s="210">
        <v>40575</v>
      </c>
      <c r="I13" s="5" t="s">
        <v>200</v>
      </c>
      <c r="J13" s="43" t="s">
        <v>201</v>
      </c>
    </row>
    <row r="14" spans="1:11" ht="11.25" customHeight="1">
      <c r="A14" s="138"/>
      <c r="B14" s="146" t="s">
        <v>202</v>
      </c>
      <c r="C14" s="150"/>
      <c r="D14" s="141"/>
      <c r="E14" s="142" t="str">
        <f>HYPERLINK("Quotation.xls#doc_Quotation_cac_PaymentMeans","[UBL_NL]")</f>
        <v>[UBL_NL]</v>
      </c>
      <c r="G14" s="209" t="s">
        <v>745</v>
      </c>
      <c r="H14" s="5" t="s">
        <v>98</v>
      </c>
      <c r="J14" s="5" t="s">
        <v>203</v>
      </c>
    </row>
    <row r="15" spans="1:11" ht="11.25" customHeight="1">
      <c r="A15" s="138"/>
      <c r="B15" s="146" t="s">
        <v>14</v>
      </c>
      <c r="C15" s="149" t="s">
        <v>15</v>
      </c>
      <c r="D15" s="141"/>
      <c r="E15" s="142" t="str">
        <f>HYPERLINK("Quotation.xls#doc_Quotation_cbc_PricingCurrencyCode","[UBL_NL]")</f>
        <v>[UBL_NL]</v>
      </c>
      <c r="H15" s="5" t="s">
        <v>98</v>
      </c>
      <c r="J15" s="5" t="s">
        <v>204</v>
      </c>
    </row>
    <row r="16" spans="1:11" ht="11.25" customHeight="1">
      <c r="A16" s="138" t="s">
        <v>19</v>
      </c>
      <c r="B16" s="140"/>
      <c r="C16" s="141"/>
      <c r="D16" s="141"/>
      <c r="E16" s="142" t="str">
        <f>HYPERLINK("Quotation.xls#doc_Quotation_cac_SellerSupplierParty","[UBL_NL]")</f>
        <v>[UBL_NL]</v>
      </c>
      <c r="H16" s="5" t="s">
        <v>94</v>
      </c>
      <c r="J16" s="5" t="s">
        <v>205</v>
      </c>
    </row>
    <row r="17" spans="1:10" ht="11.25" customHeight="1">
      <c r="A17" s="138"/>
      <c r="B17" s="36" t="s">
        <v>117</v>
      </c>
      <c r="C17" s="244" t="s">
        <v>781</v>
      </c>
      <c r="D17" s="34" t="str">
        <f>HYPERLINK("Mapping_HumanResource.xls#HumanResource_ReferenceInformation_StaffingSupplierId_IdValue","[HR-XML/SETU]")</f>
        <v>[HR-XML/SETU]</v>
      </c>
      <c r="E17" s="34" t="str">
        <f>HYPERLINK("Quotation.xls#doc_Quotation_cac_SellerSupplierParty_cbc_CustomerAssignedAccountID","[UBL_NL]")</f>
        <v>[UBL_NL]</v>
      </c>
      <c r="H17" s="5" t="s">
        <v>98</v>
      </c>
      <c r="I17" s="5" t="s">
        <v>808</v>
      </c>
      <c r="J17" s="5" t="s">
        <v>809</v>
      </c>
    </row>
    <row r="18" spans="1:10" ht="11.25" customHeight="1">
      <c r="A18" s="138"/>
      <c r="B18" s="147" t="s">
        <v>21</v>
      </c>
      <c r="C18" s="141"/>
      <c r="D18" s="141" t="str">
        <f>HYPERLINK("Mapping_HumanResource.xls#HumanResource_ResourceInformation_EntityContactInfo_EntityName","[HR-XML/SETU]")</f>
        <v>[HR-XML/SETU]</v>
      </c>
      <c r="E18" s="142" t="str">
        <f>HYPERLINK("Quotation.xls#doc_Quotation_cac_SellerSupplierParty_cac_Party_cac_PartyName_cbc_Name","[UBL_NL]")</f>
        <v>[UBL_NL]</v>
      </c>
      <c r="F18" s="209" t="s">
        <v>651</v>
      </c>
      <c r="G18" s="209" t="s">
        <v>518</v>
      </c>
      <c r="H18" s="5" t="s">
        <v>94</v>
      </c>
      <c r="I18" s="5" t="s">
        <v>206</v>
      </c>
      <c r="J18" s="5" t="s">
        <v>207</v>
      </c>
    </row>
    <row r="19" spans="1:10" ht="11.25" customHeight="1">
      <c r="A19" s="138"/>
      <c r="B19" s="146" t="s">
        <v>119</v>
      </c>
      <c r="C19" s="150"/>
      <c r="D19" s="141" t="str">
        <f>HYPERLINK("Mapping_HumanResource.xls#HumanResource_ResourceInformation_EntityContactInfo_ContactMethod_PostalAddress","[HR-XML/SETU]")</f>
        <v>[HR-XML/SETU]</v>
      </c>
      <c r="E19" s="142" t="str">
        <f>HYPERLINK("Quotation.xls#doc_Quotation_cac_SellerSupplierParty_cac_Party_cac_PostalAddress","[UBL_NL]")</f>
        <v>[UBL_NL]</v>
      </c>
      <c r="F19" s="209" t="s">
        <v>522</v>
      </c>
      <c r="G19" s="209" t="s">
        <v>522</v>
      </c>
      <c r="H19" s="5" t="s">
        <v>98</v>
      </c>
      <c r="I19" s="5" t="s">
        <v>208</v>
      </c>
      <c r="J19" s="5" t="s">
        <v>209</v>
      </c>
    </row>
    <row r="20" spans="1:10" ht="11.25" customHeight="1">
      <c r="A20" s="138"/>
      <c r="B20" s="146" t="s">
        <v>210</v>
      </c>
      <c r="C20" s="150"/>
      <c r="D20" s="141"/>
      <c r="E20" s="142" t="str">
        <f>HYPERLINK("Quotation.xls#doc_Quotation_cac_Delivery_cac_Despatch_cac_DespatchAddress","[UBL_NL]")</f>
        <v>[UBL_NL]</v>
      </c>
      <c r="G20" s="209" t="s">
        <v>692</v>
      </c>
      <c r="H20" s="5" t="s">
        <v>98</v>
      </c>
      <c r="J20" s="5" t="s">
        <v>211</v>
      </c>
    </row>
    <row r="21" spans="1:10" ht="11.25" customHeight="1">
      <c r="A21" s="138"/>
      <c r="B21" s="146" t="s">
        <v>212</v>
      </c>
      <c r="C21" s="150"/>
      <c r="D21" s="141"/>
      <c r="E21" s="142" t="str">
        <f>HYPERLINK("Quotation.xls#doc_Quotation_cac_SellerSupplierParty_cac_Party_cac_PartyIdentification_cbc_ID","[UBL_NL]")</f>
        <v>[UBL_NL]</v>
      </c>
      <c r="G21" s="209" t="s">
        <v>525</v>
      </c>
      <c r="H21" s="5" t="s">
        <v>98</v>
      </c>
      <c r="J21" s="5" t="s">
        <v>213</v>
      </c>
    </row>
    <row r="22" spans="1:10" ht="11.25" customHeight="1">
      <c r="A22" s="138"/>
      <c r="B22" s="143" t="s">
        <v>23</v>
      </c>
      <c r="C22" s="151" t="s">
        <v>24</v>
      </c>
      <c r="D22" s="141"/>
      <c r="E22" s="142" t="str">
        <f>HYPERLINK("Quotation.xls#doc_Quotation_cac_SellerSupplierParty_cac_Party_cac_PartyIdentification_cbc_ID","[UBL_NL]")</f>
        <v>[UBL_NL]</v>
      </c>
      <c r="G22" s="209">
        <v>345345345</v>
      </c>
      <c r="H22" s="5" t="s">
        <v>94</v>
      </c>
      <c r="J22" s="5" t="s">
        <v>213</v>
      </c>
    </row>
    <row r="23" spans="1:10" ht="11.25" customHeight="1">
      <c r="A23" s="138"/>
      <c r="B23" s="146" t="s">
        <v>214</v>
      </c>
      <c r="C23" s="150"/>
      <c r="D23" s="141"/>
      <c r="E23" s="213" t="str">
        <f>HYPERLINK("Quotation.xls#doc_Quotation_cac_PaymentMeans_cac_PayeeFinancialAccount","[UBL_NL]")</f>
        <v>[UBL_NL]</v>
      </c>
      <c r="G23" s="209" t="s">
        <v>740</v>
      </c>
      <c r="H23" s="5" t="s">
        <v>98</v>
      </c>
      <c r="J23" s="5" t="s">
        <v>215</v>
      </c>
    </row>
    <row r="24" spans="1:10" ht="11.25" customHeight="1">
      <c r="A24" s="138"/>
      <c r="B24" s="98" t="s">
        <v>216</v>
      </c>
      <c r="C24" s="150"/>
      <c r="D24" s="141"/>
      <c r="E24" s="142" t="str">
        <f>HYPERLINK("Quotation.xls#doc_Quotation_cac_PaymentMeans_cac_PayeeFinancialAccount_cbc_ID","[UBL_NL]")</f>
        <v>[UBL_NL]</v>
      </c>
      <c r="G24" s="209">
        <v>2233445566</v>
      </c>
      <c r="H24" s="5" t="s">
        <v>94</v>
      </c>
      <c r="J24" s="5" t="s">
        <v>217</v>
      </c>
    </row>
    <row r="25" spans="1:10" ht="11.25" customHeight="1">
      <c r="A25" s="138"/>
      <c r="B25" s="146" t="s">
        <v>121</v>
      </c>
      <c r="C25" s="150"/>
      <c r="D25" s="141" t="str">
        <f>HYPERLINK("Mapping_HumanResource.xls#HumanResource_ResourceInformation_EntityContactInfo_PersonName","[HR-XML/SETU]")</f>
        <v>[HR-XML/SETU]</v>
      </c>
      <c r="E25" s="142" t="str">
        <f>HYPERLINK("Quotation.xls#doc_Quotation_cac_SellerSupplierParty_cac_Party_cac_Contact_cbc_Name","[UBL_NL]")</f>
        <v>[UBL_NL]</v>
      </c>
      <c r="F25" s="209" t="s">
        <v>653</v>
      </c>
      <c r="G25" s="209" t="s">
        <v>693</v>
      </c>
      <c r="H25" s="5" t="s">
        <v>98</v>
      </c>
      <c r="I25" s="5" t="s">
        <v>218</v>
      </c>
      <c r="J25" s="5" t="s">
        <v>219</v>
      </c>
    </row>
    <row r="26" spans="1:10" ht="11.25" customHeight="1">
      <c r="A26" s="138" t="s">
        <v>26</v>
      </c>
      <c r="B26" s="140"/>
      <c r="C26" s="141"/>
      <c r="D26" s="141"/>
      <c r="E26" s="142" t="str">
        <f>HYPERLINK("Quotation.xls#doc_Quotation_cac_OriginatorCustomerParty","[UBL_NL]")</f>
        <v>[UBL_NL]</v>
      </c>
      <c r="H26" s="5" t="s">
        <v>94</v>
      </c>
      <c r="J26" s="5" t="s">
        <v>220</v>
      </c>
    </row>
    <row r="27" spans="1:10" ht="11.25" customHeight="1">
      <c r="A27" s="138"/>
      <c r="B27" s="36" t="s">
        <v>28</v>
      </c>
      <c r="C27" s="244" t="s">
        <v>783</v>
      </c>
      <c r="D27" s="34" t="str">
        <f>HYPERLINK("Mapping_HumanResource.xls#HumanResource_ReferenceInformation_StaffingCustomerId_IdValue","[HR-XML/SETU]")</f>
        <v>[HR-XML/SETU]</v>
      </c>
      <c r="E27" s="34" t="str">
        <f>HYPERLINK("Quotation.xls#doc_Quotation_cac_OriginatorCustomerParty_cbc_SupplierAssignedAccountID","[UBL_NL]")</f>
        <v>[UBL_NL]</v>
      </c>
      <c r="H27" s="5" t="s">
        <v>98</v>
      </c>
      <c r="I27" s="5" t="s">
        <v>810</v>
      </c>
      <c r="J27" s="5" t="s">
        <v>811</v>
      </c>
    </row>
    <row r="28" spans="1:10" ht="11.25" customHeight="1">
      <c r="A28" s="138"/>
      <c r="B28" s="147" t="s">
        <v>29</v>
      </c>
      <c r="C28" s="141"/>
      <c r="D28" s="141"/>
      <c r="E28" s="142" t="str">
        <f>HYPERLINK("Quotation.xls#doc_Quotation_cac_OriginatorCustomerParty_cac_Party_cac_PartyName","[UBL_NL]")</f>
        <v>[UBL_NL]</v>
      </c>
      <c r="G28" s="209" t="s">
        <v>654</v>
      </c>
      <c r="H28" s="5" t="s">
        <v>94</v>
      </c>
      <c r="J28" s="5" t="s">
        <v>221</v>
      </c>
    </row>
    <row r="29" spans="1:10" ht="11.25" customHeight="1">
      <c r="A29" s="138"/>
      <c r="B29" s="146" t="s">
        <v>125</v>
      </c>
      <c r="C29" s="141"/>
      <c r="D29" s="141"/>
      <c r="E29" s="142" t="str">
        <f>HYPERLINK("Quotation.xls#doc_Quotation_cac_OriginatorCustomerParty_cac_Party_cac_PhysicalLocation_cac_Address","[UBL_NL]")</f>
        <v>[UBL_NL]</v>
      </c>
      <c r="G29" s="209" t="s">
        <v>696</v>
      </c>
      <c r="H29" s="5" t="s">
        <v>98</v>
      </c>
      <c r="J29" s="5" t="s">
        <v>222</v>
      </c>
    </row>
    <row r="30" spans="1:10" ht="11.25" customHeight="1">
      <c r="A30" s="138"/>
      <c r="B30" s="140" t="s">
        <v>127</v>
      </c>
      <c r="C30" s="141"/>
      <c r="D30" s="141"/>
      <c r="E30" s="142" t="str">
        <f>HYPERLINK("Quotation.xls#doc_Quotation_cac_Delivery_cac_DeliveryAddress","[UBL_NL]")</f>
        <v>[UBL_NL]</v>
      </c>
      <c r="H30" s="5" t="s">
        <v>94</v>
      </c>
      <c r="I30" s="38"/>
      <c r="J30" s="5" t="s">
        <v>223</v>
      </c>
    </row>
    <row r="31" spans="1:10" ht="11.25" customHeight="1">
      <c r="A31" s="138"/>
      <c r="B31" s="140" t="s">
        <v>130</v>
      </c>
      <c r="C31" s="141"/>
      <c r="D31" s="141"/>
      <c r="E31" s="142" t="str">
        <f>HYPERLINK("Quotation.xls#doc_Quotation_cac_OriginatorCustomerParty_cac_Party_cac_Contact_cbc_Name","[UBL_NL]")</f>
        <v>[UBL_NL]</v>
      </c>
      <c r="G31" s="209" t="s">
        <v>657</v>
      </c>
      <c r="H31" s="5" t="s">
        <v>94</v>
      </c>
      <c r="J31" s="5" t="s">
        <v>224</v>
      </c>
    </row>
    <row r="32" spans="1:10" ht="11.25" customHeight="1">
      <c r="A32" s="187"/>
      <c r="B32" s="146" t="s">
        <v>23</v>
      </c>
      <c r="C32" s="149" t="s">
        <v>737</v>
      </c>
      <c r="D32" s="141"/>
      <c r="E32" s="142" t="str">
        <f>HYPERLINK("Quotation.xls#doc_Quotation_cac_OriginatorCustomerParty_cac_Party_cac_PartyIdentification_cbc_ID","[UBL_NL]")</f>
        <v>[UBL_NL]</v>
      </c>
      <c r="G32" s="209" t="s">
        <v>81</v>
      </c>
      <c r="H32" s="5" t="s">
        <v>98</v>
      </c>
      <c r="J32" s="5" t="s">
        <v>226</v>
      </c>
    </row>
    <row r="33" spans="1:14" ht="11.25" customHeight="1">
      <c r="A33" s="187"/>
      <c r="B33" s="146" t="s">
        <v>227</v>
      </c>
      <c r="C33" s="149" t="s">
        <v>228</v>
      </c>
      <c r="D33" s="141"/>
      <c r="E33" s="142" t="str">
        <f>HYPERLINK("Quotation.xls#doc_Quotation_cac_OriginatorCustomerParty_cac_Party_cac_PartyIdentification_cbc_ID","[UBL_NL]")</f>
        <v>[UBL_NL]</v>
      </c>
      <c r="G33" s="209" t="s">
        <v>658</v>
      </c>
      <c r="H33" s="5" t="s">
        <v>98</v>
      </c>
      <c r="J33" s="5" t="s">
        <v>226</v>
      </c>
    </row>
    <row r="34" spans="1:14" ht="11.25" customHeight="1">
      <c r="A34" s="187" t="s">
        <v>679</v>
      </c>
      <c r="B34" s="146"/>
      <c r="C34" s="150"/>
      <c r="D34" s="141" t="str">
        <f>HYPERLINK("Mapping_HumanResource.xls#HumanResource_ReferenceInformation_IntermediaryId_IdValue","[HR-XML/SETU]")</f>
        <v>[HR-XML/SETU]</v>
      </c>
      <c r="E34" s="142" t="str">
        <f>HYPERLINK("Quotation.xls#doc_Quotation_cac_OriginatorCustomerParty_cac_Party_cac_AgentParty","[UBL_NL]")</f>
        <v>[UBL_NL]</v>
      </c>
      <c r="F34" s="209" t="s">
        <v>697</v>
      </c>
      <c r="G34" s="209" t="s">
        <v>698</v>
      </c>
      <c r="H34" s="5" t="s">
        <v>98</v>
      </c>
      <c r="I34" s="5" t="s">
        <v>229</v>
      </c>
      <c r="J34" s="5" t="s">
        <v>230</v>
      </c>
    </row>
    <row r="35" spans="1:14" ht="11.25" customHeight="1">
      <c r="A35" s="207"/>
      <c r="B35" s="140"/>
      <c r="C35" s="141"/>
      <c r="D35" s="141"/>
      <c r="E35" s="142"/>
    </row>
    <row r="36" spans="1:14" ht="11.25" customHeight="1">
      <c r="A36" s="138" t="s">
        <v>231</v>
      </c>
      <c r="B36" s="140"/>
      <c r="C36" s="141"/>
      <c r="D36" s="141"/>
      <c r="E36" s="142" t="str">
        <f>HYPERLINK("Quotation.xls#doc_Quotation_cac_AllowanceCharge","[UBL_NL]")</f>
        <v>[UBL_NL]</v>
      </c>
      <c r="J36" s="5" t="s">
        <v>232</v>
      </c>
    </row>
    <row r="37" spans="1:14" ht="11.25" customHeight="1">
      <c r="A37" s="138"/>
      <c r="B37" s="146" t="s">
        <v>233</v>
      </c>
      <c r="C37" s="150"/>
      <c r="D37" s="141"/>
      <c r="E37" s="142" t="str">
        <f>HYPERLINK("Quotation.xls#doc_Quotation_cac_AllowanceCharge_cbc_Amount","[UBL_NL]")</f>
        <v>[UBL_NL]</v>
      </c>
      <c r="G37" s="67"/>
      <c r="H37" s="5" t="s">
        <v>94</v>
      </c>
      <c r="J37" s="5" t="s">
        <v>234</v>
      </c>
    </row>
    <row r="38" spans="1:14" ht="11.25" customHeight="1">
      <c r="A38" s="138"/>
      <c r="B38" s="146" t="s">
        <v>638</v>
      </c>
      <c r="C38" s="149" t="s">
        <v>681</v>
      </c>
      <c r="D38" s="141"/>
      <c r="E38" s="142" t="str">
        <f>HYPERLINK("Quotation.xls#doc_Quotation_cac_AllowanceCharge_cbc_ChargeIndicator","[UBL_NL]")</f>
        <v>[UBL_NL]</v>
      </c>
      <c r="G38" s="67"/>
      <c r="H38" s="5" t="s">
        <v>94</v>
      </c>
      <c r="J38" s="5" t="s">
        <v>235</v>
      </c>
    </row>
    <row r="39" spans="1:14" ht="11.25" customHeight="1">
      <c r="A39" s="138"/>
      <c r="B39" s="146" t="s">
        <v>236</v>
      </c>
      <c r="C39" s="149" t="s">
        <v>237</v>
      </c>
      <c r="D39" s="141"/>
      <c r="E39" s="142" t="str">
        <f>HYPERLINK("Quotation.xls#doc_Quotation_cac_TaxTotal_cac_TaxSubtotal_cac_TaxCategory_cac_TaxScheme_cbc_Name","[UBL_NL]")</f>
        <v>[UBL_NL]</v>
      </c>
      <c r="G39" s="174"/>
      <c r="H39" s="5" t="s">
        <v>98</v>
      </c>
      <c r="J39" s="5" t="s">
        <v>238</v>
      </c>
    </row>
    <row r="40" spans="1:14" ht="11.25" customHeight="1">
      <c r="A40" s="138"/>
      <c r="B40" s="146" t="s">
        <v>239</v>
      </c>
      <c r="C40" s="150"/>
      <c r="D40" s="141"/>
      <c r="E40" s="142" t="str">
        <f>HYPERLINK("Quotation.xls#doc_Quotation_cac_TaxTotal_cac_TaxSubtotal_cbc_TaxAmount","[UBL_NL]")</f>
        <v>[UBL_NL]</v>
      </c>
      <c r="G40" s="176"/>
      <c r="J40" s="5" t="s">
        <v>240</v>
      </c>
    </row>
    <row r="41" spans="1:14" ht="11.25" customHeight="1">
      <c r="A41" s="138"/>
      <c r="B41" s="146" t="s">
        <v>41</v>
      </c>
      <c r="C41" s="150"/>
      <c r="D41" s="141"/>
      <c r="E41" s="142" t="str">
        <f>HYPERLINK("Quotation.xls#doc_Quotation_cac_TaxTotal_cac_TaxSubtotal_cac_TaxCategory_cbc_Percent","[UBL_NL]")</f>
        <v>[UBL_NL]</v>
      </c>
      <c r="G41" s="67"/>
      <c r="J41" s="5" t="s">
        <v>241</v>
      </c>
    </row>
    <row r="42" spans="1:14" ht="11.25" customHeight="1">
      <c r="A42" s="138"/>
      <c r="B42" s="146" t="s">
        <v>242</v>
      </c>
      <c r="C42" s="150"/>
      <c r="D42" s="141"/>
      <c r="E42" s="142" t="str">
        <f>HYPERLINK("Quotation.xls#doc_Quotation_cac_AllowanceCharge_cbc_Amount","[UBL_NL]")</f>
        <v>[UBL_NL]</v>
      </c>
      <c r="G42" s="174"/>
      <c r="H42" s="5" t="s">
        <v>98</v>
      </c>
      <c r="J42" s="5" t="s">
        <v>234</v>
      </c>
    </row>
    <row r="43" spans="1:14" ht="11.25" customHeight="1">
      <c r="A43" s="138"/>
      <c r="B43" s="146" t="s">
        <v>637</v>
      </c>
      <c r="C43" s="149" t="s">
        <v>686</v>
      </c>
      <c r="D43" s="141"/>
      <c r="E43" s="142" t="str">
        <f>HYPERLINK("Quotation.xls#doc_Quotation_cac_AllowanceCharge_cbc_ChargeIndicator","[UBL_NL]")</f>
        <v>[UBL_NL]</v>
      </c>
      <c r="G43" s="177"/>
      <c r="H43" s="5" t="s">
        <v>98</v>
      </c>
      <c r="J43" s="5" t="s">
        <v>235</v>
      </c>
    </row>
    <row r="44" spans="1:14" ht="11.25" customHeight="1">
      <c r="A44" s="138" t="s">
        <v>33</v>
      </c>
      <c r="B44" s="140"/>
      <c r="C44" s="141"/>
      <c r="D44" s="141"/>
      <c r="E44" s="142" t="str">
        <f>HYPERLINK("Quotation.xls#doc_Quotation_cac_QuotedMonetaryTotal","[UBL_NL]")</f>
        <v>[UBL_NL]</v>
      </c>
      <c r="G44" s="67"/>
      <c r="H44" s="5" t="s">
        <v>94</v>
      </c>
      <c r="J44" s="5" t="s">
        <v>243</v>
      </c>
    </row>
    <row r="45" spans="1:14" ht="11.25" customHeight="1">
      <c r="A45" s="138"/>
      <c r="B45" s="146" t="s">
        <v>35</v>
      </c>
      <c r="C45" s="150"/>
      <c r="D45" s="141"/>
      <c r="E45" s="142" t="str">
        <f>HYPERLINK("Quotation.xls#doc_Quotation_cac_QuotedMonetaryTotal_cbc_TaxExclusiveAmount","[UBL_NL]")</f>
        <v>[UBL_NL]</v>
      </c>
      <c r="G45" s="174"/>
      <c r="H45" s="5" t="s">
        <v>98</v>
      </c>
      <c r="J45" s="5" t="s">
        <v>244</v>
      </c>
      <c r="N45" s="38"/>
    </row>
    <row r="46" spans="1:14" ht="11.25" customHeight="1">
      <c r="A46" s="138"/>
      <c r="B46" s="146" t="s">
        <v>245</v>
      </c>
      <c r="C46" s="149" t="s">
        <v>246</v>
      </c>
      <c r="D46" s="141"/>
      <c r="E46" s="142" t="str">
        <f>HYPERLINK("Quotation.xls#doc_Quotation_cac_TaxTotal_cac_TaxSubtotal_cbc_TaxAmount","[UBL_NL]")</f>
        <v>[UBL_NL]</v>
      </c>
      <c r="G46" s="174"/>
      <c r="H46" s="5" t="s">
        <v>98</v>
      </c>
      <c r="J46" s="5" t="s">
        <v>240</v>
      </c>
    </row>
    <row r="47" spans="1:14" ht="11.25" customHeight="1">
      <c r="A47" s="138"/>
      <c r="B47" s="146" t="s">
        <v>247</v>
      </c>
      <c r="C47" s="149"/>
      <c r="D47" s="141"/>
      <c r="E47" s="142" t="str">
        <f>HYPERLINK("Quotation.xls#doc_Quotation_cac_TaxTotal_cac_TaxSubtotal_cac_TaxCategory_cbc_Percent","[UBL_NL]")</f>
        <v>[UBL_NL]</v>
      </c>
      <c r="G47" s="176"/>
      <c r="H47" s="5" t="s">
        <v>98</v>
      </c>
      <c r="J47" s="5" t="s">
        <v>241</v>
      </c>
    </row>
    <row r="48" spans="1:14" ht="11.25" customHeight="1">
      <c r="A48" s="138"/>
      <c r="B48" s="146" t="s">
        <v>43</v>
      </c>
      <c r="C48" s="149" t="s">
        <v>738</v>
      </c>
      <c r="D48" s="141"/>
      <c r="E48" s="142" t="str">
        <f>HYPERLINK("Quotation.xls#doc_Quotation_cac_TaxTotal_cac_TaxSubtotal_cac_TaxCategory_cac_TaxScheme_cbc_Name","[UBL_NL]")</f>
        <v>[UBL_NL]</v>
      </c>
      <c r="G48" s="67"/>
      <c r="H48" s="5" t="s">
        <v>98</v>
      </c>
      <c r="J48" s="5" t="s">
        <v>238</v>
      </c>
    </row>
    <row r="49" spans="1:10" ht="11.25" customHeight="1">
      <c r="A49" s="138"/>
      <c r="B49" s="146" t="s">
        <v>45</v>
      </c>
      <c r="C49" s="150"/>
      <c r="D49" s="141"/>
      <c r="E49" s="142" t="str">
        <f>HYPERLINK("Quotation.xls#doc_Quotation_cac_QuotedMonetaryTotal_cbc_PayableAmount","[UBL_NL]")</f>
        <v>[UBL_NL]</v>
      </c>
      <c r="G49" s="174"/>
      <c r="H49" s="5" t="s">
        <v>98</v>
      </c>
      <c r="J49" s="5" t="s">
        <v>248</v>
      </c>
    </row>
    <row r="50" spans="1:10" ht="11.25" customHeight="1">
      <c r="A50" s="138"/>
      <c r="B50" s="140"/>
      <c r="C50" s="141"/>
      <c r="D50" s="141"/>
      <c r="E50" s="142"/>
    </row>
    <row r="51" spans="1:10" ht="11.25" customHeight="1">
      <c r="A51" s="139" t="s">
        <v>249</v>
      </c>
      <c r="B51" s="140"/>
      <c r="C51" s="141"/>
      <c r="D51" s="141"/>
      <c r="E51" s="142" t="str">
        <f>HYPERLINK("Quotation.xls#doc_Quotation_cac_QuotationLine","[UBL_NL]")</f>
        <v>[UBL_NL]</v>
      </c>
      <c r="J51" s="5" t="s">
        <v>250</v>
      </c>
    </row>
    <row r="52" spans="1:10" ht="11.25" customHeight="1">
      <c r="A52" s="139"/>
      <c r="B52" s="140" t="s">
        <v>48</v>
      </c>
      <c r="C52" s="141"/>
      <c r="D52" s="141"/>
      <c r="E52" s="142" t="str">
        <f>HYPERLINK("Quotation.xls#doc_Quotation_cac_QuotationLine_cac_LineItem_cbc_ID","[UBL_NL]")</f>
        <v>[UBL_NL]</v>
      </c>
      <c r="G52" s="209">
        <v>100</v>
      </c>
      <c r="H52" s="5" t="s">
        <v>94</v>
      </c>
      <c r="J52" s="5" t="s">
        <v>251</v>
      </c>
    </row>
    <row r="53" spans="1:10" ht="11.25" customHeight="1">
      <c r="A53" s="138" t="s">
        <v>50</v>
      </c>
      <c r="B53" s="140"/>
      <c r="C53" s="141"/>
      <c r="D53" s="141"/>
      <c r="E53" s="142" t="str">
        <f>HYPERLINK("Quotation.xls#doc_Quotation_cac_QuotationLine_cac_LineItem","[UBL_NL]")</f>
        <v>[UBL_NL]</v>
      </c>
      <c r="G53" s="177"/>
      <c r="J53" s="5" t="s">
        <v>252</v>
      </c>
    </row>
    <row r="54" spans="1:10" ht="11.25" customHeight="1">
      <c r="A54" s="138"/>
      <c r="B54" s="140" t="s">
        <v>146</v>
      </c>
      <c r="C54" s="141"/>
      <c r="D54" s="141"/>
      <c r="E54" s="142" t="str">
        <f>HYPERLINK("Quotation.xls#doc_Quotation_cac_QuotationLine_cac_LineItem_cac_Item_cbc_Description","[UBL_NL]")</f>
        <v>[UBL_NL]</v>
      </c>
      <c r="G54" s="209">
        <v>25488436</v>
      </c>
      <c r="H54" s="5" t="s">
        <v>94</v>
      </c>
      <c r="J54" s="5" t="s">
        <v>253</v>
      </c>
    </row>
    <row r="55" spans="1:10" ht="11.25" customHeight="1">
      <c r="A55" s="138"/>
      <c r="B55" s="146" t="s">
        <v>254</v>
      </c>
      <c r="C55" s="149" t="s">
        <v>255</v>
      </c>
      <c r="D55" s="141"/>
      <c r="E55" s="142" t="str">
        <f>HYPERLINK("Quotation.xls#doc_Quotation_cac_QuotationLine_cac_SellerProposedSubstituteLineItem_cac_Item_cbc_Description","[UBL_NL]")</f>
        <v>[UBL_NL]</v>
      </c>
      <c r="G55" s="67" t="s">
        <v>741</v>
      </c>
      <c r="J55" s="5" t="s">
        <v>256</v>
      </c>
    </row>
    <row r="56" spans="1:10" ht="11.25" customHeight="1">
      <c r="A56" s="138"/>
      <c r="B56" s="146" t="s">
        <v>51</v>
      </c>
      <c r="C56" s="150"/>
      <c r="D56" s="141"/>
      <c r="E56" s="142" t="str">
        <f>HYPERLINK("Quotation.xls#doc_Quotation_cac_QuotationLine_cac_LineItem_cac_Item_cbc_Name","[UBL_NL]")</f>
        <v>[UBL_NL]</v>
      </c>
      <c r="G56" s="67" t="s">
        <v>704</v>
      </c>
      <c r="H56" s="5" t="s">
        <v>98</v>
      </c>
      <c r="J56" s="5" t="s">
        <v>257</v>
      </c>
    </row>
    <row r="57" spans="1:10" ht="11.25" customHeight="1">
      <c r="A57" s="138"/>
      <c r="B57" s="146" t="s">
        <v>151</v>
      </c>
      <c r="C57" s="149" t="s">
        <v>152</v>
      </c>
      <c r="D57" s="141"/>
      <c r="E57" s="142" t="str">
        <f>HYPERLINK("Quotation.xls#doc_Quotation_cac_QuotationLine_cac_DocumentReference_cac_Attachment","[UBL_NL]")</f>
        <v>[UBL_NL]</v>
      </c>
      <c r="G57" s="67" t="s">
        <v>742</v>
      </c>
      <c r="H57" s="5" t="s">
        <v>98</v>
      </c>
      <c r="J57" s="5" t="s">
        <v>258</v>
      </c>
    </row>
    <row r="58" spans="1:10" ht="11.25" customHeight="1">
      <c r="A58" s="138"/>
      <c r="B58" s="140" t="s">
        <v>53</v>
      </c>
      <c r="C58" s="145" t="s">
        <v>154</v>
      </c>
      <c r="D58" s="141"/>
      <c r="E58" s="142" t="str">
        <f>HYPERLINK("Quotation.xls#doc_Quotation_cac_QuotationLine_cac_LineItem_cbc_Quantity","[UBL_NL]")</f>
        <v>[UBL_NL]</v>
      </c>
      <c r="H58" s="5" t="s">
        <v>94</v>
      </c>
      <c r="J58" s="5" t="s">
        <v>259</v>
      </c>
    </row>
    <row r="59" spans="1:10" ht="11.25" customHeight="1">
      <c r="A59" s="138"/>
      <c r="B59" s="140" t="s">
        <v>260</v>
      </c>
      <c r="C59" s="145" t="s">
        <v>154</v>
      </c>
      <c r="D59" s="141"/>
      <c r="E59" s="142" t="str">
        <f>HYPERLINK("Quotation.xls#doc_Quotation_cac_QuotationLine_cac_SellerProposedSubstituteLineItem_cbc_Quantity","[UBL_NL]")</f>
        <v>[UBL_NL]</v>
      </c>
      <c r="G59" s="67" t="s">
        <v>671</v>
      </c>
      <c r="J59" s="5" t="s">
        <v>261</v>
      </c>
    </row>
    <row r="60" spans="1:10" ht="11.25" customHeight="1">
      <c r="A60" s="138"/>
      <c r="B60" s="140" t="s">
        <v>55</v>
      </c>
      <c r="C60" s="145" t="s">
        <v>262</v>
      </c>
      <c r="D60" s="141"/>
      <c r="E60" s="142" t="str">
        <f>HYPERLINK("Quotation.xls#doc_Quotation_cac_QuotationLine_cac_LineItem_cac_Delivery_cac_PromisedDeliveryPeriod","[UBL_NL]")</f>
        <v>[UBL_NL]</v>
      </c>
      <c r="G60" s="171">
        <v>40545</v>
      </c>
      <c r="H60" s="5" t="s">
        <v>94</v>
      </c>
      <c r="J60" s="5" t="s">
        <v>263</v>
      </c>
    </row>
    <row r="61" spans="1:10" ht="11.25" customHeight="1">
      <c r="A61" s="138"/>
      <c r="B61" s="146" t="s">
        <v>127</v>
      </c>
      <c r="C61" s="150"/>
      <c r="D61" s="141"/>
      <c r="E61" s="142" t="str">
        <f>HYPERLINK("Quotation.xls#doc_Quotation_cac_QuotationLine_cac_LineItem_cac_Delivery_cac_DeliveryAddress","[UBL_NL]")</f>
        <v>[UBL_NL]</v>
      </c>
      <c r="G61" s="209" t="s">
        <v>710</v>
      </c>
      <c r="H61" s="5" t="s">
        <v>98</v>
      </c>
      <c r="J61" s="5" t="s">
        <v>264</v>
      </c>
    </row>
    <row r="62" spans="1:10" ht="11.25" customHeight="1">
      <c r="A62" s="138"/>
      <c r="B62" s="146" t="s">
        <v>162</v>
      </c>
      <c r="C62" s="150"/>
      <c r="D62" s="141"/>
      <c r="E62" s="142" t="str">
        <f>HYPERLINK("Quotation.xls#doc_Quotation_cac_QuotationLine_cac_LineItem_cac_Delivery_cac_DeliveryParty_cac_Contact_cbc_Name","[UBL_NL]")</f>
        <v>[UBL_NL]</v>
      </c>
      <c r="G62" s="67"/>
      <c r="H62" s="5" t="s">
        <v>98</v>
      </c>
      <c r="J62" s="5" t="s">
        <v>265</v>
      </c>
    </row>
    <row r="63" spans="1:10" ht="11.25" customHeight="1">
      <c r="A63" s="138"/>
      <c r="B63" s="146" t="s">
        <v>57</v>
      </c>
      <c r="C63" s="149" t="s">
        <v>164</v>
      </c>
      <c r="D63" s="141"/>
      <c r="E63" s="142" t="str">
        <f>HYPERLINK("Quotation.xls#doc_Quotation_cac_QuotationLine_cac_LineItem_cbc_AccountingCostCode","[UBL_NL]")</f>
        <v>[UBL_NL]</v>
      </c>
      <c r="G63" s="67"/>
      <c r="H63" s="5" t="s">
        <v>94</v>
      </c>
      <c r="J63" s="5" t="s">
        <v>266</v>
      </c>
    </row>
    <row r="64" spans="1:10" ht="11.25" customHeight="1">
      <c r="A64" s="138"/>
      <c r="B64" s="146" t="s">
        <v>108</v>
      </c>
      <c r="C64" s="150"/>
      <c r="D64" s="141"/>
      <c r="E64" s="142" t="str">
        <f>HYPERLINK("Quotation.xls#doc_Quotation_cac_QuotationLine_cac_DocumentReference_cbc_ID","[UBL_NL]")</f>
        <v>[UBL_NL]</v>
      </c>
      <c r="G64" s="67"/>
      <c r="H64" s="5" t="s">
        <v>98</v>
      </c>
      <c r="J64" s="5" t="s">
        <v>267</v>
      </c>
    </row>
    <row r="65" spans="1:10" ht="11.25" customHeight="1">
      <c r="A65" s="138"/>
      <c r="B65" s="146" t="s">
        <v>167</v>
      </c>
      <c r="C65" s="149" t="s">
        <v>724</v>
      </c>
      <c r="D65" s="141"/>
      <c r="E65" s="142" t="str">
        <f>HYPERLINK("Quotation.xls#doc_Quotation_cac_QuotationLine_cac_DocumentReference_cbc_DocumentType","[UBL_NL]")</f>
        <v>[UBL_NL]</v>
      </c>
      <c r="G65" s="67" t="s">
        <v>736</v>
      </c>
      <c r="J65" s="5" t="s">
        <v>268</v>
      </c>
    </row>
    <row r="66" spans="1:10" ht="11.25" customHeight="1">
      <c r="A66" s="138"/>
      <c r="B66" s="146" t="s">
        <v>169</v>
      </c>
      <c r="C66" s="150"/>
      <c r="D66" s="141"/>
      <c r="E66" s="142" t="str">
        <f>HYPERLINK("Quotation.xls#doc_Quotation_cac_QuotationLine_cac_LineItem_cac_Item_cac_CatalogueDocumentReference","[UBL_NL]")</f>
        <v>[UBL_NL]</v>
      </c>
      <c r="G66" s="67"/>
      <c r="H66" s="5" t="s">
        <v>98</v>
      </c>
      <c r="J66" s="5" t="s">
        <v>269</v>
      </c>
    </row>
    <row r="67" spans="1:10" ht="11.25" customHeight="1">
      <c r="A67" s="138"/>
      <c r="B67" s="146" t="s">
        <v>171</v>
      </c>
      <c r="C67" s="150"/>
      <c r="D67" s="141"/>
      <c r="E67" s="142" t="str">
        <f>HYPERLINK("Quotation.xls#doc_Quotation_cac_QuotationLine_cac_LineItem_cac_Item_cbc_CatalogueIndicator","[UBL_NL]")</f>
        <v>[UBL_NL]</v>
      </c>
      <c r="G67" s="67" t="s">
        <v>669</v>
      </c>
      <c r="H67" s="5" t="s">
        <v>94</v>
      </c>
      <c r="J67" s="5" t="s">
        <v>270</v>
      </c>
    </row>
    <row r="68" spans="1:10" ht="11.25" customHeight="1">
      <c r="A68" s="138"/>
      <c r="B68" s="146" t="s">
        <v>173</v>
      </c>
      <c r="C68" s="150"/>
      <c r="D68" s="141"/>
      <c r="E68" s="142" t="str">
        <f>HYPERLINK("Quotation.xls#doc_Quotation_cac_QuotationLine_cac_LineItem_cac_Item_cac_ItemSpecificationDocumentReference","[UBL_NL]")</f>
        <v>[UBL_NL]</v>
      </c>
      <c r="G68" s="67" t="s">
        <v>743</v>
      </c>
      <c r="H68" s="5" t="s">
        <v>98</v>
      </c>
      <c r="J68" s="5" t="s">
        <v>271</v>
      </c>
    </row>
    <row r="69" spans="1:10" ht="11.25" customHeight="1">
      <c r="A69" s="138"/>
      <c r="B69" s="146" t="s">
        <v>175</v>
      </c>
      <c r="C69" s="150"/>
      <c r="D69" s="141"/>
      <c r="E69" s="142" t="str">
        <f>HYPERLINK("Quotation.xls#doc_Quotation_cac_QuotationLine_cac_LineItem_cac_DeliveryTerms","[UBL_NL]")</f>
        <v>[UBL_NL]</v>
      </c>
      <c r="G69" s="67" t="s">
        <v>744</v>
      </c>
      <c r="H69" s="5" t="s">
        <v>98</v>
      </c>
      <c r="J69" s="5" t="s">
        <v>272</v>
      </c>
    </row>
    <row r="70" spans="1:10" ht="11.25" customHeight="1">
      <c r="A70" s="138"/>
      <c r="B70" s="146" t="s">
        <v>60</v>
      </c>
      <c r="C70" s="150"/>
      <c r="D70" s="141"/>
      <c r="E70" s="142" t="str">
        <f>HYPERLINK("Quotation.xls#doc_Quotation_cac_QuotationLine_cac_LineItem_cac_Item_cac_ClassifiedTaxCategory_cbc_Percent","[UBL_NL]")</f>
        <v>[UBL_NL]</v>
      </c>
      <c r="G70" s="182">
        <v>0.19</v>
      </c>
      <c r="H70" s="5" t="s">
        <v>98</v>
      </c>
      <c r="J70" s="5" t="s">
        <v>273</v>
      </c>
    </row>
    <row r="71" spans="1:10" ht="11.25" customHeight="1">
      <c r="A71" s="138"/>
      <c r="B71" s="146" t="s">
        <v>274</v>
      </c>
      <c r="C71" s="149" t="s">
        <v>738</v>
      </c>
      <c r="D71" s="141"/>
      <c r="E71" s="142" t="str">
        <f>HYPERLINK("Quotation.xls#doc_Quotation_cac_QuotationLine_cac_LineItem_cac_Item_cac_ClassifiedTaxCategory_cac_TaxScheme_cbc_Name","[UBL_NL]")</f>
        <v>[UBL_NL]</v>
      </c>
      <c r="G71" s="67" t="s">
        <v>615</v>
      </c>
      <c r="H71" s="5" t="s">
        <v>98</v>
      </c>
      <c r="J71" s="5" t="s">
        <v>275</v>
      </c>
    </row>
    <row r="72" spans="1:10" ht="11.25" customHeight="1">
      <c r="A72" s="138" t="s">
        <v>276</v>
      </c>
      <c r="B72" s="140"/>
      <c r="C72" s="141"/>
      <c r="D72" s="141"/>
      <c r="E72" s="142" t="str">
        <f>HYPERLINK("Quotation.xls#doc_Quotation_cac_QuotationLine_cac_LineItem_cac_Price","[UBL_NL]")</f>
        <v>[UBL_NL]</v>
      </c>
      <c r="G72" s="67"/>
      <c r="J72" s="5" t="s">
        <v>277</v>
      </c>
    </row>
    <row r="73" spans="1:10" ht="11.25" customHeight="1">
      <c r="A73" s="138"/>
      <c r="B73" s="140" t="s">
        <v>278</v>
      </c>
      <c r="C73" s="141"/>
      <c r="D73" s="141"/>
      <c r="E73" s="142" t="str">
        <f>HYPERLINK("Quotation.xls#doc_Quotation_cac_QuotationLine_cac_LineItem_cac_Price_cbc_PriceAmount","[UBL_NL]")</f>
        <v>[UBL_NL]</v>
      </c>
      <c r="G73" s="211">
        <v>50</v>
      </c>
      <c r="H73" s="5" t="s">
        <v>94</v>
      </c>
      <c r="J73" s="5" t="s">
        <v>279</v>
      </c>
    </row>
    <row r="74" spans="1:10" ht="11.25" customHeight="1">
      <c r="A74" s="138"/>
      <c r="B74" s="146" t="s">
        <v>14</v>
      </c>
      <c r="C74" s="141"/>
      <c r="D74" s="141"/>
      <c r="E74" s="142" t="str">
        <f>HYPERLINK("Quotation.xls#doc_Quotation_cac_QuotationLine_cac_LineItem_cac_Price_cbc_PriceAmount_currencyID","[UBL_NL]")</f>
        <v>[UBL_NL]</v>
      </c>
      <c r="G74" s="67" t="s">
        <v>504</v>
      </c>
      <c r="H74" s="5" t="s">
        <v>94</v>
      </c>
      <c r="J74" s="5" t="s">
        <v>280</v>
      </c>
    </row>
    <row r="75" spans="1:10" ht="11.25" customHeight="1">
      <c r="A75" s="138" t="s">
        <v>231</v>
      </c>
      <c r="B75" s="140"/>
      <c r="C75" s="141"/>
      <c r="D75" s="141"/>
      <c r="E75" s="142" t="str">
        <f>HYPERLINK("Quotation.xls#doc_Quotation_cac_QuotationLine_cac_LineItem_cac_AllowanceCharge","[UBL_NL]")</f>
        <v>[UBL_NL]</v>
      </c>
      <c r="G75" s="67"/>
      <c r="J75" s="5" t="s">
        <v>281</v>
      </c>
    </row>
    <row r="76" spans="1:10" ht="11.25" customHeight="1">
      <c r="A76" s="138"/>
      <c r="B76" s="146" t="s">
        <v>233</v>
      </c>
      <c r="C76" s="150"/>
      <c r="D76" s="141"/>
      <c r="E76" s="142" t="str">
        <f>HYPERLINK("Quotation.xls#doc_Quotation_cac_QuotationLine_cac_LineItem_cac_AllowanceCharge_cbc_Amount","[UBL_NL]")</f>
        <v>[UBL_NL]</v>
      </c>
      <c r="G76" s="211">
        <v>5</v>
      </c>
      <c r="H76" s="5" t="s">
        <v>98</v>
      </c>
      <c r="J76" s="5" t="s">
        <v>282</v>
      </c>
    </row>
    <row r="77" spans="1:10" ht="11.25" customHeight="1">
      <c r="A77" s="138"/>
      <c r="B77" s="146" t="s">
        <v>638</v>
      </c>
      <c r="C77" s="149" t="s">
        <v>681</v>
      </c>
      <c r="D77" s="141"/>
      <c r="E77" s="142" t="str">
        <f>HYPERLINK("Quotation.xls#doc_Quotation_cac_QuotationLine_cac_LineItem_cac_AllowanceCharge_cbc_ChargeIndicator","[UBL_NL]")</f>
        <v>[UBL_NL]</v>
      </c>
      <c r="G77" s="66" t="s">
        <v>664</v>
      </c>
      <c r="H77" s="5" t="s">
        <v>98</v>
      </c>
      <c r="J77" s="5" t="s">
        <v>283</v>
      </c>
    </row>
    <row r="78" spans="1:10" ht="11.25" customHeight="1">
      <c r="A78" s="138"/>
      <c r="B78" s="146" t="s">
        <v>236</v>
      </c>
      <c r="C78" s="149" t="s">
        <v>237</v>
      </c>
      <c r="D78" s="141"/>
      <c r="E78" s="142" t="str">
        <f>HYPERLINK("Quotation.xls#doc_Quotation_cac_QuotationLine_cac_LineItem_cac_Item_cac_ClassifiedTaxCategory_cbc_Percent","[UBL_NL]")</f>
        <v>[UBL_NL]</v>
      </c>
      <c r="G78" s="67"/>
      <c r="H78" s="5" t="s">
        <v>98</v>
      </c>
      <c r="J78" s="5" t="s">
        <v>273</v>
      </c>
    </row>
    <row r="79" spans="1:10" ht="11.25" customHeight="1">
      <c r="A79" s="138"/>
      <c r="B79" s="146" t="s">
        <v>43</v>
      </c>
      <c r="C79" s="149" t="s">
        <v>739</v>
      </c>
      <c r="D79" s="141"/>
      <c r="E79" s="142" t="str">
        <f>HYPERLINK("Quotation.xls#doc_Quotation_cac_QuotationLine_cac_LineItem_cac_Item_cac_ClassifiedTaxCategory_cac_TaxScheme_cbc_Name","[UBL_NL]")</f>
        <v>[UBL_NL]</v>
      </c>
      <c r="G79" s="211"/>
      <c r="H79" s="5" t="s">
        <v>94</v>
      </c>
      <c r="J79" s="5" t="s">
        <v>275</v>
      </c>
    </row>
    <row r="80" spans="1:10" ht="11.25" customHeight="1">
      <c r="A80" s="138"/>
      <c r="B80" s="146" t="s">
        <v>242</v>
      </c>
      <c r="C80" s="150"/>
      <c r="D80" s="141"/>
      <c r="E80" s="142" t="str">
        <f>HYPERLINK("Quotation.xls#doc_Quotation_cac_QuotationLine_cac_LineItem_cac_AllowanceCharge_cbc_Amount","[UBL_NL]")</f>
        <v>[UBL_NL]</v>
      </c>
      <c r="G80" s="67"/>
      <c r="H80" s="5" t="s">
        <v>98</v>
      </c>
      <c r="J80" s="5" t="s">
        <v>282</v>
      </c>
    </row>
    <row r="81" spans="1:10" ht="11.25" customHeight="1" thickBot="1">
      <c r="A81" s="157"/>
      <c r="B81" s="192" t="s">
        <v>637</v>
      </c>
      <c r="C81" s="214" t="s">
        <v>686</v>
      </c>
      <c r="D81" s="159"/>
      <c r="E81" s="160" t="str">
        <f>HYPERLINK("Quotation.xls#doc_Quotation_cac_QuotationLine_cac_LineItem_cac_AllowanceCharge_cbc_ChargeIndicator","[UBL_NL]")</f>
        <v>[UBL_NL]</v>
      </c>
      <c r="G81" s="182"/>
      <c r="H81" s="5" t="s">
        <v>98</v>
      </c>
      <c r="J81" s="5" t="s">
        <v>283</v>
      </c>
    </row>
    <row r="82" spans="1:10" ht="11.25" customHeight="1">
      <c r="G82" s="67"/>
    </row>
    <row r="83" spans="1:10" ht="11.25" customHeight="1">
      <c r="G83" s="211"/>
    </row>
    <row r="84" spans="1:10" ht="11.25" customHeight="1">
      <c r="G84" s="177"/>
    </row>
    <row r="85" spans="1:10" ht="11.25" customHeight="1">
      <c r="G85" s="2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"/>
  <sheetViews>
    <sheetView zoomScaleNormal="100" workbookViewId="0">
      <selection activeCell="B18" sqref="B18"/>
    </sheetView>
  </sheetViews>
  <sheetFormatPr defaultColWidth="9.28515625" defaultRowHeight="11.25"/>
  <cols>
    <col min="1" max="1" width="1.28515625" style="5" customWidth="1"/>
    <col min="2" max="2" width="26.42578125" style="5" customWidth="1"/>
    <col min="3" max="3" width="40" style="34" customWidth="1"/>
    <col min="4" max="4" width="13.7109375" style="34" customWidth="1"/>
    <col min="5" max="5" width="9.140625" style="34" customWidth="1"/>
    <col min="6" max="7" width="19.28515625" style="34" customWidth="1"/>
    <col min="8" max="8" width="9.28515625" style="34"/>
    <col min="9" max="9" width="97.28515625" style="34" customWidth="1"/>
    <col min="10" max="10" width="97.7109375" style="5" customWidth="1"/>
    <col min="11" max="16384" width="9.28515625" style="5"/>
  </cols>
  <sheetData>
    <row r="1" spans="1:10" s="215" customFormat="1" ht="12.75">
      <c r="A1" s="218" t="s">
        <v>748</v>
      </c>
      <c r="B1" s="219"/>
      <c r="C1" s="220"/>
      <c r="D1" s="220" t="s">
        <v>87</v>
      </c>
      <c r="E1" s="221" t="s">
        <v>0</v>
      </c>
      <c r="F1" s="217" t="s">
        <v>645</v>
      </c>
      <c r="G1" s="217" t="s">
        <v>644</v>
      </c>
      <c r="H1" s="216" t="s">
        <v>89</v>
      </c>
      <c r="I1" s="216" t="s">
        <v>90</v>
      </c>
      <c r="J1" s="215" t="s">
        <v>1</v>
      </c>
    </row>
    <row r="2" spans="1:10">
      <c r="A2" s="138"/>
      <c r="B2" s="145" t="s">
        <v>284</v>
      </c>
      <c r="C2" s="141"/>
      <c r="D2" s="141"/>
      <c r="E2" s="142"/>
    </row>
    <row r="3" spans="1:10">
      <c r="A3" s="139" t="s">
        <v>2</v>
      </c>
      <c r="B3" s="140"/>
      <c r="C3" s="141"/>
      <c r="D3" s="141"/>
      <c r="E3" s="142"/>
    </row>
    <row r="4" spans="1:10">
      <c r="A4" s="138" t="s">
        <v>3</v>
      </c>
      <c r="B4" s="140"/>
      <c r="C4" s="141"/>
      <c r="D4" s="141" t="str">
        <f>HYPERLINK("Mapping_HumanResource.xls#HumanResource","[HR-XML/SETU]")</f>
        <v>[HR-XML/SETU]</v>
      </c>
      <c r="E4" s="142" t="str">
        <f>HYPERLINK("RequestForQuotationCancellation.xls#doc_RequestForQuotationCancellation","[UBL_NL]")</f>
        <v>[UBL_NL]</v>
      </c>
      <c r="I4" s="34" t="s">
        <v>177</v>
      </c>
      <c r="J4" s="5" t="s">
        <v>285</v>
      </c>
    </row>
    <row r="5" spans="1:10">
      <c r="A5" s="138"/>
      <c r="B5" s="140" t="s">
        <v>286</v>
      </c>
      <c r="C5" s="141"/>
      <c r="D5" s="141" t="str">
        <f>HYPERLINK("Mapping_HumanResource.xls#HumanResource_HumanResourceId_validFrom","[HR-XML/SETU]")</f>
        <v>[HR-XML/SETU]</v>
      </c>
      <c r="E5" s="142" t="str">
        <f>HYPERLINK("RequestForQuotationCancellation.xls#doc_RequestForQuotationCancellation_cbc_IssueDate","[UBL_NL]")</f>
        <v>[UBL_NL]</v>
      </c>
      <c r="F5" s="132">
        <v>40589</v>
      </c>
      <c r="G5" s="132">
        <v>40590</v>
      </c>
      <c r="H5" s="34" t="s">
        <v>94</v>
      </c>
      <c r="I5" s="34" t="s">
        <v>180</v>
      </c>
      <c r="J5" s="5" t="s">
        <v>287</v>
      </c>
    </row>
    <row r="6" spans="1:10">
      <c r="A6" s="138"/>
      <c r="B6" s="140" t="s">
        <v>288</v>
      </c>
      <c r="C6" s="141"/>
      <c r="D6" s="141" t="str">
        <f>HYPERLINK("Mapping_HumanResource.xls#HumanResource_HumanResourceId_IdValue","[HR-XML/SETU]")</f>
        <v>[HR-XML/SETU]</v>
      </c>
      <c r="E6" s="142" t="str">
        <f>HYPERLINK("RequestForQuotationCancellation.xls#doc_RequestForQuotationCancellation_cbc_ID","[UBL_NL]")</f>
        <v>[UBL_NL]</v>
      </c>
      <c r="F6" s="34">
        <v>6515044558</v>
      </c>
      <c r="G6" s="34">
        <v>451152455</v>
      </c>
      <c r="H6" s="34" t="s">
        <v>94</v>
      </c>
      <c r="I6" s="34" t="s">
        <v>183</v>
      </c>
      <c r="J6" s="5" t="s">
        <v>289</v>
      </c>
    </row>
    <row r="7" spans="1:10">
      <c r="A7" s="138"/>
      <c r="B7" s="147" t="s">
        <v>290</v>
      </c>
      <c r="C7" s="141"/>
      <c r="D7" s="141" t="str">
        <f>HYPERLINK("Mapping_HumanResource.xls#HumanResource_ReferenceInformation_OrderId_IdValue","[HR-XML/SETU]")</f>
        <v>[HR-XML/SETU]</v>
      </c>
      <c r="E7" s="142" t="str">
        <f>HYPERLINK("RequestForQuotationCancellation.xls#doc_RequestForQuotationCancellation_cac_DocumentReference_cbc_ID","[UBL_NL]")</f>
        <v>[UBL_NL]</v>
      </c>
      <c r="F7" s="209">
        <v>55889</v>
      </c>
      <c r="G7" s="209">
        <v>55889</v>
      </c>
      <c r="H7" s="34" t="s">
        <v>98</v>
      </c>
      <c r="I7" s="34" t="s">
        <v>193</v>
      </c>
      <c r="J7" s="5" t="s">
        <v>291</v>
      </c>
    </row>
    <row r="8" spans="1:10">
      <c r="A8" s="138"/>
      <c r="B8" s="205"/>
      <c r="C8" s="145" t="s">
        <v>747</v>
      </c>
      <c r="D8" s="141"/>
      <c r="E8" s="142" t="str">
        <f>HYPERLINK("RequestForQuotationCancellation.xls#doc_RequestForQuotationCancellation_cac_DocumentReference_cbc_DocumentType","[UBL_NL]")</f>
        <v>[UBL_NL]</v>
      </c>
      <c r="G8" s="34" t="s">
        <v>749</v>
      </c>
      <c r="J8" s="5" t="s">
        <v>292</v>
      </c>
    </row>
    <row r="9" spans="1:10">
      <c r="A9" s="138"/>
      <c r="B9" s="205" t="s">
        <v>57</v>
      </c>
      <c r="C9" s="206" t="s">
        <v>164</v>
      </c>
      <c r="D9" s="141" t="str">
        <f>HYPERLINK("Mapping_HumanResource.xls#HumanResource_UserArea_HumanResourceAdditionalNL_CustomerReportingRequirements_CostCenterCode","[HR-XML/SETU]")</f>
        <v>[HR-XML/SETU]</v>
      </c>
      <c r="E9" s="142" t="str">
        <f>HYPERLINK("RequestForQuotationCancellation.xls#doc_RequestForQuotationCancellation_cbc_AccountingCostCode","[UBL_NL]")</f>
        <v>[UBL_NL]</v>
      </c>
      <c r="F9" s="34" t="s">
        <v>750</v>
      </c>
      <c r="G9" s="34" t="s">
        <v>751</v>
      </c>
      <c r="H9" s="34" t="s">
        <v>94</v>
      </c>
      <c r="I9" s="34" t="s">
        <v>186</v>
      </c>
      <c r="J9" s="5" t="s">
        <v>293</v>
      </c>
    </row>
    <row r="10" spans="1:10">
      <c r="A10" s="138"/>
      <c r="B10" s="205" t="s">
        <v>294</v>
      </c>
      <c r="C10" s="141"/>
      <c r="D10" s="141" t="str">
        <f>HYPERLINK("Mapping_HumanResource.xls#HumanResource_HumanResourceComments","[HR-XML/SETU]")</f>
        <v>[HR-XML/SETU]</v>
      </c>
      <c r="E10" s="142" t="str">
        <f>HYPERLINK("RequestForQuotationCancellation.xls#doc_RequestForQuotationCancellation_cbc_RejectionNote","[UBL_NL]")</f>
        <v>[UBL_NL]</v>
      </c>
      <c r="F10" s="34" t="s">
        <v>753</v>
      </c>
      <c r="G10" s="34" t="s">
        <v>752</v>
      </c>
      <c r="H10" s="34" t="s">
        <v>98</v>
      </c>
      <c r="I10" s="34" t="s">
        <v>190</v>
      </c>
      <c r="J10" s="5" t="s">
        <v>295</v>
      </c>
    </row>
    <row r="11" spans="1:10">
      <c r="A11" s="138" t="s">
        <v>19</v>
      </c>
      <c r="B11" s="140"/>
      <c r="C11" s="141"/>
      <c r="D11" s="141"/>
      <c r="E11" s="142" t="str">
        <f>HYPERLINK("RequestForQuotationCancellation.xls#doc_RequestForQuotationCancellation_cac_SellerSupplierParty","[UBL_NL]")</f>
        <v>[UBL_NL]</v>
      </c>
      <c r="J11" s="5" t="s">
        <v>296</v>
      </c>
    </row>
    <row r="12" spans="1:10">
      <c r="A12" s="138"/>
      <c r="B12" s="36" t="s">
        <v>117</v>
      </c>
      <c r="C12" s="244" t="s">
        <v>781</v>
      </c>
      <c r="D12" s="34" t="str">
        <f>HYPERLINK("Mapping_HumanResource.xls#HumanResource_ReferenceInformation_StaffingSupplierId_IdValue","[HR-XML/SETU]")</f>
        <v>[HR-XML/SETU]</v>
      </c>
      <c r="E12" s="34" t="str">
        <f>HYPERLINK("RequestForQuotationCancellation.xls#doc_RequestForQuotationCancellation_cac_SellerSupplierParty_cbc_CustomerAssignedAccountID","[UBL_NL]")</f>
        <v>[UBL_NL]</v>
      </c>
      <c r="H12" s="5" t="s">
        <v>98</v>
      </c>
      <c r="I12" s="5" t="s">
        <v>808</v>
      </c>
      <c r="J12" s="5" t="s">
        <v>812</v>
      </c>
    </row>
    <row r="13" spans="1:10">
      <c r="A13" s="138"/>
      <c r="B13" s="147" t="s">
        <v>21</v>
      </c>
      <c r="C13" s="141"/>
      <c r="D13" s="141" t="str">
        <f>HYPERLINK("Mapping_HumanResource.xls#HumanResource_ResourceInformation_EntityContactInfo_EntityName","[HR-XML/SETU]")</f>
        <v>[HR-XML/SETU]</v>
      </c>
      <c r="E13" s="142" t="str">
        <f>HYPERLINK("RequestForQuotationCancellation.xls#doc_RequestForQuotationCancellation_cac_SellerSupplierParty_cac_Party_cac_PartyName_cbc_Name","[UBL_NL]")</f>
        <v>[UBL_NL]</v>
      </c>
      <c r="F13" s="34" t="s">
        <v>754</v>
      </c>
      <c r="G13" s="34" t="s">
        <v>755</v>
      </c>
      <c r="H13" s="34" t="s">
        <v>94</v>
      </c>
      <c r="I13" s="34" t="s">
        <v>206</v>
      </c>
      <c r="J13" s="5" t="s">
        <v>297</v>
      </c>
    </row>
    <row r="14" spans="1:10">
      <c r="A14" s="138"/>
      <c r="B14" s="205" t="s">
        <v>119</v>
      </c>
      <c r="C14" s="141"/>
      <c r="D14" s="141" t="str">
        <f>HYPERLINK("Mapping_HumanResource.xls#HumanResource_ResourceInformation_EntityContactInfo_ContactMethod_PostalAddress","[HR-XML/SETU]")</f>
        <v>[HR-XML/SETU]</v>
      </c>
      <c r="E14" s="142" t="str">
        <f>HYPERLINK("RequestForQuotationCancellation.xls#doc_RequestForQuotationCancellation_cac_SellerSupplierParty_cac_Party_cac_PostalAddress","[UBL_NL]")</f>
        <v>[UBL_NL]</v>
      </c>
      <c r="F14" s="209" t="s">
        <v>522</v>
      </c>
      <c r="G14" s="209" t="s">
        <v>522</v>
      </c>
      <c r="H14" s="34" t="s">
        <v>98</v>
      </c>
      <c r="I14" s="34" t="s">
        <v>208</v>
      </c>
      <c r="J14" s="5" t="s">
        <v>298</v>
      </c>
    </row>
    <row r="15" spans="1:10">
      <c r="A15" s="138"/>
      <c r="B15" s="205" t="s">
        <v>121</v>
      </c>
      <c r="C15" s="141"/>
      <c r="D15" s="141" t="str">
        <f>HYPERLINK("Mapping_HumanResource.xls#HumanResource_ResourceInformation_EntityContactInfo_PersonName","[HR-XML/SETU]")</f>
        <v>[HR-XML/SETU]</v>
      </c>
      <c r="E15" s="142" t="str">
        <f>HYPERLINK("RequestForQuotationCancellation.xls#doc_RequestForQuotationCancellation_cac_SellerSupplierParty_cac_Party_cac_Contact_cbc_Name","[UBL_NL]")</f>
        <v>[UBL_NL]</v>
      </c>
      <c r="F15" s="209" t="s">
        <v>756</v>
      </c>
      <c r="G15" s="209" t="s">
        <v>693</v>
      </c>
      <c r="H15" s="34" t="s">
        <v>98</v>
      </c>
      <c r="I15" s="34" t="s">
        <v>218</v>
      </c>
      <c r="J15" s="5" t="s">
        <v>299</v>
      </c>
    </row>
    <row r="16" spans="1:10">
      <c r="A16" s="138" t="s">
        <v>26</v>
      </c>
      <c r="B16" s="140"/>
      <c r="C16" s="141"/>
      <c r="D16" s="141"/>
      <c r="E16" s="142" t="str">
        <f>HYPERLINK("RequestForQuotationCancellation.xls#doc_RequestForQuotationCancellation_cac_OriginatorCustomerParty","[UBL_NL]")</f>
        <v>[UBL_NL]</v>
      </c>
      <c r="H16" s="34" t="s">
        <v>94</v>
      </c>
      <c r="J16" s="5" t="s">
        <v>300</v>
      </c>
    </row>
    <row r="17" spans="1:11">
      <c r="A17" s="138"/>
      <c r="B17" s="36" t="s">
        <v>28</v>
      </c>
      <c r="C17" s="244" t="s">
        <v>783</v>
      </c>
      <c r="D17" s="34" t="str">
        <f>HYPERLINK("Mapping_HumanResource.xls#HumanResource_ReferenceInformation_StaffingCustomerId_IdValue","[HR-XML/SETU]")</f>
        <v>[HR-XML/SETU]</v>
      </c>
      <c r="E17" s="34" t="str">
        <f>HYPERLINK("RequestForQuotationCancellation.xls#doc_RequestForQuotationCancellation_cac_OriginatorCustomerParty_cbc_SupplierAssignedAccountID","[UBL_NL]")</f>
        <v>[UBL_NL]</v>
      </c>
      <c r="H17" s="34" t="s">
        <v>98</v>
      </c>
      <c r="I17" s="5" t="s">
        <v>810</v>
      </c>
      <c r="J17" s="5" t="s">
        <v>813</v>
      </c>
    </row>
    <row r="18" spans="1:11">
      <c r="A18" s="138"/>
      <c r="B18" s="147" t="s">
        <v>29</v>
      </c>
      <c r="C18" s="141"/>
      <c r="D18" s="141"/>
      <c r="E18" s="142" t="str">
        <f>HYPERLINK("RequestForQuotationCancellation.xls#doc_RequestForQuotationCancellation_cac_OriginatorCustomerParty_cac_Party_cac_PartyName_cbc_Name","[UBL_NL]")</f>
        <v>[UBL_NL]</v>
      </c>
      <c r="G18" s="209" t="s">
        <v>654</v>
      </c>
      <c r="H18" s="34" t="s">
        <v>94</v>
      </c>
      <c r="J18" s="5" t="s">
        <v>301</v>
      </c>
    </row>
    <row r="19" spans="1:11">
      <c r="A19" s="138"/>
      <c r="B19" s="205" t="s">
        <v>125</v>
      </c>
      <c r="C19" s="141"/>
      <c r="D19" s="141"/>
      <c r="E19" s="142" t="str">
        <f>HYPERLINK("RequestForQuotationCancellation.xls#doc_RequestForQuotationCancellation_cac_OriginatorCustomerParty_cac_Party_cac_PhysicalLocation_cac_Address","[UBL_NL]")</f>
        <v>[UBL_NL]</v>
      </c>
      <c r="G19" s="209" t="s">
        <v>696</v>
      </c>
      <c r="H19" s="34" t="s">
        <v>98</v>
      </c>
      <c r="J19" s="5" t="s">
        <v>302</v>
      </c>
      <c r="K19" s="39"/>
    </row>
    <row r="20" spans="1:11">
      <c r="A20" s="138"/>
      <c r="B20" s="140" t="s">
        <v>130</v>
      </c>
      <c r="C20" s="141"/>
      <c r="D20" s="141"/>
      <c r="E20" s="142" t="str">
        <f>HYPERLINK("RequestForQuotationCancellation.xls#doc_RequestForQuotationCancellation_cac_OriginatorCustomerParty_cac_Party_cac_Contact_cbc_Name","[UBL_NL]")</f>
        <v>[UBL_NL]</v>
      </c>
      <c r="G20" s="209" t="s">
        <v>657</v>
      </c>
      <c r="H20" s="34" t="s">
        <v>94</v>
      </c>
      <c r="J20" s="5" t="s">
        <v>303</v>
      </c>
    </row>
    <row r="21" spans="1:11" ht="12" thickBot="1">
      <c r="A21" s="157"/>
      <c r="B21" s="158" t="s">
        <v>23</v>
      </c>
      <c r="C21" s="222" t="s">
        <v>133</v>
      </c>
      <c r="D21" s="159"/>
      <c r="E21" s="160" t="str">
        <f>HYPERLINK("RequestForQuotationCancellation.xls#doc_RequestForQuotationCancellation_cac_OriginatorCustomerParty_cac_Party_cac_PartyIdentification_cbc_ID","[UBL_NL]")</f>
        <v>[UBL_NL]</v>
      </c>
      <c r="G21" s="209" t="s">
        <v>81</v>
      </c>
      <c r="H21" s="34" t="s">
        <v>94</v>
      </c>
      <c r="J21" s="5" t="s">
        <v>304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85"/>
  <sheetViews>
    <sheetView topLeftCell="A46" zoomScaleNormal="100" workbookViewId="0">
      <selection activeCell="B81" sqref="B81"/>
    </sheetView>
  </sheetViews>
  <sheetFormatPr defaultColWidth="9.28515625" defaultRowHeight="10.5" customHeight="1"/>
  <cols>
    <col min="1" max="1" width="1.28515625" style="5" customWidth="1"/>
    <col min="2" max="2" width="26.42578125" style="5" customWidth="1"/>
    <col min="3" max="3" width="42.85546875" style="34" customWidth="1"/>
    <col min="4" max="4" width="13.42578125" style="34" customWidth="1"/>
    <col min="5" max="5" width="9.140625" style="34" customWidth="1"/>
    <col min="6" max="6" width="19.28515625" style="66" customWidth="1"/>
    <col min="7" max="7" width="19.28515625" style="67" customWidth="1"/>
    <col min="8" max="8" width="6.42578125" style="34" customWidth="1"/>
    <col min="9" max="9" width="58" style="34" bestFit="1" customWidth="1"/>
    <col min="10" max="10" width="90.85546875" style="34" bestFit="1" customWidth="1"/>
    <col min="11" max="13" width="9" style="5" customWidth="1"/>
    <col min="14" max="16384" width="9.28515625" style="5"/>
  </cols>
  <sheetData>
    <row r="1" spans="1:27" s="166" customFormat="1" ht="12" customHeight="1">
      <c r="A1" s="183" t="s">
        <v>677</v>
      </c>
      <c r="B1" s="184"/>
      <c r="C1" s="185"/>
      <c r="D1" s="185" t="s">
        <v>87</v>
      </c>
      <c r="E1" s="186" t="s">
        <v>0</v>
      </c>
      <c r="F1" s="167" t="s">
        <v>676</v>
      </c>
      <c r="G1" s="168" t="s">
        <v>644</v>
      </c>
      <c r="H1" s="167" t="s">
        <v>89</v>
      </c>
      <c r="I1" s="167" t="s">
        <v>90</v>
      </c>
      <c r="J1" s="167" t="s">
        <v>1</v>
      </c>
      <c r="K1" s="167"/>
      <c r="L1" s="169"/>
    </row>
    <row r="2" spans="1:27" ht="10.5" customHeight="1">
      <c r="A2" s="139"/>
      <c r="B2" s="140"/>
      <c r="C2" s="141"/>
      <c r="D2" s="141"/>
      <c r="E2" s="142"/>
      <c r="L2" s="44"/>
    </row>
    <row r="3" spans="1:27" ht="10.5" customHeight="1">
      <c r="A3" s="139" t="s">
        <v>2</v>
      </c>
      <c r="B3" s="140"/>
      <c r="C3" s="141"/>
      <c r="D3" s="141"/>
      <c r="E3" s="142"/>
      <c r="L3" s="38"/>
      <c r="S3" s="45"/>
      <c r="T3" s="44"/>
      <c r="U3" s="46"/>
      <c r="V3" s="46"/>
      <c r="W3" s="46"/>
      <c r="X3" s="44"/>
      <c r="Y3" s="44"/>
      <c r="Z3" s="44"/>
      <c r="AA3" s="44"/>
    </row>
    <row r="4" spans="1:27" ht="10.5" customHeight="1">
      <c r="A4" s="138" t="s">
        <v>3</v>
      </c>
      <c r="B4" s="140"/>
      <c r="C4" s="141"/>
      <c r="D4" s="141" t="str">
        <f>HYPERLINK("Mapping_StaffingOrder.xls#StaffingOrder","[HR-XML/SETU]")</f>
        <v>[HR-XML/SETU]</v>
      </c>
      <c r="E4" s="142" t="str">
        <f>HYPERLINK("Order.xls#doc_Order","[UBL_NL]")</f>
        <v>[UBL_NL]</v>
      </c>
      <c r="I4" s="34" t="s">
        <v>91</v>
      </c>
      <c r="J4" s="34" t="s">
        <v>305</v>
      </c>
      <c r="L4" s="44"/>
      <c r="S4" s="44"/>
      <c r="T4" s="44"/>
      <c r="U4" s="46"/>
      <c r="V4" s="46"/>
      <c r="W4" s="46"/>
      <c r="X4" s="44"/>
      <c r="Y4" s="44"/>
      <c r="Z4" s="38"/>
      <c r="AA4" s="38"/>
    </row>
    <row r="5" spans="1:27" ht="10.5" customHeight="1">
      <c r="A5" s="138"/>
      <c r="B5" s="140" t="s">
        <v>5</v>
      </c>
      <c r="C5" s="141"/>
      <c r="D5" s="141" t="str">
        <f>HYPERLINK("Mapping_StaffingOrder.xls#StaffingOrder_OrderId_validFrom","[HR-XML/SETU]")</f>
        <v>[HR-XML/SETU]</v>
      </c>
      <c r="E5" s="142" t="str">
        <f>HYPERLINK("Order.xls#doc_Order_cbc_IssueDate","[UBL_NL]")</f>
        <v>[UBL_NL]</v>
      </c>
      <c r="F5" s="170">
        <v>40563</v>
      </c>
      <c r="G5" s="171">
        <v>40564</v>
      </c>
      <c r="H5" s="34" t="s">
        <v>94</v>
      </c>
      <c r="I5" s="34" t="s">
        <v>95</v>
      </c>
      <c r="J5" s="34" t="s">
        <v>306</v>
      </c>
      <c r="L5" s="44"/>
      <c r="S5" s="44"/>
      <c r="T5" s="44"/>
      <c r="U5" s="46"/>
      <c r="V5" s="46"/>
      <c r="W5" s="46"/>
      <c r="X5" s="44"/>
      <c r="Y5" s="44"/>
      <c r="Z5" s="38"/>
      <c r="AA5" s="38"/>
    </row>
    <row r="6" spans="1:27" ht="10.5" customHeight="1">
      <c r="A6" s="138"/>
      <c r="B6" s="146" t="s">
        <v>675</v>
      </c>
      <c r="C6" s="141"/>
      <c r="D6" s="141"/>
      <c r="E6" s="142" t="str">
        <f>HYPERLINK("Order.xls#doc_Order_cbc_IssueTime","[UBL_NL]")</f>
        <v>[UBL_NL]</v>
      </c>
      <c r="J6" s="34" t="s">
        <v>307</v>
      </c>
      <c r="L6" s="44"/>
      <c r="S6" s="44"/>
      <c r="T6" s="44"/>
      <c r="U6" s="46"/>
      <c r="V6" s="46"/>
      <c r="W6" s="46"/>
      <c r="X6" s="44"/>
      <c r="Y6" s="44"/>
      <c r="Z6" s="38"/>
      <c r="AA6" s="38"/>
    </row>
    <row r="7" spans="1:27" ht="10.5" customHeight="1">
      <c r="A7" s="138"/>
      <c r="B7" s="140" t="s">
        <v>7</v>
      </c>
      <c r="C7" s="145" t="s">
        <v>308</v>
      </c>
      <c r="D7" s="141" t="str">
        <f>HYPERLINK("Mapping_StaffingOrder.xls#StaffingOrder_OrderId_IdValue","[HR-XML/SETU]")</f>
        <v>[HR-XML/SETU]</v>
      </c>
      <c r="E7" s="142" t="str">
        <f>HYPERLINK("Order.xls#doc_Order_cbc_ID","[UBL_NL]")</f>
        <v>[UBL_NL]</v>
      </c>
      <c r="F7" s="66" t="s">
        <v>660</v>
      </c>
      <c r="G7" s="67" t="s">
        <v>67</v>
      </c>
      <c r="H7" s="34" t="s">
        <v>94</v>
      </c>
      <c r="I7" s="34" t="s">
        <v>101</v>
      </c>
      <c r="J7" s="34" t="s">
        <v>309</v>
      </c>
      <c r="L7" s="44"/>
      <c r="S7" s="44"/>
      <c r="T7" s="44"/>
      <c r="U7" s="47"/>
      <c r="V7" s="46"/>
      <c r="W7" s="46"/>
      <c r="X7" s="44"/>
      <c r="Y7" s="44"/>
      <c r="Z7" s="38"/>
      <c r="AA7" s="38"/>
    </row>
    <row r="8" spans="1:27" ht="10.5" customHeight="1">
      <c r="A8" s="138"/>
      <c r="B8" s="146" t="s">
        <v>103</v>
      </c>
      <c r="C8" s="149" t="s">
        <v>310</v>
      </c>
      <c r="D8" s="141" t="str">
        <f>HYPERLINK("Mapping_StaffingOrder.xls#StaffingOrder_CustomerReportingRequirements_CostCenterCode","[HR-XML/SETU]")</f>
        <v>[HR-XML/SETU]</v>
      </c>
      <c r="E8" s="142" t="str">
        <f>HYPERLINK("Order.xls#doc_Order_cbc_AccountingCostCode","[UBL_NL]")</f>
        <v>[UBL_NL]</v>
      </c>
      <c r="F8" s="66" t="s">
        <v>648</v>
      </c>
      <c r="H8" s="34" t="s">
        <v>134</v>
      </c>
      <c r="I8" s="34" t="s">
        <v>105</v>
      </c>
      <c r="J8" s="34" t="s">
        <v>311</v>
      </c>
      <c r="L8" s="44"/>
      <c r="S8" s="44"/>
      <c r="T8" s="44"/>
      <c r="U8" s="47"/>
      <c r="V8" s="46"/>
      <c r="W8" s="46"/>
      <c r="X8" s="44"/>
      <c r="Y8" s="44"/>
      <c r="Z8" s="38"/>
      <c r="AA8" s="38"/>
    </row>
    <row r="9" spans="1:27" ht="10.5" customHeight="1">
      <c r="A9" s="138"/>
      <c r="B9" s="146" t="s">
        <v>10</v>
      </c>
      <c r="C9" s="145"/>
      <c r="D9" s="141" t="str">
        <f>HYPERLINK("Mapping_StaffingOrder.xls#StaffingOrder_OrderComments","[HR-XML/SETU]")</f>
        <v>[HR-XML/SETU]</v>
      </c>
      <c r="E9" s="142" t="str">
        <f>HYPERLINK("Order.xls#doc_Order_cbc_Note","[UBL_NL]")</f>
        <v>[UBL_NL]</v>
      </c>
      <c r="F9" s="66" t="s">
        <v>649</v>
      </c>
      <c r="G9" s="67" t="s">
        <v>497</v>
      </c>
      <c r="H9" s="34" t="s">
        <v>189</v>
      </c>
      <c r="I9" s="34" t="s">
        <v>106</v>
      </c>
      <c r="J9" s="34" t="s">
        <v>312</v>
      </c>
      <c r="L9" s="38"/>
      <c r="S9" s="44"/>
      <c r="T9" s="38"/>
      <c r="U9" s="38"/>
      <c r="V9" s="38"/>
      <c r="W9" s="38"/>
      <c r="X9" s="38"/>
      <c r="Y9" s="38"/>
      <c r="Z9" s="38"/>
    </row>
    <row r="10" spans="1:27" ht="10.5" customHeight="1">
      <c r="A10" s="138"/>
      <c r="B10" s="146" t="s">
        <v>290</v>
      </c>
      <c r="C10" s="141"/>
      <c r="D10" s="141" t="str">
        <f>HYPERLINK("Mapping_StaffingOrder.xls#StaffingOrder_UserArea_StaffingOrderAdditionalNL_OfferId_IdValue","[HR-XML/SETU]")</f>
        <v>[HR-XML/SETU]</v>
      </c>
      <c r="E10" s="142" t="str">
        <f>HYPERLINK("Order.xls#doc_Order_cac_QuotationDocumentReference_cbc_ID","[UBL_NL]")</f>
        <v>[UBL_NL]</v>
      </c>
      <c r="F10" s="66">
        <v>55889</v>
      </c>
      <c r="G10" s="67">
        <v>55889</v>
      </c>
      <c r="H10" s="34" t="s">
        <v>98</v>
      </c>
      <c r="I10" s="34" t="s">
        <v>313</v>
      </c>
      <c r="J10" s="34" t="s">
        <v>314</v>
      </c>
      <c r="L10" s="44"/>
      <c r="S10" s="44"/>
      <c r="T10" s="48"/>
      <c r="U10" s="46"/>
      <c r="V10" s="46"/>
      <c r="W10" s="46"/>
      <c r="X10" s="44"/>
      <c r="Y10" s="44"/>
      <c r="Z10" s="38"/>
      <c r="AA10" s="38"/>
    </row>
    <row r="11" spans="1:27" ht="10.5" customHeight="1">
      <c r="A11" s="138"/>
      <c r="B11" s="146" t="s">
        <v>108</v>
      </c>
      <c r="C11" s="141"/>
      <c r="D11" s="141" t="str">
        <f>HYPERLINK("Mapping_StaffingOrder.xls#StaffingOrder_ReferenceInformation_MasterOrderId_IdValue","[HR-XML/SETU]")</f>
        <v>[HR-XML/SETU]</v>
      </c>
      <c r="E11" s="142" t="str">
        <f>HYPERLINK("Order.xls#doc_Order_cac_Contract_cbc_ID","[UBL_NL]")</f>
        <v>[UBL_NL]</v>
      </c>
      <c r="F11" s="66" t="s">
        <v>691</v>
      </c>
      <c r="H11" s="34" t="s">
        <v>98</v>
      </c>
      <c r="I11" s="34" t="s">
        <v>109</v>
      </c>
      <c r="J11" s="34" t="s">
        <v>315</v>
      </c>
      <c r="L11" s="44"/>
      <c r="S11" s="44"/>
      <c r="T11" s="48"/>
      <c r="U11" s="46"/>
      <c r="V11" s="46"/>
      <c r="W11" s="46"/>
      <c r="X11" s="44"/>
      <c r="Y11" s="44"/>
      <c r="Z11" s="38"/>
      <c r="AA11" s="38"/>
    </row>
    <row r="12" spans="1:27" ht="10.5" customHeight="1">
      <c r="A12" s="138"/>
      <c r="B12" s="146" t="s">
        <v>111</v>
      </c>
      <c r="C12" s="141"/>
      <c r="D12" s="141"/>
      <c r="E12" s="142" t="str">
        <f>HYPERLINK("Order.xls#doc_Order_cac_DeliveryTerms","[UBL_NL]")</f>
        <v>[UBL_NL]</v>
      </c>
      <c r="H12" s="34" t="s">
        <v>98</v>
      </c>
      <c r="J12" s="34" t="s">
        <v>316</v>
      </c>
      <c r="L12" s="44"/>
      <c r="S12" s="44"/>
      <c r="T12" s="48"/>
      <c r="U12" s="46"/>
      <c r="V12" s="46"/>
      <c r="W12" s="46"/>
      <c r="X12" s="44"/>
      <c r="Y12" s="44"/>
      <c r="Z12" s="38"/>
      <c r="AA12" s="38"/>
    </row>
    <row r="13" spans="1:27" ht="10.5" customHeight="1">
      <c r="A13" s="138"/>
      <c r="B13" s="140" t="s">
        <v>55</v>
      </c>
      <c r="C13" s="145" t="s">
        <v>56</v>
      </c>
      <c r="D13" s="141"/>
      <c r="E13" s="142" t="str">
        <f>HYPERLINK("Order.xls#doc_Order_cac_Delivery_cac_RequestedDeliveryPeriod","[UBL_NL]")</f>
        <v>[UBL_NL]</v>
      </c>
      <c r="H13" s="34" t="s">
        <v>98</v>
      </c>
      <c r="J13" s="34" t="s">
        <v>317</v>
      </c>
      <c r="L13" s="44"/>
      <c r="S13" s="38"/>
      <c r="T13" s="44"/>
      <c r="U13" s="47"/>
      <c r="V13" s="46"/>
      <c r="W13" s="46"/>
      <c r="X13" s="44"/>
      <c r="Y13" s="44"/>
      <c r="Z13" s="38"/>
      <c r="AA13" s="38"/>
    </row>
    <row r="14" spans="1:27" ht="10.5" customHeight="1">
      <c r="A14" s="138"/>
      <c r="B14" s="146" t="s">
        <v>202</v>
      </c>
      <c r="C14" s="150"/>
      <c r="D14" s="141"/>
      <c r="E14" s="142" t="str">
        <f>HYPERLINK("Order.xls#doc_Order_cac_PaymentMeans","[UBL_NL]")</f>
        <v>[UBL_NL]</v>
      </c>
      <c r="H14" s="34" t="s">
        <v>98</v>
      </c>
      <c r="J14" s="34" t="s">
        <v>318</v>
      </c>
      <c r="L14" s="38"/>
      <c r="S14" s="44"/>
      <c r="T14" s="48"/>
      <c r="U14" s="46"/>
      <c r="V14" s="46"/>
      <c r="W14" s="46"/>
      <c r="X14" s="44"/>
      <c r="Y14" s="44"/>
      <c r="Z14" s="38"/>
      <c r="AA14" s="38"/>
    </row>
    <row r="15" spans="1:27" ht="10.5" customHeight="1">
      <c r="A15" s="138"/>
      <c r="B15" s="146" t="s">
        <v>14</v>
      </c>
      <c r="C15" s="149" t="s">
        <v>15</v>
      </c>
      <c r="D15" s="141"/>
      <c r="E15" s="142" t="str">
        <f>HYPERLINK("Order.xls#doc_Order_cbc_DocumentCurrencyCode","[UBL_NL]")</f>
        <v>[UBL_NL]</v>
      </c>
      <c r="H15" s="34" t="s">
        <v>98</v>
      </c>
      <c r="J15" s="34" t="s">
        <v>319</v>
      </c>
      <c r="L15" s="44"/>
      <c r="S15" s="44"/>
      <c r="T15" s="48"/>
      <c r="U15" s="49"/>
      <c r="V15" s="46"/>
      <c r="W15" s="46"/>
      <c r="X15" s="44"/>
      <c r="Y15" s="44"/>
      <c r="Z15" s="38"/>
      <c r="AA15" s="38"/>
    </row>
    <row r="16" spans="1:27" ht="10.5" customHeight="1">
      <c r="A16" s="138" t="s">
        <v>19</v>
      </c>
      <c r="B16" s="140"/>
      <c r="C16" s="141"/>
      <c r="D16" s="141"/>
      <c r="E16" s="142" t="str">
        <f>HYPERLINK("Order.xls#doc_Order_cac_SellerSupplierParty","[UBL_NL]")</f>
        <v>[UBL_NL]</v>
      </c>
      <c r="J16" s="34" t="s">
        <v>320</v>
      </c>
      <c r="L16" s="44"/>
      <c r="S16" s="44"/>
      <c r="T16" s="44"/>
      <c r="U16" s="46"/>
      <c r="V16" s="46"/>
      <c r="W16" s="46"/>
      <c r="X16" s="44"/>
      <c r="Y16" s="44"/>
      <c r="Z16" s="38"/>
      <c r="AA16" s="38"/>
    </row>
    <row r="17" spans="1:27" ht="10.5" customHeight="1">
      <c r="A17" s="138"/>
      <c r="B17" s="39" t="s">
        <v>780</v>
      </c>
      <c r="C17" s="245" t="s">
        <v>781</v>
      </c>
      <c r="D17" s="34" t="str">
        <f>HYPERLINK("Mapping_StaffingOrder.xls#StaffingOrder_ReferenceInformation_StaffingSupplierId_IdValue","[HR-XML/SETU]")</f>
        <v>[HR-XML/SETU]</v>
      </c>
      <c r="E17" s="34" t="str">
        <f>HYPERLINK("Order.xls#doc_Order_cac_SellerSupplierParty_cbc_CustomerAssignedAccountID","[UBL_NL]")</f>
        <v>[UBL_NL]</v>
      </c>
      <c r="H17" s="5" t="s">
        <v>94</v>
      </c>
      <c r="I17" s="5" t="s">
        <v>806</v>
      </c>
      <c r="J17" s="5" t="s">
        <v>814</v>
      </c>
      <c r="L17" s="44"/>
      <c r="S17" s="44"/>
      <c r="T17" s="44"/>
      <c r="U17" s="46"/>
      <c r="V17" s="46"/>
      <c r="W17" s="46"/>
      <c r="X17" s="44"/>
      <c r="Y17" s="44"/>
      <c r="Z17" s="38"/>
      <c r="AA17" s="38"/>
    </row>
    <row r="18" spans="1:27" ht="10.5" customHeight="1">
      <c r="A18" s="138"/>
      <c r="B18" s="147" t="s">
        <v>21</v>
      </c>
      <c r="C18" s="141"/>
      <c r="D18" s="141"/>
      <c r="E18" s="142" t="str">
        <f>HYPERLINK("Order.xls#doc_Order_cac_SellerSupplierParty_cac_Party_cac_PartyName_cbc_Name","[UBL_NL]")</f>
        <v>[UBL_NL]</v>
      </c>
      <c r="G18" s="67" t="s">
        <v>518</v>
      </c>
      <c r="H18" s="34" t="s">
        <v>94</v>
      </c>
      <c r="J18" s="34" t="s">
        <v>321</v>
      </c>
      <c r="L18" s="44"/>
      <c r="S18" s="44"/>
      <c r="T18" s="50"/>
      <c r="U18" s="46"/>
      <c r="V18" s="46"/>
      <c r="W18" s="46"/>
      <c r="X18" s="44"/>
      <c r="Y18" s="44"/>
      <c r="Z18" s="38"/>
      <c r="AA18" s="38"/>
    </row>
    <row r="19" spans="1:27" ht="10.5" customHeight="1">
      <c r="A19" s="138"/>
      <c r="B19" s="146" t="s">
        <v>119</v>
      </c>
      <c r="C19" s="141"/>
      <c r="D19" s="141"/>
      <c r="E19" s="142" t="str">
        <f>HYPERLINK("Order.xls#doc_Order_cac_SellerSupplierParty_cac_Party_cac_PostalAddress","[UBL_NL]")</f>
        <v>[UBL_NL]</v>
      </c>
      <c r="G19" s="67" t="s">
        <v>522</v>
      </c>
      <c r="H19" s="34" t="s">
        <v>98</v>
      </c>
      <c r="J19" s="34" t="s">
        <v>322</v>
      </c>
      <c r="L19" s="44"/>
      <c r="S19" s="44"/>
      <c r="T19" s="48"/>
      <c r="U19" s="46"/>
      <c r="V19" s="46"/>
      <c r="W19" s="46"/>
      <c r="X19" s="44"/>
      <c r="Y19" s="44"/>
      <c r="Z19" s="38"/>
      <c r="AA19" s="38"/>
    </row>
    <row r="20" spans="1:27" ht="10.5" customHeight="1">
      <c r="A20" s="138"/>
      <c r="B20" s="146" t="s">
        <v>210</v>
      </c>
      <c r="C20" s="141"/>
      <c r="D20" s="141"/>
      <c r="E20" s="142" t="str">
        <f>HYPERLINK("Order.xls#doc_Order_cac_Delivery_cac_Despatch_cac_DespatchAddress","[UBL_NL]")</f>
        <v>[UBL_NL]</v>
      </c>
      <c r="G20" s="67" t="s">
        <v>692</v>
      </c>
      <c r="H20" s="34" t="s">
        <v>98</v>
      </c>
      <c r="J20" s="34" t="s">
        <v>323</v>
      </c>
      <c r="L20" s="44"/>
      <c r="S20" s="44"/>
      <c r="T20" s="48"/>
      <c r="U20" s="46"/>
      <c r="V20" s="46"/>
      <c r="W20" s="46"/>
      <c r="X20" s="44"/>
      <c r="Y20" s="44"/>
      <c r="Z20" s="38"/>
      <c r="AA20" s="38"/>
    </row>
    <row r="21" spans="1:27" ht="10.5" customHeight="1">
      <c r="A21" s="138"/>
      <c r="B21" s="146" t="s">
        <v>212</v>
      </c>
      <c r="C21" s="141"/>
      <c r="D21" s="141"/>
      <c r="E21" s="142" t="str">
        <f>HYPERLINK("Order.xls#doc_Order_cac_SellerSupplierParty_cac_Party_cac_PartyIdentification_cbc_ID","[UBL_NL]")</f>
        <v>[UBL_NL]</v>
      </c>
      <c r="G21" s="67" t="s">
        <v>658</v>
      </c>
      <c r="H21" s="34" t="s">
        <v>98</v>
      </c>
      <c r="J21" s="34" t="s">
        <v>324</v>
      </c>
      <c r="L21" s="44"/>
      <c r="S21" s="44"/>
      <c r="T21" s="48"/>
      <c r="U21" s="46"/>
      <c r="V21" s="46"/>
      <c r="W21" s="46"/>
      <c r="X21" s="44"/>
      <c r="Y21" s="44"/>
      <c r="Z21" s="38"/>
      <c r="AA21" s="38"/>
    </row>
    <row r="22" spans="1:27" ht="10.5" customHeight="1">
      <c r="A22" s="138"/>
      <c r="B22" s="147" t="s">
        <v>23</v>
      </c>
      <c r="C22" s="148" t="s">
        <v>24</v>
      </c>
      <c r="D22" s="141"/>
      <c r="E22" s="142" t="str">
        <f>HYPERLINK("Order.xls#doc_Order_cac_SellerSupplierParty_cac_Party_cac_PartyIdentification_cbc_ID","[UBL_NL]")</f>
        <v>[UBL_NL]</v>
      </c>
      <c r="F22" s="66">
        <v>85214796</v>
      </c>
      <c r="G22" s="172" t="s">
        <v>694</v>
      </c>
      <c r="H22" s="34" t="s">
        <v>98</v>
      </c>
      <c r="J22" s="34" t="s">
        <v>324</v>
      </c>
      <c r="L22" s="44"/>
      <c r="S22" s="44"/>
      <c r="T22" s="48"/>
      <c r="U22" s="49"/>
      <c r="V22" s="46"/>
      <c r="W22" s="46"/>
      <c r="X22" s="44"/>
      <c r="Y22" s="44"/>
      <c r="Z22" s="38"/>
      <c r="AA22" s="38"/>
    </row>
    <row r="23" spans="1:27" ht="10.5" customHeight="1">
      <c r="A23" s="138"/>
      <c r="B23" s="146" t="s">
        <v>325</v>
      </c>
      <c r="C23" s="149" t="s">
        <v>690</v>
      </c>
      <c r="D23" s="141"/>
      <c r="E23" s="142" t="str">
        <f>HYPERLINK("Order.xls#doc_Order_cac_PaymentMeans_cac_PayeeFinancialAccount","[UBL_NL]")</f>
        <v>[UBL_NL]</v>
      </c>
      <c r="G23" s="67">
        <v>2233445566</v>
      </c>
      <c r="H23" s="34" t="s">
        <v>326</v>
      </c>
      <c r="J23" s="34" t="s">
        <v>327</v>
      </c>
      <c r="K23" s="38"/>
      <c r="L23" s="38"/>
      <c r="S23" s="44"/>
      <c r="T23" s="48"/>
      <c r="U23" s="46"/>
      <c r="V23" s="46"/>
      <c r="W23" s="46"/>
      <c r="X23" s="44"/>
      <c r="Y23" s="44"/>
      <c r="Z23" s="38"/>
    </row>
    <row r="24" spans="1:27" ht="10.5" customHeight="1">
      <c r="A24" s="138"/>
      <c r="B24" s="146" t="s">
        <v>121</v>
      </c>
      <c r="C24" s="141"/>
      <c r="D24" s="141"/>
      <c r="E24" s="142" t="str">
        <f>HYPERLINK("Order.xls#doc_Order_cac_SellerSupplierParty_cac_Party_cac_Contact_cbc_Name","[UBL_NL]")</f>
        <v>[UBL_NL]</v>
      </c>
      <c r="G24" s="67" t="s">
        <v>693</v>
      </c>
      <c r="H24" s="34" t="s">
        <v>98</v>
      </c>
      <c r="J24" s="34" t="s">
        <v>328</v>
      </c>
      <c r="L24" s="44"/>
      <c r="S24" s="38"/>
      <c r="T24" s="48"/>
      <c r="U24" s="46"/>
      <c r="V24" s="46"/>
      <c r="W24" s="46"/>
      <c r="X24" s="44"/>
      <c r="Y24" s="44"/>
      <c r="Z24" s="38"/>
      <c r="AA24" s="38"/>
    </row>
    <row r="25" spans="1:27" ht="10.5" customHeight="1">
      <c r="A25" s="138" t="s">
        <v>26</v>
      </c>
      <c r="B25" s="140"/>
      <c r="C25" s="141"/>
      <c r="D25" s="141"/>
      <c r="E25" s="142" t="str">
        <f>HYPERLINK("Order.xls#doc_Order_cac_BuyerCustomerParty","[UBL_NL]")</f>
        <v>[UBL_NL]</v>
      </c>
      <c r="J25" s="34" t="s">
        <v>329</v>
      </c>
      <c r="L25" s="44"/>
      <c r="S25" s="44"/>
      <c r="T25" s="44"/>
      <c r="U25" s="46"/>
      <c r="V25" s="46"/>
      <c r="W25" s="46"/>
      <c r="X25" s="44"/>
      <c r="Y25" s="44"/>
      <c r="Z25" s="38"/>
      <c r="AA25" s="38"/>
    </row>
    <row r="26" spans="1:27" ht="10.5" customHeight="1">
      <c r="A26" s="138"/>
      <c r="B26" s="36" t="s">
        <v>28</v>
      </c>
      <c r="C26" s="244" t="s">
        <v>783</v>
      </c>
      <c r="D26" s="34" t="str">
        <f>HYPERLINK("Mapping_StaffingOrder.xls#StaffingOrder_ReferenceInformation_StaffingCustomerId_IdValue","[HR-XML/SETU]")</f>
        <v>[HR-XML/SETU]</v>
      </c>
      <c r="E26" s="34" t="str">
        <f>HYPERLINK("Order.xls#doc_Order_cac_BuyerCustomerParty_cbc_SupplierAssignedAccountID","[UBL_NL]")</f>
        <v>[UBL_NL]</v>
      </c>
      <c r="H26" s="34" t="s">
        <v>98</v>
      </c>
      <c r="I26" s="41" t="s">
        <v>815</v>
      </c>
      <c r="J26" s="5" t="s">
        <v>816</v>
      </c>
      <c r="L26" s="44"/>
      <c r="S26" s="44"/>
      <c r="T26" s="44"/>
      <c r="U26" s="46"/>
      <c r="V26" s="46"/>
      <c r="W26" s="46"/>
      <c r="X26" s="44"/>
      <c r="Y26" s="44"/>
      <c r="Z26" s="38"/>
      <c r="AA26" s="38"/>
    </row>
    <row r="27" spans="1:27" ht="10.5" customHeight="1">
      <c r="A27" s="138"/>
      <c r="B27" s="147" t="s">
        <v>29</v>
      </c>
      <c r="C27" s="141"/>
      <c r="D27" s="141"/>
      <c r="E27" s="142" t="str">
        <f>HYPERLINK("Order.xls#doc_Order_cac_BuyerCustomerParty_cac_Party_cac_PartyName_cbc_Name","[UBL_NL]")</f>
        <v>[UBL_NL]</v>
      </c>
      <c r="G27" s="67" t="s">
        <v>654</v>
      </c>
      <c r="H27" s="34" t="s">
        <v>94</v>
      </c>
      <c r="J27" s="34" t="s">
        <v>330</v>
      </c>
      <c r="L27" s="44"/>
      <c r="S27" s="44"/>
      <c r="T27" s="50"/>
      <c r="U27" s="46"/>
      <c r="V27" s="46"/>
      <c r="W27" s="46"/>
      <c r="X27" s="44"/>
      <c r="Y27" s="44"/>
      <c r="Z27" s="38"/>
      <c r="AA27" s="38"/>
    </row>
    <row r="28" spans="1:27" ht="10.5" customHeight="1">
      <c r="A28" s="138"/>
      <c r="B28" s="146" t="s">
        <v>331</v>
      </c>
      <c r="C28" s="141"/>
      <c r="D28" s="141"/>
      <c r="E28" s="142" t="str">
        <f>HYPERLINK("Order.xls#doc_Order_cac_AccountingCustomerParty_cac_Party_cac_PostalAddress","[UBL_NL]")</f>
        <v>[UBL_NL]</v>
      </c>
      <c r="G28" s="67" t="s">
        <v>695</v>
      </c>
      <c r="H28" s="34" t="s">
        <v>98</v>
      </c>
      <c r="J28" s="34" t="s">
        <v>332</v>
      </c>
      <c r="L28" s="38"/>
      <c r="S28" s="44"/>
      <c r="T28" s="48"/>
      <c r="U28" s="46"/>
      <c r="V28" s="46"/>
      <c r="W28" s="46"/>
      <c r="X28" s="44"/>
      <c r="Y28" s="44"/>
      <c r="Z28" s="38"/>
      <c r="AA28" s="38"/>
    </row>
    <row r="29" spans="1:27" ht="10.5" customHeight="1">
      <c r="A29" s="138"/>
      <c r="B29" s="146" t="s">
        <v>125</v>
      </c>
      <c r="C29" s="141"/>
      <c r="D29" s="141"/>
      <c r="E29" s="142" t="str">
        <f>HYPERLINK("Order.xls#doc_Order_cac_BuyerCustomerParty_cac_Party_cac_PhysicalLocation_cac_Address","[UBL_NL]")</f>
        <v>[UBL_NL]</v>
      </c>
      <c r="G29" s="67" t="s">
        <v>696</v>
      </c>
      <c r="H29" s="34" t="s">
        <v>98</v>
      </c>
      <c r="J29" s="34" t="s">
        <v>333</v>
      </c>
      <c r="L29" s="44"/>
      <c r="S29" s="44"/>
      <c r="T29" s="48"/>
      <c r="U29" s="46"/>
      <c r="V29" s="46"/>
      <c r="W29" s="46"/>
      <c r="X29" s="44"/>
      <c r="Y29" s="44"/>
      <c r="Z29" s="38"/>
      <c r="AA29" s="38"/>
    </row>
    <row r="30" spans="1:27" ht="10.5" customHeight="1">
      <c r="A30" s="138"/>
      <c r="B30" s="140" t="s">
        <v>127</v>
      </c>
      <c r="C30" s="141"/>
      <c r="D30" s="141"/>
      <c r="E30" s="142" t="str">
        <f>HYPERLINK("Order.xls#doc_Order_cac_Delivery_cac_DeliveryAddress","[UBL_NL]")</f>
        <v>[UBL_NL]</v>
      </c>
      <c r="H30" s="34" t="s">
        <v>94</v>
      </c>
      <c r="I30" s="54"/>
      <c r="J30" s="34" t="s">
        <v>334</v>
      </c>
      <c r="L30" s="44"/>
      <c r="S30" s="44"/>
      <c r="T30" s="44"/>
      <c r="U30" s="46"/>
      <c r="V30" s="46"/>
      <c r="W30" s="46"/>
      <c r="X30" s="44"/>
      <c r="Y30" s="44"/>
      <c r="Z30" s="38"/>
      <c r="AA30" s="38"/>
    </row>
    <row r="31" spans="1:27" ht="10.5" customHeight="1">
      <c r="A31" s="138"/>
      <c r="B31" s="140" t="s">
        <v>130</v>
      </c>
      <c r="C31" s="141"/>
      <c r="D31" s="141" t="str">
        <f>HYPERLINK("Mapping_StaffingOrder.xls#StaffingOrder_OrderContact_ContactInfo_PersonName","[HR-XML/SETU]")</f>
        <v>[HR-XML/SETU]</v>
      </c>
      <c r="E31" s="142" t="str">
        <f>HYPERLINK("Order.xls#doc_Order_cac_BuyerCustomerParty_cac_Party_cac_Contact_cbc_Name","[UBL_NL]")</f>
        <v>[UBL_NL]</v>
      </c>
      <c r="F31" s="66" t="s">
        <v>657</v>
      </c>
      <c r="G31" s="67" t="s">
        <v>657</v>
      </c>
      <c r="H31" s="34" t="s">
        <v>94</v>
      </c>
      <c r="I31" s="34" t="s">
        <v>131</v>
      </c>
      <c r="J31" s="34" t="s">
        <v>335</v>
      </c>
      <c r="L31" s="44"/>
      <c r="S31" s="44"/>
      <c r="T31" s="44"/>
      <c r="U31" s="46"/>
      <c r="V31" s="46"/>
      <c r="W31" s="46"/>
      <c r="X31" s="44"/>
      <c r="Y31" s="44"/>
      <c r="Z31" s="38"/>
      <c r="AA31" s="38"/>
    </row>
    <row r="32" spans="1:27" ht="10.5" customHeight="1">
      <c r="A32" s="138"/>
      <c r="B32" s="143" t="s">
        <v>23</v>
      </c>
      <c r="C32" s="151" t="s">
        <v>225</v>
      </c>
      <c r="D32" s="141"/>
      <c r="E32" s="142" t="str">
        <f>HYPERLINK("Order.xls#doc_Order_cac_BuyerCustomerParty_cac_Party_cac_PartyIdentification_cbc_ID","[UBL_NL]")</f>
        <v>[UBL_NL]</v>
      </c>
      <c r="G32" s="67" t="s">
        <v>81</v>
      </c>
      <c r="H32" s="34" t="s">
        <v>336</v>
      </c>
      <c r="J32" s="34" t="s">
        <v>337</v>
      </c>
      <c r="L32" s="44"/>
      <c r="S32" s="44"/>
      <c r="T32" s="51"/>
      <c r="U32" s="52"/>
      <c r="V32" s="46"/>
      <c r="W32" s="46"/>
      <c r="X32" s="44"/>
      <c r="Y32" s="44"/>
      <c r="Z32" s="38"/>
      <c r="AA32" s="38"/>
    </row>
    <row r="33" spans="1:27" ht="10.5" customHeight="1">
      <c r="A33" s="138"/>
      <c r="B33" s="146" t="s">
        <v>227</v>
      </c>
      <c r="C33" s="149" t="s">
        <v>228</v>
      </c>
      <c r="D33" s="141"/>
      <c r="E33" s="142" t="str">
        <f>HYPERLINK("Order.xls#doc_Order_cac_BuyerCustomerParty_cac_Party_cac_PartyIdentification_cbc_ID","[UBL_NL]")</f>
        <v>[UBL_NL]</v>
      </c>
      <c r="G33" s="67" t="s">
        <v>658</v>
      </c>
      <c r="H33" s="34" t="s">
        <v>338</v>
      </c>
      <c r="J33" s="34" t="s">
        <v>337</v>
      </c>
      <c r="L33" s="44"/>
      <c r="S33" s="44"/>
      <c r="T33" s="48"/>
      <c r="U33" s="49"/>
      <c r="V33" s="46"/>
      <c r="W33" s="46"/>
      <c r="X33" s="44"/>
      <c r="Y33" s="44"/>
      <c r="Z33" s="38"/>
      <c r="AA33" s="38"/>
    </row>
    <row r="34" spans="1:27" ht="10.5" customHeight="1">
      <c r="A34" s="187" t="s">
        <v>679</v>
      </c>
      <c r="B34" s="140"/>
      <c r="C34" s="141"/>
      <c r="D34" s="141" t="str">
        <f>HYPERLINK("Mapping_StaffingOrder.xls#StaffingOrder_ReferenceInformation_IntermediaryId_IdValue","[HR-XML/SETU]")</f>
        <v>[HR-XML/SETU]</v>
      </c>
      <c r="E34" s="142" t="str">
        <f>HYPERLINK("Order.xls#doc_Order_cac_BuyerCustomerParty_cac_Party_cac_AgentParty","[UBL_NL]")</f>
        <v>[UBL_NL]</v>
      </c>
      <c r="F34" s="66" t="s">
        <v>697</v>
      </c>
      <c r="G34" s="67" t="s">
        <v>698</v>
      </c>
      <c r="H34" s="34" t="s">
        <v>98</v>
      </c>
      <c r="I34" s="34" t="s">
        <v>137</v>
      </c>
      <c r="J34" s="34" t="s">
        <v>339</v>
      </c>
      <c r="L34" s="44"/>
      <c r="S34" s="48"/>
      <c r="T34" s="44"/>
      <c r="U34" s="46"/>
      <c r="V34" s="46"/>
      <c r="W34" s="46"/>
      <c r="X34" s="44"/>
      <c r="Y34" s="44"/>
      <c r="Z34" s="38"/>
      <c r="AA34" s="38"/>
    </row>
    <row r="35" spans="1:27" ht="10.5" customHeight="1">
      <c r="A35" s="187" t="s">
        <v>340</v>
      </c>
      <c r="B35" s="140"/>
      <c r="C35" s="141"/>
      <c r="D35" s="141"/>
      <c r="E35" s="142" t="str">
        <f>HYPERLINK("Order.xls#doc_Order_cac_FreightForwarderParty","[UBL_NL]")</f>
        <v>[UBL_NL]</v>
      </c>
      <c r="G35" s="67" t="s">
        <v>699</v>
      </c>
      <c r="H35" s="34" t="s">
        <v>98</v>
      </c>
      <c r="J35" s="34" t="s">
        <v>341</v>
      </c>
      <c r="L35" s="44"/>
      <c r="S35" s="48"/>
      <c r="T35" s="44"/>
      <c r="U35" s="46"/>
      <c r="V35" s="46"/>
      <c r="W35" s="46"/>
      <c r="X35" s="44"/>
      <c r="Y35" s="44"/>
      <c r="Z35" s="38"/>
      <c r="AA35" s="38"/>
    </row>
    <row r="36" spans="1:27" ht="10.5" customHeight="1">
      <c r="A36" s="138" t="s">
        <v>231</v>
      </c>
      <c r="B36" s="140"/>
      <c r="C36" s="141"/>
      <c r="D36" s="141"/>
      <c r="E36" s="142" t="str">
        <f>HYPERLINK("Order.xls#doc_Order_cac_AllowanceCharge","[UBL_NL]")</f>
        <v>[UBL_NL]</v>
      </c>
      <c r="J36" s="34" t="s">
        <v>342</v>
      </c>
      <c r="L36" s="38"/>
      <c r="S36" s="44"/>
      <c r="T36" s="44"/>
      <c r="U36" s="46"/>
      <c r="V36" s="46"/>
      <c r="W36" s="46"/>
      <c r="X36" s="44"/>
      <c r="Y36" s="44"/>
      <c r="Z36" s="38"/>
      <c r="AA36" s="38"/>
    </row>
    <row r="37" spans="1:27" ht="10.5" customHeight="1">
      <c r="A37" s="138"/>
      <c r="B37" s="146" t="s">
        <v>233</v>
      </c>
      <c r="C37" s="150"/>
      <c r="D37" s="141"/>
      <c r="E37" s="142" t="str">
        <f>HYPERLINK("Order.xls#doc_Order_cac_AllowanceCharge_cbc_Amount","[UBL_NL]")</f>
        <v>[UBL_NL]</v>
      </c>
      <c r="G37" s="67" t="s">
        <v>700</v>
      </c>
      <c r="H37" s="34" t="s">
        <v>98</v>
      </c>
      <c r="J37" s="34" t="s">
        <v>343</v>
      </c>
      <c r="L37" s="38"/>
      <c r="S37" s="44"/>
      <c r="T37" s="48"/>
      <c r="U37" s="46"/>
      <c r="V37" s="46"/>
      <c r="W37" s="46"/>
      <c r="X37" s="44"/>
      <c r="Y37" s="44"/>
      <c r="Z37" s="38"/>
      <c r="AA37" s="38"/>
    </row>
    <row r="38" spans="1:27" ht="10.5" customHeight="1">
      <c r="A38" s="138"/>
      <c r="B38" s="146" t="s">
        <v>638</v>
      </c>
      <c r="C38" s="149" t="s">
        <v>681</v>
      </c>
      <c r="D38" s="141"/>
      <c r="E38" s="142" t="str">
        <f>HYPERLINK("Order.xls#doc_Order_cac_AllowanceCharge_cbc_ChargeIndicator","[UBL_NL]")</f>
        <v>[UBL_NL]</v>
      </c>
      <c r="G38" s="67" t="s">
        <v>664</v>
      </c>
      <c r="H38" s="34" t="s">
        <v>98</v>
      </c>
      <c r="J38" s="34" t="s">
        <v>344</v>
      </c>
      <c r="L38" s="38"/>
      <c r="S38" s="44"/>
      <c r="T38" s="48"/>
      <c r="U38" s="46"/>
      <c r="V38" s="46"/>
      <c r="W38" s="46"/>
      <c r="X38" s="44"/>
      <c r="Y38" s="44"/>
      <c r="Z38" s="38"/>
      <c r="AA38" s="38"/>
    </row>
    <row r="39" spans="1:27" ht="10.5" customHeight="1">
      <c r="A39" s="138"/>
      <c r="B39" s="146" t="s">
        <v>236</v>
      </c>
      <c r="C39" s="149" t="s">
        <v>237</v>
      </c>
      <c r="D39" s="141"/>
      <c r="E39" s="142" t="str">
        <f>HYPERLINK("Order.xls#doc_Order_cac_TaxTotal_cac_TaxSubtotal_cbc_TaxAmount","[UBL_NL]")</f>
        <v>[UBL_NL]</v>
      </c>
      <c r="F39" s="173"/>
      <c r="G39" s="174">
        <v>10</v>
      </c>
      <c r="H39" s="34" t="s">
        <v>98</v>
      </c>
      <c r="J39" s="34" t="s">
        <v>345</v>
      </c>
      <c r="L39" s="38"/>
      <c r="S39" s="44"/>
      <c r="T39" s="48"/>
      <c r="U39" s="46"/>
      <c r="V39" s="46"/>
      <c r="W39" s="46"/>
      <c r="X39" s="44"/>
      <c r="Y39" s="44"/>
      <c r="Z39" s="38"/>
      <c r="AA39" s="38"/>
    </row>
    <row r="40" spans="1:27" ht="10.5" customHeight="1">
      <c r="A40" s="138"/>
      <c r="B40" s="146" t="s">
        <v>41</v>
      </c>
      <c r="C40" s="149" t="s">
        <v>689</v>
      </c>
      <c r="D40" s="141"/>
      <c r="E40" s="142" t="str">
        <f>HYPERLINK("Order.xls#doc_Order_cac_TaxTotal_cac_TaxSubtotal_cac_TaxCategory_cbc_Percent","[UBL_NL]")</f>
        <v>[UBL_NL]</v>
      </c>
      <c r="F40" s="173"/>
      <c r="G40" s="176">
        <v>0.05</v>
      </c>
      <c r="J40" s="34" t="s">
        <v>346</v>
      </c>
      <c r="L40" s="38"/>
      <c r="S40" s="44"/>
      <c r="T40" s="48"/>
      <c r="U40" s="46"/>
      <c r="V40" s="46"/>
      <c r="W40" s="46"/>
      <c r="X40" s="44"/>
      <c r="Y40" s="44"/>
      <c r="Z40" s="38"/>
      <c r="AA40" s="38"/>
    </row>
    <row r="41" spans="1:27" ht="10.5" customHeight="1">
      <c r="A41" s="188"/>
      <c r="B41" s="146" t="s">
        <v>43</v>
      </c>
      <c r="C41" s="149" t="s">
        <v>688</v>
      </c>
      <c r="D41" s="189"/>
      <c r="E41" s="190" t="str">
        <f>HYPERLINK("Order.xls#doc_Order_cac_TaxTotal_cac_TaxSubtotal_cac_TaxCategory_cac_TaxScheme_cbc_Name","[UBL_NL]")</f>
        <v>[UBL_NL]</v>
      </c>
      <c r="F41" s="173"/>
      <c r="G41" s="67" t="s">
        <v>701</v>
      </c>
      <c r="H41" s="54"/>
      <c r="I41" s="54"/>
      <c r="J41" s="34" t="s">
        <v>347</v>
      </c>
      <c r="L41" s="38"/>
      <c r="M41" s="38"/>
      <c r="S41" s="44"/>
      <c r="T41" s="48"/>
      <c r="U41" s="46"/>
      <c r="V41" s="46"/>
      <c r="W41" s="46"/>
      <c r="X41" s="44"/>
      <c r="Y41" s="44"/>
      <c r="Z41" s="38"/>
      <c r="AA41" s="38"/>
    </row>
    <row r="42" spans="1:27" ht="10.5" customHeight="1">
      <c r="A42" s="138"/>
      <c r="B42" s="146" t="s">
        <v>242</v>
      </c>
      <c r="C42" s="150"/>
      <c r="D42" s="141"/>
      <c r="E42" s="142" t="str">
        <f>HYPERLINK("Order.xls#doc_Order_cac_AllowanceCharge_cbc_Amount","[UBL_NL]")</f>
        <v>[UBL_NL]</v>
      </c>
      <c r="G42" s="174">
        <v>30</v>
      </c>
      <c r="H42" s="34" t="s">
        <v>98</v>
      </c>
      <c r="J42" s="34" t="s">
        <v>343</v>
      </c>
      <c r="L42" s="44"/>
      <c r="S42" s="44"/>
      <c r="T42" s="48"/>
      <c r="U42" s="46"/>
      <c r="V42" s="46"/>
      <c r="W42" s="46"/>
      <c r="X42" s="44"/>
      <c r="Y42" s="44"/>
      <c r="Z42" s="38"/>
      <c r="AA42" s="38"/>
    </row>
    <row r="43" spans="1:27" ht="10.5" customHeight="1">
      <c r="A43" s="138"/>
      <c r="B43" s="146" t="s">
        <v>637</v>
      </c>
      <c r="C43" s="149" t="s">
        <v>687</v>
      </c>
      <c r="D43" s="141"/>
      <c r="E43" s="142" t="str">
        <f>HYPERLINK("Order.xls#doc_Order_cac_AllowanceCharge_cbc_ChargeIndicator","[UBL_NL]")</f>
        <v>[UBL_NL]</v>
      </c>
      <c r="G43" s="177"/>
      <c r="H43" s="34" t="s">
        <v>98</v>
      </c>
      <c r="J43" s="34" t="s">
        <v>344</v>
      </c>
      <c r="L43" s="44"/>
      <c r="S43" s="44"/>
      <c r="T43" s="48"/>
      <c r="U43" s="46"/>
      <c r="V43" s="46"/>
      <c r="W43" s="46"/>
      <c r="X43" s="44"/>
      <c r="Y43" s="44"/>
      <c r="Z43" s="38"/>
      <c r="AA43" s="38"/>
    </row>
    <row r="44" spans="1:27" ht="10.5" customHeight="1">
      <c r="A44" s="138" t="s">
        <v>33</v>
      </c>
      <c r="B44" s="140"/>
      <c r="C44" s="141"/>
      <c r="D44" s="141"/>
      <c r="E44" s="142" t="str">
        <f>HYPERLINK("Order.xls#doc_Order_cac_AnticipatedMonetaryTotal","[UBL_NL]")</f>
        <v>[UBL_NL]</v>
      </c>
      <c r="J44" s="34" t="s">
        <v>348</v>
      </c>
      <c r="L44" s="44"/>
      <c r="S44" s="44"/>
      <c r="T44" s="44"/>
      <c r="U44" s="46"/>
      <c r="V44" s="46"/>
      <c r="W44" s="46"/>
      <c r="X44" s="44"/>
      <c r="Y44" s="44"/>
      <c r="Z44" s="38"/>
      <c r="AA44" s="38"/>
    </row>
    <row r="45" spans="1:27" ht="10.5" customHeight="1">
      <c r="A45" s="138"/>
      <c r="B45" s="146" t="s">
        <v>35</v>
      </c>
      <c r="C45" s="149" t="s">
        <v>722</v>
      </c>
      <c r="D45" s="141"/>
      <c r="E45" s="142" t="str">
        <f>HYPERLINK("Order.xls#doc_Order_cac_AnticipatedMonetaryTotal_cbc_TaxExclusiveAmount","[UBL_NL]")</f>
        <v>[UBL_NL]</v>
      </c>
      <c r="G45" s="174">
        <v>1979</v>
      </c>
      <c r="H45" s="34" t="s">
        <v>98</v>
      </c>
      <c r="I45" s="54"/>
      <c r="J45" s="34" t="s">
        <v>349</v>
      </c>
      <c r="L45" s="38"/>
      <c r="S45" s="44"/>
      <c r="T45" s="48"/>
      <c r="U45" s="46"/>
      <c r="V45" s="46"/>
      <c r="W45" s="46"/>
      <c r="X45" s="44"/>
      <c r="Y45" s="44"/>
      <c r="Z45" s="38"/>
      <c r="AA45" s="38"/>
    </row>
    <row r="46" spans="1:27" ht="10.5" customHeight="1">
      <c r="A46" s="138"/>
      <c r="B46" s="146" t="s">
        <v>721</v>
      </c>
      <c r="C46" s="149" t="s">
        <v>682</v>
      </c>
      <c r="D46" s="141"/>
      <c r="E46" s="142" t="str">
        <f>HYPERLINK("Order.xls#doc_Order_cac_TaxTotal_cac_TaxSubtotal_cbc_TaxAmount","[UBL_NL]")</f>
        <v>[UBL_NL]</v>
      </c>
      <c r="G46" s="174">
        <v>597</v>
      </c>
      <c r="H46" s="34" t="s">
        <v>98</v>
      </c>
      <c r="J46" s="34" t="s">
        <v>345</v>
      </c>
      <c r="L46" s="38"/>
      <c r="S46" s="44"/>
      <c r="T46" s="48"/>
      <c r="U46" s="46"/>
      <c r="V46" s="46"/>
      <c r="W46" s="46"/>
      <c r="X46" s="44"/>
      <c r="Y46" s="44"/>
      <c r="Z46" s="38"/>
      <c r="AA46" s="38"/>
    </row>
    <row r="47" spans="1:27" ht="10.5" customHeight="1">
      <c r="A47" s="138"/>
      <c r="B47" s="146" t="s">
        <v>719</v>
      </c>
      <c r="C47" s="149" t="s">
        <v>683</v>
      </c>
      <c r="D47" s="141"/>
      <c r="E47" s="142" t="str">
        <f>HYPERLINK("Order.xls#doc_Order_cac_TaxTotal_cac_TaxSubtotal_cac_TaxCategory_cbc_Percent","[UBL_NL]")</f>
        <v>[UBL_NL]</v>
      </c>
      <c r="G47" s="176"/>
      <c r="J47" s="34" t="s">
        <v>346</v>
      </c>
      <c r="L47" s="38"/>
      <c r="S47" s="44"/>
      <c r="T47" s="48"/>
      <c r="U47" s="46"/>
      <c r="V47" s="46"/>
      <c r="W47" s="46"/>
      <c r="X47" s="44"/>
      <c r="Y47" s="44"/>
      <c r="Z47" s="38"/>
      <c r="AA47" s="38"/>
    </row>
    <row r="48" spans="1:27" ht="10.5" customHeight="1">
      <c r="A48" s="188"/>
      <c r="B48" s="146" t="s">
        <v>720</v>
      </c>
      <c r="C48" s="149" t="s">
        <v>684</v>
      </c>
      <c r="D48" s="189"/>
      <c r="E48" s="190" t="str">
        <f>HYPERLINK("Order.xls#doc_Order_cac_TaxTotal_cac_TaxSubtotal_cac_TaxCategory_cac_TaxScheme_cbc_Name","[UBL_NL]")</f>
        <v>[UBL_NL]</v>
      </c>
      <c r="H48" s="54"/>
      <c r="I48" s="54"/>
      <c r="J48" s="34" t="s">
        <v>347</v>
      </c>
      <c r="L48" s="38"/>
      <c r="M48" s="38"/>
      <c r="N48" s="38"/>
      <c r="S48" s="44"/>
      <c r="T48" s="48"/>
      <c r="U48" s="46"/>
      <c r="V48" s="46"/>
      <c r="W48" s="46"/>
      <c r="X48" s="44"/>
      <c r="Y48" s="44"/>
      <c r="Z48" s="38"/>
      <c r="AA48" s="38"/>
    </row>
    <row r="49" spans="1:30" ht="10.5" customHeight="1">
      <c r="A49" s="138"/>
      <c r="B49" s="146" t="s">
        <v>45</v>
      </c>
      <c r="C49" s="150"/>
      <c r="D49" s="141"/>
      <c r="E49" s="142" t="str">
        <f>HYPERLINK("Order.xls#doc_Order_cac_AnticipatedMonetaryTotal_cbc_PayableAmount","[UBL_NL]")</f>
        <v>[UBL_NL]</v>
      </c>
      <c r="G49" s="174">
        <v>2576</v>
      </c>
      <c r="H49" s="34" t="s">
        <v>98</v>
      </c>
      <c r="J49" s="34" t="s">
        <v>350</v>
      </c>
      <c r="L49" s="44"/>
      <c r="S49" s="44"/>
      <c r="T49" s="48"/>
      <c r="U49" s="46"/>
      <c r="V49" s="46"/>
      <c r="W49" s="46"/>
      <c r="X49" s="44"/>
      <c r="Y49" s="44"/>
      <c r="Z49" s="38"/>
      <c r="AA49" s="38"/>
    </row>
    <row r="50" spans="1:30" ht="10.5" customHeight="1">
      <c r="A50" s="188"/>
      <c r="B50" s="191"/>
      <c r="C50" s="191"/>
      <c r="D50" s="189"/>
      <c r="E50" s="190"/>
      <c r="F50" s="178"/>
      <c r="G50" s="177"/>
      <c r="H50" s="54"/>
      <c r="I50" s="54"/>
      <c r="J50" s="53"/>
      <c r="L50" s="44"/>
      <c r="S50" s="44"/>
      <c r="T50" s="44"/>
      <c r="U50" s="46"/>
      <c r="V50" s="46"/>
      <c r="W50" s="46"/>
      <c r="X50" s="44"/>
      <c r="Y50" s="44"/>
      <c r="Z50" s="38"/>
      <c r="AA50" s="38"/>
    </row>
    <row r="51" spans="1:30" ht="10.5" customHeight="1">
      <c r="A51" s="139" t="s">
        <v>351</v>
      </c>
      <c r="B51" s="140"/>
      <c r="C51" s="141"/>
      <c r="D51" s="141" t="str">
        <f>HYPERLINK("Mapping_StaffingOrder.xls#StaffingOrder_StaffingPosition","[HR-XML/SETU]")</f>
        <v>[HR-XML/SETU]</v>
      </c>
      <c r="E51" s="142" t="str">
        <f>HYPERLINK("Order.xls#doc_Order_cac_OrderLine","[UBL_NL]")</f>
        <v>[UBL_NL]</v>
      </c>
      <c r="I51" s="34" t="s">
        <v>140</v>
      </c>
      <c r="J51" s="34" t="s">
        <v>352</v>
      </c>
      <c r="L51" s="44"/>
      <c r="S51" s="45"/>
      <c r="T51" s="44"/>
      <c r="U51" s="46"/>
      <c r="V51" s="46"/>
      <c r="W51" s="46"/>
      <c r="X51" s="44"/>
      <c r="Y51" s="44"/>
      <c r="Z51" s="38"/>
      <c r="AA51" s="38"/>
    </row>
    <row r="52" spans="1:30" ht="10.5" customHeight="1">
      <c r="A52" s="139"/>
      <c r="B52" s="140" t="s">
        <v>48</v>
      </c>
      <c r="C52" s="141"/>
      <c r="D52" s="141"/>
      <c r="E52" s="142" t="str">
        <f>HYPERLINK("Order.xls#doc_Order_cac_OrderLine_cac_LineItem_cbc_ID","[UBL_NL]")</f>
        <v>[UBL_NL]</v>
      </c>
      <c r="F52" s="175" t="s">
        <v>661</v>
      </c>
      <c r="G52" s="177">
        <v>1000</v>
      </c>
      <c r="J52" s="34" t="s">
        <v>353</v>
      </c>
      <c r="L52" s="44"/>
      <c r="S52" s="45"/>
      <c r="T52" s="44"/>
      <c r="U52" s="46"/>
      <c r="V52" s="46"/>
      <c r="W52" s="46"/>
      <c r="X52" s="44"/>
      <c r="Y52" s="44"/>
      <c r="Z52" s="38"/>
      <c r="AA52" s="38"/>
    </row>
    <row r="53" spans="1:30" ht="10.5" customHeight="1">
      <c r="A53" s="138" t="s">
        <v>50</v>
      </c>
      <c r="B53" s="140"/>
      <c r="C53" s="141"/>
      <c r="D53" s="141"/>
      <c r="E53" s="142" t="str">
        <f>HYPERLINK("Order.xls#doc_Order_cac_OrderLine_cac_LineItem_cac_Item","[UBL_NL]")</f>
        <v>[UBL_NL]</v>
      </c>
      <c r="J53" s="34" t="s">
        <v>354</v>
      </c>
      <c r="L53" s="38"/>
      <c r="S53" s="44"/>
      <c r="T53" s="44"/>
      <c r="U53" s="46"/>
      <c r="V53" s="46"/>
      <c r="W53" s="46"/>
      <c r="X53" s="44"/>
      <c r="Y53" s="44"/>
      <c r="Z53" s="38"/>
      <c r="AA53" s="38"/>
    </row>
    <row r="54" spans="1:30" ht="10.5" customHeight="1">
      <c r="A54" s="138"/>
      <c r="B54" s="140" t="s">
        <v>146</v>
      </c>
      <c r="C54" s="145" t="s">
        <v>685</v>
      </c>
      <c r="D54" s="141"/>
      <c r="E54" s="142" t="str">
        <f>HYPERLINK("Order.xls#doc_Order_cac_OrderLine_cac_LineItem_cac_Item_cbc_Name","[UBL_NL]")</f>
        <v>[UBL_NL]</v>
      </c>
      <c r="G54" s="67" t="s">
        <v>704</v>
      </c>
      <c r="H54" s="34" t="s">
        <v>94</v>
      </c>
      <c r="J54" s="34" t="s">
        <v>355</v>
      </c>
      <c r="L54" s="38"/>
      <c r="S54" s="44"/>
      <c r="T54" s="44"/>
      <c r="U54" s="46"/>
      <c r="V54" s="46"/>
      <c r="W54" s="46"/>
      <c r="X54" s="44"/>
      <c r="Y54" s="44"/>
      <c r="Z54" s="38"/>
      <c r="AA54" s="38"/>
    </row>
    <row r="55" spans="1:30" ht="10.5" customHeight="1">
      <c r="A55" s="138"/>
      <c r="B55" s="98" t="s">
        <v>144</v>
      </c>
      <c r="C55" s="149" t="s">
        <v>530</v>
      </c>
      <c r="D55" s="141"/>
      <c r="E55" s="142" t="str">
        <f>HYPERLINK("Order.xls#doc_Order_cac_OrderLine_cac_LineItem_cac_Item_cac_SellersItemIdentification_cbc_ID","[UBL_NL]")</f>
        <v>[UBL_NL]</v>
      </c>
      <c r="G55" s="67">
        <v>120120120</v>
      </c>
      <c r="J55" s="34" t="s">
        <v>357</v>
      </c>
      <c r="L55" s="38"/>
      <c r="S55" s="44"/>
      <c r="T55" s="44"/>
      <c r="U55" s="46"/>
      <c r="V55" s="46"/>
      <c r="W55" s="46"/>
      <c r="X55" s="44"/>
      <c r="Y55" s="44"/>
      <c r="Z55" s="38"/>
      <c r="AA55" s="38"/>
    </row>
    <row r="56" spans="1:30" ht="10.5" customHeight="1">
      <c r="A56" s="138"/>
      <c r="B56" s="146" t="s">
        <v>51</v>
      </c>
      <c r="C56" s="149" t="s">
        <v>685</v>
      </c>
      <c r="D56" s="141" t="str">
        <f>HYPERLINK("Mapping_StaffingOrder.xls#StaffingOrder_StaffingPosition_PositionHeader_PositionDescription","[HR-XML/SETU]")</f>
        <v>[HR-XML/SETU]</v>
      </c>
      <c r="E56" s="142" t="str">
        <f>HYPERLINK("Order.xls#doc_Order_cac_OrderLine_cac_LineItem_cac_Item_cbc_Description","[UBL_NL]")</f>
        <v>[UBL_NL]</v>
      </c>
      <c r="F56" s="66" t="s">
        <v>705</v>
      </c>
      <c r="G56" s="67" t="s">
        <v>706</v>
      </c>
      <c r="H56" s="34" t="s">
        <v>98</v>
      </c>
      <c r="I56" s="34" t="s">
        <v>149</v>
      </c>
      <c r="J56" s="34" t="s">
        <v>358</v>
      </c>
      <c r="L56" s="38"/>
      <c r="S56" s="44"/>
      <c r="T56" s="48"/>
      <c r="U56" s="46"/>
      <c r="V56" s="46"/>
      <c r="W56" s="46"/>
      <c r="X56" s="44"/>
      <c r="Y56" s="44"/>
      <c r="Z56" s="38"/>
      <c r="AA56" s="38"/>
    </row>
    <row r="57" spans="1:30" ht="10.5" customHeight="1">
      <c r="A57" s="138"/>
      <c r="B57" s="98" t="s">
        <v>52</v>
      </c>
      <c r="C57" s="149" t="s">
        <v>530</v>
      </c>
      <c r="D57" s="141"/>
      <c r="E57" s="142" t="str">
        <f>HYPERLINK("Order.xls#doc_Order_cac_OrderLine_cac_LineItem_cac_Item_cac_BuyersItemIdentification_cbc_ID","[UBL_NL]")</f>
        <v>[UBL_NL]</v>
      </c>
      <c r="G57" s="67" t="s">
        <v>707</v>
      </c>
      <c r="J57" s="34" t="s">
        <v>359</v>
      </c>
      <c r="L57" s="38"/>
      <c r="S57" s="44"/>
      <c r="T57" s="48"/>
      <c r="U57" s="46"/>
      <c r="V57" s="46"/>
      <c r="W57" s="46"/>
      <c r="X57" s="44"/>
      <c r="Y57" s="44"/>
      <c r="Z57" s="38"/>
      <c r="AA57" s="44"/>
    </row>
    <row r="58" spans="1:30" ht="10.5" customHeight="1">
      <c r="A58" s="138"/>
      <c r="B58" s="140" t="s">
        <v>53</v>
      </c>
      <c r="C58" s="141"/>
      <c r="D58" s="141"/>
      <c r="E58" s="142" t="str">
        <f>HYPERLINK("Order.xls#doc_Order_cac_OrderLine_cac_LineItem_cbc_Quantity","[UBL_NL]")</f>
        <v>[UBL_NL]</v>
      </c>
      <c r="G58" s="67">
        <v>10</v>
      </c>
      <c r="H58" s="34" t="s">
        <v>94</v>
      </c>
      <c r="J58" s="34" t="s">
        <v>360</v>
      </c>
      <c r="L58" s="38"/>
      <c r="S58" s="44"/>
      <c r="T58" s="44"/>
      <c r="U58" s="46"/>
      <c r="V58" s="46"/>
      <c r="W58" s="46"/>
      <c r="X58" s="44"/>
      <c r="Y58" s="44"/>
      <c r="Z58" s="38"/>
      <c r="AA58" s="38"/>
    </row>
    <row r="59" spans="1:30" ht="10.5" customHeight="1">
      <c r="A59" s="138"/>
      <c r="B59" s="140" t="s">
        <v>54</v>
      </c>
      <c r="C59" s="141"/>
      <c r="D59" s="141"/>
      <c r="E59" s="142" t="str">
        <f>HYPERLINK("Order.xls#doc_Order_cac_OrderLine_cac_LineItem_cbc_Quantity_unitCode","[UBL_NL]")</f>
        <v>[UBL_NL]</v>
      </c>
      <c r="G59" s="67" t="s">
        <v>708</v>
      </c>
      <c r="H59" s="34" t="s">
        <v>94</v>
      </c>
      <c r="J59" s="34" t="s">
        <v>361</v>
      </c>
      <c r="L59" s="44"/>
      <c r="S59" s="38"/>
      <c r="T59" s="38"/>
      <c r="U59" s="38"/>
      <c r="V59" s="38"/>
      <c r="W59" s="38"/>
      <c r="X59" s="38"/>
      <c r="Y59" s="38"/>
      <c r="Z59" s="38"/>
      <c r="AB59" s="38"/>
      <c r="AC59" s="38"/>
      <c r="AD59" s="38"/>
    </row>
    <row r="60" spans="1:30" ht="10.5" customHeight="1">
      <c r="A60" s="138"/>
      <c r="B60" s="140" t="s">
        <v>55</v>
      </c>
      <c r="C60" s="145" t="s">
        <v>56</v>
      </c>
      <c r="D60" s="141" t="str">
        <f>HYPERLINK("Mapping_StaffingOrder.xls#StaffingOrder_StaffingPosition_PositionDateRange_StartDate","[HR-XML/SETU]")</f>
        <v>[HR-XML/SETU]</v>
      </c>
      <c r="E60" s="142" t="str">
        <f>HYPERLINK("Order.xls#doc_Order_cac_OrderLine_cac_LineItem_cac_Delivery_cac_RequestedDeliveryPeriod","[UBL_NL]")</f>
        <v>[UBL_NL]</v>
      </c>
      <c r="F60" s="66" t="s">
        <v>709</v>
      </c>
      <c r="G60" s="171">
        <v>40923</v>
      </c>
      <c r="H60" s="34" t="s">
        <v>94</v>
      </c>
      <c r="I60" s="34" t="s">
        <v>159</v>
      </c>
      <c r="J60" s="34" t="s">
        <v>362</v>
      </c>
      <c r="L60" s="44"/>
      <c r="S60" s="44"/>
      <c r="T60" s="44"/>
      <c r="U60" s="47"/>
      <c r="V60" s="46"/>
      <c r="W60" s="46"/>
      <c r="X60" s="44"/>
      <c r="Y60" s="44"/>
      <c r="Z60" s="38"/>
      <c r="AA60" s="38"/>
    </row>
    <row r="61" spans="1:30" ht="10.5" customHeight="1">
      <c r="A61" s="138"/>
      <c r="B61" s="146" t="s">
        <v>127</v>
      </c>
      <c r="C61" s="141"/>
      <c r="D61" s="141" t="str">
        <f>HYPERLINK("Mapping_StaffingOrder.xls#StaffingOrder_StaffingPosition_WorkSite_PostalAddress","[HR-XML/SETU]")</f>
        <v>[HR-XML/SETU]</v>
      </c>
      <c r="E61" s="142" t="str">
        <f>HYPERLINK("Order.xls#doc_Order_cac_OrderLine_cac_LineItem_cac_Delivery_cac_DeliveryAddress","[UBL_NL]")</f>
        <v>[UBL_NL]</v>
      </c>
      <c r="F61" s="180" t="s">
        <v>710</v>
      </c>
      <c r="G61" s="181" t="s">
        <v>710</v>
      </c>
      <c r="H61" s="34" t="s">
        <v>98</v>
      </c>
      <c r="I61" s="34" t="s">
        <v>128</v>
      </c>
      <c r="J61" s="34" t="s">
        <v>363</v>
      </c>
      <c r="L61" s="38"/>
      <c r="S61" s="44"/>
      <c r="T61" s="48"/>
      <c r="U61" s="46"/>
      <c r="V61" s="46"/>
      <c r="W61" s="46"/>
      <c r="X61" s="44"/>
      <c r="Y61" s="44"/>
      <c r="Z61" s="38"/>
      <c r="AA61" s="38"/>
    </row>
    <row r="62" spans="1:30" ht="10.5" customHeight="1">
      <c r="A62" s="138"/>
      <c r="B62" s="146" t="s">
        <v>162</v>
      </c>
      <c r="C62" s="141"/>
      <c r="D62" s="141"/>
      <c r="E62" s="142" t="str">
        <f>HYPERLINK("Order.xls#doc_Order_cac_OrderLine_cac_LineItem_cac_Delivery_cac_DeliveryParty_cac_Contact_cbc_Name","[UBL_NL]")</f>
        <v>[UBL_NL]</v>
      </c>
      <c r="F62" s="173"/>
      <c r="G62" s="67" t="s">
        <v>711</v>
      </c>
      <c r="H62" s="34" t="s">
        <v>98</v>
      </c>
      <c r="J62" s="34" t="s">
        <v>364</v>
      </c>
      <c r="L62" s="38"/>
      <c r="S62" s="44"/>
      <c r="T62" s="48"/>
      <c r="U62" s="46"/>
      <c r="V62" s="46"/>
      <c r="W62" s="46"/>
      <c r="X62" s="44"/>
      <c r="Y62" s="44"/>
      <c r="Z62" s="38"/>
      <c r="AA62" s="38"/>
    </row>
    <row r="63" spans="1:30" ht="10.5" customHeight="1">
      <c r="A63" s="138"/>
      <c r="B63" s="140" t="s">
        <v>57</v>
      </c>
      <c r="C63" s="145" t="s">
        <v>164</v>
      </c>
      <c r="D63" s="141"/>
      <c r="E63" s="142" t="str">
        <f>HYPERLINK("Order.xls#doc_Order_cac_OrderLine_cac_LineItem_cbc_AccountingCostCode","[UBL_NL]")</f>
        <v>[UBL_NL]</v>
      </c>
      <c r="F63" s="173"/>
      <c r="G63" s="67">
        <v>4500123456</v>
      </c>
      <c r="H63" s="34" t="s">
        <v>365</v>
      </c>
      <c r="J63" s="34" t="s">
        <v>366</v>
      </c>
      <c r="L63" s="38"/>
      <c r="S63" s="44"/>
      <c r="T63" s="44"/>
      <c r="U63" s="47"/>
      <c r="V63" s="46"/>
      <c r="W63" s="46"/>
      <c r="X63" s="44"/>
      <c r="Y63" s="44"/>
      <c r="Z63" s="38"/>
      <c r="AA63" s="38"/>
    </row>
    <row r="64" spans="1:30" ht="10.5" customHeight="1">
      <c r="A64" s="138"/>
      <c r="B64" s="146" t="s">
        <v>10</v>
      </c>
      <c r="C64" s="149"/>
      <c r="D64" s="141"/>
      <c r="E64" s="142" t="str">
        <f>HYPERLINK("Order.xls#doc_Order_cac_OrderLine_cac_LineItem_cbc_Note","[UBL_NL]")</f>
        <v>[UBL_NL]</v>
      </c>
      <c r="F64" s="173"/>
      <c r="G64" s="67" t="s">
        <v>712</v>
      </c>
      <c r="J64" s="34" t="s">
        <v>367</v>
      </c>
      <c r="L64" s="38"/>
      <c r="S64" s="44"/>
      <c r="T64" s="44"/>
      <c r="U64" s="47"/>
      <c r="V64" s="46"/>
      <c r="W64" s="46"/>
      <c r="X64" s="44"/>
      <c r="Y64" s="44"/>
      <c r="Z64" s="38"/>
      <c r="AA64" s="38"/>
    </row>
    <row r="65" spans="1:30" ht="10.5" customHeight="1">
      <c r="A65" s="138"/>
      <c r="B65" s="146" t="s">
        <v>290</v>
      </c>
      <c r="C65" s="150"/>
      <c r="D65" s="141"/>
      <c r="E65" s="142" t="str">
        <f>HYPERLINK("Order.xls#doc_Order_cac_OrderLine_cac_QuotationLineReference","[UBL_NL]")</f>
        <v>[UBL_NL]</v>
      </c>
      <c r="F65" s="173"/>
      <c r="G65" s="67" t="s">
        <v>713</v>
      </c>
      <c r="H65" s="34" t="s">
        <v>98</v>
      </c>
      <c r="J65" s="34" t="s">
        <v>368</v>
      </c>
      <c r="L65" s="38"/>
      <c r="S65" s="44"/>
      <c r="T65" s="48"/>
      <c r="U65" s="46"/>
      <c r="V65" s="46"/>
      <c r="W65" s="46"/>
      <c r="X65" s="44"/>
      <c r="Y65" s="44"/>
      <c r="Z65" s="38"/>
    </row>
    <row r="66" spans="1:30" ht="10.5" customHeight="1">
      <c r="A66" s="138"/>
      <c r="B66" s="146" t="s">
        <v>108</v>
      </c>
      <c r="C66" s="150"/>
      <c r="D66" s="141"/>
      <c r="E66" s="142" t="str">
        <f>HYPERLINK("Order.xls#doc_Order_cac_OrderLine_cac_DocumentReference_cbc_ID","[UBL_NL]")</f>
        <v>[UBL_NL]</v>
      </c>
      <c r="F66" s="178"/>
      <c r="G66" s="67">
        <v>357</v>
      </c>
      <c r="H66" s="34" t="s">
        <v>98</v>
      </c>
      <c r="J66" s="34" t="s">
        <v>369</v>
      </c>
      <c r="L66" s="38"/>
      <c r="S66" s="44"/>
      <c r="T66" s="48"/>
      <c r="U66" s="46"/>
      <c r="V66" s="46"/>
      <c r="W66" s="46"/>
      <c r="X66" s="44"/>
      <c r="Y66" s="44"/>
      <c r="Z66" s="38"/>
      <c r="AA66" s="55"/>
    </row>
    <row r="67" spans="1:30" ht="10.5" customHeight="1">
      <c r="A67" s="138"/>
      <c r="B67" s="146" t="s">
        <v>167</v>
      </c>
      <c r="C67" s="149" t="s">
        <v>678</v>
      </c>
      <c r="D67" s="141"/>
      <c r="E67" s="142" t="str">
        <f>HYPERLINK("Order.xls#doc_Order_cac_OrderLine_cac_DocumentReference_cbc_DocumentType","[UBL_NL]")</f>
        <v>[UBL_NL]</v>
      </c>
      <c r="G67" s="67" t="s">
        <v>714</v>
      </c>
      <c r="H67" s="34" t="s">
        <v>365</v>
      </c>
      <c r="J67" s="34" t="s">
        <v>370</v>
      </c>
      <c r="L67" s="38"/>
      <c r="S67" s="38"/>
      <c r="T67" s="38"/>
      <c r="U67" s="38"/>
      <c r="V67" s="38"/>
      <c r="W67" s="38"/>
      <c r="X67" s="38"/>
      <c r="Y67" s="38"/>
      <c r="Z67" s="38"/>
      <c r="AA67" s="55"/>
      <c r="AB67" s="38"/>
      <c r="AC67" s="38"/>
      <c r="AD67" s="38"/>
    </row>
    <row r="68" spans="1:30" ht="10.5" customHeight="1">
      <c r="A68" s="138"/>
      <c r="B68" s="146" t="s">
        <v>169</v>
      </c>
      <c r="C68" s="150"/>
      <c r="D68" s="141"/>
      <c r="E68" s="142" t="str">
        <f>HYPERLINK("Order.xls#doc_Order_cac_OrderLine_cac_LineItem_cac_Item_cac_CatalogueDocumentReference","[UBL_NL]")</f>
        <v>[UBL_NL]</v>
      </c>
      <c r="F68" s="178"/>
      <c r="G68" s="67" t="s">
        <v>715</v>
      </c>
      <c r="H68" s="34" t="s">
        <v>98</v>
      </c>
      <c r="J68" s="34" t="s">
        <v>371</v>
      </c>
      <c r="L68" s="38"/>
      <c r="S68" s="44"/>
      <c r="T68" s="48"/>
      <c r="U68" s="46"/>
      <c r="V68" s="46"/>
      <c r="W68" s="46"/>
      <c r="X68" s="44"/>
      <c r="Y68" s="44"/>
      <c r="Z68" s="38"/>
      <c r="AA68" s="38"/>
    </row>
    <row r="69" spans="1:30" ht="10.5" customHeight="1">
      <c r="A69" s="138"/>
      <c r="B69" s="146" t="s">
        <v>680</v>
      </c>
      <c r="C69" s="141"/>
      <c r="D69" s="141"/>
      <c r="E69" s="142" t="str">
        <f>HYPERLINK("Order.xls#doc_Order_cac_OrderLine_cac_LineItem_cac_Item_cac_CatalogueItemIdentification","[UBL_NL]")</f>
        <v>[UBL_NL]</v>
      </c>
      <c r="F69" s="178"/>
      <c r="G69" s="67">
        <v>685500012</v>
      </c>
      <c r="J69" s="34" t="s">
        <v>372</v>
      </c>
      <c r="L69" s="38"/>
      <c r="S69" s="44"/>
      <c r="T69" s="48"/>
      <c r="U69" s="46"/>
      <c r="V69" s="46"/>
      <c r="W69" s="46"/>
      <c r="X69" s="44"/>
      <c r="Y69" s="44"/>
      <c r="Z69" s="38"/>
      <c r="AA69" s="38"/>
    </row>
    <row r="70" spans="1:30" ht="10.5" customHeight="1">
      <c r="A70" s="138"/>
      <c r="B70" s="146" t="s">
        <v>373</v>
      </c>
      <c r="C70" s="141"/>
      <c r="D70" s="141"/>
      <c r="E70" s="142" t="str">
        <f>HYPERLINK("Order.xls#doc_Order_cac_OrderLine_cac_LineItem_cac_Item_cac_ItemSpecificationDocumentReference","[UBL_NL]")</f>
        <v>[UBL_NL]</v>
      </c>
      <c r="F70" s="178"/>
      <c r="G70" s="67" t="s">
        <v>716</v>
      </c>
      <c r="H70" s="34" t="s">
        <v>98</v>
      </c>
      <c r="J70" s="34" t="s">
        <v>374</v>
      </c>
      <c r="L70" s="38"/>
      <c r="S70" s="44"/>
      <c r="T70" s="48"/>
      <c r="U70" s="46"/>
      <c r="V70" s="46"/>
      <c r="W70" s="46"/>
      <c r="X70" s="44"/>
      <c r="Y70" s="44"/>
      <c r="Z70" s="38"/>
      <c r="AA70" s="38"/>
    </row>
    <row r="71" spans="1:30" ht="10.5" customHeight="1">
      <c r="A71" s="138"/>
      <c r="B71" s="146" t="s">
        <v>175</v>
      </c>
      <c r="C71" s="141"/>
      <c r="D71" s="141"/>
      <c r="E71" s="142" t="str">
        <f>HYPERLINK("Order.xls#doc_Order_cac_OrderLine_cac_LineItem_cac_DeliveryTerms","[UBL_NL]")</f>
        <v>[UBL_NL]</v>
      </c>
      <c r="F71" s="173"/>
      <c r="G71" s="67" t="s">
        <v>717</v>
      </c>
      <c r="H71" s="34" t="s">
        <v>98</v>
      </c>
      <c r="J71" s="34" t="s">
        <v>375</v>
      </c>
      <c r="L71" s="38"/>
      <c r="S71" s="44"/>
      <c r="T71" s="48"/>
      <c r="U71" s="46"/>
      <c r="V71" s="46"/>
      <c r="W71" s="46"/>
      <c r="X71" s="44"/>
      <c r="Y71" s="44"/>
      <c r="Z71" s="38"/>
      <c r="AA71" s="38"/>
    </row>
    <row r="72" spans="1:30" ht="10.5" customHeight="1">
      <c r="A72" s="138"/>
      <c r="B72" s="146" t="s">
        <v>60</v>
      </c>
      <c r="C72" s="149" t="s">
        <v>689</v>
      </c>
      <c r="D72" s="141"/>
      <c r="E72" s="142" t="str">
        <f>HYPERLINK("Order.xls#doc_Order_cac_OrderLine_cac_LineItem_cac_Item_cac_ClassifiedTaxCategory_cbc_Percent","[UBL_NL]")</f>
        <v>[UBL_NL]</v>
      </c>
      <c r="F72" s="173"/>
      <c r="G72" s="182">
        <v>0.2</v>
      </c>
      <c r="H72" s="34" t="s">
        <v>98</v>
      </c>
      <c r="J72" s="34" t="s">
        <v>376</v>
      </c>
      <c r="L72" s="38"/>
      <c r="S72" s="44"/>
      <c r="T72" s="48"/>
      <c r="U72" s="46"/>
      <c r="V72" s="46"/>
      <c r="W72" s="46"/>
      <c r="X72" s="44"/>
      <c r="Y72" s="44"/>
      <c r="Z72" s="38"/>
      <c r="AA72" s="38"/>
    </row>
    <row r="73" spans="1:30" ht="10.5" customHeight="1">
      <c r="A73" s="188"/>
      <c r="B73" s="146" t="s">
        <v>43</v>
      </c>
      <c r="C73" s="149" t="s">
        <v>688</v>
      </c>
      <c r="D73" s="189"/>
      <c r="E73" s="190" t="str">
        <f>HYPERLINK("Order.xls#doc_Order_cac_OrderLine_cac_LineItem_cac_Item_cac_ClassifiedTaxCategory_cac_TaxScheme_cbc_Name","[UBL_NL]")</f>
        <v>[UBL_NL]</v>
      </c>
      <c r="F73" s="173"/>
      <c r="H73" s="54"/>
      <c r="I73" s="54"/>
      <c r="J73" s="53" t="s">
        <v>377</v>
      </c>
      <c r="L73" s="38"/>
      <c r="M73" s="38"/>
      <c r="S73" s="44"/>
      <c r="T73" s="48"/>
      <c r="U73" s="46"/>
      <c r="V73" s="46"/>
      <c r="W73" s="46"/>
      <c r="X73" s="44"/>
      <c r="Y73" s="44"/>
      <c r="Z73" s="38"/>
      <c r="AA73" s="38"/>
    </row>
    <row r="74" spans="1:30" ht="10.5" customHeight="1">
      <c r="A74" s="138" t="s">
        <v>276</v>
      </c>
      <c r="B74" s="140"/>
      <c r="C74" s="141"/>
      <c r="D74" s="141"/>
      <c r="E74" s="142" t="str">
        <f>HYPERLINK("Order.xls#doc_Order_cac_OrderLine_cac_LineItem_cac_Price","[UBL_NL]")</f>
        <v>[UBL_NL]</v>
      </c>
      <c r="J74" s="34" t="s">
        <v>378</v>
      </c>
      <c r="L74" s="44"/>
      <c r="S74" s="44"/>
      <c r="T74" s="44"/>
      <c r="U74" s="46"/>
      <c r="V74" s="46"/>
      <c r="W74" s="46"/>
      <c r="X74" s="44"/>
      <c r="Y74" s="44"/>
      <c r="Z74" s="38"/>
      <c r="AA74" s="38"/>
    </row>
    <row r="75" spans="1:30" ht="10.5" customHeight="1">
      <c r="A75" s="138"/>
      <c r="B75" s="140" t="s">
        <v>278</v>
      </c>
      <c r="C75" s="141"/>
      <c r="D75" s="141" t="str">
        <f>HYPERLINK("Mapping_StaffingOrder.xls#StaffingOrder_StaffingPosition_Rates_Amount","[HR-XML/SETU]")</f>
        <v>[HR-XML/SETU]</v>
      </c>
      <c r="E75" s="142" t="str">
        <f>HYPERLINK("Order.xls#doc_Order_cac_OrderLine_cac_LineItem_cac_Price_cbc_PriceAmount","[UBL_NL]")</f>
        <v>[UBL_NL]</v>
      </c>
      <c r="G75" s="131">
        <v>200</v>
      </c>
      <c r="H75" s="34" t="s">
        <v>94</v>
      </c>
      <c r="I75" s="34" t="s">
        <v>379</v>
      </c>
      <c r="J75" s="34" t="s">
        <v>380</v>
      </c>
      <c r="L75" s="44"/>
      <c r="S75" s="44"/>
      <c r="T75" s="44"/>
      <c r="U75" s="46"/>
      <c r="V75" s="46"/>
      <c r="W75" s="46"/>
      <c r="X75" s="44"/>
      <c r="Y75" s="44"/>
      <c r="Z75" s="38"/>
      <c r="AA75" s="38"/>
    </row>
    <row r="76" spans="1:30" ht="10.5" customHeight="1">
      <c r="A76" s="138"/>
      <c r="B76" s="146" t="s">
        <v>14</v>
      </c>
      <c r="C76" s="141"/>
      <c r="D76" s="141" t="str">
        <f>HYPERLINK("Mapping_StaffingOrder.xls#StaffingOrder_StaffingPosition_Rates_Amount_currency","[HR-XML/SETU]")</f>
        <v>[HR-XML/SETU]</v>
      </c>
      <c r="E76" s="142" t="str">
        <f>HYPERLINK("Order.xls#doc_Order_cac_OrderLine_cac_LineItem_cac_Price_cbc_PriceAmount_currencyID","[UBL_NL]")</f>
        <v>[UBL_NL]</v>
      </c>
      <c r="F76" s="66" t="s">
        <v>703</v>
      </c>
      <c r="G76" s="66" t="s">
        <v>703</v>
      </c>
      <c r="H76" s="34" t="s">
        <v>98</v>
      </c>
      <c r="I76" s="34" t="s">
        <v>381</v>
      </c>
      <c r="J76" s="34" t="s">
        <v>382</v>
      </c>
      <c r="L76" s="38"/>
      <c r="S76" s="44"/>
      <c r="T76" s="48"/>
      <c r="U76" s="46"/>
      <c r="V76" s="46"/>
      <c r="W76" s="46"/>
      <c r="X76" s="44"/>
      <c r="Y76" s="44"/>
      <c r="Z76" s="38"/>
      <c r="AA76" s="38"/>
    </row>
    <row r="77" spans="1:30" ht="10.5" customHeight="1">
      <c r="A77" s="138" t="s">
        <v>231</v>
      </c>
      <c r="B77" s="140"/>
      <c r="C77" s="141"/>
      <c r="D77" s="141"/>
      <c r="E77" s="142" t="str">
        <f>HYPERLINK("Order.xls#doc_Order_cac_OrderLine_cac_LineItem_cac_AllowanceCharge","[UBL_NL]")</f>
        <v>[UBL_NL]</v>
      </c>
      <c r="J77" s="34" t="s">
        <v>383</v>
      </c>
      <c r="L77" s="38"/>
      <c r="S77" s="44"/>
      <c r="T77" s="44"/>
      <c r="U77" s="46"/>
      <c r="V77" s="46"/>
      <c r="W77" s="46"/>
      <c r="X77" s="44"/>
      <c r="Y77" s="44"/>
      <c r="Z77" s="38"/>
      <c r="AA77" s="38"/>
    </row>
    <row r="78" spans="1:30" ht="10.5" customHeight="1">
      <c r="A78" s="138"/>
      <c r="B78" s="146" t="s">
        <v>233</v>
      </c>
      <c r="C78" s="149" t="s">
        <v>718</v>
      </c>
      <c r="D78" s="141"/>
      <c r="E78" s="142" t="str">
        <f>HYPERLINK("Order.xls#doc_Order_cac_OrderLine_cac_LineItem_cac_AllowanceCharge_cbc_Amount","[UBL_NL]")</f>
        <v>[UBL_NL]</v>
      </c>
      <c r="G78" s="131">
        <v>2</v>
      </c>
      <c r="H78" s="34" t="s">
        <v>98</v>
      </c>
      <c r="J78" s="34" t="s">
        <v>384</v>
      </c>
      <c r="L78" s="44"/>
      <c r="S78" s="44"/>
      <c r="T78" s="48"/>
      <c r="U78" s="46"/>
      <c r="V78" s="46"/>
      <c r="W78" s="46"/>
      <c r="X78" s="44"/>
      <c r="Y78" s="44"/>
      <c r="Z78" s="38"/>
      <c r="AA78" s="38"/>
    </row>
    <row r="79" spans="1:30" ht="10.5" customHeight="1">
      <c r="A79" s="138"/>
      <c r="B79" s="146" t="s">
        <v>638</v>
      </c>
      <c r="C79" s="149" t="s">
        <v>681</v>
      </c>
      <c r="D79" s="141"/>
      <c r="E79" s="142" t="str">
        <f>HYPERLINK("Order.xls#doc_Order_cac_OrderLine_cac_LineItem_cac_AllowanceCharge_cbc_ChargeIndicator","[UBL_NL]")</f>
        <v>[UBL_NL]</v>
      </c>
      <c r="G79" s="67" t="s">
        <v>664</v>
      </c>
      <c r="H79" s="34" t="s">
        <v>98</v>
      </c>
      <c r="J79" s="34" t="s">
        <v>385</v>
      </c>
      <c r="L79" s="44"/>
      <c r="S79" s="44"/>
      <c r="T79" s="48"/>
      <c r="U79" s="46"/>
      <c r="V79" s="46"/>
      <c r="W79" s="46"/>
      <c r="X79" s="44"/>
      <c r="Y79" s="44"/>
      <c r="Z79" s="38"/>
      <c r="AA79" s="38"/>
    </row>
    <row r="80" spans="1:30" ht="10.5" customHeight="1">
      <c r="A80" s="138"/>
      <c r="B80" s="146" t="s">
        <v>236</v>
      </c>
      <c r="C80" s="149" t="s">
        <v>702</v>
      </c>
      <c r="D80" s="141"/>
      <c r="E80" s="142" t="str">
        <f>HYPERLINK("Order.xls#doc_Order_cac_OrderLine_cac_LineItem_cac_Item_cac_ClassifiedTaxCategory_cbc_Percent","[UBL_NL]")</f>
        <v>[UBL_NL]</v>
      </c>
      <c r="F80" s="173"/>
      <c r="G80" s="182">
        <v>0.2</v>
      </c>
      <c r="H80" s="34" t="s">
        <v>98</v>
      </c>
      <c r="J80" s="34" t="s">
        <v>376</v>
      </c>
      <c r="L80" s="38"/>
      <c r="S80" s="44"/>
      <c r="T80" s="48"/>
      <c r="U80" s="46"/>
      <c r="V80" s="46"/>
      <c r="W80" s="46"/>
      <c r="X80" s="44"/>
      <c r="Y80" s="44"/>
      <c r="Z80" s="38"/>
      <c r="AA80" s="38"/>
    </row>
    <row r="81" spans="1:27" ht="10.5" customHeight="1">
      <c r="A81" s="188"/>
      <c r="B81" s="146" t="s">
        <v>43</v>
      </c>
      <c r="C81" s="149" t="s">
        <v>684</v>
      </c>
      <c r="D81" s="189"/>
      <c r="E81" s="190" t="str">
        <f>HYPERLINK("Order.xls#doc_Order_cac_OrderLine_cac_LineItem_cac_Item_cac_ClassifiedTaxCategory_cac_TaxScheme_cbc_Name","[UBL_NL]")</f>
        <v>[UBL_NL]</v>
      </c>
      <c r="G81" s="67" t="s">
        <v>666</v>
      </c>
      <c r="H81" s="54"/>
      <c r="I81" s="54"/>
      <c r="J81" s="34" t="s">
        <v>377</v>
      </c>
      <c r="L81" s="38"/>
      <c r="M81" s="38"/>
      <c r="N81" s="38"/>
      <c r="S81" s="44"/>
      <c r="T81" s="48"/>
      <c r="U81" s="46"/>
      <c r="V81" s="46"/>
      <c r="W81" s="46"/>
      <c r="X81" s="44"/>
      <c r="Y81" s="44"/>
      <c r="Z81" s="38"/>
      <c r="AA81" s="38"/>
    </row>
    <row r="82" spans="1:27" ht="10.5" customHeight="1">
      <c r="A82" s="138"/>
      <c r="B82" s="146" t="s">
        <v>242</v>
      </c>
      <c r="C82" s="149"/>
      <c r="D82" s="141"/>
      <c r="E82" s="142" t="str">
        <f>HYPERLINK("Order.xls#doc_Order_cac_OrderLine_cac_LineItem_cac_AllowanceCharge_cbc_Amount","[UBL_NL]")</f>
        <v>[UBL_NL]</v>
      </c>
      <c r="G82" s="131">
        <v>3</v>
      </c>
      <c r="H82" s="34" t="s">
        <v>98</v>
      </c>
      <c r="J82" s="34" t="s">
        <v>384</v>
      </c>
      <c r="S82" s="44"/>
      <c r="T82" s="48"/>
      <c r="U82" s="46"/>
      <c r="V82" s="46"/>
      <c r="W82" s="46"/>
      <c r="X82" s="44"/>
      <c r="Y82" s="44"/>
      <c r="Z82" s="38"/>
      <c r="AA82" s="38"/>
    </row>
    <row r="83" spans="1:27" ht="10.5" customHeight="1">
      <c r="A83" s="138"/>
      <c r="B83" s="146" t="s">
        <v>637</v>
      </c>
      <c r="C83" s="149" t="s">
        <v>686</v>
      </c>
      <c r="D83" s="141"/>
      <c r="E83" s="142" t="str">
        <f>HYPERLINK("Order.xls#doc_Order_cac_OrderLine_cac_LineItem_cac_AllowanceCharge_cbc_ChargeIndicator","[UBL_NL]")</f>
        <v>[UBL_NL]</v>
      </c>
      <c r="G83" s="177" t="s">
        <v>664</v>
      </c>
      <c r="H83" s="34" t="s">
        <v>98</v>
      </c>
      <c r="J83" s="34" t="s">
        <v>385</v>
      </c>
      <c r="S83" s="44"/>
      <c r="T83" s="48"/>
      <c r="U83" s="46"/>
      <c r="V83" s="46"/>
      <c r="W83" s="46"/>
      <c r="X83" s="44"/>
      <c r="Y83" s="44"/>
      <c r="Z83" s="38"/>
      <c r="AA83" s="38"/>
    </row>
    <row r="84" spans="1:27" ht="10.5" customHeight="1" thickBot="1">
      <c r="A84" s="157"/>
      <c r="B84" s="192" t="s">
        <v>386</v>
      </c>
      <c r="C84" s="193"/>
      <c r="D84" s="159"/>
      <c r="E84" s="160" t="str">
        <f>HYPERLINK("Order.xls#doc_Order_cac_OrderLine_cac_LineItem_cbc_TotalTaxAmount","[UBL_NL]")</f>
        <v>[UBL_NL]</v>
      </c>
      <c r="G84" s="131">
        <v>398</v>
      </c>
      <c r="J84" s="34" t="s">
        <v>387</v>
      </c>
      <c r="S84" s="44"/>
      <c r="T84" s="48"/>
      <c r="U84" s="46"/>
      <c r="V84" s="46"/>
      <c r="W84" s="46"/>
      <c r="X84" s="44"/>
      <c r="Y84" s="44"/>
      <c r="Z84" s="38"/>
      <c r="AA84" s="38"/>
    </row>
    <row r="85" spans="1:27" ht="10.5" customHeight="1">
      <c r="B85" s="36"/>
      <c r="S85" s="44"/>
      <c r="T85" s="48"/>
      <c r="U85" s="46"/>
      <c r="V85" s="46"/>
      <c r="W85" s="46"/>
      <c r="X85" s="44"/>
      <c r="Y85" s="44"/>
      <c r="Z85" s="38"/>
      <c r="AA85" s="3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O23"/>
  <sheetViews>
    <sheetView zoomScale="96" zoomScaleNormal="96" workbookViewId="0">
      <selection activeCell="B23" sqref="B23"/>
    </sheetView>
  </sheetViews>
  <sheetFormatPr defaultColWidth="9.28515625" defaultRowHeight="12.75"/>
  <cols>
    <col min="1" max="1" width="1.28515625" style="5" customWidth="1"/>
    <col min="2" max="2" width="26.42578125" style="5" customWidth="1"/>
    <col min="3" max="3" width="42.85546875" style="34" customWidth="1"/>
    <col min="4" max="4" width="12.42578125" style="34" customWidth="1"/>
    <col min="5" max="5" width="9" style="34" customWidth="1"/>
    <col min="6" max="7" width="19.28515625" style="34" customWidth="1"/>
    <col min="8" max="8" width="9.28515625" style="34"/>
    <col min="9" max="9" width="102.5703125" style="34" customWidth="1"/>
    <col min="10" max="10" width="100.5703125" style="56" customWidth="1"/>
    <col min="11" max="11" width="9.28515625" style="94"/>
    <col min="12" max="249" width="9.28515625" style="5"/>
    <col min="250" max="16384" width="9.28515625" style="38"/>
  </cols>
  <sheetData>
    <row r="1" spans="1:249" s="225" customFormat="1">
      <c r="A1" s="134" t="s">
        <v>758</v>
      </c>
      <c r="B1" s="135"/>
      <c r="C1" s="136"/>
      <c r="D1" s="136" t="s">
        <v>87</v>
      </c>
      <c r="E1" s="212" t="s">
        <v>0</v>
      </c>
      <c r="F1" s="126" t="s">
        <v>676</v>
      </c>
      <c r="G1" s="126" t="s">
        <v>646</v>
      </c>
      <c r="H1" s="126" t="s">
        <v>89</v>
      </c>
      <c r="I1" s="126" t="s">
        <v>90</v>
      </c>
      <c r="J1" s="226" t="s">
        <v>1</v>
      </c>
      <c r="K1" s="227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</row>
    <row r="2" spans="1:249">
      <c r="A2" s="138"/>
      <c r="B2" s="145" t="s">
        <v>388</v>
      </c>
      <c r="C2" s="141"/>
      <c r="D2" s="141"/>
      <c r="E2" s="142"/>
    </row>
    <row r="3" spans="1:249">
      <c r="A3" s="139" t="s">
        <v>2</v>
      </c>
      <c r="B3" s="140"/>
      <c r="C3" s="141"/>
      <c r="D3" s="141"/>
      <c r="E3" s="142"/>
    </row>
    <row r="4" spans="1:249">
      <c r="A4" s="138" t="s">
        <v>3</v>
      </c>
      <c r="B4" s="140"/>
      <c r="C4" s="141"/>
      <c r="D4" s="141" t="str">
        <f>HYPERLINK("Mapping_HumanResource.xls#HumanResource","[HR-XML/SETU]")</f>
        <v>[HR-XML/SETU]</v>
      </c>
      <c r="E4" s="142" t="str">
        <f>HYPERLINK("OrderResponse.xls#doc_OrderResponse","[UBL_NL]")</f>
        <v>[UBL_NL]</v>
      </c>
      <c r="I4" s="34" t="s">
        <v>177</v>
      </c>
      <c r="J4" s="56" t="s">
        <v>389</v>
      </c>
    </row>
    <row r="5" spans="1:249">
      <c r="A5" s="138"/>
      <c r="B5" s="140" t="s">
        <v>390</v>
      </c>
      <c r="C5" s="141"/>
      <c r="D5" s="141" t="str">
        <f>HYPERLINK("Mapping_HumanResource.xls#HumanResource_HumanResourceId_validFrom","[HR-XML/SETU]")</f>
        <v>[HR-XML/SETU]</v>
      </c>
      <c r="E5" s="142" t="str">
        <f>HYPERLINK("OrderResponse.xls#doc_OrderResponse_cbc_IssueDate","[UBL_NL]")</f>
        <v>[UBL_NL]</v>
      </c>
      <c r="F5" s="132">
        <v>40892</v>
      </c>
      <c r="G5" s="132">
        <v>40892</v>
      </c>
      <c r="H5" s="34" t="s">
        <v>94</v>
      </c>
      <c r="I5" s="34" t="s">
        <v>180</v>
      </c>
      <c r="J5" s="56" t="s">
        <v>391</v>
      </c>
    </row>
    <row r="6" spans="1:249">
      <c r="A6" s="138"/>
      <c r="B6" s="140" t="s">
        <v>392</v>
      </c>
      <c r="C6" s="141"/>
      <c r="D6" s="141" t="str">
        <f>HYPERLINK("Mapping_HumanResource.xls#HumanResource_HumanResourceId_IdValue","[HR-XML/SETU]")</f>
        <v>[HR-XML/SETU]</v>
      </c>
      <c r="E6" s="142" t="str">
        <f>HYPERLINK("OrderResponse.xls#doc_OrderResponse_cbc_ID","[UBL_NL]")</f>
        <v>[UBL_NL]</v>
      </c>
      <c r="F6" s="34">
        <v>55844255</v>
      </c>
      <c r="G6" s="34">
        <v>55844255</v>
      </c>
      <c r="H6" s="34" t="s">
        <v>94</v>
      </c>
      <c r="I6" s="34" t="s">
        <v>183</v>
      </c>
      <c r="J6" s="56" t="s">
        <v>393</v>
      </c>
    </row>
    <row r="7" spans="1:249">
      <c r="A7" s="138"/>
      <c r="B7" s="140" t="s">
        <v>394</v>
      </c>
      <c r="C7" s="141"/>
      <c r="D7" s="141" t="str">
        <f>HYPERLINK("Mapping_HumanResource.xls#HumanResource_UserArea_HumanResourceAdditionalNL_CustomerReportingRequirements_PurchaseOrderNumber","[HR-XML/SETU]")</f>
        <v>[HR-XML/SETU]</v>
      </c>
      <c r="E7" s="142" t="str">
        <f>HYPERLINK("OrderResponse.xls#doc_OrderResponse_cac_OrderReference_cbc_ID","[UBL_NL]")</f>
        <v>[UBL_NL]</v>
      </c>
      <c r="F7" s="34">
        <v>45001577255</v>
      </c>
      <c r="H7" s="34" t="s">
        <v>94</v>
      </c>
      <c r="I7" s="34" t="s">
        <v>395</v>
      </c>
      <c r="J7" s="56" t="s">
        <v>396</v>
      </c>
    </row>
    <row r="8" spans="1:249">
      <c r="A8" s="138"/>
      <c r="B8" s="140" t="s">
        <v>151</v>
      </c>
      <c r="C8" s="148" t="s">
        <v>757</v>
      </c>
      <c r="D8" s="141"/>
      <c r="E8" s="142"/>
      <c r="F8" s="34" t="s">
        <v>765</v>
      </c>
    </row>
    <row r="9" spans="1:249">
      <c r="A9" s="138" t="s">
        <v>19</v>
      </c>
      <c r="B9" s="140"/>
      <c r="C9" s="141"/>
      <c r="D9" s="141"/>
      <c r="E9" s="142" t="str">
        <f>HYPERLINK("OrderResponse.xls#doc_OrderResponse_cac_SellerSupplierParty","[UBL_NL]")</f>
        <v>[UBL_NL]</v>
      </c>
      <c r="G9" s="228"/>
      <c r="H9" s="34" t="s">
        <v>94</v>
      </c>
      <c r="J9" s="56" t="s">
        <v>399</v>
      </c>
    </row>
    <row r="10" spans="1:249">
      <c r="A10" s="138"/>
      <c r="B10" s="5" t="s">
        <v>117</v>
      </c>
      <c r="C10" s="37" t="s">
        <v>781</v>
      </c>
      <c r="D10" s="34" t="str">
        <f>HYPERLINK("Mapping_HumanResource.xls#HumanResource_ReferenceInformation_StaffingSupplierId_IdValue","[HR-XML/SETU]")</f>
        <v>[HR-XML/SETU]</v>
      </c>
      <c r="E10" s="34" t="str">
        <f>HYPERLINK("OrderResponse.xls#doc_OrderResponse_cac_SellerSupplierParty_cbc_CustomerAssignedAccountID","[UBL_NL]")</f>
        <v>[UBL_NL]</v>
      </c>
      <c r="G10" s="228"/>
      <c r="H10" s="5" t="s">
        <v>94</v>
      </c>
      <c r="I10" s="5" t="s">
        <v>808</v>
      </c>
      <c r="J10" s="5" t="s">
        <v>817</v>
      </c>
    </row>
    <row r="11" spans="1:249">
      <c r="A11" s="138"/>
      <c r="B11" s="147" t="s">
        <v>21</v>
      </c>
      <c r="C11" s="141"/>
      <c r="D11" s="141" t="str">
        <f>HYPERLINK("Mapping_HumanResource.xls#HumanResource_ResourceInformation_EntityContactInfo_EntityName","[HR-XML/SETU]")</f>
        <v>[HR-XML/SETU]</v>
      </c>
      <c r="E11" s="142" t="str">
        <f>HYPERLINK("OrderResponse.xls#doc_OrderResponse_cac_SellerSupplierParty_cac_Party_cac_PartyName_cbc_Name","[UBL_NL]")</f>
        <v>[UBL_NL]</v>
      </c>
      <c r="F11" s="34" t="s">
        <v>754</v>
      </c>
      <c r="G11" s="34" t="s">
        <v>760</v>
      </c>
      <c r="H11" s="34" t="s">
        <v>94</v>
      </c>
      <c r="I11" s="34" t="s">
        <v>206</v>
      </c>
      <c r="J11" s="56" t="s">
        <v>400</v>
      </c>
    </row>
    <row r="12" spans="1:249">
      <c r="A12" s="138"/>
      <c r="B12" s="143" t="s">
        <v>23</v>
      </c>
      <c r="C12" s="151" t="s">
        <v>24</v>
      </c>
      <c r="D12" s="141"/>
      <c r="E12" s="142" t="str">
        <f>HYPERLINK("OrderResponse.xls#doc_OrderResponse_cac_SellerSupplierParty_cac_Party_cac_PartyIdentification_cbc_ID","[UBL_NL]")</f>
        <v>[UBL_NL]</v>
      </c>
      <c r="F12" s="34">
        <v>32158479</v>
      </c>
      <c r="G12" s="34">
        <v>22557786</v>
      </c>
      <c r="H12" s="34" t="s">
        <v>94</v>
      </c>
      <c r="J12" s="56" t="s">
        <v>401</v>
      </c>
    </row>
    <row r="13" spans="1:249">
      <c r="A13" s="138" t="s">
        <v>26</v>
      </c>
      <c r="B13" s="140"/>
      <c r="C13" s="141"/>
      <c r="D13" s="141"/>
      <c r="E13" s="142" t="str">
        <f>HYPERLINK("OrderResponse.xls#doc_OrderResponse_cac_BuyerCustomerParty","[UBL_NL]")</f>
        <v>[UBL_NL]</v>
      </c>
      <c r="H13" s="34" t="s">
        <v>94</v>
      </c>
      <c r="J13" s="56" t="s">
        <v>402</v>
      </c>
    </row>
    <row r="14" spans="1:249">
      <c r="A14" s="138"/>
      <c r="B14" s="36" t="s">
        <v>28</v>
      </c>
      <c r="C14" s="244" t="s">
        <v>783</v>
      </c>
      <c r="D14" s="34" t="str">
        <f>HYPERLINK("Mapping_HumanResource.xls#HumanResource_ReferenceInformation_StaffingCustomerId_IdValue","[HR-XML/SETU]")</f>
        <v>[HR-XML/SETU]</v>
      </c>
      <c r="E14" s="34" t="str">
        <f>HYPERLINK("OrderResponse.xls#doc_OrderResponse_cac_BuyerCustomerParty_cbc_SupplierAssignedAccountID","[UBL_NL]")</f>
        <v>[UBL_NL]</v>
      </c>
      <c r="H14" s="34" t="s">
        <v>98</v>
      </c>
      <c r="I14" s="5" t="s">
        <v>810</v>
      </c>
      <c r="J14" s="5" t="s">
        <v>818</v>
      </c>
    </row>
    <row r="15" spans="1:249">
      <c r="A15" s="138"/>
      <c r="B15" s="147" t="s">
        <v>29</v>
      </c>
      <c r="C15" s="141"/>
      <c r="D15" s="141"/>
      <c r="E15" s="142" t="str">
        <f>HYPERLINK("OrderResponse.xls#doc_OrderResponse_cac_BuyerCustomerParty_cac_Party_cac_PartyName","[UBL_NL]")</f>
        <v>[UBL_NL]</v>
      </c>
      <c r="F15" s="34" t="s">
        <v>761</v>
      </c>
      <c r="G15" s="34" t="s">
        <v>762</v>
      </c>
      <c r="H15" s="34" t="s">
        <v>94</v>
      </c>
      <c r="J15" s="56" t="s">
        <v>403</v>
      </c>
    </row>
    <row r="16" spans="1:249">
      <c r="A16" s="138"/>
      <c r="B16" s="147" t="s">
        <v>23</v>
      </c>
      <c r="C16" s="148" t="s">
        <v>80</v>
      </c>
      <c r="D16" s="141"/>
      <c r="E16" s="142"/>
      <c r="F16" s="130" t="s">
        <v>763</v>
      </c>
      <c r="G16" s="130" t="s">
        <v>764</v>
      </c>
    </row>
    <row r="17" spans="1:11">
      <c r="A17" s="138"/>
      <c r="B17" s="140"/>
      <c r="C17" s="141"/>
      <c r="D17" s="141"/>
      <c r="E17" s="142"/>
    </row>
    <row r="18" spans="1:11">
      <c r="A18" s="139" t="s">
        <v>404</v>
      </c>
      <c r="B18" s="140"/>
      <c r="C18" s="141"/>
      <c r="D18" s="141"/>
      <c r="E18" s="142" t="str">
        <f>HYPERLINK("OrderResponse.xls#doc_OrderResponse_cac_OrderLine","[UBL_NL]")</f>
        <v>[UBL_NL]</v>
      </c>
      <c r="J18" s="56" t="s">
        <v>405</v>
      </c>
    </row>
    <row r="19" spans="1:11">
      <c r="A19" s="138" t="s">
        <v>50</v>
      </c>
      <c r="B19" s="140"/>
      <c r="C19" s="141"/>
      <c r="D19" s="141"/>
      <c r="E19" s="142" t="str">
        <f>HYPERLINK("OrderResponse.xls#doc_OrderResponse_cac_OrderLine_cac_LineItem_cac_Item","[UBL_NL]")</f>
        <v>[UBL_NL]</v>
      </c>
      <c r="G19" s="34">
        <v>100</v>
      </c>
      <c r="J19" s="56" t="s">
        <v>406</v>
      </c>
    </row>
    <row r="20" spans="1:11">
      <c r="A20" s="138"/>
      <c r="B20" s="147" t="s">
        <v>410</v>
      </c>
      <c r="C20" s="148"/>
      <c r="D20" s="141"/>
      <c r="E20" s="142" t="str">
        <f>HYPERLINK("OrderResponse.xls#doc_OrderResponse_cac_OrderLine_cac_DocumentReference_cbc_ID","[UBL_NL]")</f>
        <v>[UBL_NL]</v>
      </c>
      <c r="G20" s="34">
        <v>4500199255</v>
      </c>
      <c r="H20" s="34" t="s">
        <v>98</v>
      </c>
      <c r="J20" s="56" t="s">
        <v>411</v>
      </c>
    </row>
    <row r="21" spans="1:11">
      <c r="A21" s="138"/>
      <c r="B21" s="205"/>
      <c r="C21" s="145" t="s">
        <v>759</v>
      </c>
      <c r="D21" s="141"/>
      <c r="E21" s="142" t="str">
        <f>HYPERLINK("OrderResponse.xls#doc_OrderResponse_cac_OrderLine_cac_DocumentReference_cbc_DocumentType","[UBL_NL]")</f>
        <v>[UBL_NL]</v>
      </c>
      <c r="G21" s="53" t="s">
        <v>611</v>
      </c>
      <c r="J21" s="56" t="s">
        <v>412</v>
      </c>
    </row>
    <row r="22" spans="1:11">
      <c r="A22" s="138"/>
      <c r="B22" s="140" t="s">
        <v>53</v>
      </c>
      <c r="C22" s="148" t="s">
        <v>398</v>
      </c>
      <c r="D22" s="141"/>
      <c r="E22" s="142" t="str">
        <f>HYPERLINK("OrderResponse.xls#doc_OrderResponse_cac_OrderLine_cac_LineItem_cbc_Quantity","[UBL_NL]")</f>
        <v>[UBL_NL]</v>
      </c>
      <c r="G22" s="34">
        <v>9</v>
      </c>
      <c r="H22" s="5" t="s">
        <v>94</v>
      </c>
      <c r="I22" s="5"/>
      <c r="J22" s="5" t="s">
        <v>407</v>
      </c>
      <c r="K22" s="5"/>
    </row>
    <row r="23" spans="1:11" ht="13.5" thickBot="1">
      <c r="A23" s="157"/>
      <c r="B23" s="224" t="s">
        <v>55</v>
      </c>
      <c r="C23" s="223" t="s">
        <v>408</v>
      </c>
      <c r="D23" s="159"/>
      <c r="E23" s="160" t="str">
        <f>HYPERLINK("OrderResponse.xls#doc_OrderResponse_cac_OrderLine_cac_LineItem_cac_Delivery_cac_PromisedDeliveryPeriod","[UBL_NL]")</f>
        <v>[UBL_NL]</v>
      </c>
      <c r="G23" s="132">
        <v>40604</v>
      </c>
      <c r="H23" s="5" t="s">
        <v>397</v>
      </c>
      <c r="I23" s="5"/>
      <c r="J23" s="5" t="s">
        <v>409</v>
      </c>
      <c r="K23" s="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ColWidth="9.28515625" defaultRowHeight="11.25"/>
  <cols>
    <col min="1" max="1" width="1.42578125" style="5" customWidth="1"/>
    <col min="2" max="2" width="23.28515625" style="5" customWidth="1"/>
    <col min="3" max="3" width="47.5703125" style="37" customWidth="1"/>
    <col min="4" max="4" width="13.7109375" style="34" customWidth="1"/>
    <col min="5" max="5" width="19.140625" style="34" customWidth="1"/>
    <col min="6" max="7" width="9.28515625" style="5"/>
    <col min="8" max="8" width="120.42578125" style="5" customWidth="1"/>
    <col min="9" max="16384" width="9.28515625" style="5"/>
  </cols>
  <sheetData>
    <row r="1" spans="1:8">
      <c r="A1" s="236" t="s">
        <v>766</v>
      </c>
      <c r="B1" s="230"/>
      <c r="C1" s="231"/>
      <c r="D1" s="232" t="s">
        <v>87</v>
      </c>
      <c r="E1" s="34" t="s">
        <v>88</v>
      </c>
      <c r="G1" s="5" t="s">
        <v>89</v>
      </c>
      <c r="H1" s="5" t="s">
        <v>90</v>
      </c>
    </row>
    <row r="2" spans="1:8">
      <c r="A2" s="139"/>
      <c r="B2" s="145" t="s">
        <v>388</v>
      </c>
      <c r="C2" s="145"/>
      <c r="D2" s="142"/>
    </row>
    <row r="3" spans="1:8">
      <c r="A3" s="139" t="s">
        <v>414</v>
      </c>
      <c r="B3" s="140"/>
      <c r="C3" s="145"/>
      <c r="D3" s="142"/>
    </row>
    <row r="4" spans="1:8">
      <c r="A4" s="138" t="s">
        <v>415</v>
      </c>
      <c r="B4" s="140"/>
      <c r="C4" s="145"/>
      <c r="D4" s="142" t="str">
        <f>HYPERLINK("Mapping_TimeCard.xls#TimeCard","[HR-XML/SETU]")</f>
        <v>[HR-XML/SETU]</v>
      </c>
      <c r="H4" s="5" t="s">
        <v>416</v>
      </c>
    </row>
    <row r="5" spans="1:8">
      <c r="A5" s="138"/>
      <c r="B5" s="140" t="s">
        <v>417</v>
      </c>
      <c r="C5" s="145"/>
      <c r="D5" s="142" t="str">
        <f>HYPERLINK("Mapping_TimeCard.xls#TimeCard_Id_IdValue","[HR-XML/SETU]")</f>
        <v>[HR-XML/SETU]</v>
      </c>
      <c r="E5" s="34">
        <v>10000895</v>
      </c>
      <c r="G5" s="5" t="s">
        <v>94</v>
      </c>
      <c r="H5" s="5" t="s">
        <v>418</v>
      </c>
    </row>
    <row r="6" spans="1:8">
      <c r="A6" s="138"/>
      <c r="B6" s="140"/>
      <c r="C6" s="145"/>
      <c r="D6" s="142"/>
    </row>
    <row r="7" spans="1:8">
      <c r="A7" s="138" t="s">
        <v>19</v>
      </c>
      <c r="B7" s="140"/>
      <c r="C7" s="145"/>
      <c r="D7" s="142"/>
    </row>
    <row r="8" spans="1:8" s="65" customFormat="1" ht="12.75" customHeight="1">
      <c r="A8" s="152"/>
      <c r="B8" s="239" t="s">
        <v>117</v>
      </c>
      <c r="C8" s="240" t="s">
        <v>768</v>
      </c>
      <c r="D8" s="155" t="str">
        <f>HYPERLINK("Mapping_TimeCard.xls#TimeCard_AdditionalData_StaffingAdditionalData_ReferenceInformation_StaffingSupplierId_IdValue","[HR-XML/SETU]")</f>
        <v>[HR-XML/SETU]</v>
      </c>
      <c r="E8" s="66">
        <v>32458695</v>
      </c>
      <c r="H8" s="65" t="s">
        <v>419</v>
      </c>
    </row>
    <row r="9" spans="1:8">
      <c r="A9" s="138" t="s">
        <v>26</v>
      </c>
      <c r="B9" s="140"/>
      <c r="C9" s="145"/>
      <c r="D9" s="142"/>
    </row>
    <row r="10" spans="1:8">
      <c r="A10" s="138"/>
      <c r="B10" s="147" t="s">
        <v>28</v>
      </c>
      <c r="C10" s="148" t="s">
        <v>80</v>
      </c>
      <c r="D10" s="142" t="str">
        <f>HYPERLINK("Mapping_TimeCard.xls#TimeCard_AdditionalData_StaffingAdditionalData_ReferenceInformation_StaffingCustomerId_IdValue","[HR-XML/SETU]")</f>
        <v>[HR-XML/SETU]</v>
      </c>
      <c r="E10" s="130" t="s">
        <v>769</v>
      </c>
      <c r="H10" s="5" t="s">
        <v>420</v>
      </c>
    </row>
    <row r="11" spans="1:8">
      <c r="A11" s="138" t="s">
        <v>421</v>
      </c>
      <c r="B11" s="140"/>
      <c r="C11" s="145" t="s">
        <v>422</v>
      </c>
      <c r="D11" s="142" t="str">
        <f>HYPERLINK("Mapping_TimeCard.xls#TimeCard_ReportedResource_Person_PersonName","[HR-XML/SETU]")</f>
        <v>[HR-XML/SETU]</v>
      </c>
      <c r="E11" s="34" t="s">
        <v>770</v>
      </c>
      <c r="H11" s="5" t="s">
        <v>423</v>
      </c>
    </row>
    <row r="12" spans="1:8">
      <c r="A12" s="156"/>
      <c r="B12" s="140"/>
      <c r="C12" s="145"/>
      <c r="D12" s="142"/>
    </row>
    <row r="13" spans="1:8">
      <c r="A13" s="139" t="s">
        <v>424</v>
      </c>
      <c r="B13" s="140"/>
      <c r="C13" s="145" t="s">
        <v>767</v>
      </c>
      <c r="D13" s="142" t="str">
        <f>HYPERLINK("Mapping_TimeCard.xls#TimeCard_ReportedTime_TimeEvent","[HR-XML/SETU]")</f>
        <v>[HR-XML/SETU]</v>
      </c>
      <c r="H13" s="5" t="s">
        <v>425</v>
      </c>
    </row>
    <row r="14" spans="1:8">
      <c r="A14" s="138"/>
      <c r="B14" s="140" t="s">
        <v>426</v>
      </c>
      <c r="C14" s="145" t="s">
        <v>427</v>
      </c>
      <c r="D14" s="142" t="str">
        <f>HYPERLINK("Mapping_TimeCard.xls#TimeCard_ReportedTime_TimeInterval_AdditionalData_StaffingAdditionalData_CustomerReportingRequirements_PurchaseOrderNumber","[HR-XML/SETU]")</f>
        <v>[HR-XML/SETU]</v>
      </c>
      <c r="E14" s="57" t="s">
        <v>771</v>
      </c>
      <c r="G14" s="5" t="s">
        <v>94</v>
      </c>
      <c r="H14" s="5" t="s">
        <v>428</v>
      </c>
    </row>
    <row r="15" spans="1:8" s="39" customFormat="1">
      <c r="A15" s="233"/>
      <c r="B15" s="147" t="s">
        <v>429</v>
      </c>
      <c r="C15" s="148" t="s">
        <v>430</v>
      </c>
      <c r="D15" s="234" t="str">
        <f>HYPERLINK("Mapping_TimeCard.xls#TimeCard_ReportedTime_TimeEvent_type","[HR-XML/SETU]")</f>
        <v>[HR-XML/SETU]</v>
      </c>
      <c r="E15" s="56" t="s">
        <v>772</v>
      </c>
      <c r="G15" s="39" t="s">
        <v>98</v>
      </c>
      <c r="H15" s="5" t="s">
        <v>431</v>
      </c>
    </row>
    <row r="16" spans="1:8">
      <c r="A16" s="138"/>
      <c r="B16" s="140" t="s">
        <v>432</v>
      </c>
      <c r="C16" s="58"/>
      <c r="D16" s="142" t="str">
        <f>HYPERLINK("Mapping_TimeCard.xls#TimeCard_ReportedTime_TimeInterval_RateOrAmount","[HR-XML/SETU]")</f>
        <v>[HR-XML/SETU]</v>
      </c>
      <c r="E16" s="132">
        <v>40589</v>
      </c>
      <c r="G16" s="5" t="s">
        <v>94</v>
      </c>
      <c r="H16" s="5" t="s">
        <v>433</v>
      </c>
    </row>
    <row r="17" spans="1:8">
      <c r="A17" s="138"/>
      <c r="B17" s="140" t="s">
        <v>434</v>
      </c>
      <c r="C17" s="58"/>
      <c r="D17" s="142" t="str">
        <f>HYPERLINK("Mapping_TimeCard.xls#TimeCard_ReportedTime_TimeInterval_StartDateTime","[HR-XML/SETU]")</f>
        <v>[HR-XML/SETU]</v>
      </c>
      <c r="E17" s="132">
        <v>40592</v>
      </c>
      <c r="H17" s="5" t="s">
        <v>435</v>
      </c>
    </row>
    <row r="18" spans="1:8">
      <c r="A18" s="138"/>
      <c r="B18" s="140" t="s">
        <v>436</v>
      </c>
      <c r="C18" s="58"/>
      <c r="D18" s="142" t="str">
        <f>HYPERLINK("Mapping_TimeCard.xls#TimeCard_ReportedTime_TimeInterval_EndDateTime","[HR-XML/SETU]")</f>
        <v>[HR-XML/SETU]</v>
      </c>
      <c r="E18" s="229">
        <v>0.78061342592592586</v>
      </c>
      <c r="H18" s="5" t="s">
        <v>437</v>
      </c>
    </row>
    <row r="19" spans="1:8">
      <c r="A19" s="138"/>
      <c r="B19" s="140" t="s">
        <v>438</v>
      </c>
      <c r="C19" s="58"/>
      <c r="D19" s="142" t="str">
        <f>HYPERLINK("Mapping_TimeCard.xls#TimeCard_ReportedTime_TimeInterval_Duration","[HR-XML/SETU]")</f>
        <v>[HR-XML/SETU]</v>
      </c>
      <c r="E19" s="34">
        <v>7.45</v>
      </c>
      <c r="H19" s="5" t="s">
        <v>439</v>
      </c>
    </row>
    <row r="20" spans="1:8">
      <c r="A20" s="138"/>
      <c r="B20" s="140" t="s">
        <v>440</v>
      </c>
      <c r="C20" s="58"/>
      <c r="D20" s="142" t="str">
        <f>HYPERLINK("Mapping_TimeCard.xls#TimeCard_ReportedTime_TimeEvent_RateOrAmount","[HR-XML/SETU]")</f>
        <v>[HR-XML/SETU]</v>
      </c>
      <c r="E20" s="131">
        <v>35</v>
      </c>
      <c r="H20" s="5" t="s">
        <v>441</v>
      </c>
    </row>
    <row r="21" spans="1:8" ht="12" thickBot="1">
      <c r="A21" s="157"/>
      <c r="B21" s="224" t="s">
        <v>442</v>
      </c>
      <c r="C21" s="235"/>
      <c r="D21" s="160" t="str">
        <f>HYPERLINK("Mapping_TimeCard.xls#TimeCard_ReportedTime_TimeEvent_EventDateTime","[HR-XML/SETU]")</f>
        <v>[HR-XML/SETU]</v>
      </c>
      <c r="E21" s="132">
        <v>40593</v>
      </c>
      <c r="H21" s="5" t="s">
        <v>443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3"/>
  <sheetViews>
    <sheetView zoomScaleNormal="100" workbookViewId="0">
      <selection activeCell="E14" sqref="E14"/>
    </sheetView>
  </sheetViews>
  <sheetFormatPr defaultColWidth="9.28515625" defaultRowHeight="10.5" customHeight="1"/>
  <cols>
    <col min="1" max="1" width="1.28515625" style="5" customWidth="1"/>
    <col min="2" max="2" width="26.42578125" style="5" customWidth="1"/>
    <col min="3" max="3" width="37.5703125" style="34" customWidth="1"/>
    <col min="4" max="4" width="6" style="34" customWidth="1"/>
    <col min="5" max="5" width="8.5703125" style="34" bestFit="1" customWidth="1"/>
    <col min="6" max="6" width="9.28515625" style="34"/>
    <col min="7" max="8" width="9.28515625" style="5"/>
    <col min="9" max="9" width="82.28515625" style="5" customWidth="1"/>
    <col min="10" max="16384" width="9.28515625" style="5"/>
  </cols>
  <sheetData>
    <row r="1" spans="1:10" ht="10.5" customHeight="1">
      <c r="A1" s="236" t="s">
        <v>673</v>
      </c>
      <c r="B1" s="230"/>
      <c r="C1" s="237"/>
      <c r="D1" s="237"/>
      <c r="E1" s="232" t="s">
        <v>0</v>
      </c>
      <c r="G1" s="5" t="s">
        <v>89</v>
      </c>
      <c r="I1" s="5" t="s">
        <v>1</v>
      </c>
    </row>
    <row r="2" spans="1:10" ht="10.5" customHeight="1">
      <c r="A2" s="138"/>
      <c r="B2" s="145" t="s">
        <v>672</v>
      </c>
      <c r="C2" s="141"/>
      <c r="D2" s="141"/>
      <c r="E2" s="142"/>
      <c r="I2" s="38"/>
      <c r="J2" s="5" t="s">
        <v>444</v>
      </c>
    </row>
    <row r="3" spans="1:10" ht="10.5" customHeight="1">
      <c r="A3" s="139" t="s">
        <v>2</v>
      </c>
      <c r="B3" s="140"/>
      <c r="C3" s="141"/>
      <c r="D3" s="141"/>
      <c r="E3" s="142"/>
    </row>
    <row r="4" spans="1:10" ht="10.5" customHeight="1">
      <c r="A4" s="138" t="s">
        <v>3</v>
      </c>
      <c r="B4" s="140"/>
      <c r="C4" s="141"/>
      <c r="D4" s="141"/>
      <c r="E4" s="142" t="str">
        <f>HYPERLINK("DespatchAdvice.xls#doc_DespatchAdvice","[UBL_NL]")</f>
        <v>[UBL_NL]</v>
      </c>
      <c r="I4" s="5" t="s">
        <v>445</v>
      </c>
    </row>
    <row r="5" spans="1:10" ht="10.5" customHeight="1">
      <c r="A5" s="138"/>
      <c r="B5" s="140" t="s">
        <v>446</v>
      </c>
      <c r="C5" s="141"/>
      <c r="D5" s="141"/>
      <c r="E5" s="142" t="str">
        <f>HYPERLINK("DespatchAdvice.xls#doc_DespatchAdvice_cbc_IssueDate","[UBL_NL]")</f>
        <v>[UBL_NL]</v>
      </c>
      <c r="G5" s="5" t="s">
        <v>94</v>
      </c>
      <c r="H5" s="5" t="s">
        <v>447</v>
      </c>
      <c r="I5" s="5" t="s">
        <v>448</v>
      </c>
    </row>
    <row r="6" spans="1:10" ht="10.5" customHeight="1">
      <c r="A6" s="138"/>
      <c r="B6" s="140" t="s">
        <v>449</v>
      </c>
      <c r="C6" s="141"/>
      <c r="D6" s="141"/>
      <c r="E6" s="142" t="str">
        <f>HYPERLINK("DespatchAdvice.xls#doc_DespatchAdvice_cbc_ID","[UBL_NL]")</f>
        <v>[UBL_NL]</v>
      </c>
      <c r="G6" s="5" t="s">
        <v>94</v>
      </c>
      <c r="H6" s="5" t="s">
        <v>447</v>
      </c>
      <c r="I6" s="5" t="s">
        <v>450</v>
      </c>
    </row>
    <row r="7" spans="1:10" ht="10.5" customHeight="1">
      <c r="A7" s="138"/>
      <c r="B7" s="140" t="s">
        <v>55</v>
      </c>
      <c r="C7" s="145" t="s">
        <v>451</v>
      </c>
      <c r="D7" s="141"/>
      <c r="E7" s="142" t="str">
        <f>HYPERLINK("DespatchAdvice.xls#doc_DespatchAdvice_cac_Shipment_cac_Delivery_cac_RequestedDeliveryPeriod","[UBL_NL]")</f>
        <v>[UBL_NL]</v>
      </c>
      <c r="G7" s="5" t="s">
        <v>94</v>
      </c>
      <c r="H7" s="5" t="s">
        <v>447</v>
      </c>
      <c r="I7" s="5" t="s">
        <v>452</v>
      </c>
    </row>
    <row r="8" spans="1:10" ht="10.5" customHeight="1">
      <c r="A8" s="138"/>
      <c r="B8" s="146" t="s">
        <v>453</v>
      </c>
      <c r="C8" s="206"/>
      <c r="D8" s="141"/>
      <c r="E8" s="142" t="str">
        <f>HYPERLINK("DespatchAdvice.xls#doc_DespatchAdvice_cac_Shipment_cbc_DeliveryInstructions","[UBL_NL]")</f>
        <v>[UBL_NL]</v>
      </c>
      <c r="G8" s="5" t="s">
        <v>98</v>
      </c>
      <c r="H8" s="5" t="s">
        <v>447</v>
      </c>
      <c r="I8" s="5" t="s">
        <v>454</v>
      </c>
    </row>
    <row r="9" spans="1:10" ht="10.5" customHeight="1">
      <c r="A9" s="138"/>
      <c r="B9" s="98" t="s">
        <v>455</v>
      </c>
      <c r="C9" s="99" t="s">
        <v>778</v>
      </c>
      <c r="D9" s="141"/>
      <c r="E9" s="142" t="str">
        <f>HYPERLINK("DespatchAdvice.xls#doc_DespatchAdvice_cac_Shipment_cbc_ID","[UBL_NL]")</f>
        <v>[UBL_NL]</v>
      </c>
      <c r="I9" s="5" t="s">
        <v>456</v>
      </c>
    </row>
    <row r="10" spans="1:10" ht="10.5" customHeight="1">
      <c r="A10" s="138"/>
      <c r="B10" s="98" t="s">
        <v>457</v>
      </c>
      <c r="C10" s="99" t="s">
        <v>779</v>
      </c>
      <c r="D10" s="141"/>
      <c r="E10" s="142" t="str">
        <f>HYPERLINK("DespatchAdvice.xls#doc_DespatchAdvice_cac_Shipment_cac_Consignment_cbc_ID","[UBL_NL]")</f>
        <v>[UBL_NL]</v>
      </c>
      <c r="I10" s="5" t="s">
        <v>458</v>
      </c>
    </row>
    <row r="11" spans="1:10" ht="10.5" customHeight="1">
      <c r="A11" s="138" t="s">
        <v>19</v>
      </c>
      <c r="B11" s="140"/>
      <c r="C11" s="145"/>
      <c r="D11" s="141"/>
      <c r="E11" s="142"/>
    </row>
    <row r="12" spans="1:10" ht="10.5" customHeight="1">
      <c r="A12" s="138"/>
      <c r="B12" s="147" t="s">
        <v>21</v>
      </c>
      <c r="C12" s="145"/>
      <c r="D12" s="141"/>
      <c r="E12" s="142" t="str">
        <f>HYPERLINK("DespatchAdvice.xls#doc_DespatchAdvice_cac_SellerSupplierParty_cac_Party_cac_PartyName_cbc_Name","[UBL_NL]")</f>
        <v>[UBL_NL]</v>
      </c>
      <c r="G12" s="5" t="s">
        <v>94</v>
      </c>
      <c r="H12" s="5" t="s">
        <v>447</v>
      </c>
      <c r="I12" s="5" t="s">
        <v>459</v>
      </c>
    </row>
    <row r="13" spans="1:10" ht="10.5" customHeight="1">
      <c r="A13" s="138"/>
      <c r="B13" s="147" t="s">
        <v>210</v>
      </c>
      <c r="C13" s="145"/>
      <c r="D13" s="141"/>
      <c r="E13" s="142" t="str">
        <f>HYPERLINK("DespatchAdvice.xls#doc_DespatchAdvice_cac_Shipment_cac_Delivery_cac_Despatch_cac_DespatchAddress","[UBL_NL]")</f>
        <v>[UBL_NL]</v>
      </c>
      <c r="G13" s="5" t="s">
        <v>94</v>
      </c>
      <c r="H13" s="5" t="s">
        <v>447</v>
      </c>
      <c r="I13" s="5" t="s">
        <v>460</v>
      </c>
    </row>
    <row r="14" spans="1:10" ht="10.5" customHeight="1">
      <c r="A14" s="138"/>
      <c r="B14" s="143" t="s">
        <v>23</v>
      </c>
      <c r="C14" s="151" t="s">
        <v>24</v>
      </c>
      <c r="D14" s="141"/>
      <c r="E14" s="142" t="str">
        <f>HYPERLINK("DespatchAdvice.xls#doc_DespatchAdvice_cac_SellerSupplierParty_cac_Party_cac_PartyIdentification_cbc_ID","[UBL_NL]")</f>
        <v>[UBL_NL]</v>
      </c>
      <c r="G14" s="5" t="s">
        <v>94</v>
      </c>
      <c r="H14" s="5" t="s">
        <v>447</v>
      </c>
      <c r="I14" s="5" t="s">
        <v>461</v>
      </c>
    </row>
    <row r="15" spans="1:10" ht="10.5" customHeight="1">
      <c r="A15" s="138"/>
      <c r="B15" s="147" t="s">
        <v>121</v>
      </c>
      <c r="C15" s="145"/>
      <c r="D15" s="141"/>
      <c r="E15" s="142" t="str">
        <f>HYPERLINK("DespatchAdvice.xls#doc_DespatchAdvice_cac_SellerSupplierParty_cac_Party_cac_Contact_cbc_Name","[UBL_NL]")</f>
        <v>[UBL_NL]</v>
      </c>
      <c r="G15" s="5" t="s">
        <v>94</v>
      </c>
      <c r="H15" s="5" t="s">
        <v>447</v>
      </c>
      <c r="I15" s="5" t="s">
        <v>462</v>
      </c>
    </row>
    <row r="16" spans="1:10" ht="10.5" customHeight="1">
      <c r="A16" s="138" t="s">
        <v>26</v>
      </c>
      <c r="B16" s="140"/>
      <c r="C16" s="145"/>
      <c r="D16" s="141"/>
      <c r="E16" s="142"/>
    </row>
    <row r="17" spans="1:9" ht="10.5" customHeight="1">
      <c r="A17" s="138"/>
      <c r="B17" s="147" t="s">
        <v>29</v>
      </c>
      <c r="C17" s="145"/>
      <c r="D17" s="141"/>
      <c r="E17" s="142" t="str">
        <f>HYPERLINK("DespatchAdvice.xls#doc_DespatchAdvice_cac_DeliveryCustomerParty_cac_Party_cac_PartyName_cbc_Name","[UBL_NL]")</f>
        <v>[UBL_NL]</v>
      </c>
      <c r="G17" s="5" t="s">
        <v>94</v>
      </c>
      <c r="H17" s="5" t="s">
        <v>447</v>
      </c>
      <c r="I17" s="5" t="s">
        <v>463</v>
      </c>
    </row>
    <row r="18" spans="1:9" ht="10.5" customHeight="1">
      <c r="A18" s="138"/>
      <c r="B18" s="140" t="s">
        <v>127</v>
      </c>
      <c r="C18" s="145"/>
      <c r="D18" s="141"/>
      <c r="E18" s="142" t="str">
        <f>HYPERLINK("DespatchAdvice.xls#doc_DespatchAdvice_cac_Shipment_cac_Delivery_cac_DeliveryAddress","[UBL_NL]")</f>
        <v>[UBL_NL]</v>
      </c>
      <c r="G18" s="5" t="s">
        <v>94</v>
      </c>
      <c r="H18" s="5" t="s">
        <v>447</v>
      </c>
      <c r="I18" s="5" t="s">
        <v>464</v>
      </c>
    </row>
    <row r="19" spans="1:9" ht="10.5" customHeight="1">
      <c r="A19" s="138"/>
      <c r="B19" s="147" t="s">
        <v>130</v>
      </c>
      <c r="C19" s="145"/>
      <c r="D19" s="141"/>
      <c r="E19" s="142" t="str">
        <f>HYPERLINK("DespatchAdvice.xls#doc_DespatchAdvice_cac_DeliveryCustomerParty_cac_Party_cac_Contact_cbc_Name","[UBL_NL]")</f>
        <v>[UBL_NL]</v>
      </c>
      <c r="G19" s="5" t="s">
        <v>94</v>
      </c>
      <c r="H19" s="5" t="s">
        <v>447</v>
      </c>
      <c r="I19" s="5" t="s">
        <v>465</v>
      </c>
    </row>
    <row r="20" spans="1:9" ht="10.5" customHeight="1">
      <c r="A20" s="207" t="s">
        <v>340</v>
      </c>
      <c r="B20" s="140"/>
      <c r="C20" s="145"/>
      <c r="D20" s="141"/>
      <c r="E20" s="142" t="str">
        <f>HYPERLINK("DespatchAdvice.xls#doc_DespatchAdvice_cac_DespatchSupplierParty","[UBL_NL]")</f>
        <v>[UBL_NL]</v>
      </c>
      <c r="G20" s="5" t="s">
        <v>98</v>
      </c>
      <c r="H20" s="5" t="s">
        <v>447</v>
      </c>
      <c r="I20" s="5" t="s">
        <v>466</v>
      </c>
    </row>
    <row r="21" spans="1:9" ht="10.5" customHeight="1">
      <c r="A21" s="207"/>
      <c r="B21" s="147" t="s">
        <v>21</v>
      </c>
      <c r="C21" s="238"/>
      <c r="D21" s="141"/>
      <c r="E21" s="142" t="str">
        <f>HYPERLINK("DespatchAdvice.xls#doc_DespatchAdvice_cac_DespatchSupplierParty_cac_Party_cac_PartyName_cbc_Name","[UBL_NL]")</f>
        <v>[UBL_NL]</v>
      </c>
      <c r="G21" s="5" t="s">
        <v>94</v>
      </c>
      <c r="H21" s="5" t="s">
        <v>447</v>
      </c>
      <c r="I21" s="5" t="s">
        <v>467</v>
      </c>
    </row>
    <row r="22" spans="1:9" ht="10.5" customHeight="1">
      <c r="A22" s="207"/>
      <c r="B22" s="147" t="s">
        <v>121</v>
      </c>
      <c r="C22" s="145" t="s">
        <v>775</v>
      </c>
      <c r="D22" s="141"/>
      <c r="E22" s="142" t="str">
        <f>HYPERLINK("DespatchAdvice.xls#doc_DespatchAdvice_cac_DespatchSupplierParty_cac_Party_cac_Contact_cbc_Name","[UBL_NL]")</f>
        <v>[UBL_NL]</v>
      </c>
      <c r="G22" s="5" t="s">
        <v>94</v>
      </c>
      <c r="H22" s="5" t="s">
        <v>447</v>
      </c>
      <c r="I22" s="5" t="s">
        <v>468</v>
      </c>
    </row>
    <row r="23" spans="1:9" ht="10.5" customHeight="1">
      <c r="A23" s="207"/>
      <c r="B23" s="147" t="s">
        <v>121</v>
      </c>
      <c r="C23" s="145" t="s">
        <v>776</v>
      </c>
      <c r="D23" s="141"/>
      <c r="E23" s="142" t="str">
        <f>HYPERLINK("DespatchAdvice.xls#doc_DespatchAdvice_cac_DespatchSupplierParty_cac_Party_cac_Contact_cbc_Telephone","[UBL_NL]")</f>
        <v>[UBL_NL]</v>
      </c>
      <c r="G23" s="5" t="s">
        <v>94</v>
      </c>
      <c r="H23" s="5" t="s">
        <v>447</v>
      </c>
      <c r="I23" s="5" t="s">
        <v>469</v>
      </c>
    </row>
    <row r="24" spans="1:9" ht="10.5" customHeight="1">
      <c r="A24" s="207"/>
      <c r="B24" s="147" t="s">
        <v>121</v>
      </c>
      <c r="C24" s="145" t="s">
        <v>777</v>
      </c>
      <c r="D24" s="141"/>
      <c r="E24" s="142" t="str">
        <f>HYPERLINK("DespatchAdvice.xls#doc_DespatchAdvice_cac_DespatchSupplierParty_cac_Party_cac_Contact_cbc_ElectronicMail","[UBL_NL]")</f>
        <v>[UBL_NL]</v>
      </c>
      <c r="G24" s="5" t="s">
        <v>94</v>
      </c>
      <c r="H24" s="5" t="s">
        <v>447</v>
      </c>
      <c r="I24" s="5" t="s">
        <v>470</v>
      </c>
    </row>
    <row r="25" spans="1:9" ht="10.5" customHeight="1">
      <c r="A25" s="138"/>
      <c r="B25" s="140"/>
      <c r="C25" s="145"/>
      <c r="D25" s="141"/>
      <c r="E25" s="142"/>
      <c r="I25" s="38"/>
    </row>
    <row r="26" spans="1:9" ht="10.5" customHeight="1">
      <c r="A26" s="139" t="s">
        <v>471</v>
      </c>
      <c r="B26" s="140"/>
      <c r="C26" s="145"/>
      <c r="D26" s="141"/>
      <c r="E26" s="142"/>
    </row>
    <row r="27" spans="1:9" ht="10.5" customHeight="1">
      <c r="A27" s="139"/>
      <c r="B27" s="59" t="s">
        <v>48</v>
      </c>
      <c r="C27" s="145"/>
      <c r="D27" s="141"/>
      <c r="E27" s="142" t="str">
        <f>HYPERLINK("DespatchAdvice.xls#doc_DespatchAdvice_cac_DespatchLine_cbc_ID","[UBL_NL]")</f>
        <v>[UBL_NL]</v>
      </c>
      <c r="I27" s="5" t="s">
        <v>472</v>
      </c>
    </row>
    <row r="28" spans="1:9" ht="10.5" customHeight="1">
      <c r="A28" s="138" t="s">
        <v>50</v>
      </c>
      <c r="B28" s="140"/>
      <c r="C28" s="145"/>
      <c r="D28" s="141"/>
      <c r="E28" s="142"/>
    </row>
    <row r="29" spans="1:9" ht="10.5" customHeight="1">
      <c r="A29" s="138"/>
      <c r="B29" s="140" t="s">
        <v>146</v>
      </c>
      <c r="C29" s="145"/>
      <c r="D29" s="141"/>
      <c r="E29" s="142" t="str">
        <f>HYPERLINK("DespatchAdvice.xls#doc_DespatchAdvice_cac_DespatchLine_cac_Item_cbc_Name","[UBL_NL]")</f>
        <v>[UBL_NL]</v>
      </c>
      <c r="G29" s="5" t="s">
        <v>94</v>
      </c>
      <c r="H29" s="5" t="s">
        <v>447</v>
      </c>
      <c r="I29" s="5" t="s">
        <v>473</v>
      </c>
    </row>
    <row r="30" spans="1:9" ht="10.5" customHeight="1">
      <c r="A30" s="138"/>
      <c r="B30" s="205" t="s">
        <v>51</v>
      </c>
      <c r="C30" s="145"/>
      <c r="D30" s="141"/>
      <c r="E30" s="142" t="str">
        <f>HYPERLINK("DespatchAdvice.xls#doc_DespatchAdvice_cac_DespatchLine_cac_Item_cbc_Description","[UBL_NL]")</f>
        <v>[UBL_NL]</v>
      </c>
      <c r="G30" s="5" t="s">
        <v>98</v>
      </c>
      <c r="H30" s="5" t="s">
        <v>447</v>
      </c>
      <c r="I30" s="5" t="s">
        <v>474</v>
      </c>
    </row>
    <row r="31" spans="1:9" ht="10.5" customHeight="1">
      <c r="A31" s="138"/>
      <c r="B31" s="140" t="s">
        <v>53</v>
      </c>
      <c r="C31" s="145" t="s">
        <v>154</v>
      </c>
      <c r="D31" s="141"/>
      <c r="E31" s="142" t="str">
        <f>HYPERLINK("DespatchAdvice.xls#doc_DespatchAdvice_cac_DespatchLine_cbc_DeliveredQuantity","[UBL_NL]")</f>
        <v>[UBL_NL]</v>
      </c>
      <c r="G31" s="5" t="s">
        <v>94</v>
      </c>
      <c r="H31" s="5" t="s">
        <v>447</v>
      </c>
      <c r="I31" s="5" t="s">
        <v>475</v>
      </c>
    </row>
    <row r="32" spans="1:9" ht="10.5" customHeight="1">
      <c r="A32" s="138"/>
      <c r="B32" s="140" t="s">
        <v>410</v>
      </c>
      <c r="C32" s="145" t="s">
        <v>773</v>
      </c>
      <c r="D32" s="141"/>
      <c r="E32" s="142" t="str">
        <f>HYPERLINK("DespatchAdvice.xls#doc_DespatchAdvice_cac_DespatchLine_cac_OrderLineReference_cac_OrderReference_cbc_ID","[UBL_NL]")</f>
        <v>[UBL_NL]</v>
      </c>
      <c r="G32" s="5" t="s">
        <v>94</v>
      </c>
      <c r="H32" s="5" t="s">
        <v>447</v>
      </c>
      <c r="I32" s="5" t="s">
        <v>476</v>
      </c>
    </row>
    <row r="33" spans="1:9" ht="10.5" customHeight="1" thickBot="1">
      <c r="A33" s="157"/>
      <c r="B33" s="224"/>
      <c r="C33" s="223" t="s">
        <v>774</v>
      </c>
      <c r="D33" s="159"/>
      <c r="E33" s="160" t="str">
        <f>HYPERLINK("DespatchAdvice.xls#doc_DespatchAdvice_cac_DespatchLine_cac_OrderLineReference_cbc_LineID","[UBL_NL]")</f>
        <v>[UBL_NL]</v>
      </c>
      <c r="H33" s="5" t="s">
        <v>447</v>
      </c>
      <c r="I33" s="5" t="s">
        <v>477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verplichting</vt:lpstr>
      <vt:lpstr>verplichtingantwoord</vt:lpstr>
      <vt:lpstr>offerteaanvraag</vt:lpstr>
      <vt:lpstr>offerte</vt:lpstr>
      <vt:lpstr>offerteafwijzing</vt:lpstr>
      <vt:lpstr>bestelling</vt:lpstr>
      <vt:lpstr>bestellingbevestiging</vt:lpstr>
      <vt:lpstr>timecard</vt:lpstr>
      <vt:lpstr>ASN</vt:lpstr>
      <vt:lpstr>factuur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Roland Hommes</cp:lastModifiedBy>
  <cp:lastPrinted>2011-04-16T11:47:15Z</cp:lastPrinted>
  <dcterms:created xsi:type="dcterms:W3CDTF">2011-04-16T10:49:47Z</dcterms:created>
  <dcterms:modified xsi:type="dcterms:W3CDTF">2011-04-29T10:05:47Z</dcterms:modified>
</cp:coreProperties>
</file>