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fochi/Desktop/"/>
    </mc:Choice>
  </mc:AlternateContent>
  <xr:revisionPtr revIDLastSave="0" documentId="8_{FA1046D7-7847-E145-AC94-1F0BDA94C38B}" xr6:coauthVersionLast="47" xr6:coauthVersionMax="47" xr10:uidLastSave="{00000000-0000-0000-0000-000000000000}"/>
  <bookViews>
    <workbookView xWindow="0" yWindow="860" windowWidth="36000" windowHeight="22520" activeTab="4" xr2:uid="{00000000-000D-0000-FFFF-FFFF00000000}"/>
  </bookViews>
  <sheets>
    <sheet name="initial screening" sheetId="8" r:id="rId1"/>
    <sheet name="suggestions" sheetId="3" r:id="rId2"/>
    <sheet name="DCF MODELS" sheetId="6" r:id="rId3"/>
    <sheet name="FINAL ALPHAS" sheetId="7" r:id="rId4"/>
    <sheet name="PORTFOLIO POSITIONS" sheetId="9" r:id="rId5"/>
  </sheets>
  <definedNames>
    <definedName name="solver_adj" localSheetId="2" hidden="1">'DCF MODELS'!$X$22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'DCF MODELS'!$U$34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374371.76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4" i="6" l="1"/>
  <c r="Q278" i="6"/>
  <c r="Q262" i="6"/>
  <c r="Q246" i="6"/>
  <c r="Q230" i="6"/>
  <c r="Q214" i="6"/>
  <c r="Q198" i="6"/>
  <c r="Q182" i="6"/>
  <c r="Q166" i="6"/>
  <c r="Q149" i="6"/>
  <c r="Q133" i="6"/>
  <c r="Q117" i="6"/>
  <c r="G2" i="6"/>
  <c r="Q100" i="6"/>
  <c r="Q81" i="6"/>
  <c r="Q62" i="6"/>
  <c r="Q44" i="6"/>
  <c r="Q23" i="6"/>
  <c r="Q3" i="6"/>
  <c r="Z245" i="6"/>
  <c r="Z229" i="6"/>
  <c r="Z213" i="6"/>
  <c r="Z197" i="6"/>
  <c r="Z181" i="6"/>
  <c r="Z165" i="6"/>
  <c r="Z148" i="6"/>
  <c r="Z132" i="6"/>
  <c r="Z116" i="6"/>
  <c r="Z99" i="6"/>
  <c r="Z61" i="6"/>
  <c r="Z2" i="6"/>
  <c r="Z80" i="6"/>
  <c r="Z43" i="6"/>
  <c r="Z22" i="6"/>
  <c r="T34" i="6"/>
  <c r="T160" i="6"/>
  <c r="T225" i="6"/>
  <c r="T144" i="6"/>
  <c r="T177" i="6"/>
  <c r="T193" i="6"/>
  <c r="T209" i="6"/>
  <c r="T241" i="6"/>
  <c r="T257" i="6"/>
  <c r="T128" i="6"/>
  <c r="T111" i="6"/>
  <c r="V116" i="6"/>
  <c r="V133" i="6"/>
  <c r="V134" i="6"/>
  <c r="V135" i="6"/>
  <c r="V136" i="6"/>
  <c r="V137" i="6"/>
  <c r="V138" i="6"/>
  <c r="V139" i="6"/>
  <c r="V140" i="6"/>
  <c r="V141" i="6"/>
  <c r="V142" i="6"/>
  <c r="V132" i="6"/>
  <c r="V149" i="6"/>
  <c r="V150" i="6"/>
  <c r="V151" i="6"/>
  <c r="V152" i="6"/>
  <c r="V153" i="6"/>
  <c r="V154" i="6"/>
  <c r="V155" i="6"/>
  <c r="V156" i="6"/>
  <c r="V157" i="6"/>
  <c r="V158" i="6"/>
  <c r="V148" i="6"/>
  <c r="V166" i="6"/>
  <c r="V167" i="6"/>
  <c r="V168" i="6"/>
  <c r="V169" i="6"/>
  <c r="V170" i="6"/>
  <c r="V171" i="6"/>
  <c r="V172" i="6"/>
  <c r="V173" i="6"/>
  <c r="V174" i="6"/>
  <c r="V175" i="6"/>
  <c r="V165" i="6"/>
  <c r="V182" i="6"/>
  <c r="V183" i="6"/>
  <c r="V184" i="6"/>
  <c r="V185" i="6"/>
  <c r="V186" i="6"/>
  <c r="V187" i="6"/>
  <c r="V188" i="6"/>
  <c r="V189" i="6"/>
  <c r="V190" i="6"/>
  <c r="V191" i="6"/>
  <c r="V181" i="6"/>
  <c r="V198" i="6"/>
  <c r="V199" i="6"/>
  <c r="V200" i="6"/>
  <c r="V201" i="6"/>
  <c r="V202" i="6"/>
  <c r="V203" i="6"/>
  <c r="V204" i="6"/>
  <c r="V205" i="6"/>
  <c r="V206" i="6"/>
  <c r="V207" i="6"/>
  <c r="V197" i="6"/>
  <c r="V214" i="6"/>
  <c r="V215" i="6"/>
  <c r="V216" i="6"/>
  <c r="V217" i="6"/>
  <c r="V218" i="6"/>
  <c r="V219" i="6"/>
  <c r="V220" i="6"/>
  <c r="V221" i="6"/>
  <c r="V222" i="6"/>
  <c r="V223" i="6"/>
  <c r="V213" i="6"/>
  <c r="V230" i="6"/>
  <c r="V231" i="6"/>
  <c r="V232" i="6"/>
  <c r="V233" i="6"/>
  <c r="V234" i="6"/>
  <c r="V235" i="6"/>
  <c r="V236" i="6"/>
  <c r="V237" i="6"/>
  <c r="V238" i="6"/>
  <c r="V239" i="6"/>
  <c r="V229" i="6"/>
  <c r="V246" i="6"/>
  <c r="V247" i="6"/>
  <c r="V248" i="6"/>
  <c r="V249" i="6"/>
  <c r="V250" i="6"/>
  <c r="V251" i="6"/>
  <c r="V252" i="6"/>
  <c r="V253" i="6"/>
  <c r="V254" i="6"/>
  <c r="V255" i="6"/>
  <c r="V245" i="6"/>
  <c r="L294" i="6"/>
  <c r="L295" i="6"/>
  <c r="L296" i="6"/>
  <c r="L297" i="6"/>
  <c r="L298" i="6"/>
  <c r="L299" i="6"/>
  <c r="L300" i="6"/>
  <c r="L301" i="6"/>
  <c r="L302" i="6"/>
  <c r="L303" i="6"/>
  <c r="L293" i="6"/>
  <c r="L278" i="6"/>
  <c r="L279" i="6"/>
  <c r="L280" i="6"/>
  <c r="L281" i="6"/>
  <c r="L282" i="6"/>
  <c r="L283" i="6"/>
  <c r="L284" i="6"/>
  <c r="L285" i="6"/>
  <c r="L286" i="6"/>
  <c r="L287" i="6"/>
  <c r="L277" i="6"/>
  <c r="L262" i="6"/>
  <c r="L263" i="6"/>
  <c r="L264" i="6"/>
  <c r="L265" i="6"/>
  <c r="L266" i="6"/>
  <c r="L267" i="6"/>
  <c r="L268" i="6"/>
  <c r="L269" i="6"/>
  <c r="L270" i="6"/>
  <c r="L271" i="6"/>
  <c r="L261" i="6"/>
  <c r="L246" i="6"/>
  <c r="L247" i="6"/>
  <c r="L248" i="6"/>
  <c r="L249" i="6"/>
  <c r="L250" i="6"/>
  <c r="L251" i="6"/>
  <c r="L252" i="6"/>
  <c r="L253" i="6"/>
  <c r="L254" i="6"/>
  <c r="L255" i="6"/>
  <c r="L245" i="6"/>
  <c r="L230" i="6"/>
  <c r="L231" i="6"/>
  <c r="L232" i="6"/>
  <c r="L233" i="6"/>
  <c r="L234" i="6"/>
  <c r="L235" i="6"/>
  <c r="L236" i="6"/>
  <c r="L237" i="6"/>
  <c r="L238" i="6"/>
  <c r="L239" i="6"/>
  <c r="L229" i="6"/>
  <c r="L214" i="6"/>
  <c r="L215" i="6"/>
  <c r="L216" i="6"/>
  <c r="L217" i="6"/>
  <c r="L218" i="6"/>
  <c r="L219" i="6"/>
  <c r="L220" i="6"/>
  <c r="L221" i="6"/>
  <c r="L222" i="6"/>
  <c r="L223" i="6"/>
  <c r="L213" i="6"/>
  <c r="L198" i="6"/>
  <c r="L199" i="6"/>
  <c r="L200" i="6"/>
  <c r="L201" i="6"/>
  <c r="L202" i="6"/>
  <c r="L203" i="6"/>
  <c r="L204" i="6"/>
  <c r="L205" i="6"/>
  <c r="L206" i="6"/>
  <c r="L207" i="6"/>
  <c r="L197" i="6"/>
  <c r="L182" i="6"/>
  <c r="L183" i="6"/>
  <c r="L184" i="6"/>
  <c r="L185" i="6"/>
  <c r="L186" i="6"/>
  <c r="L187" i="6"/>
  <c r="L188" i="6"/>
  <c r="L189" i="6"/>
  <c r="L190" i="6"/>
  <c r="L191" i="6"/>
  <c r="L181" i="6"/>
  <c r="L166" i="6"/>
  <c r="L167" i="6"/>
  <c r="L168" i="6"/>
  <c r="L169" i="6"/>
  <c r="L170" i="6"/>
  <c r="L171" i="6"/>
  <c r="L172" i="6"/>
  <c r="L173" i="6"/>
  <c r="L174" i="6"/>
  <c r="L175" i="6"/>
  <c r="L165" i="6"/>
  <c r="L149" i="6"/>
  <c r="L150" i="6"/>
  <c r="L151" i="6"/>
  <c r="L152" i="6"/>
  <c r="L153" i="6"/>
  <c r="L154" i="6"/>
  <c r="L155" i="6"/>
  <c r="L156" i="6"/>
  <c r="L157" i="6"/>
  <c r="L158" i="6"/>
  <c r="L148" i="6"/>
  <c r="L133" i="6"/>
  <c r="L134" i="6"/>
  <c r="L135" i="6"/>
  <c r="L136" i="6"/>
  <c r="L137" i="6"/>
  <c r="L138" i="6"/>
  <c r="L139" i="6"/>
  <c r="L140" i="6"/>
  <c r="L141" i="6"/>
  <c r="L142" i="6"/>
  <c r="L132" i="6"/>
  <c r="L117" i="6"/>
  <c r="L118" i="6"/>
  <c r="L119" i="6"/>
  <c r="L120" i="6"/>
  <c r="L121" i="6"/>
  <c r="L122" i="6"/>
  <c r="L123" i="6"/>
  <c r="L124" i="6"/>
  <c r="L125" i="6"/>
  <c r="L126" i="6"/>
  <c r="L116" i="6"/>
  <c r="L100" i="6"/>
  <c r="L101" i="6"/>
  <c r="L102" i="6"/>
  <c r="L103" i="6"/>
  <c r="L104" i="6"/>
  <c r="L105" i="6"/>
  <c r="L106" i="6"/>
  <c r="L107" i="6"/>
  <c r="L108" i="6"/>
  <c r="L109" i="6"/>
  <c r="L99" i="6"/>
  <c r="L81" i="6"/>
  <c r="L82" i="6"/>
  <c r="L83" i="6"/>
  <c r="L84" i="6"/>
  <c r="L85" i="6"/>
  <c r="L86" i="6"/>
  <c r="L87" i="6"/>
  <c r="L88" i="6"/>
  <c r="L89" i="6"/>
  <c r="L90" i="6"/>
  <c r="L80" i="6"/>
  <c r="L62" i="6"/>
  <c r="L63" i="6"/>
  <c r="L64" i="6"/>
  <c r="L65" i="6"/>
  <c r="L66" i="6"/>
  <c r="L67" i="6"/>
  <c r="L68" i="6"/>
  <c r="L69" i="6"/>
  <c r="L70" i="6"/>
  <c r="L71" i="6"/>
  <c r="L61" i="6"/>
  <c r="L44" i="6"/>
  <c r="L45" i="6"/>
  <c r="L46" i="6"/>
  <c r="L47" i="6"/>
  <c r="L48" i="6"/>
  <c r="L49" i="6"/>
  <c r="L50" i="6"/>
  <c r="L51" i="6"/>
  <c r="L52" i="6"/>
  <c r="L53" i="6"/>
  <c r="L43" i="6"/>
  <c r="L32" i="6"/>
  <c r="L23" i="6"/>
  <c r="L24" i="6"/>
  <c r="L25" i="6"/>
  <c r="L26" i="6"/>
  <c r="L27" i="6"/>
  <c r="L28" i="6"/>
  <c r="L29" i="6"/>
  <c r="L30" i="6"/>
  <c r="L31" i="6"/>
  <c r="L22" i="6"/>
  <c r="L3" i="6"/>
  <c r="L4" i="6"/>
  <c r="L5" i="6"/>
  <c r="L6" i="6"/>
  <c r="L7" i="6"/>
  <c r="L8" i="6"/>
  <c r="L9" i="6"/>
  <c r="L10" i="6"/>
  <c r="L11" i="6"/>
  <c r="L12" i="6"/>
  <c r="L2" i="6"/>
  <c r="V118" i="6"/>
  <c r="V117" i="6"/>
  <c r="V119" i="6"/>
  <c r="V120" i="6"/>
  <c r="V121" i="6"/>
  <c r="V122" i="6"/>
  <c r="V123" i="6"/>
  <c r="V124" i="6"/>
  <c r="V125" i="6"/>
  <c r="V126" i="6"/>
  <c r="K305" i="6"/>
  <c r="B246" i="6"/>
  <c r="B247" i="6"/>
  <c r="B248" i="6"/>
  <c r="B249" i="6"/>
  <c r="B250" i="6"/>
  <c r="B251" i="6"/>
  <c r="B252" i="6"/>
  <c r="B253" i="6"/>
  <c r="B254" i="6"/>
  <c r="B255" i="6"/>
  <c r="B245" i="6"/>
  <c r="K289" i="6"/>
  <c r="V102" i="6"/>
  <c r="A257" i="6"/>
  <c r="V100" i="6"/>
  <c r="V101" i="6"/>
  <c r="V103" i="6"/>
  <c r="V104" i="6"/>
  <c r="V105" i="6"/>
  <c r="V106" i="6"/>
  <c r="V107" i="6"/>
  <c r="V108" i="6"/>
  <c r="V109" i="6"/>
  <c r="V99" i="6"/>
  <c r="G230" i="6"/>
  <c r="B230" i="6"/>
  <c r="B231" i="6"/>
  <c r="B232" i="6"/>
  <c r="B233" i="6"/>
  <c r="B234" i="6"/>
  <c r="B235" i="6"/>
  <c r="B236" i="6"/>
  <c r="B237" i="6"/>
  <c r="B238" i="6"/>
  <c r="B239" i="6"/>
  <c r="B229" i="6"/>
  <c r="A241" i="6"/>
  <c r="K273" i="6"/>
  <c r="G214" i="6"/>
  <c r="T92" i="6"/>
  <c r="K257" i="6"/>
  <c r="A225" i="6"/>
  <c r="B214" i="6"/>
  <c r="B215" i="6"/>
  <c r="B216" i="6"/>
  <c r="B217" i="6"/>
  <c r="B218" i="6"/>
  <c r="B219" i="6"/>
  <c r="B220" i="6"/>
  <c r="B221" i="6"/>
  <c r="B222" i="6"/>
  <c r="B223" i="6"/>
  <c r="B213" i="6"/>
  <c r="K241" i="6"/>
  <c r="V82" i="6"/>
  <c r="V81" i="6"/>
  <c r="V83" i="6"/>
  <c r="V84" i="6"/>
  <c r="V85" i="6"/>
  <c r="V86" i="6"/>
  <c r="V87" i="6"/>
  <c r="V88" i="6"/>
  <c r="V89" i="6"/>
  <c r="V90" i="6"/>
  <c r="V80" i="6"/>
  <c r="G198" i="6"/>
  <c r="A209" i="6"/>
  <c r="K225" i="6"/>
  <c r="B198" i="6"/>
  <c r="B199" i="6"/>
  <c r="B200" i="6"/>
  <c r="B201" i="6"/>
  <c r="B202" i="6"/>
  <c r="B203" i="6"/>
  <c r="B204" i="6"/>
  <c r="B205" i="6"/>
  <c r="B206" i="6"/>
  <c r="B207" i="6"/>
  <c r="B197" i="6"/>
  <c r="T73" i="6"/>
  <c r="K209" i="6"/>
  <c r="G182" i="6"/>
  <c r="B182" i="6"/>
  <c r="B183" i="6"/>
  <c r="B184" i="6"/>
  <c r="B185" i="6"/>
  <c r="B186" i="6"/>
  <c r="B187" i="6"/>
  <c r="B188" i="6"/>
  <c r="B189" i="6"/>
  <c r="B190" i="6"/>
  <c r="B191" i="6"/>
  <c r="B181" i="6"/>
  <c r="A193" i="6"/>
  <c r="K193" i="6"/>
  <c r="K177" i="6"/>
  <c r="G166" i="6"/>
  <c r="V71" i="6"/>
  <c r="V62" i="6"/>
  <c r="V63" i="6"/>
  <c r="V64" i="6"/>
  <c r="V65" i="6"/>
  <c r="V66" i="6"/>
  <c r="V67" i="6"/>
  <c r="V68" i="6"/>
  <c r="V69" i="6"/>
  <c r="V70" i="6"/>
  <c r="V61" i="6"/>
  <c r="B166" i="6"/>
  <c r="B167" i="6"/>
  <c r="B168" i="6"/>
  <c r="B169" i="6"/>
  <c r="B170" i="6"/>
  <c r="B171" i="6"/>
  <c r="B172" i="6"/>
  <c r="B173" i="6"/>
  <c r="B174" i="6"/>
  <c r="B175" i="6"/>
  <c r="B165" i="6"/>
  <c r="A177" i="6"/>
  <c r="G149" i="6"/>
  <c r="K160" i="6"/>
  <c r="B149" i="6"/>
  <c r="B150" i="6"/>
  <c r="B151" i="6"/>
  <c r="B152" i="6"/>
  <c r="B153" i="6"/>
  <c r="B154" i="6"/>
  <c r="B155" i="6"/>
  <c r="B156" i="6"/>
  <c r="B157" i="6"/>
  <c r="B158" i="6"/>
  <c r="B148" i="6"/>
  <c r="T55" i="6"/>
  <c r="A160" i="6"/>
  <c r="G133" i="6"/>
  <c r="K144" i="6"/>
  <c r="B133" i="6"/>
  <c r="B134" i="6"/>
  <c r="B135" i="6"/>
  <c r="B136" i="6"/>
  <c r="B137" i="6"/>
  <c r="B138" i="6"/>
  <c r="B139" i="6"/>
  <c r="B140" i="6"/>
  <c r="B141" i="6"/>
  <c r="B142" i="6"/>
  <c r="V53" i="6"/>
  <c r="V44" i="6"/>
  <c r="V45" i="6"/>
  <c r="V46" i="6"/>
  <c r="V47" i="6"/>
  <c r="V48" i="6"/>
  <c r="V49" i="6"/>
  <c r="V50" i="6"/>
  <c r="V51" i="6"/>
  <c r="V52" i="6"/>
  <c r="V43" i="6"/>
  <c r="A144" i="6"/>
  <c r="K128" i="6"/>
  <c r="B132" i="6"/>
  <c r="V32" i="6"/>
  <c r="G117" i="6"/>
  <c r="A128" i="6"/>
  <c r="K111" i="6"/>
  <c r="B117" i="6"/>
  <c r="B118" i="6"/>
  <c r="B119" i="6"/>
  <c r="B120" i="6"/>
  <c r="B121" i="6"/>
  <c r="B122" i="6"/>
  <c r="B123" i="6"/>
  <c r="B124" i="6"/>
  <c r="B125" i="6"/>
  <c r="B126" i="6"/>
  <c r="B116" i="6"/>
  <c r="G100" i="6"/>
  <c r="K92" i="6"/>
  <c r="B100" i="6"/>
  <c r="B101" i="6"/>
  <c r="B102" i="6"/>
  <c r="B103" i="6"/>
  <c r="B104" i="6"/>
  <c r="B105" i="6"/>
  <c r="B106" i="6"/>
  <c r="B107" i="6"/>
  <c r="B108" i="6"/>
  <c r="B109" i="6"/>
  <c r="B99" i="6"/>
  <c r="K73" i="6"/>
  <c r="A111" i="6"/>
  <c r="G81" i="6"/>
  <c r="K55" i="6"/>
  <c r="V23" i="6"/>
  <c r="V24" i="6"/>
  <c r="V25" i="6"/>
  <c r="V26" i="6"/>
  <c r="V27" i="6"/>
  <c r="V28" i="6"/>
  <c r="V29" i="6"/>
  <c r="V30" i="6"/>
  <c r="V31" i="6"/>
  <c r="V22" i="6"/>
  <c r="A93" i="6"/>
  <c r="V12" i="6"/>
  <c r="B81" i="6"/>
  <c r="B82" i="6"/>
  <c r="B83" i="6"/>
  <c r="B84" i="6"/>
  <c r="B85" i="6"/>
  <c r="B86" i="6"/>
  <c r="B87" i="6"/>
  <c r="B88" i="6"/>
  <c r="B89" i="6"/>
  <c r="B90" i="6"/>
  <c r="B80" i="6"/>
  <c r="K34" i="6"/>
  <c r="G62" i="6"/>
  <c r="A74" i="6"/>
  <c r="V5" i="6"/>
  <c r="B62" i="6"/>
  <c r="B63" i="6"/>
  <c r="B64" i="6"/>
  <c r="B65" i="6"/>
  <c r="B66" i="6"/>
  <c r="B67" i="6"/>
  <c r="B68" i="6"/>
  <c r="B69" i="6"/>
  <c r="B70" i="6"/>
  <c r="B71" i="6"/>
  <c r="V4" i="6"/>
  <c r="B61" i="6"/>
  <c r="V3" i="6"/>
  <c r="V6" i="6"/>
  <c r="V7" i="6"/>
  <c r="V8" i="6"/>
  <c r="V9" i="6"/>
  <c r="V10" i="6"/>
  <c r="V11" i="6"/>
  <c r="V2" i="6"/>
  <c r="F45" i="6"/>
  <c r="B45" i="6"/>
  <c r="B46" i="6"/>
  <c r="B47" i="6"/>
  <c r="B48" i="6"/>
  <c r="B49" i="6"/>
  <c r="B50" i="6"/>
  <c r="B51" i="6"/>
  <c r="B52" i="6"/>
  <c r="B53" i="6"/>
  <c r="B54" i="6"/>
  <c r="B44" i="6"/>
  <c r="A56" i="6"/>
  <c r="K14" i="6"/>
  <c r="T14" i="6"/>
  <c r="G23" i="6"/>
  <c r="B23" i="6"/>
  <c r="B24" i="6"/>
  <c r="B25" i="6"/>
  <c r="B26" i="6"/>
  <c r="B27" i="6"/>
  <c r="B28" i="6"/>
  <c r="B29" i="6"/>
  <c r="B30" i="6"/>
  <c r="B31" i="6"/>
  <c r="B32" i="6"/>
  <c r="B22" i="6"/>
  <c r="A34" i="6"/>
  <c r="B2" i="6"/>
  <c r="B3" i="6"/>
  <c r="B4" i="6"/>
  <c r="B5" i="6"/>
  <c r="B6" i="6"/>
  <c r="B7" i="6"/>
  <c r="B8" i="6"/>
  <c r="B9" i="6"/>
  <c r="B10" i="6"/>
  <c r="B11" i="6"/>
  <c r="B12" i="6"/>
  <c r="A14" i="6"/>
  <c r="B14" i="6" l="1"/>
  <c r="L14" i="6"/>
  <c r="L144" i="6"/>
  <c r="U209" i="6"/>
  <c r="B160" i="6"/>
  <c r="U92" i="6"/>
  <c r="U55" i="6"/>
  <c r="U160" i="6"/>
  <c r="U144" i="6"/>
  <c r="U111" i="6"/>
  <c r="U128" i="6"/>
  <c r="U177" i="6"/>
  <c r="U193" i="6"/>
  <c r="U225" i="6"/>
  <c r="U241" i="6"/>
  <c r="U257" i="6"/>
  <c r="L305" i="6"/>
  <c r="L289" i="6"/>
  <c r="L273" i="6"/>
  <c r="L257" i="6"/>
  <c r="L241" i="6"/>
  <c r="L225" i="6"/>
  <c r="L209" i="6"/>
  <c r="L193" i="6"/>
  <c r="L177" i="6"/>
  <c r="L160" i="6"/>
  <c r="L128" i="6"/>
  <c r="L111" i="6"/>
  <c r="L92" i="6"/>
  <c r="L73" i="6"/>
  <c r="L55" i="6"/>
  <c r="L34" i="6"/>
  <c r="B257" i="6"/>
  <c r="B241" i="6"/>
  <c r="B225" i="6"/>
  <c r="B209" i="6"/>
  <c r="U73" i="6"/>
  <c r="B193" i="6"/>
  <c r="B177" i="6"/>
  <c r="B93" i="6"/>
  <c r="B74" i="6"/>
  <c r="B56" i="6"/>
  <c r="B144" i="6"/>
  <c r="U14" i="6"/>
  <c r="U34" i="6"/>
  <c r="B128" i="6"/>
  <c r="B111" i="6"/>
  <c r="B34" i="6"/>
</calcChain>
</file>

<file path=xl/sharedStrings.xml><?xml version="1.0" encoding="utf-8"?>
<sst xmlns="http://schemas.openxmlformats.org/spreadsheetml/2006/main" count="1731" uniqueCount="494">
  <si>
    <t>Ticker</t>
  </si>
  <si>
    <t>Short Name</t>
  </si>
  <si>
    <t>Dvd Gross 5Yr Gr</t>
  </si>
  <si>
    <t>DPS Last Gross</t>
  </si>
  <si>
    <t>T12M Sh Rep Amt</t>
  </si>
  <si>
    <t>Tot # Sh Repurch</t>
  </si>
  <si>
    <t>DPS T12M</t>
  </si>
  <si>
    <t>Dvd Net 5Yr Gr</t>
  </si>
  <si>
    <t>P/E</t>
  </si>
  <si>
    <t>Market Cap</t>
  </si>
  <si>
    <t>Accruals/Assets LF (BLOOMBERG L.P.)</t>
  </si>
  <si>
    <t>FCF Yld</t>
  </si>
  <si>
    <t>ROA LF</t>
  </si>
  <si>
    <t>BEst Est PEG Next 4 Quarters</t>
  </si>
  <si>
    <t>DFL</t>
  </si>
  <si>
    <t>Deg Op Lev</t>
  </si>
  <si>
    <t>Dil EPS 5Y Geom Gr LF</t>
  </si>
  <si>
    <t>P/FCF</t>
  </si>
  <si>
    <t>Earnings Conference Call Date</t>
  </si>
  <si>
    <t>App Beta</t>
  </si>
  <si>
    <t>6981 JP Equity</t>
  </si>
  <si>
    <t>MURATA MFG CO</t>
  </si>
  <si>
    <t>SSNC US Equity</t>
  </si>
  <si>
    <t>SS&amp;C TECHNOLOGIE</t>
  </si>
  <si>
    <t>ALRM US Equity</t>
  </si>
  <si>
    <t>ALARM.COM HOLDIN</t>
  </si>
  <si>
    <t>ICLR US Equity</t>
  </si>
  <si>
    <t>ICON PLC</t>
  </si>
  <si>
    <t>600182 CH Equity</t>
  </si>
  <si>
    <t>GITI TIRE CORP-A</t>
  </si>
  <si>
    <t>CPU AU Equity</t>
  </si>
  <si>
    <t>COMPUTERSHARE LT</t>
  </si>
  <si>
    <t>CHKP US Equity</t>
  </si>
  <si>
    <t>CHECK POINT SOFT</t>
  </si>
  <si>
    <t>BMW IN Equity</t>
  </si>
  <si>
    <t>BMW INDUSTRIES L</t>
  </si>
  <si>
    <t>SAND SS Equity</t>
  </si>
  <si>
    <t>SANDVIK AB</t>
  </si>
  <si>
    <t>1504 TT Equity</t>
  </si>
  <si>
    <t>TECO ELEC &amp; MACH</t>
  </si>
  <si>
    <t>AXFO SS Equity</t>
  </si>
  <si>
    <t>AXFOOD AB</t>
  </si>
  <si>
    <t>300566 CH Equity</t>
  </si>
  <si>
    <t>NINGBO EXCITON-A</t>
  </si>
  <si>
    <t>EKCL IN Equity</t>
  </si>
  <si>
    <t>EVEREST KANTO CY</t>
  </si>
  <si>
    <t>SMIN LN Equity</t>
  </si>
  <si>
    <t>SMITHS GRP PLC</t>
  </si>
  <si>
    <t>AXP US Equity</t>
  </si>
  <si>
    <t>AMERICAN EXPRESS</t>
  </si>
  <si>
    <t>300628 CH Equity</t>
  </si>
  <si>
    <t>YEALINK NETWOR-A</t>
  </si>
  <si>
    <t>JNJ US Equity</t>
  </si>
  <si>
    <t>JOHNSON&amp;JOHNSON</t>
  </si>
  <si>
    <t>6503 JP Equity</t>
  </si>
  <si>
    <t>MITSUB ELEC CORP</t>
  </si>
  <si>
    <t>ENGH CN Equity</t>
  </si>
  <si>
    <t>ENGHOUSE SYS LTD</t>
  </si>
  <si>
    <t>6028 JP Equity</t>
  </si>
  <si>
    <t>TECHNOPRO HOLDIN</t>
  </si>
  <si>
    <t>002311 CH Equity</t>
  </si>
  <si>
    <t>GUANGDONG HAID-A</t>
  </si>
  <si>
    <t>300218 CH Equity</t>
  </si>
  <si>
    <t>ANHUI ANLI MAT-A</t>
  </si>
  <si>
    <t>CCH LN Equity</t>
  </si>
  <si>
    <t>COCA-COLA HBC AG</t>
  </si>
  <si>
    <t>ATEA NO Equity</t>
  </si>
  <si>
    <t>ATEA ASA</t>
  </si>
  <si>
    <t>SUN SW Equity</t>
  </si>
  <si>
    <t>SULZER AG-REG</t>
  </si>
  <si>
    <t>2645 TT Equity</t>
  </si>
  <si>
    <t>EVERGREEN AVIATI</t>
  </si>
  <si>
    <t>STRA US Equity</t>
  </si>
  <si>
    <t>STRATEGIC EDUCAT</t>
  </si>
  <si>
    <t>5904 TT Equity</t>
  </si>
  <si>
    <t>POYA INTL</t>
  </si>
  <si>
    <t>2170 JP Equity</t>
  </si>
  <si>
    <t>LINK AND MOTIVAT</t>
  </si>
  <si>
    <t>ENX FP Equity</t>
  </si>
  <si>
    <t>EURONEXT NV</t>
  </si>
  <si>
    <t>HIK LN Equity</t>
  </si>
  <si>
    <t>HIKMA PHARMACEUT</t>
  </si>
  <si>
    <t>MRK US Equity</t>
  </si>
  <si>
    <t>MERCK &amp; CO</t>
  </si>
  <si>
    <t>CKF AU Equity</t>
  </si>
  <si>
    <t>COLLINS FOODS LT</t>
  </si>
  <si>
    <t>KEMIRA FH Equity</t>
  </si>
  <si>
    <t>KEMIRA OYJ</t>
  </si>
  <si>
    <t>IMI LN Equity</t>
  </si>
  <si>
    <t>IMI PLC</t>
  </si>
  <si>
    <t>000513 CH Equity</t>
  </si>
  <si>
    <t>LIVZON PHARM-A</t>
  </si>
  <si>
    <t>KSCL IN Equity</t>
  </si>
  <si>
    <t>KAVERI SEED</t>
  </si>
  <si>
    <t>SKP MK Equity</t>
  </si>
  <si>
    <t>SKP RESOURCES BH</t>
  </si>
  <si>
    <t>SSG SP Equity</t>
  </si>
  <si>
    <t>SHENG SIONG GROU</t>
  </si>
  <si>
    <t>SEM US Equity</t>
  </si>
  <si>
    <t>SELECT MEDICAL</t>
  </si>
  <si>
    <t>ESSITYA SS Equity</t>
  </si>
  <si>
    <t>ESSITY AKTIEBO-A</t>
  </si>
  <si>
    <t>HEIM MK Equity</t>
  </si>
  <si>
    <t>HEINEKEN MALAYSI</t>
  </si>
  <si>
    <t>4203 JP Equity</t>
  </si>
  <si>
    <t>SUMITOMO BAKELIT</t>
  </si>
  <si>
    <t>MTX US Equity</t>
  </si>
  <si>
    <t>MINERALS TECH</t>
  </si>
  <si>
    <t>JEN GR Equity</t>
  </si>
  <si>
    <t>JENOPTIK AG</t>
  </si>
  <si>
    <t>AC* MM Equity</t>
  </si>
  <si>
    <t>ARCA CONTINENTAL</t>
  </si>
  <si>
    <t>KOFUBL MM Equity</t>
  </si>
  <si>
    <t>COCA-COLA FEMSA</t>
  </si>
  <si>
    <t>1319 TT Equity</t>
  </si>
  <si>
    <t>TONG YANG IND</t>
  </si>
  <si>
    <t>6826 HK Equity</t>
  </si>
  <si>
    <t>SHANGHAI HAOHA-H</t>
  </si>
  <si>
    <t>APOG US Equity</t>
  </si>
  <si>
    <t>APOGEE ENTERPR</t>
  </si>
  <si>
    <t>HPOLB SS Equity</t>
  </si>
  <si>
    <t>HEXPOL AB</t>
  </si>
  <si>
    <t>HUH1V FH Equity</t>
  </si>
  <si>
    <t>HUHTAMAKI OYJ</t>
  </si>
  <si>
    <t>VID SM Equity</t>
  </si>
  <si>
    <t>VIDRALA</t>
  </si>
  <si>
    <t>RWAY IM Equity</t>
  </si>
  <si>
    <t>RAI WAY SPA</t>
  </si>
  <si>
    <t>3130 TT Equity</t>
  </si>
  <si>
    <t>104 CORP</t>
  </si>
  <si>
    <t>002014 CH Equity</t>
  </si>
  <si>
    <t>HUANGSHAN NOVE-A</t>
  </si>
  <si>
    <t>TGT US Equity</t>
  </si>
  <si>
    <t>TARGET CORP</t>
  </si>
  <si>
    <t>603040 CH Equity</t>
  </si>
  <si>
    <t>HANGZHOU XZB T-A</t>
  </si>
  <si>
    <t>NXT LN Equity</t>
  </si>
  <si>
    <t>NEXT PLC</t>
  </si>
  <si>
    <t>CTRA US Equity</t>
  </si>
  <si>
    <t>COTERRA ENERGY I</t>
  </si>
  <si>
    <t>CARLB DC Equity</t>
  </si>
  <si>
    <t>CARLSBERG-B</t>
  </si>
  <si>
    <t>TNC US Equity</t>
  </si>
  <si>
    <t>TENNANT CO</t>
  </si>
  <si>
    <t>VRTS US Equity</t>
  </si>
  <si>
    <t>VIRTUS INVEST</t>
  </si>
  <si>
    <t>ALSN US Equity</t>
  </si>
  <si>
    <t>ALLISON TRANSMIS</t>
  </si>
  <si>
    <t>BBY US Equity</t>
  </si>
  <si>
    <t>BEST BUY CO INC</t>
  </si>
  <si>
    <t>263860 KS Equity</t>
  </si>
  <si>
    <t>GENIANS</t>
  </si>
  <si>
    <t>4536 TT Equity</t>
  </si>
  <si>
    <t>TOPKEY</t>
  </si>
  <si>
    <t>DWS GR Equity</t>
  </si>
  <si>
    <t>DWS GROUP GMBH &amp;</t>
  </si>
  <si>
    <t>OMC US Equity</t>
  </si>
  <si>
    <t>OMNICOM GROUP</t>
  </si>
  <si>
    <t>3705 TT Equity</t>
  </si>
  <si>
    <t>YUNGSHIN GLOBAL</t>
  </si>
  <si>
    <t>6113 JP Equity</t>
  </si>
  <si>
    <t>AMADA CO LTD</t>
  </si>
  <si>
    <t>000786 CH Equity</t>
  </si>
  <si>
    <t>BEIJING NEW BU-A</t>
  </si>
  <si>
    <t>206640 KS Equity</t>
  </si>
  <si>
    <t>BODITECH MED INC</t>
  </si>
  <si>
    <t>4766 TT Equity</t>
  </si>
  <si>
    <t>NAN PAO RESINS C</t>
  </si>
  <si>
    <t>2385 TT Equity</t>
  </si>
  <si>
    <t>CHICONY ELEC</t>
  </si>
  <si>
    <t>KTY PW Equity</t>
  </si>
  <si>
    <t>KETY</t>
  </si>
  <si>
    <t>7367 JP Equity</t>
  </si>
  <si>
    <t>CELM INC</t>
  </si>
  <si>
    <t>5388 TT Equity</t>
  </si>
  <si>
    <t>SERCOMM</t>
  </si>
  <si>
    <t>605166 CH Equity</t>
  </si>
  <si>
    <t>HANGZHOU JUHES-A</t>
  </si>
  <si>
    <t>TLG VN Equity</t>
  </si>
  <si>
    <t>THIEN LONG GROUP</t>
  </si>
  <si>
    <t>INDUSTOW IN Equity</t>
  </si>
  <si>
    <t>INDUS TOWERS LTD</t>
  </si>
  <si>
    <t>TACC TB Equity</t>
  </si>
  <si>
    <t>TAC CONSUMER PCL</t>
  </si>
  <si>
    <t>DSON MK Equity</t>
  </si>
  <si>
    <t>DATASONIC GROUP</t>
  </si>
  <si>
    <t>G US Equity</t>
  </si>
  <si>
    <t>GENPACT LTD</t>
  </si>
  <si>
    <t>CFT SW Equity</t>
  </si>
  <si>
    <t>COMPAGNIE FIN-BR</t>
  </si>
  <si>
    <t>728 HK Equity</t>
  </si>
  <si>
    <t>CHINA TELECOM-H</t>
  </si>
  <si>
    <t>9942 TT Equity</t>
  </si>
  <si>
    <t>NAK SEALING TECH</t>
  </si>
  <si>
    <t>051600 KS Equity</t>
  </si>
  <si>
    <t>KEPCO PLANT SERV</t>
  </si>
  <si>
    <t>ALV US Equity</t>
  </si>
  <si>
    <t>AUTOLIV INC</t>
  </si>
  <si>
    <t>MPLX US Equity</t>
  </si>
  <si>
    <t>MPLX LP</t>
  </si>
  <si>
    <t>LAS/A CN Equity</t>
  </si>
  <si>
    <t>LASSONDE INDS -A</t>
  </si>
  <si>
    <t>9739 JP Equity</t>
  </si>
  <si>
    <t>NSW INC</t>
  </si>
  <si>
    <t>CS FP Equity</t>
  </si>
  <si>
    <t>AXA</t>
  </si>
  <si>
    <t>6754 TT Equity</t>
  </si>
  <si>
    <t>RICH HONOUR INTE</t>
  </si>
  <si>
    <t>5871 TT Equity</t>
  </si>
  <si>
    <t>CHAILEASE</t>
  </si>
  <si>
    <t>RIO LN Equity</t>
  </si>
  <si>
    <t>RIO TINTO PLC</t>
  </si>
  <si>
    <t>MASSY TP Equity</t>
  </si>
  <si>
    <t>MASSY HOLDINGS L</t>
  </si>
  <si>
    <t>041830 KS Equity</t>
  </si>
  <si>
    <t>INBODY CO LTD</t>
  </si>
  <si>
    <t>SQUARE BD Equity</t>
  </si>
  <si>
    <t>SQUARE PHARMACEU</t>
  </si>
  <si>
    <t>ALD AU Equity</t>
  </si>
  <si>
    <t>AMPOL LTD</t>
  </si>
  <si>
    <t>HAL US Equity</t>
  </si>
  <si>
    <t>HALLIBURTON CO</t>
  </si>
  <si>
    <t>600566 CH Equity</t>
  </si>
  <si>
    <t>HUBEI JUMPCAN -A</t>
  </si>
  <si>
    <t>CIE SM Equity</t>
  </si>
  <si>
    <t>CIE AUTOMOTIVE</t>
  </si>
  <si>
    <t>6498 JP Equity</t>
  </si>
  <si>
    <t>KITZ CORP</t>
  </si>
  <si>
    <t>UNIC IJ Equity</t>
  </si>
  <si>
    <t>UNGGUL INDAH</t>
  </si>
  <si>
    <t>IGTI3 BZ Equity</t>
  </si>
  <si>
    <t>IGUATEMI SA</t>
  </si>
  <si>
    <t>NVG PL Equity</t>
  </si>
  <si>
    <t>NAVIGATOR CO SA/</t>
  </si>
  <si>
    <t>LOUP FP Equity</t>
  </si>
  <si>
    <t>LDC</t>
  </si>
  <si>
    <t>ULKER TI Equity</t>
  </si>
  <si>
    <t>ULKER</t>
  </si>
  <si>
    <t>000990 KS Equity</t>
  </si>
  <si>
    <t>DB HITEK CO LTD</t>
  </si>
  <si>
    <t>HSX LN Equity</t>
  </si>
  <si>
    <t>HISCOX LTD</t>
  </si>
  <si>
    <t>#N/A N/A</t>
  </si>
  <si>
    <t>14.11.2024</t>
  </si>
  <si>
    <t>15.11.2024</t>
  </si>
  <si>
    <t>20.11.2024</t>
  </si>
  <si>
    <t>26.11.2024</t>
  </si>
  <si>
    <t>08.11.2024</t>
  </si>
  <si>
    <t>27.02.2025</t>
  </si>
  <si>
    <t>27.11.2024</t>
  </si>
  <si>
    <t>04.02.2025</t>
  </si>
  <si>
    <t>11.02.2025</t>
  </si>
  <si>
    <t>11.11.2024</t>
  </si>
  <si>
    <t>12.11.2024</t>
  </si>
  <si>
    <t>30.01.2025</t>
  </si>
  <si>
    <t>OVERVALUED ?</t>
  </si>
  <si>
    <t>NO - looks nice</t>
  </si>
  <si>
    <t>NO - Looks almost nice</t>
  </si>
  <si>
    <t>no looks nice</t>
  </si>
  <si>
    <t>no looks almost nice</t>
  </si>
  <si>
    <t>no almost nice</t>
  </si>
  <si>
    <t>= Cost of Equity = Risk Free Rate + (Levered Beta * Equity Risk Premium)</t>
  </si>
  <si>
    <t xml:space="preserve">EVEREST KANTO CYLINDER </t>
  </si>
  <si>
    <t>Smiths Group plc (SMIN.L)</t>
  </si>
  <si>
    <t>Yealink Network Technology Co., Ltd. (300628.SZ)</t>
  </si>
  <si>
    <t>Johnson &amp; Johnson (JNJ)</t>
  </si>
  <si>
    <t>Mitsubishi Electric Corporation (6503.T)</t>
  </si>
  <si>
    <t>TechnoPro Holdings, Inc. (6028.T)</t>
  </si>
  <si>
    <t>Guangdong Haid Group Co., Limited (002311.SZ)</t>
  </si>
  <si>
    <t>Anhui Anli Material Technology Co., Ltd. (300218.SZ)</t>
  </si>
  <si>
    <t>Atea ASA (ATEA.OL)</t>
  </si>
  <si>
    <t>Sulzer Ltd (SUN.SW)</t>
  </si>
  <si>
    <t>POYA International Co., Ltd. (5904.TWO)</t>
  </si>
  <si>
    <t>Link and Motivation Inc. (2170.T)</t>
  </si>
  <si>
    <t>Merck &amp; Co., Inc. (MRK)</t>
  </si>
  <si>
    <t>IMI plc (IMI.L)</t>
  </si>
  <si>
    <t>Kaveri Seed Company Limited (KSCL.NS)</t>
  </si>
  <si>
    <t>Sumitomo Bakelite Company Limited (4203.T)</t>
  </si>
  <si>
    <t>Minerals Technologies Inc. (MTX)</t>
  </si>
  <si>
    <t>Target Corporation (TGT)</t>
  </si>
  <si>
    <t>Hangzhou XZB Tech Co., Ltd (603040.SS)</t>
  </si>
  <si>
    <t>NEXT plc (NXT.L)</t>
  </si>
  <si>
    <t>Coterra Energy Inc. (CTRA)</t>
  </si>
  <si>
    <t>Tennant Company (TNC)</t>
  </si>
  <si>
    <t>Allison Transmission Holdings, Inc. (ALSN)</t>
  </si>
  <si>
    <t>Best Buy Co., Inc. (BBY)</t>
  </si>
  <si>
    <t>Topkey Corporation (4536.TW)</t>
  </si>
  <si>
    <t>Omnicom Group Inc. (OMC)</t>
  </si>
  <si>
    <t>YungShin Global Holding Corporation (3705.TW)</t>
  </si>
  <si>
    <t>Amada Co., Ltd. (6113.T)</t>
  </si>
  <si>
    <t>Beijing New Building Materials Public Limited Company (000786.SZ)</t>
  </si>
  <si>
    <t>Nan Pao Resins Chemical Co., Ltd. (4766.TW)</t>
  </si>
  <si>
    <t>Chicony Electronics Co., Ltd. (2385.TW)</t>
  </si>
  <si>
    <t>CELM,Inc. (7367.T)</t>
  </si>
  <si>
    <t>Hangzhou Juheshun New Material Co.,LTD (605166.SS)</t>
  </si>
  <si>
    <t>Indus Towers Limited (INDUSTOWER.NS)</t>
  </si>
  <si>
    <t>Genpact Limited (G)</t>
  </si>
  <si>
    <t>CHINA TELECOM (0728.HK)</t>
  </si>
  <si>
    <t>NAK Sealing Technologies Corporation (9942.TW)</t>
  </si>
  <si>
    <t>Autoliv, Inc. (ALV)</t>
  </si>
  <si>
    <t>MPLX LP (MPLX)</t>
  </si>
  <si>
    <t>Lassonde Industries Inc. (LAS-A.TO)</t>
  </si>
  <si>
    <t>NSW Inc. (9739.T)</t>
  </si>
  <si>
    <t>Rich Honour International Designs Co., Ltd. (6754.TW)</t>
  </si>
  <si>
    <t>Halliburton Company (HAL)</t>
  </si>
  <si>
    <t>Hubei Jumpcan Pharmaceutical Co., Ltd. (600566.SS)</t>
  </si>
  <si>
    <t>KITZ Corporation (6498.T)</t>
  </si>
  <si>
    <t>The Navigator Company, S.A. (NVG.LS)</t>
  </si>
  <si>
    <t>L.D.C. S.A. (LOUP.PA)</t>
  </si>
  <si>
    <t>Price to Book Current</t>
  </si>
  <si>
    <t>Buy</t>
  </si>
  <si>
    <t>Hold</t>
  </si>
  <si>
    <t>Sell</t>
  </si>
  <si>
    <t xml:space="preserve">No data </t>
  </si>
  <si>
    <t>Price to Book (24Q4 Est)</t>
  </si>
  <si>
    <t>Price to Book (25Q1 Est)</t>
  </si>
  <si>
    <t>P/E (24Q4 Est)</t>
  </si>
  <si>
    <t>P/E (25Q1 Est)</t>
  </si>
  <si>
    <t>Price to Cash flow (24Q4 Est)</t>
  </si>
  <si>
    <t>Price to Cash flow (25Q1 Est)</t>
  </si>
  <si>
    <t xml:space="preserve">No estimates </t>
  </si>
  <si>
    <t>No estimates</t>
  </si>
  <si>
    <t>NUM OF SHARES</t>
  </si>
  <si>
    <t>PRICE X SHARES</t>
  </si>
  <si>
    <t>EST PRICE X SHARES</t>
  </si>
  <si>
    <t>DISCOUNT RATE</t>
  </si>
  <si>
    <t>Alpha</t>
  </si>
  <si>
    <t>ALPHA</t>
  </si>
  <si>
    <t>Discount Rate</t>
  </si>
  <si>
    <t xml:space="preserve">Discount rate </t>
  </si>
  <si>
    <t>COMPANY</t>
  </si>
  <si>
    <t>EKC.NS</t>
  </si>
  <si>
    <t>SMIN.L</t>
  </si>
  <si>
    <t>6503.T</t>
  </si>
  <si>
    <t>300628.SZ</t>
  </si>
  <si>
    <t>JNJ</t>
  </si>
  <si>
    <t>300218.SZ</t>
  </si>
  <si>
    <t>6028.T</t>
  </si>
  <si>
    <t>002311.SZ</t>
  </si>
  <si>
    <t>5904.TWO</t>
  </si>
  <si>
    <t>ATEA.OL</t>
  </si>
  <si>
    <t>IMI.L</t>
  </si>
  <si>
    <t>2170.T</t>
  </si>
  <si>
    <t>MRK</t>
  </si>
  <si>
    <t>MTX</t>
  </si>
  <si>
    <t>KSCL.NS</t>
  </si>
  <si>
    <t>4203.T</t>
  </si>
  <si>
    <t>NXT.L</t>
  </si>
  <si>
    <t>TGT</t>
  </si>
  <si>
    <t>603040.SS</t>
  </si>
  <si>
    <t>4536.TW</t>
  </si>
  <si>
    <t>CTRA</t>
  </si>
  <si>
    <t>TNC</t>
  </si>
  <si>
    <t>6113.T</t>
  </si>
  <si>
    <t>ALSN</t>
  </si>
  <si>
    <t>BBY</t>
  </si>
  <si>
    <t>2385.TW</t>
  </si>
  <si>
    <t>OMC</t>
  </si>
  <si>
    <t>3705.TW</t>
  </si>
  <si>
    <t>INDUSTOWER.NS</t>
  </si>
  <si>
    <t>000786.SZ</t>
  </si>
  <si>
    <t>4766.TW</t>
  </si>
  <si>
    <t>0728.HK</t>
  </si>
  <si>
    <t>7367.T</t>
  </si>
  <si>
    <t>MLPX</t>
  </si>
  <si>
    <t>G</t>
  </si>
  <si>
    <t>ALV</t>
  </si>
  <si>
    <t>HAL</t>
  </si>
  <si>
    <t>9739.T</t>
  </si>
  <si>
    <t>NVG.LS</t>
  </si>
  <si>
    <t>LAS-A.TO</t>
  </si>
  <si>
    <t>6498.T</t>
  </si>
  <si>
    <t>6754.TW</t>
  </si>
  <si>
    <t>600566.SS</t>
  </si>
  <si>
    <t>LOUP.PA</t>
  </si>
  <si>
    <t xml:space="preserve">First two years with estimation of analyst and then stable growth </t>
  </si>
  <si>
    <t>AURORA CAPITAL</t>
  </si>
  <si>
    <t>U31962754-12</t>
  </si>
  <si>
    <t>11/10/2024</t>
  </si>
  <si>
    <t>USD</t>
  </si>
  <si>
    <t>Current</t>
  </si>
  <si>
    <t>Cost</t>
  </si>
  <si>
    <t>Security</t>
  </si>
  <si>
    <t>PK</t>
  </si>
  <si>
    <t>ID</t>
  </si>
  <si>
    <t>Position</t>
  </si>
  <si>
    <t>Price</t>
  </si>
  <si>
    <t>PCS</t>
  </si>
  <si>
    <t>FX Rate</t>
  </si>
  <si>
    <t>Principal</t>
  </si>
  <si>
    <t>Accrued</t>
  </si>
  <si>
    <t>Market Val</t>
  </si>
  <si>
    <t>Cost Val</t>
  </si>
  <si>
    <t>Cost Date</t>
  </si>
  <si>
    <t>&lt;Search&gt;</t>
  </si>
  <si>
    <t>Totals</t>
  </si>
  <si>
    <t>Cash</t>
  </si>
  <si>
    <t>002311 CH</t>
  </si>
  <si>
    <t>CNE100000HP8</t>
  </si>
  <si>
    <t>EXCH</t>
  </si>
  <si>
    <t>11/10/24</t>
  </si>
  <si>
    <t>006208 TT</t>
  </si>
  <si>
    <t>006208 TT Equity</t>
  </si>
  <si>
    <t>TW0000062082</t>
  </si>
  <si>
    <t>10/18/24</t>
  </si>
  <si>
    <t>2170 JT</t>
  </si>
  <si>
    <t>2170 JT Equity</t>
  </si>
  <si>
    <t>JP3977020001</t>
  </si>
  <si>
    <t>300218 CH</t>
  </si>
  <si>
    <t>CNE100001310</t>
  </si>
  <si>
    <t>300628 CH</t>
  </si>
  <si>
    <t>CNE100002PC5</t>
  </si>
  <si>
    <t>4203 JT</t>
  </si>
  <si>
    <t>4203 JT Equity</t>
  </si>
  <si>
    <t>JP3409400003</t>
  </si>
  <si>
    <t>4766 TT</t>
  </si>
  <si>
    <t>TW0004766001</t>
  </si>
  <si>
    <t>5904 TT</t>
  </si>
  <si>
    <t>TW0005904007</t>
  </si>
  <si>
    <t>600566 C1</t>
  </si>
  <si>
    <t>600566 C1 Equity</t>
  </si>
  <si>
    <t>CNE0000018X6</t>
  </si>
  <si>
    <t>603040 CH</t>
  </si>
  <si>
    <t>CNE100002YY1</t>
  </si>
  <si>
    <t>6113 JT</t>
  </si>
  <si>
    <t>6113 JT Equity</t>
  </si>
  <si>
    <t>JP3122800000</t>
  </si>
  <si>
    <t>6498 JP</t>
  </si>
  <si>
    <t>JP3240700009</t>
  </si>
  <si>
    <t>6503 JT</t>
  </si>
  <si>
    <t>6503 JT Equity</t>
  </si>
  <si>
    <t>JP3902400005</t>
  </si>
  <si>
    <t>7367 JP</t>
  </si>
  <si>
    <t>JP3423590003</t>
  </si>
  <si>
    <t>9739 JT</t>
  </si>
  <si>
    <t>9739 JT Equity</t>
  </si>
  <si>
    <t>JP3712500002</t>
  </si>
  <si>
    <t>ALSN US</t>
  </si>
  <si>
    <t>ALV US</t>
  </si>
  <si>
    <t>US0528001094</t>
  </si>
  <si>
    <t>ARGT US</t>
  </si>
  <si>
    <t>ARGT US Equity</t>
  </si>
  <si>
    <t>ARGT</t>
  </si>
  <si>
    <t>ATEA NO</t>
  </si>
  <si>
    <t>NO0004822503</t>
  </si>
  <si>
    <t>BBY US</t>
  </si>
  <si>
    <t>CTRA US</t>
  </si>
  <si>
    <t>DGRW US</t>
  </si>
  <si>
    <t>DGRW US Equity</t>
  </si>
  <si>
    <t>DGRW</t>
  </si>
  <si>
    <t>DXJ US</t>
  </si>
  <si>
    <t>DXJ US Equity</t>
  </si>
  <si>
    <t>DXJ</t>
  </si>
  <si>
    <t>DYNF US</t>
  </si>
  <si>
    <t>DYNF US Equity</t>
  </si>
  <si>
    <t>DYNF</t>
  </si>
  <si>
    <t>FNDX US</t>
  </si>
  <si>
    <t>FNDX US Equity</t>
  </si>
  <si>
    <t>FNDX</t>
  </si>
  <si>
    <t>G US</t>
  </si>
  <si>
    <t>HAL US</t>
  </si>
  <si>
    <t>IMI LN</t>
  </si>
  <si>
    <t>GB00BGLP8L22</t>
  </si>
  <si>
    <t>JNJ US</t>
  </si>
  <si>
    <t>LOUP FP</t>
  </si>
  <si>
    <t>FR001400SF56</t>
  </si>
  <si>
    <t>LVHI US</t>
  </si>
  <si>
    <t>LVHI US Equity</t>
  </si>
  <si>
    <t>LVHI</t>
  </si>
  <si>
    <t>MLPX US</t>
  </si>
  <si>
    <t>MLPX US Equity</t>
  </si>
  <si>
    <t>MPLX US</t>
  </si>
  <si>
    <t>MPLX</t>
  </si>
  <si>
    <t>MRK US</t>
  </si>
  <si>
    <t>MTX US</t>
  </si>
  <si>
    <t>NVG PL</t>
  </si>
  <si>
    <t>PTPTI0AM0006</t>
  </si>
  <si>
    <t>NXT US</t>
  </si>
  <si>
    <t>NXT US Equity</t>
  </si>
  <si>
    <t>NXT</t>
  </si>
  <si>
    <t>OMC US</t>
  </si>
  <si>
    <t>QDVE GR</t>
  </si>
  <si>
    <t>QDVE GR Equity</t>
  </si>
  <si>
    <t>IE00B3WJKG14</t>
  </si>
  <si>
    <t>SGLD LN</t>
  </si>
  <si>
    <t>SGLD LN Equity</t>
  </si>
  <si>
    <t>IE00B579F325</t>
  </si>
  <si>
    <t>SMIN LN</t>
  </si>
  <si>
    <t>GB00B1WY2338</t>
  </si>
  <si>
    <t>TGT US</t>
  </si>
  <si>
    <t>TNC US</t>
  </si>
  <si>
    <t>XZMU LN</t>
  </si>
  <si>
    <t>XZMU LN Equity</t>
  </si>
  <si>
    <t>IE00BFMNPS42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</si>
</sst>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70" formatCode="0.0%"/>
  </numFmts>
  <fonts count="2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6"/>
      <color rgb="FF262E3A"/>
      <name val="Helvetica Neue"/>
      <family val="2"/>
    </font>
    <font>
      <sz val="11"/>
      <color rgb="FF262E3A"/>
      <name val="Helvetica Neue"/>
      <family val="2"/>
    </font>
    <font>
      <sz val="11"/>
      <color rgb="FF262E3A"/>
      <name val="Helvetica Neue"/>
      <family val="2"/>
    </font>
    <font>
      <sz val="20"/>
      <color theme="1"/>
      <name val="Calibri"/>
      <family val="2"/>
    </font>
    <font>
      <b/>
      <sz val="24"/>
      <color rgb="FF232A31"/>
      <name val="Helvetica Neue"/>
      <family val="2"/>
    </font>
    <font>
      <b/>
      <sz val="24"/>
      <name val="Calibri"/>
      <family val="2"/>
    </font>
    <font>
      <sz val="11"/>
      <color rgb="FF262E3A"/>
      <name val="Calibri"/>
      <family val="2"/>
    </font>
    <font>
      <b/>
      <sz val="18"/>
      <name val="Calibri"/>
      <family val="2"/>
    </font>
    <font>
      <b/>
      <sz val="20"/>
      <name val="Calibri"/>
      <family val="2"/>
    </font>
    <font>
      <b/>
      <sz val="11"/>
      <color rgb="FF00B050"/>
      <name val="Calibri"/>
      <family val="2"/>
    </font>
    <font>
      <b/>
      <sz val="11"/>
      <color theme="7" tint="-0.249977111117893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</cellStyleXfs>
  <cellXfs count="46">
    <xf numFmtId="0" fontId="0" fillId="0" borderId="0" xfId="0"/>
    <xf numFmtId="0" fontId="6" fillId="0" borderId="0" xfId="0" applyFont="1"/>
    <xf numFmtId="0" fontId="8" fillId="5" borderId="2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8" fillId="5" borderId="3" xfId="0" applyFont="1" applyFill="1" applyBorder="1"/>
    <xf numFmtId="0" fontId="7" fillId="6" borderId="3" xfId="0" applyFont="1" applyFill="1" applyBorder="1"/>
    <xf numFmtId="0" fontId="7" fillId="0" borderId="3" xfId="0" applyFont="1" applyBorder="1"/>
    <xf numFmtId="0" fontId="10" fillId="0" borderId="0" xfId="0" applyFont="1"/>
    <xf numFmtId="4" fontId="11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2" fillId="0" borderId="1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5" borderId="0" xfId="0" applyFont="1" applyFill="1"/>
    <xf numFmtId="0" fontId="7" fillId="0" borderId="0" xfId="0" applyFont="1"/>
    <xf numFmtId="0" fontId="7" fillId="6" borderId="0" xfId="0" applyFont="1" applyFill="1"/>
    <xf numFmtId="0" fontId="7" fillId="0" borderId="5" xfId="0" applyFont="1" applyBorder="1"/>
    <xf numFmtId="0" fontId="8" fillId="5" borderId="4" xfId="0" applyFont="1" applyFill="1" applyBorder="1"/>
    <xf numFmtId="0" fontId="7" fillId="0" borderId="6" xfId="0" applyFont="1" applyBorder="1"/>
    <xf numFmtId="10" fontId="0" fillId="0" borderId="0" xfId="0" applyNumberFormat="1"/>
    <xf numFmtId="0" fontId="8" fillId="7" borderId="0" xfId="0" applyFont="1" applyFill="1" applyAlignment="1">
      <alignment horizontal="center"/>
    </xf>
    <xf numFmtId="3" fontId="10" fillId="0" borderId="0" xfId="0" applyNumberFormat="1" applyFont="1"/>
    <xf numFmtId="4" fontId="10" fillId="0" borderId="0" xfId="0" applyNumberFormat="1" applyFont="1"/>
    <xf numFmtId="4" fontId="0" fillId="0" borderId="0" xfId="0" applyNumberFormat="1"/>
    <xf numFmtId="0" fontId="16" fillId="0" borderId="0" xfId="0" applyFont="1"/>
    <xf numFmtId="0" fontId="17" fillId="0" borderId="0" xfId="0" applyFont="1"/>
    <xf numFmtId="4" fontId="1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right"/>
    </xf>
    <xf numFmtId="0" fontId="0" fillId="8" borderId="0" xfId="0" applyFill="1"/>
    <xf numFmtId="0" fontId="16" fillId="4" borderId="0" xfId="0" applyFont="1" applyFill="1" applyAlignment="1">
      <alignment horizontal="center" vertical="center"/>
    </xf>
    <xf numFmtId="0" fontId="17" fillId="4" borderId="0" xfId="0" applyFont="1" applyFill="1"/>
    <xf numFmtId="0" fontId="6" fillId="9" borderId="0" xfId="0" applyFont="1" applyFill="1"/>
    <xf numFmtId="170" fontId="18" fillId="0" borderId="0" xfId="0" applyNumberFormat="1" applyFont="1"/>
    <xf numFmtId="170" fontId="19" fillId="0" borderId="0" xfId="0" applyNumberFormat="1" applyFont="1"/>
    <xf numFmtId="170" fontId="20" fillId="0" borderId="0" xfId="0" applyNumberFormat="1" applyFont="1"/>
    <xf numFmtId="0" fontId="8" fillId="5" borderId="1" xfId="0" applyFont="1" applyFill="1" applyBorder="1"/>
    <xf numFmtId="0" fontId="9" fillId="10" borderId="0" xfId="0" applyFont="1" applyFill="1"/>
    <xf numFmtId="0" fontId="6" fillId="10" borderId="0" xfId="0" applyFont="1" applyFill="1"/>
  </cellXfs>
  <cellStyles count="29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016F-6B5F-774B-968E-980D6F0087EA}">
  <dimension ref="A1:U112"/>
  <sheetViews>
    <sheetView workbookViewId="0">
      <selection activeCell="F15" sqref="F15"/>
    </sheetView>
  </sheetViews>
  <sheetFormatPr baseColWidth="10" defaultRowHeight="15" x14ac:dyDescent="0.2"/>
  <sheetData>
    <row r="1" spans="1:21" x14ac:dyDescent="0.2">
      <c r="A1" s="43" t="s">
        <v>0</v>
      </c>
      <c r="B1" s="2" t="s">
        <v>1</v>
      </c>
      <c r="C1" s="2" t="s">
        <v>255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7" t="s">
        <v>19</v>
      </c>
    </row>
    <row r="2" spans="1:21" x14ac:dyDescent="0.2">
      <c r="A2" s="3" t="s">
        <v>20</v>
      </c>
      <c r="B2" s="4" t="s">
        <v>21</v>
      </c>
      <c r="C2" s="4" t="s">
        <v>256</v>
      </c>
      <c r="D2" s="4">
        <v>11.57990550994873</v>
      </c>
      <c r="E2" s="4">
        <v>27</v>
      </c>
      <c r="F2" s="4">
        <v>50009</v>
      </c>
      <c r="G2" s="4" t="s">
        <v>242</v>
      </c>
      <c r="H2" s="4"/>
      <c r="I2" s="4">
        <v>11.57990550994873</v>
      </c>
      <c r="J2" s="4">
        <v>27.310031890869141</v>
      </c>
      <c r="K2" s="4">
        <v>5527931865011</v>
      </c>
      <c r="L2" s="4">
        <v>-4.3258928801870253E-2</v>
      </c>
      <c r="M2" s="4">
        <v>6.1859054565429688</v>
      </c>
      <c r="N2" s="4">
        <v>6.2078242301940918</v>
      </c>
      <c r="O2" s="4">
        <v>0.73139636567305233</v>
      </c>
      <c r="P2" s="4">
        <v>1.0038720319081522</v>
      </c>
      <c r="Q2" s="4" t="s">
        <v>242</v>
      </c>
      <c r="R2" s="4">
        <v>8.3509178161621094</v>
      </c>
      <c r="S2" s="4">
        <v>16.165782928466797</v>
      </c>
      <c r="T2" s="4" t="s">
        <v>242</v>
      </c>
      <c r="U2" s="8">
        <v>1.0832569999999999</v>
      </c>
    </row>
    <row r="3" spans="1:21" x14ac:dyDescent="0.2">
      <c r="A3" s="5" t="s">
        <v>22</v>
      </c>
      <c r="B3" s="6" t="s">
        <v>23</v>
      </c>
      <c r="C3" s="6" t="s">
        <v>257</v>
      </c>
      <c r="D3" s="6">
        <v>20.613975524902344</v>
      </c>
      <c r="E3" s="6">
        <v>0.25</v>
      </c>
      <c r="F3" s="6">
        <v>844.28600521850581</v>
      </c>
      <c r="G3" s="6">
        <v>8.4</v>
      </c>
      <c r="H3" s="6">
        <v>0.95999997854232788</v>
      </c>
      <c r="I3" s="6">
        <v>20.613975524902344</v>
      </c>
      <c r="J3" s="6">
        <v>24.690025329589844</v>
      </c>
      <c r="K3" s="6">
        <v>18474833014.239956</v>
      </c>
      <c r="L3" s="6">
        <v>-1.8539274049235499E-2</v>
      </c>
      <c r="M3" s="6">
        <v>5.5987453460693359</v>
      </c>
      <c r="N3" s="6">
        <v>4.0827999114990234</v>
      </c>
      <c r="O3" s="6" t="s">
        <v>242</v>
      </c>
      <c r="P3" s="6">
        <v>1.6501501501501499</v>
      </c>
      <c r="Q3" s="6">
        <v>1.3879973131580803</v>
      </c>
      <c r="R3" s="6">
        <v>12.543954849243164</v>
      </c>
      <c r="S3" s="6">
        <v>17.86114501953125</v>
      </c>
      <c r="T3" s="6" t="s">
        <v>242</v>
      </c>
      <c r="U3" s="9">
        <v>1.0321859121322632</v>
      </c>
    </row>
    <row r="4" spans="1:21" x14ac:dyDescent="0.2">
      <c r="A4" s="3" t="s">
        <v>24</v>
      </c>
      <c r="B4" s="4" t="s">
        <v>25</v>
      </c>
      <c r="C4" s="4" t="s">
        <v>257</v>
      </c>
      <c r="D4" s="4"/>
      <c r="E4" s="4">
        <v>0</v>
      </c>
      <c r="F4" s="4">
        <v>14.443181037902832</v>
      </c>
      <c r="G4" s="4">
        <v>0.48791800000000002</v>
      </c>
      <c r="H4" s="4">
        <v>0</v>
      </c>
      <c r="I4" s="4"/>
      <c r="J4" s="4">
        <v>24.681631088256836</v>
      </c>
      <c r="K4" s="4">
        <v>2824378343.8508754</v>
      </c>
      <c r="L4" s="4">
        <v>-2.6201008419426203E-2</v>
      </c>
      <c r="M4" s="4">
        <v>5.8183951377868652</v>
      </c>
      <c r="N4" s="4">
        <v>6.666776180267334</v>
      </c>
      <c r="O4" s="4">
        <v>2.1765778284655544</v>
      </c>
      <c r="P4" s="4">
        <v>1.0540851735015773</v>
      </c>
      <c r="Q4" s="4">
        <v>6.6637726152195933</v>
      </c>
      <c r="R4" s="4">
        <v>13.867911338806152</v>
      </c>
      <c r="S4" s="4">
        <v>17.186868667602539</v>
      </c>
      <c r="T4" s="4" t="s">
        <v>242</v>
      </c>
      <c r="U4" s="8">
        <v>0.97169291973114014</v>
      </c>
    </row>
    <row r="5" spans="1:21" x14ac:dyDescent="0.2">
      <c r="A5" s="5" t="s">
        <v>26</v>
      </c>
      <c r="B5" s="6" t="s">
        <v>27</v>
      </c>
      <c r="C5" s="6" t="s">
        <v>257</v>
      </c>
      <c r="D5" s="6"/>
      <c r="E5" s="6">
        <v>0</v>
      </c>
      <c r="F5" s="6">
        <v>0</v>
      </c>
      <c r="G5" s="6" t="s">
        <v>242</v>
      </c>
      <c r="H5" s="6">
        <v>0</v>
      </c>
      <c r="I5" s="6"/>
      <c r="J5" s="6">
        <v>23.731786727905273</v>
      </c>
      <c r="K5" s="6">
        <v>17751088830.147854</v>
      </c>
      <c r="L5" s="6">
        <v>-3.4785783008917423E-2</v>
      </c>
      <c r="M5" s="6">
        <v>7.5645999908447266</v>
      </c>
      <c r="N5" s="6">
        <v>4.3682069778442383</v>
      </c>
      <c r="O5" s="6">
        <v>1.5084711801392836</v>
      </c>
      <c r="P5" s="6">
        <v>1.5435424479339031</v>
      </c>
      <c r="Q5" s="6">
        <v>4.1354251902516088</v>
      </c>
      <c r="R5" s="6">
        <v>6.5311741828918457</v>
      </c>
      <c r="S5" s="6">
        <v>13.219470024108887</v>
      </c>
      <c r="T5" s="6" t="s">
        <v>242</v>
      </c>
      <c r="U5" s="9">
        <v>1.3500665426254272</v>
      </c>
    </row>
    <row r="6" spans="1:21" x14ac:dyDescent="0.2">
      <c r="A6" s="3" t="s">
        <v>28</v>
      </c>
      <c r="B6" s="4" t="s">
        <v>29</v>
      </c>
      <c r="C6" s="4" t="s">
        <v>257</v>
      </c>
      <c r="D6" s="4">
        <v>27.542451858520508</v>
      </c>
      <c r="E6" s="4">
        <v>0.27000001072883606</v>
      </c>
      <c r="F6" s="4">
        <v>0</v>
      </c>
      <c r="G6" s="4" t="s">
        <v>242</v>
      </c>
      <c r="H6" s="4"/>
      <c r="I6" s="4">
        <v>27.542451858520508</v>
      </c>
      <c r="J6" s="4">
        <v>23.505281448364258</v>
      </c>
      <c r="K6" s="4">
        <v>4947000000</v>
      </c>
      <c r="L6" s="4">
        <v>-6.1923912494806612E-3</v>
      </c>
      <c r="M6" s="4">
        <v>8.4557132720947266</v>
      </c>
      <c r="N6" s="4">
        <v>5.0689702033996582</v>
      </c>
      <c r="O6" s="4" t="s">
        <v>242</v>
      </c>
      <c r="P6" s="4">
        <v>1.0431722236535221</v>
      </c>
      <c r="Q6" s="4">
        <v>16.794257150848544</v>
      </c>
      <c r="R6" s="4">
        <v>14.377084732055664</v>
      </c>
      <c r="S6" s="4">
        <v>11.826322555541992</v>
      </c>
      <c r="T6" s="4" t="s">
        <v>242</v>
      </c>
      <c r="U6" s="8">
        <v>0.71636290000000002</v>
      </c>
    </row>
    <row r="7" spans="1:21" x14ac:dyDescent="0.2">
      <c r="A7" s="5" t="s">
        <v>30</v>
      </c>
      <c r="B7" s="6" t="s">
        <v>31</v>
      </c>
      <c r="C7" s="6" t="s">
        <v>257</v>
      </c>
      <c r="D7" s="6">
        <v>11.681169509887695</v>
      </c>
      <c r="E7" s="6">
        <v>0.41999998688697815</v>
      </c>
      <c r="F7" s="6" t="s">
        <v>242</v>
      </c>
      <c r="G7" s="6">
        <v>0</v>
      </c>
      <c r="H7" s="6">
        <v>0.53810000419616699</v>
      </c>
      <c r="I7" s="6">
        <v>13.482220649719238</v>
      </c>
      <c r="J7" s="6">
        <v>23.228229522705078</v>
      </c>
      <c r="K7" s="6">
        <v>17151152626.980001</v>
      </c>
      <c r="L7" s="6">
        <v>-3.4156420290425704E-2</v>
      </c>
      <c r="M7" s="6">
        <v>5.9950332641601562</v>
      </c>
      <c r="N7" s="6">
        <v>6.2605218887329102</v>
      </c>
      <c r="O7" s="6" t="s">
        <v>242</v>
      </c>
      <c r="P7" s="6">
        <v>1.2047856359683085</v>
      </c>
      <c r="Q7" s="6">
        <v>0.93490649488775912</v>
      </c>
      <c r="R7" s="6">
        <v>7.8147168159484863</v>
      </c>
      <c r="S7" s="6">
        <v>16.680473327636719</v>
      </c>
      <c r="T7" s="6" t="s">
        <v>242</v>
      </c>
      <c r="U7" s="9">
        <v>0.59873620000000005</v>
      </c>
    </row>
    <row r="8" spans="1:21" x14ac:dyDescent="0.2">
      <c r="A8" s="3" t="s">
        <v>32</v>
      </c>
      <c r="B8" s="4" t="s">
        <v>33</v>
      </c>
      <c r="C8" s="4" t="s">
        <v>257</v>
      </c>
      <c r="D8" s="4"/>
      <c r="E8" s="4">
        <v>0</v>
      </c>
      <c r="F8" s="4">
        <v>2263</v>
      </c>
      <c r="G8" s="4">
        <v>9.9</v>
      </c>
      <c r="H8" s="4">
        <v>0</v>
      </c>
      <c r="I8" s="4"/>
      <c r="J8" s="4">
        <v>23.101814270019531</v>
      </c>
      <c r="K8" s="4">
        <v>19452605829.80603</v>
      </c>
      <c r="L8" s="4">
        <v>-3.4632827584886942E-2</v>
      </c>
      <c r="M8" s="4">
        <v>5.1804771423339844</v>
      </c>
      <c r="N8" s="4">
        <v>15.344724655151367</v>
      </c>
      <c r="O8" s="4">
        <v>2.5118320397121399</v>
      </c>
      <c r="P8" s="4" t="s">
        <v>242</v>
      </c>
      <c r="Q8" s="4">
        <v>0.45983658324781285</v>
      </c>
      <c r="R8" s="4">
        <v>7.9215598106384277</v>
      </c>
      <c r="S8" s="4">
        <v>19.303239822387695</v>
      </c>
      <c r="T8" s="4" t="s">
        <v>242</v>
      </c>
      <c r="U8" s="8">
        <v>0.35604932422272439</v>
      </c>
    </row>
    <row r="9" spans="1:21" x14ac:dyDescent="0.2">
      <c r="A9" s="5" t="s">
        <v>34</v>
      </c>
      <c r="B9" s="6" t="s">
        <v>35</v>
      </c>
      <c r="C9" s="6" t="s">
        <v>257</v>
      </c>
      <c r="D9" s="6"/>
      <c r="E9" s="6">
        <v>0.20999999344348907</v>
      </c>
      <c r="F9" s="6" t="s">
        <v>242</v>
      </c>
      <c r="G9" s="6" t="s">
        <v>242</v>
      </c>
      <c r="H9" s="6">
        <v>0.20999999344348907</v>
      </c>
      <c r="I9" s="6"/>
      <c r="J9" s="6">
        <v>23.045936584472656</v>
      </c>
      <c r="K9" s="6">
        <v>14680138921.199999</v>
      </c>
      <c r="L9" s="6"/>
      <c r="M9" s="6">
        <v>8.8120622634887695</v>
      </c>
      <c r="N9" s="6">
        <v>6.9268488883972168</v>
      </c>
      <c r="O9" s="6" t="s">
        <v>242</v>
      </c>
      <c r="P9" s="6">
        <v>1.2412077148043443</v>
      </c>
      <c r="Q9" s="6">
        <v>2.6175282152734636</v>
      </c>
      <c r="R9" s="6">
        <v>8.7563686370849609</v>
      </c>
      <c r="S9" s="6">
        <v>11.348081588745117</v>
      </c>
      <c r="T9" s="6" t="s">
        <v>244</v>
      </c>
      <c r="U9" s="9">
        <v>0.40729349999999998</v>
      </c>
    </row>
    <row r="10" spans="1:21" x14ac:dyDescent="0.2">
      <c r="A10" s="3" t="s">
        <v>36</v>
      </c>
      <c r="B10" s="4" t="s">
        <v>37</v>
      </c>
      <c r="C10" s="4" t="s">
        <v>257</v>
      </c>
      <c r="D10" s="4">
        <v>5.2918496131896973</v>
      </c>
      <c r="E10" s="4">
        <v>5.5</v>
      </c>
      <c r="F10" s="4">
        <v>0</v>
      </c>
      <c r="G10" s="4" t="s">
        <v>242</v>
      </c>
      <c r="H10" s="4"/>
      <c r="I10" s="4">
        <v>5.2918496131896973</v>
      </c>
      <c r="J10" s="4">
        <v>22.28160285949707</v>
      </c>
      <c r="K10" s="4">
        <v>271950871934.48209</v>
      </c>
      <c r="L10" s="4">
        <v>-1.0620642151546926E-2</v>
      </c>
      <c r="M10" s="4">
        <v>5.1946883201599121</v>
      </c>
      <c r="N10" s="4">
        <v>6.752406120300293</v>
      </c>
      <c r="O10" s="4">
        <v>3.10114315560753</v>
      </c>
      <c r="P10" s="4">
        <v>1.1325581395348838</v>
      </c>
      <c r="Q10" s="4">
        <v>1.6275165984447713</v>
      </c>
      <c r="R10" s="4">
        <v>9.7541465759277344</v>
      </c>
      <c r="S10" s="4">
        <v>19.250432968139648</v>
      </c>
      <c r="T10" s="4" t="s">
        <v>242</v>
      </c>
      <c r="U10" s="8">
        <v>1.169646</v>
      </c>
    </row>
    <row r="11" spans="1:21" x14ac:dyDescent="0.2">
      <c r="A11" s="5" t="s">
        <v>38</v>
      </c>
      <c r="B11" s="6" t="s">
        <v>39</v>
      </c>
      <c r="C11" s="6" t="s">
        <v>257</v>
      </c>
      <c r="D11" s="6">
        <v>19.573802947998047</v>
      </c>
      <c r="E11" s="6">
        <v>2.2000000476837158</v>
      </c>
      <c r="F11" s="6">
        <v>0</v>
      </c>
      <c r="G11" s="6" t="s">
        <v>242</v>
      </c>
      <c r="H11" s="6"/>
      <c r="I11" s="6">
        <v>19.573802947998047</v>
      </c>
      <c r="J11" s="6">
        <v>21.831375122070312</v>
      </c>
      <c r="K11" s="6">
        <v>109292507077.60001</v>
      </c>
      <c r="L11" s="6">
        <v>-3.7175192490516442E-3</v>
      </c>
      <c r="M11" s="6">
        <v>5.4952273368835449</v>
      </c>
      <c r="N11" s="6">
        <v>3.7630960941314697</v>
      </c>
      <c r="O11" s="6" t="s">
        <v>242</v>
      </c>
      <c r="P11" s="6">
        <v>1.0504956676378221</v>
      </c>
      <c r="Q11" s="6">
        <v>16.941441013982647</v>
      </c>
      <c r="R11" s="6">
        <v>5.387394905090332</v>
      </c>
      <c r="S11" s="6">
        <v>18.197608947753906</v>
      </c>
      <c r="T11" s="6" t="s">
        <v>244</v>
      </c>
      <c r="U11" s="9">
        <v>0.74011119999999997</v>
      </c>
    </row>
    <row r="12" spans="1:21" x14ac:dyDescent="0.2">
      <c r="A12" s="3" t="s">
        <v>40</v>
      </c>
      <c r="B12" s="4" t="s">
        <v>41</v>
      </c>
      <c r="C12" s="4" t="s">
        <v>257</v>
      </c>
      <c r="D12" s="4">
        <v>4.1357288360595703</v>
      </c>
      <c r="E12" s="4">
        <v>4.25</v>
      </c>
      <c r="F12" s="4">
        <v>125</v>
      </c>
      <c r="G12" s="4">
        <v>0.155</v>
      </c>
      <c r="H12" s="4"/>
      <c r="I12" s="4">
        <v>4.1357288360595703</v>
      </c>
      <c r="J12" s="4">
        <v>21.770072937011719</v>
      </c>
      <c r="K12" s="4">
        <v>51738798387.506104</v>
      </c>
      <c r="L12" s="4">
        <v>-7.5168380628569023E-2</v>
      </c>
      <c r="M12" s="4">
        <v>8.9565334320068359</v>
      </c>
      <c r="N12" s="4">
        <v>8.0041971206665039</v>
      </c>
      <c r="O12" s="4" t="s">
        <v>242</v>
      </c>
      <c r="P12" s="4">
        <v>1.1175892564690468</v>
      </c>
      <c r="Q12" s="4">
        <v>0.74426725885673095</v>
      </c>
      <c r="R12" s="4">
        <v>5.650702953338623</v>
      </c>
      <c r="S12" s="4">
        <v>11.165033340454102</v>
      </c>
      <c r="T12" s="4" t="s">
        <v>242</v>
      </c>
      <c r="U12" s="8">
        <v>0.41094360000000002</v>
      </c>
    </row>
    <row r="13" spans="1:21" x14ac:dyDescent="0.2">
      <c r="A13" s="5" t="s">
        <v>42</v>
      </c>
      <c r="B13" s="6" t="s">
        <v>43</v>
      </c>
      <c r="C13" s="6" t="s">
        <v>257</v>
      </c>
      <c r="D13" s="6">
        <v>35.096004486083984</v>
      </c>
      <c r="E13" s="6">
        <v>0.15000000596046448</v>
      </c>
      <c r="F13" s="6">
        <v>0</v>
      </c>
      <c r="G13" s="6" t="s">
        <v>242</v>
      </c>
      <c r="H13" s="6"/>
      <c r="I13" s="6">
        <v>35.096004486083984</v>
      </c>
      <c r="J13" s="6">
        <v>21.406581878662109</v>
      </c>
      <c r="K13" s="6">
        <v>4823832949.5</v>
      </c>
      <c r="L13" s="6">
        <v>-2.5378338693924734E-2</v>
      </c>
      <c r="M13" s="6">
        <v>6.5377359390258789</v>
      </c>
      <c r="N13" s="6">
        <v>5.9034838676452637</v>
      </c>
      <c r="O13" s="6" t="s">
        <v>242</v>
      </c>
      <c r="P13" s="6">
        <v>1.3038819647927735</v>
      </c>
      <c r="Q13" s="6">
        <v>13.501143666367843</v>
      </c>
      <c r="R13" s="6">
        <v>5.0273971557617188</v>
      </c>
      <c r="S13" s="6">
        <v>15.295814514160156</v>
      </c>
      <c r="T13" s="6" t="s">
        <v>242</v>
      </c>
      <c r="U13" s="9">
        <v>1.2518339999999999</v>
      </c>
    </row>
    <row r="14" spans="1:21" x14ac:dyDescent="0.2">
      <c r="A14" s="3" t="s">
        <v>44</v>
      </c>
      <c r="B14" s="4" t="s">
        <v>45</v>
      </c>
      <c r="C14" s="4" t="s">
        <v>256</v>
      </c>
      <c r="D14" s="4"/>
      <c r="E14" s="4">
        <v>0.69999998807907104</v>
      </c>
      <c r="F14" s="4">
        <v>0</v>
      </c>
      <c r="G14" s="4" t="s">
        <v>242</v>
      </c>
      <c r="H14" s="4">
        <v>0.69999998807907104</v>
      </c>
      <c r="I14" s="4"/>
      <c r="J14" s="4">
        <v>21.369909286499023</v>
      </c>
      <c r="K14" s="4">
        <v>21197153206.620003</v>
      </c>
      <c r="L14" s="4"/>
      <c r="M14" s="4">
        <v>7.3617525100708008</v>
      </c>
      <c r="N14" s="4">
        <v>7.1233639717102051</v>
      </c>
      <c r="O14" s="4" t="s">
        <v>242</v>
      </c>
      <c r="P14" s="4">
        <v>1.0594374243325173</v>
      </c>
      <c r="Q14" s="4" t="s">
        <v>242</v>
      </c>
      <c r="R14" s="4">
        <v>11.06829833984375</v>
      </c>
      <c r="S14" s="4">
        <v>13.583722114562988</v>
      </c>
      <c r="T14" s="4" t="s">
        <v>242</v>
      </c>
      <c r="U14" s="8">
        <v>0.95320110000000002</v>
      </c>
    </row>
    <row r="15" spans="1:21" x14ac:dyDescent="0.2">
      <c r="A15" s="5" t="s">
        <v>46</v>
      </c>
      <c r="B15" s="6" t="s">
        <v>47</v>
      </c>
      <c r="C15" s="6" t="s">
        <v>258</v>
      </c>
      <c r="D15" s="6">
        <v>-0.95488202571868896</v>
      </c>
      <c r="E15" s="6">
        <v>30.200000762939453</v>
      </c>
      <c r="F15" s="6" t="s">
        <v>242</v>
      </c>
      <c r="G15" s="6">
        <v>4.2051959999999999</v>
      </c>
      <c r="H15" s="6">
        <v>0.43749998509883881</v>
      </c>
      <c r="I15" s="6">
        <v>-0.95488202571868896</v>
      </c>
      <c r="J15" s="6">
        <v>21.206869125366211</v>
      </c>
      <c r="K15" s="6">
        <v>5282162870.04</v>
      </c>
      <c r="L15" s="6">
        <v>-2.3622996445928864E-2</v>
      </c>
      <c r="M15" s="6">
        <v>6.5851469039916992</v>
      </c>
      <c r="N15" s="6">
        <v>5.805178165435791</v>
      </c>
      <c r="O15" s="6" t="s">
        <v>242</v>
      </c>
      <c r="P15" s="6">
        <v>1.1657303370786516</v>
      </c>
      <c r="Q15" s="6">
        <v>0.95191328196421576</v>
      </c>
      <c r="R15" s="6">
        <v>8.5419082641601562</v>
      </c>
      <c r="S15" s="6">
        <v>15.185689926147461</v>
      </c>
      <c r="T15" s="6" t="s">
        <v>242</v>
      </c>
      <c r="U15" s="9">
        <v>0.98158489999999998</v>
      </c>
    </row>
    <row r="16" spans="1:21" x14ac:dyDescent="0.2">
      <c r="A16" s="3" t="s">
        <v>48</v>
      </c>
      <c r="B16" s="4" t="s">
        <v>49</v>
      </c>
      <c r="C16" s="4" t="s">
        <v>256</v>
      </c>
      <c r="D16" s="4">
        <v>11.032153129577637</v>
      </c>
      <c r="E16" s="4">
        <v>0.69999998807907104</v>
      </c>
      <c r="F16" s="4">
        <v>5697.6311103710941</v>
      </c>
      <c r="G16" s="4">
        <v>21.635242999999999</v>
      </c>
      <c r="H16" s="4">
        <v>2.699999988079071</v>
      </c>
      <c r="I16" s="4">
        <v>11.032153129577637</v>
      </c>
      <c r="J16" s="4">
        <v>21.105224609375</v>
      </c>
      <c r="K16" s="4">
        <v>202048888509.3085</v>
      </c>
      <c r="L16" s="4">
        <v>-1.2681039821494489E-2</v>
      </c>
      <c r="M16" s="4">
        <v>6.3589258193969727</v>
      </c>
      <c r="N16" s="4">
        <v>3.7931919097900391</v>
      </c>
      <c r="O16" s="4">
        <v>1.2979139456626938</v>
      </c>
      <c r="P16" s="4" t="s">
        <v>242</v>
      </c>
      <c r="Q16" s="4" t="s">
        <v>242</v>
      </c>
      <c r="R16" s="4">
        <v>10.905329704284668</v>
      </c>
      <c r="S16" s="4">
        <v>15.725926399230957</v>
      </c>
      <c r="T16" s="4" t="s">
        <v>242</v>
      </c>
      <c r="U16" s="8">
        <v>1.1341867446899414</v>
      </c>
    </row>
    <row r="17" spans="1:21" x14ac:dyDescent="0.2">
      <c r="A17" s="5" t="s">
        <v>50</v>
      </c>
      <c r="B17" s="6" t="s">
        <v>51</v>
      </c>
      <c r="C17" s="6" t="s">
        <v>258</v>
      </c>
      <c r="D17" s="6">
        <v>39.325901031494141</v>
      </c>
      <c r="E17" s="6">
        <v>0.60000002384185791</v>
      </c>
      <c r="F17" s="6">
        <v>0</v>
      </c>
      <c r="G17" s="6" t="s">
        <v>242</v>
      </c>
      <c r="H17" s="6"/>
      <c r="I17" s="6">
        <v>39.325901031494141</v>
      </c>
      <c r="J17" s="6">
        <v>21.090839385986328</v>
      </c>
      <c r="K17" s="6">
        <v>50287206887.579994</v>
      </c>
      <c r="L17" s="6">
        <v>-0.15244110722519816</v>
      </c>
      <c r="M17" s="6">
        <v>7.3061261177062988</v>
      </c>
      <c r="N17" s="6">
        <v>28.183408737182617</v>
      </c>
      <c r="O17" s="6" t="s">
        <v>242</v>
      </c>
      <c r="P17" s="6">
        <v>1.0004061458169478</v>
      </c>
      <c r="Q17" s="6">
        <v>-0.63642476818637339</v>
      </c>
      <c r="R17" s="6">
        <v>13.325738906860352</v>
      </c>
      <c r="S17" s="6">
        <v>13.68714427947998</v>
      </c>
      <c r="T17" s="6" t="s">
        <v>242</v>
      </c>
      <c r="U17" s="9">
        <v>0.97383200000000003</v>
      </c>
    </row>
    <row r="18" spans="1:21" x14ac:dyDescent="0.2">
      <c r="A18" s="3" t="s">
        <v>52</v>
      </c>
      <c r="B18" s="4" t="s">
        <v>53</v>
      </c>
      <c r="C18" s="4" t="s">
        <v>259</v>
      </c>
      <c r="D18" s="4">
        <v>5.6055927276611328</v>
      </c>
      <c r="E18" s="4">
        <v>1.2400000095367432</v>
      </c>
      <c r="F18" s="4">
        <v>2366.3814777559764</v>
      </c>
      <c r="G18" s="4">
        <v>31.085414</v>
      </c>
      <c r="H18" s="4">
        <v>4.8600001335144043</v>
      </c>
      <c r="I18" s="4">
        <v>5.6055927276611328</v>
      </c>
      <c r="J18" s="4">
        <v>20.45509147644043</v>
      </c>
      <c r="K18" s="4">
        <v>377346738115.08496</v>
      </c>
      <c r="L18" s="4">
        <v>-3.4720687278890841E-2</v>
      </c>
      <c r="M18" s="4">
        <v>5.4823760986328125</v>
      </c>
      <c r="N18" s="4">
        <v>8.5285816192626953</v>
      </c>
      <c r="O18" s="4">
        <v>5.2290394688553024</v>
      </c>
      <c r="P18" s="4">
        <v>1.0368954310839227</v>
      </c>
      <c r="Q18" s="4">
        <v>1.1214173013440807</v>
      </c>
      <c r="R18" s="4">
        <v>10.957282066345215</v>
      </c>
      <c r="S18" s="4">
        <v>18.240264892578125</v>
      </c>
      <c r="T18" s="4" t="s">
        <v>242</v>
      </c>
      <c r="U18" s="8">
        <v>0.52650070190429688</v>
      </c>
    </row>
    <row r="19" spans="1:21" x14ac:dyDescent="0.2">
      <c r="A19" s="5" t="s">
        <v>54</v>
      </c>
      <c r="B19" s="6" t="s">
        <v>55</v>
      </c>
      <c r="C19" s="6" t="s">
        <v>256</v>
      </c>
      <c r="D19" s="6">
        <v>4.5639553070068359</v>
      </c>
      <c r="E19" s="6">
        <v>30</v>
      </c>
      <c r="F19" s="6">
        <v>43715</v>
      </c>
      <c r="G19" s="6" t="s">
        <v>242</v>
      </c>
      <c r="H19" s="6"/>
      <c r="I19" s="6">
        <v>4.5639553070068359</v>
      </c>
      <c r="J19" s="6">
        <v>20.201461791992188</v>
      </c>
      <c r="K19" s="6">
        <v>5827153276882.5</v>
      </c>
      <c r="L19" s="6">
        <v>-2.7383775430006312E-3</v>
      </c>
      <c r="M19" s="6">
        <v>5.5398597717285156</v>
      </c>
      <c r="N19" s="6">
        <v>4.8010687828063965</v>
      </c>
      <c r="O19" s="6">
        <v>1.5748378948847819</v>
      </c>
      <c r="P19" s="6">
        <v>1.0239112615434482</v>
      </c>
      <c r="Q19" s="6">
        <v>4.9645223826720493</v>
      </c>
      <c r="R19" s="6">
        <v>8.0774154663085938</v>
      </c>
      <c r="S19" s="6">
        <v>18.050998687744141</v>
      </c>
      <c r="T19" s="6" t="s">
        <v>242</v>
      </c>
      <c r="U19" s="9">
        <v>1.403319</v>
      </c>
    </row>
    <row r="20" spans="1:21" x14ac:dyDescent="0.2">
      <c r="A20" s="3" t="s">
        <v>56</v>
      </c>
      <c r="B20" s="4" t="s">
        <v>57</v>
      </c>
      <c r="C20" s="4" t="s">
        <v>256</v>
      </c>
      <c r="D20" s="4">
        <v>19.135787963867188</v>
      </c>
      <c r="E20" s="4">
        <v>0.25999999046325684</v>
      </c>
      <c r="F20" s="4">
        <v>0</v>
      </c>
      <c r="G20" s="4" t="s">
        <v>242</v>
      </c>
      <c r="H20" s="4">
        <v>0.91999998688697815</v>
      </c>
      <c r="I20" s="4">
        <v>19.135787963867188</v>
      </c>
      <c r="J20" s="4">
        <v>20.030916213989258</v>
      </c>
      <c r="K20" s="4">
        <v>1695351273.6062107</v>
      </c>
      <c r="L20" s="4">
        <v>-5.4301397690222748E-2</v>
      </c>
      <c r="M20" s="4">
        <v>7.4890298843383789</v>
      </c>
      <c r="N20" s="4">
        <v>10.563204765319824</v>
      </c>
      <c r="O20" s="4" t="s">
        <v>242</v>
      </c>
      <c r="P20" s="4">
        <v>1.0105089105272829</v>
      </c>
      <c r="Q20" s="4" t="s">
        <v>242</v>
      </c>
      <c r="R20" s="4">
        <v>6.5044097900390625</v>
      </c>
      <c r="S20" s="4">
        <v>13.352864265441895</v>
      </c>
      <c r="T20" s="4" t="s">
        <v>242</v>
      </c>
      <c r="U20" s="8">
        <v>0.73853469999999999</v>
      </c>
    </row>
    <row r="21" spans="1:21" x14ac:dyDescent="0.2">
      <c r="A21" s="5" t="s">
        <v>58</v>
      </c>
      <c r="B21" s="6" t="s">
        <v>59</v>
      </c>
      <c r="C21" s="6" t="s">
        <v>256</v>
      </c>
      <c r="D21" s="6">
        <v>12.362473487854004</v>
      </c>
      <c r="E21" s="6">
        <v>30</v>
      </c>
      <c r="F21" s="6">
        <v>6169</v>
      </c>
      <c r="G21" s="6" t="s">
        <v>242</v>
      </c>
      <c r="H21" s="6"/>
      <c r="I21" s="6">
        <v>12.362473487854004</v>
      </c>
      <c r="J21" s="6">
        <v>20.024112701416016</v>
      </c>
      <c r="K21" s="6">
        <v>310954000000</v>
      </c>
      <c r="L21" s="6">
        <v>-6.2090842345980182E-2</v>
      </c>
      <c r="M21" s="6">
        <v>7.8704948425292969</v>
      </c>
      <c r="N21" s="6">
        <v>10.939443588256836</v>
      </c>
      <c r="O21" s="6" t="s">
        <v>242</v>
      </c>
      <c r="P21" s="6">
        <v>1.004905781486406</v>
      </c>
      <c r="Q21" s="6">
        <v>3.7802550172620929E-2</v>
      </c>
      <c r="R21" s="6">
        <v>13.129752159118652</v>
      </c>
      <c r="S21" s="6">
        <v>12.705680847167969</v>
      </c>
      <c r="T21" s="6" t="s">
        <v>242</v>
      </c>
      <c r="U21" s="9">
        <v>0.86198900000000001</v>
      </c>
    </row>
    <row r="22" spans="1:21" x14ac:dyDescent="0.2">
      <c r="A22" s="3" t="s">
        <v>60</v>
      </c>
      <c r="B22" s="4" t="s">
        <v>61</v>
      </c>
      <c r="C22" s="4" t="s">
        <v>256</v>
      </c>
      <c r="D22" s="4">
        <v>10.756633758544922</v>
      </c>
      <c r="E22" s="4">
        <v>0.5</v>
      </c>
      <c r="F22" s="4">
        <v>0</v>
      </c>
      <c r="G22" s="4" t="s">
        <v>242</v>
      </c>
      <c r="H22" s="4"/>
      <c r="I22" s="4">
        <v>10.756633758544922</v>
      </c>
      <c r="J22" s="4">
        <v>19.918323516845703</v>
      </c>
      <c r="K22" s="4">
        <v>82888023505.400009</v>
      </c>
      <c r="L22" s="4">
        <v>-4.1955042157169428E-2</v>
      </c>
      <c r="M22" s="4">
        <v>7.8576407432556152</v>
      </c>
      <c r="N22" s="4">
        <v>7.9755392074584961</v>
      </c>
      <c r="O22" s="4" t="s">
        <v>242</v>
      </c>
      <c r="P22" s="4">
        <v>1.1284952990642818</v>
      </c>
      <c r="Q22" s="4" t="s">
        <v>242</v>
      </c>
      <c r="R22" s="4">
        <v>13.896415710449219</v>
      </c>
      <c r="S22" s="4">
        <v>12.726466178894043</v>
      </c>
      <c r="T22" s="4" t="s">
        <v>242</v>
      </c>
      <c r="U22" s="8">
        <v>1.201004</v>
      </c>
    </row>
    <row r="23" spans="1:21" x14ac:dyDescent="0.2">
      <c r="A23" s="5" t="s">
        <v>62</v>
      </c>
      <c r="B23" s="6" t="s">
        <v>63</v>
      </c>
      <c r="C23" s="6" t="s">
        <v>256</v>
      </c>
      <c r="D23" s="6">
        <v>11.628840446472168</v>
      </c>
      <c r="E23" s="6">
        <v>0.12999999523162842</v>
      </c>
      <c r="F23" s="6">
        <v>0</v>
      </c>
      <c r="G23" s="6" t="s">
        <v>242</v>
      </c>
      <c r="H23" s="6"/>
      <c r="I23" s="6">
        <v>11.628840446472168</v>
      </c>
      <c r="J23" s="6">
        <v>19.826814651489258</v>
      </c>
      <c r="K23" s="6">
        <v>3619343160</v>
      </c>
      <c r="L23" s="6">
        <v>-3.1686895583827368E-2</v>
      </c>
      <c r="M23" s="6">
        <v>7.0215301513671875</v>
      </c>
      <c r="N23" s="6">
        <v>7.9171380996704102</v>
      </c>
      <c r="O23" s="6" t="s">
        <v>242</v>
      </c>
      <c r="P23" s="6">
        <v>1.18862272117971</v>
      </c>
      <c r="Q23" s="6" t="s">
        <v>242</v>
      </c>
      <c r="R23" s="6">
        <v>12.209203720092773</v>
      </c>
      <c r="S23" s="6">
        <v>14.241909980773926</v>
      </c>
      <c r="T23" s="6" t="s">
        <v>242</v>
      </c>
      <c r="U23" s="9">
        <v>1.1032150000000001</v>
      </c>
    </row>
    <row r="24" spans="1:21" x14ac:dyDescent="0.2">
      <c r="A24" s="3" t="s">
        <v>64</v>
      </c>
      <c r="B24" s="4" t="s">
        <v>65</v>
      </c>
      <c r="C24" s="4" t="s">
        <v>259</v>
      </c>
      <c r="D24" s="4">
        <v>-19.245166778564453</v>
      </c>
      <c r="E24" s="4">
        <v>0.93000000715255737</v>
      </c>
      <c r="F24" s="4">
        <v>0</v>
      </c>
      <c r="G24" s="4" t="s">
        <v>242</v>
      </c>
      <c r="H24" s="4">
        <v>0.93000000715255737</v>
      </c>
      <c r="I24" s="4">
        <v>-19.245166778564453</v>
      </c>
      <c r="J24" s="4">
        <v>19.58502197265625</v>
      </c>
      <c r="K24" s="4">
        <v>10144524380.76</v>
      </c>
      <c r="L24" s="4">
        <v>-1.0783077441758705E-2</v>
      </c>
      <c r="M24" s="4">
        <v>6.0044431686401367</v>
      </c>
      <c r="N24" s="4">
        <v>6.0820269584655762</v>
      </c>
      <c r="O24" s="4" t="s">
        <v>242</v>
      </c>
      <c r="P24" s="4">
        <v>1.1216874628639335</v>
      </c>
      <c r="Q24" s="4">
        <v>1.8237713242937397</v>
      </c>
      <c r="R24" s="4">
        <v>14.43305492401123</v>
      </c>
      <c r="S24" s="4">
        <v>16.654333114624023</v>
      </c>
      <c r="T24" s="4" t="s">
        <v>242</v>
      </c>
      <c r="U24" s="8">
        <v>0.55161269999999996</v>
      </c>
    </row>
    <row r="25" spans="1:21" x14ac:dyDescent="0.2">
      <c r="A25" s="5" t="s">
        <v>66</v>
      </c>
      <c r="B25" s="6" t="s">
        <v>67</v>
      </c>
      <c r="C25" s="6" t="s">
        <v>259</v>
      </c>
      <c r="D25" s="6">
        <v>-7.4372496604919434</v>
      </c>
      <c r="E25" s="6">
        <v>3.5</v>
      </c>
      <c r="F25" s="6">
        <v>0</v>
      </c>
      <c r="G25" s="6" t="s">
        <v>242</v>
      </c>
      <c r="H25" s="6">
        <v>24.5</v>
      </c>
      <c r="I25" s="6">
        <v>-7.4372496604919434</v>
      </c>
      <c r="J25" s="6">
        <v>19.538238525390625</v>
      </c>
      <c r="K25" s="6">
        <v>15216805506.261932</v>
      </c>
      <c r="L25" s="6">
        <v>-2.2278476962025315E-2</v>
      </c>
      <c r="M25" s="6">
        <v>7.4790234565734863</v>
      </c>
      <c r="N25" s="6">
        <v>4.8924050331115723</v>
      </c>
      <c r="O25" s="6" t="s">
        <v>242</v>
      </c>
      <c r="P25" s="6">
        <v>1.21484375</v>
      </c>
      <c r="Q25" s="6">
        <v>0.56359516550617361</v>
      </c>
      <c r="R25" s="6">
        <v>6.8115458488464355</v>
      </c>
      <c r="S25" s="6">
        <v>13.370729446411133</v>
      </c>
      <c r="T25" s="6" t="s">
        <v>242</v>
      </c>
      <c r="U25" s="9">
        <v>0.78786860000000003</v>
      </c>
    </row>
    <row r="26" spans="1:21" x14ac:dyDescent="0.2">
      <c r="A26" s="3" t="s">
        <v>68</v>
      </c>
      <c r="B26" s="4" t="s">
        <v>69</v>
      </c>
      <c r="C26" s="4" t="s">
        <v>256</v>
      </c>
      <c r="D26" s="4">
        <v>1.389420747756958</v>
      </c>
      <c r="E26" s="4">
        <v>3.75</v>
      </c>
      <c r="F26" s="4" t="s">
        <v>242</v>
      </c>
      <c r="G26" s="4" t="s">
        <v>242</v>
      </c>
      <c r="H26" s="4">
        <v>4</v>
      </c>
      <c r="I26" s="4">
        <v>1.389420747756958</v>
      </c>
      <c r="J26" s="4">
        <v>19.353693008422852</v>
      </c>
      <c r="K26" s="4">
        <v>4728207060</v>
      </c>
      <c r="L26" s="4">
        <v>-2.3477064891301385E-3</v>
      </c>
      <c r="M26" s="4">
        <v>5.428593635559082</v>
      </c>
      <c r="N26" s="4">
        <v>5.3057150840759277</v>
      </c>
      <c r="O26" s="4" t="s">
        <v>242</v>
      </c>
      <c r="P26" s="4">
        <v>1.1993452164423428</v>
      </c>
      <c r="Q26" s="4">
        <v>61.211670187963328</v>
      </c>
      <c r="R26" s="4">
        <v>12.342753410339355</v>
      </c>
      <c r="S26" s="4">
        <v>18.420978546142578</v>
      </c>
      <c r="T26" s="4" t="s">
        <v>248</v>
      </c>
      <c r="U26" s="8">
        <v>1.034351</v>
      </c>
    </row>
    <row r="27" spans="1:21" x14ac:dyDescent="0.2">
      <c r="A27" s="5" t="s">
        <v>70</v>
      </c>
      <c r="B27" s="6" t="s">
        <v>71</v>
      </c>
      <c r="C27" s="6" t="s">
        <v>257</v>
      </c>
      <c r="D27" s="6"/>
      <c r="E27" s="6">
        <v>4.5</v>
      </c>
      <c r="F27" s="6">
        <v>0</v>
      </c>
      <c r="G27" s="6" t="s">
        <v>242</v>
      </c>
      <c r="H27" s="6">
        <v>4.5</v>
      </c>
      <c r="I27" s="6"/>
      <c r="J27" s="6">
        <v>19.090909957885742</v>
      </c>
      <c r="K27" s="6">
        <v>35734069774.800003</v>
      </c>
      <c r="L27" s="6">
        <v>-6.6434419921633228E-3</v>
      </c>
      <c r="M27" s="6">
        <v>5.683753490447998</v>
      </c>
      <c r="N27" s="6">
        <v>8.1861305236816406</v>
      </c>
      <c r="O27" s="6" t="s">
        <v>242</v>
      </c>
      <c r="P27" s="6">
        <v>1.0848071264610926</v>
      </c>
      <c r="Q27" s="6">
        <v>1.4974402215373313</v>
      </c>
      <c r="R27" s="6">
        <v>9.6521892547607422</v>
      </c>
      <c r="S27" s="6">
        <v>17.59400749206543</v>
      </c>
      <c r="T27" s="6" t="s">
        <v>242</v>
      </c>
      <c r="U27" s="9">
        <v>0.50234590000000001</v>
      </c>
    </row>
    <row r="28" spans="1:21" x14ac:dyDescent="0.2">
      <c r="A28" s="3" t="s">
        <v>72</v>
      </c>
      <c r="B28" s="4" t="s">
        <v>73</v>
      </c>
      <c r="C28" s="4" t="s">
        <v>257</v>
      </c>
      <c r="D28" s="4">
        <v>3.7137298583984375</v>
      </c>
      <c r="E28" s="4">
        <v>0.60000002384185791</v>
      </c>
      <c r="F28" s="4" t="s">
        <v>242</v>
      </c>
      <c r="G28" s="4" t="s">
        <v>242</v>
      </c>
      <c r="H28" s="4">
        <v>2.4000000953674316</v>
      </c>
      <c r="I28" s="4">
        <v>3.7137298583984375</v>
      </c>
      <c r="J28" s="4">
        <v>18.973114013671875</v>
      </c>
      <c r="K28" s="4">
        <v>2420335488.3759837</v>
      </c>
      <c r="L28" s="4">
        <v>-5.9407783873698869E-3</v>
      </c>
      <c r="M28" s="4">
        <v>6.0471353530883789</v>
      </c>
      <c r="N28" s="4">
        <v>5.4258279800415039</v>
      </c>
      <c r="O28" s="4" t="s">
        <v>242</v>
      </c>
      <c r="P28" s="4">
        <v>1.0817058362932785</v>
      </c>
      <c r="Q28" s="4">
        <v>5.4835297396740685</v>
      </c>
      <c r="R28" s="4">
        <v>8.9249362945556641</v>
      </c>
      <c r="S28" s="4">
        <v>16.53675651550293</v>
      </c>
      <c r="T28" s="4" t="s">
        <v>242</v>
      </c>
      <c r="U28" s="8">
        <v>0.99982565641403198</v>
      </c>
    </row>
    <row r="29" spans="1:21" x14ac:dyDescent="0.2">
      <c r="A29" s="5" t="s">
        <v>74</v>
      </c>
      <c r="B29" s="6" t="s">
        <v>75</v>
      </c>
      <c r="C29" s="6" t="s">
        <v>257</v>
      </c>
      <c r="D29" s="6">
        <v>6.9753580093383789</v>
      </c>
      <c r="E29" s="6">
        <v>20.79210090637207</v>
      </c>
      <c r="F29" s="6">
        <v>0</v>
      </c>
      <c r="G29" s="6" t="s">
        <v>242</v>
      </c>
      <c r="H29" s="6"/>
      <c r="I29" s="6">
        <v>6.9753580093383789</v>
      </c>
      <c r="J29" s="6">
        <v>18.662046432495117</v>
      </c>
      <c r="K29" s="6">
        <v>51418745840</v>
      </c>
      <c r="L29" s="6">
        <v>-4.093034160634984E-2</v>
      </c>
      <c r="M29" s="6">
        <v>7.4442272186279297</v>
      </c>
      <c r="N29" s="6">
        <v>10.521785736083984</v>
      </c>
      <c r="O29" s="6" t="s">
        <v>242</v>
      </c>
      <c r="P29" s="6">
        <v>1.0549310491894155</v>
      </c>
      <c r="Q29" s="6">
        <v>1.5486473301689077</v>
      </c>
      <c r="R29" s="6">
        <v>8.4860448837280273</v>
      </c>
      <c r="S29" s="6">
        <v>13.433228492736816</v>
      </c>
      <c r="T29" s="6" t="s">
        <v>242</v>
      </c>
      <c r="U29" s="9">
        <v>0.3826524</v>
      </c>
    </row>
    <row r="30" spans="1:21" x14ac:dyDescent="0.2">
      <c r="A30" s="3" t="s">
        <v>76</v>
      </c>
      <c r="B30" s="4" t="s">
        <v>77</v>
      </c>
      <c r="C30" s="4" t="s">
        <v>257</v>
      </c>
      <c r="D30" s="4">
        <v>10.694167137145996</v>
      </c>
      <c r="E30" s="4">
        <v>3</v>
      </c>
      <c r="F30" s="4">
        <v>2427</v>
      </c>
      <c r="G30" s="4" t="s">
        <v>242</v>
      </c>
      <c r="H30" s="4">
        <v>11.600000143051147</v>
      </c>
      <c r="I30" s="4">
        <v>10.694167137145996</v>
      </c>
      <c r="J30" s="4">
        <v>18.361865997314453</v>
      </c>
      <c r="K30" s="4">
        <v>61169788000</v>
      </c>
      <c r="L30" s="4">
        <v>-2.2942645521759921E-2</v>
      </c>
      <c r="M30" s="4">
        <v>7.1049113273620605</v>
      </c>
      <c r="N30" s="4">
        <v>10.499558448791504</v>
      </c>
      <c r="O30" s="4" t="s">
        <v>242</v>
      </c>
      <c r="P30" s="4">
        <v>1.015820698747528</v>
      </c>
      <c r="Q30" s="4">
        <v>7.5444448835466336</v>
      </c>
      <c r="R30" s="4">
        <v>10.577750205993652</v>
      </c>
      <c r="S30" s="4">
        <v>14.074770927429199</v>
      </c>
      <c r="T30" s="4" t="s">
        <v>242</v>
      </c>
      <c r="U30" s="8">
        <v>1.1893800000000001</v>
      </c>
    </row>
    <row r="31" spans="1:21" x14ac:dyDescent="0.2">
      <c r="A31" s="5" t="s">
        <v>78</v>
      </c>
      <c r="B31" s="6" t="s">
        <v>79</v>
      </c>
      <c r="C31" s="6" t="s">
        <v>257</v>
      </c>
      <c r="D31" s="6">
        <v>12.021052360534668</v>
      </c>
      <c r="E31" s="6">
        <v>2.4800000190734863</v>
      </c>
      <c r="F31" s="6">
        <v>0</v>
      </c>
      <c r="G31" s="6" t="s">
        <v>242</v>
      </c>
      <c r="H31" s="6"/>
      <c r="I31" s="6">
        <v>12.021052360534668</v>
      </c>
      <c r="J31" s="6">
        <v>18.203268051147461</v>
      </c>
      <c r="K31" s="6">
        <v>10454821670.201523</v>
      </c>
      <c r="L31" s="6">
        <v>-3.0861628534468354E-4</v>
      </c>
      <c r="M31" s="6">
        <v>6.3459458351135254</v>
      </c>
      <c r="N31" s="6">
        <v>0.27939701080322266</v>
      </c>
      <c r="O31" s="6">
        <v>2.1201455976660335</v>
      </c>
      <c r="P31" s="6">
        <v>1.0594836315996692</v>
      </c>
      <c r="Q31" s="6" t="s">
        <v>242</v>
      </c>
      <c r="R31" s="6">
        <v>12.990899085998535</v>
      </c>
      <c r="S31" s="6">
        <v>15.758091926574707</v>
      </c>
      <c r="T31" s="6" t="s">
        <v>247</v>
      </c>
      <c r="U31" s="9">
        <v>0.86839599999999995</v>
      </c>
    </row>
    <row r="32" spans="1:21" x14ac:dyDescent="0.2">
      <c r="A32" s="3" t="s">
        <v>80</v>
      </c>
      <c r="B32" s="4" t="s">
        <v>81</v>
      </c>
      <c r="C32" s="4" t="s">
        <v>257</v>
      </c>
      <c r="D32" s="4">
        <v>14.674480438232422</v>
      </c>
      <c r="E32" s="4">
        <v>0.31999999284744263</v>
      </c>
      <c r="F32" s="4">
        <v>0</v>
      </c>
      <c r="G32" s="4" t="s">
        <v>242</v>
      </c>
      <c r="H32" s="4">
        <v>0.78999999165534973</v>
      </c>
      <c r="I32" s="4">
        <v>14.674480438232422</v>
      </c>
      <c r="J32" s="4">
        <v>18.17518424987793</v>
      </c>
      <c r="K32" s="4">
        <v>3996175018.5300002</v>
      </c>
      <c r="L32" s="4">
        <v>-1.3645428689691673E-2</v>
      </c>
      <c r="M32" s="4">
        <v>6.8658123016357422</v>
      </c>
      <c r="N32" s="4">
        <v>6.0215511322021484</v>
      </c>
      <c r="O32" s="4" t="s">
        <v>242</v>
      </c>
      <c r="P32" s="4">
        <v>1.2482993197278911</v>
      </c>
      <c r="Q32" s="4">
        <v>2.1191905384523952</v>
      </c>
      <c r="R32" s="4">
        <v>5.8247718811035156</v>
      </c>
      <c r="S32" s="4">
        <v>14.564918518066406</v>
      </c>
      <c r="T32" s="4" t="s">
        <v>242</v>
      </c>
      <c r="U32" s="8">
        <v>0.48781229999999998</v>
      </c>
    </row>
    <row r="33" spans="1:21" x14ac:dyDescent="0.2">
      <c r="A33" s="5" t="s">
        <v>82</v>
      </c>
      <c r="B33" s="6" t="s">
        <v>83</v>
      </c>
      <c r="C33" s="6" t="s">
        <v>257</v>
      </c>
      <c r="D33" s="6">
        <v>6.9610371589660645</v>
      </c>
      <c r="E33" s="6">
        <v>0.76999998092651367</v>
      </c>
      <c r="F33" s="6">
        <v>1210.3241882324219</v>
      </c>
      <c r="G33" s="6">
        <v>12.539229000000001</v>
      </c>
      <c r="H33" s="6">
        <v>3.0799999237060547</v>
      </c>
      <c r="I33" s="6">
        <v>6.9610371589660645</v>
      </c>
      <c r="J33" s="6">
        <v>18.114128112792969</v>
      </c>
      <c r="K33" s="6">
        <v>255923233572.74878</v>
      </c>
      <c r="L33" s="6">
        <v>-2.3865259691870422E-2</v>
      </c>
      <c r="M33" s="6">
        <v>5.7888545989990234</v>
      </c>
      <c r="N33" s="6">
        <v>10.833902359008789</v>
      </c>
      <c r="O33" s="6">
        <v>0.2125315509673221</v>
      </c>
      <c r="P33" s="6">
        <v>1.9478908188585609</v>
      </c>
      <c r="Q33" s="6" t="s">
        <v>242</v>
      </c>
      <c r="R33" s="6">
        <v>10.876112937927246</v>
      </c>
      <c r="S33" s="6">
        <v>17.274574279785156</v>
      </c>
      <c r="T33" s="6" t="s">
        <v>250</v>
      </c>
      <c r="U33" s="9">
        <v>0.42126208543777466</v>
      </c>
    </row>
    <row r="34" spans="1:21" x14ac:dyDescent="0.2">
      <c r="A34" s="3" t="s">
        <v>84</v>
      </c>
      <c r="B34" s="4" t="s">
        <v>85</v>
      </c>
      <c r="C34" s="4" t="s">
        <v>257</v>
      </c>
      <c r="D34" s="4">
        <v>7.5040478706359863</v>
      </c>
      <c r="E34" s="4">
        <v>0.2214290052652359</v>
      </c>
      <c r="F34" s="4">
        <v>0</v>
      </c>
      <c r="G34" s="4" t="s">
        <v>242</v>
      </c>
      <c r="H34" s="4">
        <v>0.2800000011920929</v>
      </c>
      <c r="I34" s="4">
        <v>7.5040154457092285</v>
      </c>
      <c r="J34" s="4">
        <v>18.012462615966797</v>
      </c>
      <c r="K34" s="4">
        <v>1003780332.36</v>
      </c>
      <c r="L34" s="4">
        <v>-1.4741785332033257E-2</v>
      </c>
      <c r="M34" s="4">
        <v>7.6184883117675781</v>
      </c>
      <c r="N34" s="4">
        <v>5.5024781227111816</v>
      </c>
      <c r="O34" s="4" t="s">
        <v>242</v>
      </c>
      <c r="P34" s="4">
        <v>1.5189149429951934</v>
      </c>
      <c r="Q34" s="4">
        <v>14.844550656008181</v>
      </c>
      <c r="R34" s="4">
        <v>8.1270971298217773</v>
      </c>
      <c r="S34" s="4">
        <v>13.125964164733887</v>
      </c>
      <c r="T34" s="4" t="s">
        <v>242</v>
      </c>
      <c r="U34" s="8">
        <v>0.79872080000000001</v>
      </c>
    </row>
    <row r="35" spans="1:21" x14ac:dyDescent="0.2">
      <c r="A35" s="5" t="s">
        <v>86</v>
      </c>
      <c r="B35" s="6" t="s">
        <v>87</v>
      </c>
      <c r="C35" s="6" t="s">
        <v>257</v>
      </c>
      <c r="D35" s="6">
        <v>5.110623836517334</v>
      </c>
      <c r="E35" s="6">
        <v>0.34000000357627869</v>
      </c>
      <c r="F35" s="6">
        <v>0</v>
      </c>
      <c r="G35" s="6" t="s">
        <v>242</v>
      </c>
      <c r="H35" s="6"/>
      <c r="I35" s="6">
        <v>5.110623836517334</v>
      </c>
      <c r="J35" s="6">
        <v>17.951921463012695</v>
      </c>
      <c r="K35" s="6">
        <v>3077335971.2081242</v>
      </c>
      <c r="L35" s="6">
        <v>-2.9417433841709608E-2</v>
      </c>
      <c r="M35" s="6">
        <v>9.3112163543701172</v>
      </c>
      <c r="N35" s="6">
        <v>5.0768799781799316</v>
      </c>
      <c r="O35" s="6" t="s">
        <v>242</v>
      </c>
      <c r="P35" s="6">
        <v>1.1519972918077181</v>
      </c>
      <c r="Q35" s="6">
        <v>-1.6645614594332538</v>
      </c>
      <c r="R35" s="6">
        <v>8.7136354446411133</v>
      </c>
      <c r="S35" s="6">
        <v>10.73973560333252</v>
      </c>
      <c r="T35" s="6" t="s">
        <v>251</v>
      </c>
      <c r="U35" s="9">
        <v>0.89004030000000001</v>
      </c>
    </row>
    <row r="36" spans="1:21" x14ac:dyDescent="0.2">
      <c r="A36" s="3" t="s">
        <v>88</v>
      </c>
      <c r="B36" s="4" t="s">
        <v>89</v>
      </c>
      <c r="C36" s="4" t="s">
        <v>257</v>
      </c>
      <c r="D36" s="4">
        <v>-6.5171570777893066</v>
      </c>
      <c r="E36" s="4">
        <v>10</v>
      </c>
      <c r="F36" s="4">
        <v>0</v>
      </c>
      <c r="G36" s="4" t="s">
        <v>242</v>
      </c>
      <c r="H36" s="4">
        <v>0.29200000315904617</v>
      </c>
      <c r="I36" s="4">
        <v>-6.5171570777893066</v>
      </c>
      <c r="J36" s="4">
        <v>17.937246322631836</v>
      </c>
      <c r="K36" s="4">
        <v>4478742602.7300005</v>
      </c>
      <c r="L36" s="4">
        <v>7.9673339816661065E-5</v>
      </c>
      <c r="M36" s="4">
        <v>5.5705547332763672</v>
      </c>
      <c r="N36" s="4">
        <v>10.05378246307373</v>
      </c>
      <c r="O36" s="4" t="s">
        <v>242</v>
      </c>
      <c r="P36" s="4">
        <v>1.107018763029882</v>
      </c>
      <c r="Q36" s="4">
        <v>0.95355808319303748</v>
      </c>
      <c r="R36" s="4">
        <v>11.145263671875</v>
      </c>
      <c r="S36" s="4">
        <v>17.951534271240234</v>
      </c>
      <c r="T36" s="4" t="s">
        <v>242</v>
      </c>
      <c r="U36" s="8">
        <v>1.194078</v>
      </c>
    </row>
    <row r="37" spans="1:21" x14ac:dyDescent="0.2">
      <c r="A37" s="5" t="s">
        <v>90</v>
      </c>
      <c r="B37" s="6" t="s">
        <v>91</v>
      </c>
      <c r="C37" s="6" t="s">
        <v>259</v>
      </c>
      <c r="D37" s="6">
        <v>7.8994359970092773</v>
      </c>
      <c r="E37" s="6">
        <v>1.3500000238418579</v>
      </c>
      <c r="F37" s="6">
        <v>0</v>
      </c>
      <c r="G37" s="6" t="s">
        <v>242</v>
      </c>
      <c r="H37" s="6"/>
      <c r="I37" s="6">
        <v>7.8994359970092773</v>
      </c>
      <c r="J37" s="6">
        <v>17.486598968505859</v>
      </c>
      <c r="K37" s="6">
        <v>31497908637.154839</v>
      </c>
      <c r="L37" s="6">
        <v>-2.9202702224940934E-2</v>
      </c>
      <c r="M37" s="6">
        <v>8.3382511138916016</v>
      </c>
      <c r="N37" s="6">
        <v>8.1466894149780273</v>
      </c>
      <c r="O37" s="6" t="s">
        <v>242</v>
      </c>
      <c r="P37" s="6">
        <v>1.051566316353431</v>
      </c>
      <c r="Q37" s="6" t="s">
        <v>242</v>
      </c>
      <c r="R37" s="6">
        <v>11.209932327270508</v>
      </c>
      <c r="S37" s="6">
        <v>11.992922782897949</v>
      </c>
      <c r="T37" s="6" t="s">
        <v>242</v>
      </c>
      <c r="U37" s="9">
        <v>0.72180270000000002</v>
      </c>
    </row>
    <row r="38" spans="1:21" x14ac:dyDescent="0.2">
      <c r="A38" s="3" t="s">
        <v>92</v>
      </c>
      <c r="B38" s="4" t="s">
        <v>93</v>
      </c>
      <c r="C38" s="4" t="s">
        <v>259</v>
      </c>
      <c r="D38" s="4"/>
      <c r="E38" s="4">
        <v>5</v>
      </c>
      <c r="F38" s="4">
        <v>0</v>
      </c>
      <c r="G38" s="4" t="s">
        <v>242</v>
      </c>
      <c r="H38" s="4">
        <v>5</v>
      </c>
      <c r="I38" s="4"/>
      <c r="J38" s="4">
        <v>17.460607528686523</v>
      </c>
      <c r="K38" s="4">
        <v>49021434663</v>
      </c>
      <c r="L38" s="4"/>
      <c r="M38" s="4">
        <v>5.591130256652832</v>
      </c>
      <c r="N38" s="4">
        <v>14.563595771789551</v>
      </c>
      <c r="O38" s="4" t="s">
        <v>242</v>
      </c>
      <c r="P38" s="4">
        <v>1.0009469553579853</v>
      </c>
      <c r="Q38" s="4">
        <v>1.5797130378353141</v>
      </c>
      <c r="R38" s="4">
        <v>10.110615730285645</v>
      </c>
      <c r="S38" s="4">
        <v>17.885471343994141</v>
      </c>
      <c r="T38" s="4" t="s">
        <v>243</v>
      </c>
      <c r="U38" s="8">
        <v>0.70322419999999997</v>
      </c>
    </row>
    <row r="39" spans="1:21" x14ac:dyDescent="0.2">
      <c r="A39" s="5" t="s">
        <v>94</v>
      </c>
      <c r="B39" s="6" t="s">
        <v>95</v>
      </c>
      <c r="C39" s="6" t="s">
        <v>259</v>
      </c>
      <c r="D39" s="6">
        <v>-1.009770393371582</v>
      </c>
      <c r="E39" s="6">
        <v>2.9200000688433647E-2</v>
      </c>
      <c r="F39" s="6" t="s">
        <v>242</v>
      </c>
      <c r="G39" s="6" t="s">
        <v>242</v>
      </c>
      <c r="H39" s="6"/>
      <c r="I39" s="6">
        <v>-1.009770393371582</v>
      </c>
      <c r="J39" s="6">
        <v>17.441394805908203</v>
      </c>
      <c r="K39" s="6">
        <v>1702972767.3300002</v>
      </c>
      <c r="L39" s="6">
        <v>-1.2347760903160135E-3</v>
      </c>
      <c r="M39" s="6">
        <v>5.8443117141723633</v>
      </c>
      <c r="N39" s="6">
        <v>6.769038200378418</v>
      </c>
      <c r="O39" s="6" t="s">
        <v>242</v>
      </c>
      <c r="P39" s="6">
        <v>1.026248999267549</v>
      </c>
      <c r="Q39" s="6">
        <v>-1.2123761080804085</v>
      </c>
      <c r="R39" s="6">
        <v>8.8592586517333984</v>
      </c>
      <c r="S39" s="6">
        <v>17.110654830932617</v>
      </c>
      <c r="T39" s="6" t="s">
        <v>242</v>
      </c>
      <c r="U39" s="9">
        <v>1.5285</v>
      </c>
    </row>
    <row r="40" spans="1:21" x14ac:dyDescent="0.2">
      <c r="A40" s="3" t="s">
        <v>96</v>
      </c>
      <c r="B40" s="4" t="s">
        <v>97</v>
      </c>
      <c r="C40" s="4" t="s">
        <v>259</v>
      </c>
      <c r="D40" s="4">
        <v>12.829429626464844</v>
      </c>
      <c r="E40" s="4">
        <v>3.2000001519918442E-2</v>
      </c>
      <c r="F40" s="4">
        <v>0</v>
      </c>
      <c r="G40" s="4" t="s">
        <v>242</v>
      </c>
      <c r="H40" s="4"/>
      <c r="I40" s="4">
        <v>12.829429626464844</v>
      </c>
      <c r="J40" s="4">
        <v>17.392770767211914</v>
      </c>
      <c r="K40" s="4">
        <v>2465800680</v>
      </c>
      <c r="L40" s="4">
        <v>-6.2026650683346424E-2</v>
      </c>
      <c r="M40" s="4">
        <v>7.745030403137207</v>
      </c>
      <c r="N40" s="4">
        <v>17.907032012939453</v>
      </c>
      <c r="O40" s="4" t="s">
        <v>242</v>
      </c>
      <c r="P40" s="4">
        <v>1.0229009621268341</v>
      </c>
      <c r="Q40" s="4" t="s">
        <v>242</v>
      </c>
      <c r="R40" s="4">
        <v>13.671229362487793</v>
      </c>
      <c r="S40" s="4">
        <v>12.911504745483398</v>
      </c>
      <c r="T40" s="4" t="s">
        <v>242</v>
      </c>
      <c r="U40" s="8">
        <v>0.54652389999999995</v>
      </c>
    </row>
    <row r="41" spans="1:21" x14ac:dyDescent="0.2">
      <c r="A41" s="5" t="s">
        <v>98</v>
      </c>
      <c r="B41" s="6" t="s">
        <v>99</v>
      </c>
      <c r="C41" s="6" t="s">
        <v>259</v>
      </c>
      <c r="D41" s="6"/>
      <c r="E41" s="6">
        <v>0.125</v>
      </c>
      <c r="F41" s="6" t="s">
        <v>242</v>
      </c>
      <c r="G41" s="6">
        <v>48.677908000000002</v>
      </c>
      <c r="H41" s="6">
        <v>0.5</v>
      </c>
      <c r="I41" s="6"/>
      <c r="J41" s="6">
        <v>17.392410278320312</v>
      </c>
      <c r="K41" s="6">
        <v>4975254185.1345072</v>
      </c>
      <c r="L41" s="6">
        <v>2.8342639579411534E-4</v>
      </c>
      <c r="M41" s="6">
        <v>7.3580946922302246</v>
      </c>
      <c r="N41" s="6">
        <v>3.5234630107879639</v>
      </c>
      <c r="O41" s="6">
        <v>1.6294612680816545</v>
      </c>
      <c r="P41" s="6">
        <v>1.5576066360688872</v>
      </c>
      <c r="Q41" s="6">
        <v>7.2029788444747602</v>
      </c>
      <c r="R41" s="6">
        <v>13.330843925476074</v>
      </c>
      <c r="S41" s="6">
        <v>13.590475082397461</v>
      </c>
      <c r="T41" s="6" t="s">
        <v>242</v>
      </c>
      <c r="U41" s="9">
        <v>0.98131453990936279</v>
      </c>
    </row>
    <row r="42" spans="1:21" x14ac:dyDescent="0.2">
      <c r="A42" s="3" t="s">
        <v>100</v>
      </c>
      <c r="B42" s="4" t="s">
        <v>101</v>
      </c>
      <c r="C42" s="4" t="s">
        <v>259</v>
      </c>
      <c r="D42" s="4">
        <v>6.1516561508178711</v>
      </c>
      <c r="E42" s="4">
        <v>7.75</v>
      </c>
      <c r="F42" s="4">
        <v>0</v>
      </c>
      <c r="G42" s="4" t="s">
        <v>242</v>
      </c>
      <c r="H42" s="4">
        <v>0</v>
      </c>
      <c r="I42" s="4">
        <v>6.1516561508178711</v>
      </c>
      <c r="J42" s="4">
        <v>17.329732894897461</v>
      </c>
      <c r="K42" s="4">
        <v>206904059878.82675</v>
      </c>
      <c r="L42" s="4">
        <v>-1.3919493923587E-3</v>
      </c>
      <c r="M42" s="4">
        <v>5.9342031478881836</v>
      </c>
      <c r="N42" s="4">
        <v>10.625741004943848</v>
      </c>
      <c r="O42" s="4" t="s">
        <v>242</v>
      </c>
      <c r="P42" s="4">
        <v>1.1018815635939323</v>
      </c>
      <c r="Q42" s="4">
        <v>6.5333318194687147</v>
      </c>
      <c r="R42" s="4">
        <v>6.0271987915039062</v>
      </c>
      <c r="S42" s="4">
        <v>16.851463317871094</v>
      </c>
      <c r="T42" s="4" t="s">
        <v>242</v>
      </c>
      <c r="U42" s="8">
        <v>0.47203970000000001</v>
      </c>
    </row>
    <row r="43" spans="1:21" x14ac:dyDescent="0.2">
      <c r="A43" s="5" t="s">
        <v>102</v>
      </c>
      <c r="B43" s="6" t="s">
        <v>103</v>
      </c>
      <c r="C43" s="6" t="s">
        <v>259</v>
      </c>
      <c r="D43" s="6">
        <v>5.9223828315734863</v>
      </c>
      <c r="E43" s="6">
        <v>0.40000000596046448</v>
      </c>
      <c r="F43" s="6">
        <v>0</v>
      </c>
      <c r="G43" s="6" t="s">
        <v>242</v>
      </c>
      <c r="H43" s="6"/>
      <c r="I43" s="6">
        <v>5.9223828315734863</v>
      </c>
      <c r="J43" s="6">
        <v>16.915872573852539</v>
      </c>
      <c r="K43" s="6">
        <v>6779079120</v>
      </c>
      <c r="L43" s="6">
        <v>-0.1207245558507867</v>
      </c>
      <c r="M43" s="6">
        <v>8.102696418762207</v>
      </c>
      <c r="N43" s="6">
        <v>32.562992095947266</v>
      </c>
      <c r="O43" s="6" t="s">
        <v>242</v>
      </c>
      <c r="P43" s="6">
        <v>1.0168802670955717</v>
      </c>
      <c r="Q43" s="6">
        <v>-1.7575195647171515</v>
      </c>
      <c r="R43" s="6">
        <v>6.7635998725891113</v>
      </c>
      <c r="S43" s="6">
        <v>12.341569900512695</v>
      </c>
      <c r="T43" s="6" t="s">
        <v>242</v>
      </c>
      <c r="U43" s="9">
        <v>0.74962309999999999</v>
      </c>
    </row>
    <row r="44" spans="1:21" x14ac:dyDescent="0.2">
      <c r="A44" s="3" t="s">
        <v>104</v>
      </c>
      <c r="B44" s="4" t="s">
        <v>105</v>
      </c>
      <c r="C44" s="4" t="s">
        <v>259</v>
      </c>
      <c r="D44" s="4">
        <v>15.557727813720703</v>
      </c>
      <c r="E44" s="4">
        <v>45</v>
      </c>
      <c r="F44" s="4">
        <v>15</v>
      </c>
      <c r="G44" s="4" t="s">
        <v>242</v>
      </c>
      <c r="H44" s="4"/>
      <c r="I44" s="4">
        <v>15.557727813720703</v>
      </c>
      <c r="J44" s="4">
        <v>16.428462982177734</v>
      </c>
      <c r="K44" s="4">
        <v>394158447024</v>
      </c>
      <c r="L44" s="4">
        <v>-4.1675096579643495E-3</v>
      </c>
      <c r="M44" s="4">
        <v>6.5812177658081055</v>
      </c>
      <c r="N44" s="4">
        <v>5.5895051956176758</v>
      </c>
      <c r="O44" s="4" t="s">
        <v>242</v>
      </c>
      <c r="P44" s="4">
        <v>1.0119800580400327</v>
      </c>
      <c r="Q44" s="4">
        <v>11.720437795814297</v>
      </c>
      <c r="R44" s="4">
        <v>11.606396675109863</v>
      </c>
      <c r="S44" s="4">
        <v>15.194755554199219</v>
      </c>
      <c r="T44" s="4" t="s">
        <v>242</v>
      </c>
      <c r="U44" s="8">
        <v>1.0774919999999999</v>
      </c>
    </row>
    <row r="45" spans="1:21" x14ac:dyDescent="0.2">
      <c r="A45" s="5" t="s">
        <v>106</v>
      </c>
      <c r="B45" s="6" t="s">
        <v>107</v>
      </c>
      <c r="C45" s="6" t="s">
        <v>259</v>
      </c>
      <c r="D45" s="6">
        <v>15.438525199890137</v>
      </c>
      <c r="E45" s="6">
        <v>0.10999999940395355</v>
      </c>
      <c r="F45" s="6" t="s">
        <v>242</v>
      </c>
      <c r="G45" s="6">
        <v>0.228127</v>
      </c>
      <c r="H45" s="6">
        <v>0.40000000596046448</v>
      </c>
      <c r="I45" s="6">
        <v>15.438525199890137</v>
      </c>
      <c r="J45" s="6">
        <v>16.264608383178711</v>
      </c>
      <c r="K45" s="6">
        <v>2602757413.9849858</v>
      </c>
      <c r="L45" s="6">
        <v>-6.0545804615468896E-3</v>
      </c>
      <c r="M45" s="6">
        <v>6.7239313125610352</v>
      </c>
      <c r="N45" s="6">
        <v>4.5379672050476074</v>
      </c>
      <c r="O45" s="6">
        <v>1.0243473895582329</v>
      </c>
      <c r="P45" s="6">
        <v>1.5804967801287948</v>
      </c>
      <c r="Q45" s="6" t="s">
        <v>242</v>
      </c>
      <c r="R45" s="6">
        <v>6.069091796875</v>
      </c>
      <c r="S45" s="6">
        <v>14.872251510620117</v>
      </c>
      <c r="T45" s="6" t="s">
        <v>242</v>
      </c>
      <c r="U45" s="9">
        <v>1.1521445512771606</v>
      </c>
    </row>
    <row r="46" spans="1:21" x14ac:dyDescent="0.2">
      <c r="A46" s="3" t="s">
        <v>108</v>
      </c>
      <c r="B46" s="4" t="s">
        <v>109</v>
      </c>
      <c r="C46" s="4" t="s">
        <v>259</v>
      </c>
      <c r="D46" s="4">
        <v>0</v>
      </c>
      <c r="E46" s="4">
        <v>0.34999999403953552</v>
      </c>
      <c r="F46" s="4">
        <v>0</v>
      </c>
      <c r="G46" s="4" t="s">
        <v>242</v>
      </c>
      <c r="H46" s="4"/>
      <c r="I46" s="4">
        <v>0</v>
      </c>
      <c r="J46" s="4">
        <v>16.146982192993164</v>
      </c>
      <c r="K46" s="4">
        <v>1294726209.3361378</v>
      </c>
      <c r="L46" s="4">
        <v>-8.2355897238746128E-3</v>
      </c>
      <c r="M46" s="4">
        <v>7.3536028861999512</v>
      </c>
      <c r="N46" s="4">
        <v>4.763397216796875</v>
      </c>
      <c r="O46" s="4" t="s">
        <v>242</v>
      </c>
      <c r="P46" s="4">
        <v>1.0192121356524502</v>
      </c>
      <c r="Q46" s="4">
        <v>2.7044020894138314</v>
      </c>
      <c r="R46" s="4">
        <v>10.933280944824219</v>
      </c>
      <c r="S46" s="4">
        <v>13.598775863647461</v>
      </c>
      <c r="T46" s="4" t="s">
        <v>253</v>
      </c>
      <c r="U46" s="8">
        <v>1.298516</v>
      </c>
    </row>
    <row r="47" spans="1:21" x14ac:dyDescent="0.2">
      <c r="A47" s="5" t="s">
        <v>110</v>
      </c>
      <c r="B47" s="6" t="s">
        <v>111</v>
      </c>
      <c r="C47" s="6" t="s">
        <v>260</v>
      </c>
      <c r="D47" s="6">
        <v>22.327062606811523</v>
      </c>
      <c r="E47" s="6">
        <v>2.5</v>
      </c>
      <c r="F47" s="6" t="s">
        <v>242</v>
      </c>
      <c r="G47" s="6">
        <v>25.709652999999999</v>
      </c>
      <c r="H47" s="6"/>
      <c r="I47" s="6">
        <v>22.327062606811523</v>
      </c>
      <c r="J47" s="6">
        <v>15.970434188842773</v>
      </c>
      <c r="K47" s="6">
        <v>298983690113.68329</v>
      </c>
      <c r="L47" s="6">
        <v>1.3309262637675439E-2</v>
      </c>
      <c r="M47" s="6">
        <v>6.3876371383666992</v>
      </c>
      <c r="N47" s="6">
        <v>7.1706461906433105</v>
      </c>
      <c r="O47" s="6">
        <v>0.78598038843663298</v>
      </c>
      <c r="P47" s="6">
        <v>1.120265238484049</v>
      </c>
      <c r="Q47" s="6">
        <v>4.6896814152806403</v>
      </c>
      <c r="R47" s="6">
        <v>14.30174446105957</v>
      </c>
      <c r="S47" s="6">
        <v>15.655241012573242</v>
      </c>
      <c r="T47" s="6" t="s">
        <v>242</v>
      </c>
      <c r="U47" s="9">
        <v>0.66222000000000003</v>
      </c>
    </row>
    <row r="48" spans="1:21" x14ac:dyDescent="0.2">
      <c r="A48" s="3" t="s">
        <v>112</v>
      </c>
      <c r="B48" s="4" t="s">
        <v>113</v>
      </c>
      <c r="C48" s="4" t="s">
        <v>259</v>
      </c>
      <c r="D48" s="4">
        <v>11.424339294433594</v>
      </c>
      <c r="E48" s="4">
        <v>1.5199999809265137</v>
      </c>
      <c r="F48" s="4">
        <v>0</v>
      </c>
      <c r="G48" s="4">
        <v>0</v>
      </c>
      <c r="H48" s="4"/>
      <c r="I48" s="4">
        <v>11.424339294433594</v>
      </c>
      <c r="J48" s="4">
        <v>15.895525932312012</v>
      </c>
      <c r="K48" s="4">
        <v>346448186757.69592</v>
      </c>
      <c r="L48" s="4">
        <v>1.4419310120942129E-2</v>
      </c>
      <c r="M48" s="4">
        <v>5.3337492942810059</v>
      </c>
      <c r="N48" s="4">
        <v>7.4828591346740723</v>
      </c>
      <c r="O48" s="4" t="s">
        <v>242</v>
      </c>
      <c r="P48" s="4">
        <v>1.2691374867363954</v>
      </c>
      <c r="Q48" s="4">
        <v>1.2848214667621485</v>
      </c>
      <c r="R48" s="4">
        <v>7.7500619888305664</v>
      </c>
      <c r="S48" s="4">
        <v>18.748537063598633</v>
      </c>
      <c r="T48" s="4" t="s">
        <v>242</v>
      </c>
      <c r="U48" s="8">
        <v>0.70752000000000004</v>
      </c>
    </row>
    <row r="49" spans="1:21" x14ac:dyDescent="0.2">
      <c r="A49" s="5" t="s">
        <v>114</v>
      </c>
      <c r="B49" s="6" t="s">
        <v>115</v>
      </c>
      <c r="C49" s="6" t="s">
        <v>259</v>
      </c>
      <c r="D49" s="6">
        <v>18.664880752563477</v>
      </c>
      <c r="E49" s="6">
        <v>4</v>
      </c>
      <c r="F49" s="6">
        <v>0</v>
      </c>
      <c r="G49" s="6" t="s">
        <v>242</v>
      </c>
      <c r="H49" s="6"/>
      <c r="I49" s="6">
        <v>18.664880752563477</v>
      </c>
      <c r="J49" s="6">
        <v>15.882331848144531</v>
      </c>
      <c r="K49" s="6">
        <v>64175261878.000008</v>
      </c>
      <c r="L49" s="6">
        <v>-7.525483638576724E-3</v>
      </c>
      <c r="M49" s="6">
        <v>6.8271493911743164</v>
      </c>
      <c r="N49" s="6">
        <v>11.270046234130859</v>
      </c>
      <c r="O49" s="6" t="s">
        <v>242</v>
      </c>
      <c r="P49" s="6">
        <v>1.0162327237750006</v>
      </c>
      <c r="Q49" s="6">
        <v>7.7284687412342246</v>
      </c>
      <c r="R49" s="6">
        <v>14.354702949523926</v>
      </c>
      <c r="S49" s="6">
        <v>14.647401809692383</v>
      </c>
      <c r="T49" s="6" t="s">
        <v>242</v>
      </c>
      <c r="U49" s="9">
        <v>0.70837190000000005</v>
      </c>
    </row>
    <row r="50" spans="1:21" x14ac:dyDescent="0.2">
      <c r="A50" s="3" t="s">
        <v>116</v>
      </c>
      <c r="B50" s="4" t="s">
        <v>117</v>
      </c>
      <c r="C50" s="4" t="s">
        <v>259</v>
      </c>
      <c r="D50" s="4"/>
      <c r="E50" s="4">
        <v>0.40000000596046448</v>
      </c>
      <c r="F50" s="4">
        <v>0</v>
      </c>
      <c r="G50" s="4" t="s">
        <v>242</v>
      </c>
      <c r="H50" s="4"/>
      <c r="I50" s="4"/>
      <c r="J50" s="4">
        <v>15.864789962768555</v>
      </c>
      <c r="K50" s="4">
        <v>16195827200.132828</v>
      </c>
      <c r="L50" s="4">
        <v>6.8841099819574644E-3</v>
      </c>
      <c r="M50" s="4">
        <v>5.0870590209960938</v>
      </c>
      <c r="N50" s="4">
        <v>6.0023841857910156</v>
      </c>
      <c r="O50" s="4" t="s">
        <v>242</v>
      </c>
      <c r="P50" s="4">
        <v>1.0167022901011433</v>
      </c>
      <c r="Q50" s="4">
        <v>7.1029161869503206</v>
      </c>
      <c r="R50" s="4">
        <v>8.7510042190551758</v>
      </c>
      <c r="S50" s="4">
        <v>19.657722473144531</v>
      </c>
      <c r="T50" s="4" t="s">
        <v>242</v>
      </c>
      <c r="U50" s="8">
        <v>1.0806720000000001</v>
      </c>
    </row>
    <row r="51" spans="1:21" x14ac:dyDescent="0.2">
      <c r="A51" s="5" t="s">
        <v>118</v>
      </c>
      <c r="B51" s="6" t="s">
        <v>119</v>
      </c>
      <c r="C51" s="6" t="s">
        <v>259</v>
      </c>
      <c r="D51" s="6">
        <v>7.3940930366516113</v>
      </c>
      <c r="E51" s="6">
        <v>0.25</v>
      </c>
      <c r="F51" s="6">
        <v>20.403653103079424</v>
      </c>
      <c r="G51" s="6">
        <v>0.33674799999999999</v>
      </c>
      <c r="H51" s="6">
        <v>0.98999999463558197</v>
      </c>
      <c r="I51" s="6">
        <v>7.3940930366516113</v>
      </c>
      <c r="J51" s="6">
        <v>15.807379722595215</v>
      </c>
      <c r="K51" s="6">
        <v>1836630372.2352295</v>
      </c>
      <c r="L51" s="6">
        <v>-6.311213877784734E-2</v>
      </c>
      <c r="M51" s="6">
        <v>8.8722734451293945</v>
      </c>
      <c r="N51" s="6">
        <v>11.424511909484863</v>
      </c>
      <c r="O51" s="6">
        <v>1.816800520946386</v>
      </c>
      <c r="P51" s="6">
        <v>1.0524440879494197</v>
      </c>
      <c r="Q51" s="6" t="s">
        <v>242</v>
      </c>
      <c r="R51" s="6">
        <v>14.224457740783691</v>
      </c>
      <c r="S51" s="6">
        <v>11.27106761932373</v>
      </c>
      <c r="T51" s="6" t="s">
        <v>242</v>
      </c>
      <c r="U51" s="9">
        <v>1.0629732608795166</v>
      </c>
    </row>
    <row r="52" spans="1:21" x14ac:dyDescent="0.2">
      <c r="A52" s="3" t="s">
        <v>120</v>
      </c>
      <c r="B52" s="4" t="s">
        <v>121</v>
      </c>
      <c r="C52" s="4" t="s">
        <v>259</v>
      </c>
      <c r="D52" s="4">
        <v>21.672868728637695</v>
      </c>
      <c r="E52" s="4">
        <v>2</v>
      </c>
      <c r="F52" s="4">
        <v>0</v>
      </c>
      <c r="G52" s="4" t="s">
        <v>242</v>
      </c>
      <c r="H52" s="4"/>
      <c r="I52" s="4">
        <v>21.672868728637695</v>
      </c>
      <c r="J52" s="4">
        <v>15.732946395874023</v>
      </c>
      <c r="K52" s="4">
        <v>37336954631.968918</v>
      </c>
      <c r="L52" s="4">
        <v>6.0568605555645092E-3</v>
      </c>
      <c r="M52" s="4">
        <v>5.9779887199401855</v>
      </c>
      <c r="N52" s="4">
        <v>10.126042366027832</v>
      </c>
      <c r="O52" s="4" t="s">
        <v>242</v>
      </c>
      <c r="P52" s="4">
        <v>1.0690582959641255</v>
      </c>
      <c r="Q52" s="4" t="s">
        <v>242</v>
      </c>
      <c r="R52" s="4">
        <v>9.480194091796875</v>
      </c>
      <c r="S52" s="4">
        <v>16.728034973144531</v>
      </c>
      <c r="T52" s="4" t="s">
        <v>242</v>
      </c>
      <c r="U52" s="8">
        <v>1.0045949999999999</v>
      </c>
    </row>
    <row r="53" spans="1:21" x14ac:dyDescent="0.2">
      <c r="A53" s="5" t="s">
        <v>122</v>
      </c>
      <c r="B53" s="6" t="s">
        <v>123</v>
      </c>
      <c r="C53" s="6" t="s">
        <v>259</v>
      </c>
      <c r="D53" s="6">
        <v>4.5639553070068359</v>
      </c>
      <c r="E53" s="6">
        <v>0.51999998092651367</v>
      </c>
      <c r="F53" s="6">
        <v>0</v>
      </c>
      <c r="G53" s="6">
        <v>0.17350499999999999</v>
      </c>
      <c r="H53" s="6"/>
      <c r="I53" s="6">
        <v>4.5639553070068359</v>
      </c>
      <c r="J53" s="6">
        <v>15.696203231811523</v>
      </c>
      <c r="K53" s="6">
        <v>4008686404.2146492</v>
      </c>
      <c r="L53" s="6">
        <v>1.0234735880102026E-2</v>
      </c>
      <c r="M53" s="6">
        <v>5.5732688903808594</v>
      </c>
      <c r="N53" s="6">
        <v>5.131871223449707</v>
      </c>
      <c r="O53" s="6" t="s">
        <v>242</v>
      </c>
      <c r="P53" s="6">
        <v>1.2671324018629408</v>
      </c>
      <c r="Q53" s="6">
        <v>-0.86954591424986272</v>
      </c>
      <c r="R53" s="6">
        <v>6.8115458488464355</v>
      </c>
      <c r="S53" s="6">
        <v>17.942790985107422</v>
      </c>
      <c r="T53" s="6" t="s">
        <v>242</v>
      </c>
      <c r="U53" s="9">
        <v>0.81185359999999995</v>
      </c>
    </row>
    <row r="54" spans="1:21" x14ac:dyDescent="0.2">
      <c r="A54" s="3" t="s">
        <v>124</v>
      </c>
      <c r="B54" s="4" t="s">
        <v>125</v>
      </c>
      <c r="C54" s="4" t="s">
        <v>259</v>
      </c>
      <c r="D54" s="4">
        <v>45.495510101318359</v>
      </c>
      <c r="E54" s="4">
        <v>0.38740000128746033</v>
      </c>
      <c r="F54" s="4">
        <v>0</v>
      </c>
      <c r="G54" s="4" t="s">
        <v>242</v>
      </c>
      <c r="H54" s="4"/>
      <c r="I54" s="4">
        <v>50.228443145751953</v>
      </c>
      <c r="J54" s="4">
        <v>15.614264488220215</v>
      </c>
      <c r="K54" s="4">
        <v>3263564255.5478673</v>
      </c>
      <c r="L54" s="4">
        <v>-7.0972953517379274E-4</v>
      </c>
      <c r="M54" s="4">
        <v>6.4446291923522949</v>
      </c>
      <c r="N54" s="4">
        <v>9.5039024353027344</v>
      </c>
      <c r="O54" s="4" t="s">
        <v>242</v>
      </c>
      <c r="P54" s="4">
        <v>1.0594539665829594</v>
      </c>
      <c r="Q54" s="4">
        <v>3.6265106844699551</v>
      </c>
      <c r="R54" s="4">
        <v>12.979843139648438</v>
      </c>
      <c r="S54" s="4">
        <v>15.516796112060547</v>
      </c>
      <c r="T54" s="4" t="s">
        <v>242</v>
      </c>
      <c r="U54" s="8">
        <v>0.8086795</v>
      </c>
    </row>
    <row r="55" spans="1:21" x14ac:dyDescent="0.2">
      <c r="A55" s="5" t="s">
        <v>126</v>
      </c>
      <c r="B55" s="6" t="s">
        <v>127</v>
      </c>
      <c r="C55" s="6" t="s">
        <v>260</v>
      </c>
      <c r="D55" s="6">
        <v>7.9688897132873535</v>
      </c>
      <c r="E55" s="6">
        <v>0.32220000028610229</v>
      </c>
      <c r="F55" s="6" t="s">
        <v>242</v>
      </c>
      <c r="G55" s="6" t="s">
        <v>242</v>
      </c>
      <c r="H55" s="6"/>
      <c r="I55" s="6">
        <v>7.9688897132873535</v>
      </c>
      <c r="J55" s="6">
        <v>15.44077205657959</v>
      </c>
      <c r="K55" s="6">
        <v>1389920036.315918</v>
      </c>
      <c r="L55" s="6">
        <v>-2.2400451471391639E-2</v>
      </c>
      <c r="M55" s="6">
        <v>7.1254010200500488</v>
      </c>
      <c r="N55" s="6">
        <v>20.656051635742188</v>
      </c>
      <c r="O55" s="6" t="s">
        <v>242</v>
      </c>
      <c r="P55" s="6">
        <v>1.0450350137690738</v>
      </c>
      <c r="Q55" s="6">
        <v>1.9749023736881375</v>
      </c>
      <c r="R55" s="6">
        <v>6.7249369621276855</v>
      </c>
      <c r="S55" s="6">
        <v>14.034297943115234</v>
      </c>
      <c r="T55" s="6" t="s">
        <v>242</v>
      </c>
      <c r="U55" s="9">
        <v>0.47560150000000001</v>
      </c>
    </row>
    <row r="56" spans="1:21" x14ac:dyDescent="0.2">
      <c r="A56" s="3" t="s">
        <v>128</v>
      </c>
      <c r="B56" s="4" t="s">
        <v>129</v>
      </c>
      <c r="C56" s="4" t="s">
        <v>260</v>
      </c>
      <c r="D56" s="4">
        <v>9.8378782272338867</v>
      </c>
      <c r="E56" s="4">
        <v>13.605099678039551</v>
      </c>
      <c r="F56" s="4">
        <v>0</v>
      </c>
      <c r="G56" s="4" t="s">
        <v>242</v>
      </c>
      <c r="H56" s="4"/>
      <c r="I56" s="4">
        <v>9.8378782272338867</v>
      </c>
      <c r="J56" s="4">
        <v>15.414777755737305</v>
      </c>
      <c r="K56" s="4">
        <v>7235572599.999999</v>
      </c>
      <c r="L56" s="4">
        <v>-3.463091171358456E-2</v>
      </c>
      <c r="M56" s="4">
        <v>8.2554302215576172</v>
      </c>
      <c r="N56" s="4">
        <v>12.670398712158203</v>
      </c>
      <c r="O56" s="4" t="s">
        <v>242</v>
      </c>
      <c r="P56" s="4">
        <v>1.0029787001467878</v>
      </c>
      <c r="Q56" s="4">
        <v>0.36124020504848686</v>
      </c>
      <c r="R56" s="4">
        <v>12.829427719116211</v>
      </c>
      <c r="S56" s="4">
        <v>12.113239288330078</v>
      </c>
      <c r="T56" s="4" t="s">
        <v>242</v>
      </c>
      <c r="U56" s="8">
        <v>0.381046</v>
      </c>
    </row>
    <row r="57" spans="1:21" x14ac:dyDescent="0.2">
      <c r="A57" s="5" t="s">
        <v>130</v>
      </c>
      <c r="B57" s="6" t="s">
        <v>131</v>
      </c>
      <c r="C57" s="6" t="s">
        <v>260</v>
      </c>
      <c r="D57" s="6">
        <v>13.525960922241211</v>
      </c>
      <c r="E57" s="6">
        <v>0.55000001192092896</v>
      </c>
      <c r="F57" s="6">
        <v>0</v>
      </c>
      <c r="G57" s="6" t="s">
        <v>242</v>
      </c>
      <c r="H57" s="6"/>
      <c r="I57" s="6">
        <v>13.525960922241211</v>
      </c>
      <c r="J57" s="6">
        <v>15.065479278564453</v>
      </c>
      <c r="K57" s="6">
        <v>6308666219.8000002</v>
      </c>
      <c r="L57" s="6">
        <v>-2.4820831663497432E-2</v>
      </c>
      <c r="M57" s="6">
        <v>8.2309598922729492</v>
      </c>
      <c r="N57" s="6">
        <v>10.918404579162598</v>
      </c>
      <c r="O57" s="6" t="s">
        <v>242</v>
      </c>
      <c r="P57" s="6">
        <v>1.0421822587327261</v>
      </c>
      <c r="Q57" s="6">
        <v>6.7183141119204537</v>
      </c>
      <c r="R57" s="6">
        <v>8.8299951553344727</v>
      </c>
      <c r="S57" s="6">
        <v>12.149250984191895</v>
      </c>
      <c r="T57" s="6" t="s">
        <v>242</v>
      </c>
      <c r="U57" s="9">
        <v>0.79731019999999997</v>
      </c>
    </row>
    <row r="58" spans="1:21" x14ac:dyDescent="0.2">
      <c r="A58" s="3" t="s">
        <v>132</v>
      </c>
      <c r="B58" s="4" t="s">
        <v>133</v>
      </c>
      <c r="C58" s="4" t="s">
        <v>260</v>
      </c>
      <c r="D58" s="4">
        <v>11.368024826049805</v>
      </c>
      <c r="E58" s="4">
        <v>1.1200000047683716</v>
      </c>
      <c r="F58" s="4">
        <v>155</v>
      </c>
      <c r="G58" s="4">
        <v>0</v>
      </c>
      <c r="H58" s="4">
        <v>4.4200000762939453</v>
      </c>
      <c r="I58" s="4">
        <v>11.368024826049805</v>
      </c>
      <c r="J58" s="4">
        <v>15.053884506225586</v>
      </c>
      <c r="K58" s="4">
        <v>69520415533.101013</v>
      </c>
      <c r="L58" s="4">
        <v>-1.4303897353378043E-2</v>
      </c>
      <c r="M58" s="4">
        <v>7.5564193725585938</v>
      </c>
      <c r="N58" s="4">
        <v>8.2178726196289062</v>
      </c>
      <c r="O58" s="4">
        <v>1.0526014761949267</v>
      </c>
      <c r="P58" s="4">
        <v>1.0964457252641691</v>
      </c>
      <c r="Q58" s="4" t="s">
        <v>242</v>
      </c>
      <c r="R58" s="4">
        <v>7.1451082229614258</v>
      </c>
      <c r="S58" s="4">
        <v>13.233780860900879</v>
      </c>
      <c r="T58" s="4" t="s">
        <v>245</v>
      </c>
      <c r="U58" s="8">
        <v>1.0207043886184692</v>
      </c>
    </row>
    <row r="59" spans="1:21" x14ac:dyDescent="0.2">
      <c r="A59" s="5" t="s">
        <v>134</v>
      </c>
      <c r="B59" s="6" t="s">
        <v>135</v>
      </c>
      <c r="C59" s="6" t="s">
        <v>257</v>
      </c>
      <c r="D59" s="6">
        <v>20.446891784667969</v>
      </c>
      <c r="E59" s="6">
        <v>0.10000000149011612</v>
      </c>
      <c r="F59" s="6">
        <v>0</v>
      </c>
      <c r="G59" s="6" t="s">
        <v>242</v>
      </c>
      <c r="H59" s="6"/>
      <c r="I59" s="6">
        <v>20.446891784667969</v>
      </c>
      <c r="J59" s="6">
        <v>14.928267478942871</v>
      </c>
      <c r="K59" s="6">
        <v>3191463194.5200005</v>
      </c>
      <c r="L59" s="6">
        <v>-8.1331395344111553E-3</v>
      </c>
      <c r="M59" s="6">
        <v>7.290977954864502</v>
      </c>
      <c r="N59" s="6">
        <v>14.120010375976562</v>
      </c>
      <c r="O59" s="6" t="s">
        <v>242</v>
      </c>
      <c r="P59" s="6">
        <v>1.0030794720413179</v>
      </c>
      <c r="Q59" s="6">
        <v>0.29306732770583016</v>
      </c>
      <c r="R59" s="6">
        <v>9.7013139724731445</v>
      </c>
      <c r="S59" s="6">
        <v>13.715581893920898</v>
      </c>
      <c r="T59" s="6" t="s">
        <v>242</v>
      </c>
      <c r="U59" s="9">
        <v>0.71831909999999999</v>
      </c>
    </row>
    <row r="60" spans="1:21" x14ac:dyDescent="0.2">
      <c r="A60" s="3" t="s">
        <v>136</v>
      </c>
      <c r="B60" s="4" t="s">
        <v>137</v>
      </c>
      <c r="C60" s="4" t="s">
        <v>259</v>
      </c>
      <c r="D60" s="4">
        <v>4.6398916244506836</v>
      </c>
      <c r="E60" s="4">
        <v>75</v>
      </c>
      <c r="F60" s="4">
        <v>246.89999847412111</v>
      </c>
      <c r="G60" s="4">
        <v>4.298</v>
      </c>
      <c r="H60" s="4">
        <v>2.1499999761581421</v>
      </c>
      <c r="I60" s="4">
        <v>4.6398916244506836</v>
      </c>
      <c r="J60" s="4">
        <v>14.912768363952637</v>
      </c>
      <c r="K60" s="4">
        <v>12413903453.82</v>
      </c>
      <c r="L60" s="4">
        <v>1.6487455864556511E-2</v>
      </c>
      <c r="M60" s="4">
        <v>6.0877251625061035</v>
      </c>
      <c r="N60" s="4">
        <v>18.375398635864258</v>
      </c>
      <c r="O60" s="4" t="s">
        <v>242</v>
      </c>
      <c r="P60" s="4">
        <v>1.0990324416619237</v>
      </c>
      <c r="Q60" s="4">
        <v>0.5750149281066198</v>
      </c>
      <c r="R60" s="4">
        <v>5.3243160247802734</v>
      </c>
      <c r="S60" s="4">
        <v>16.426496505737305</v>
      </c>
      <c r="T60" s="4" t="s">
        <v>242</v>
      </c>
      <c r="U60" s="8">
        <v>0.96196910000000002</v>
      </c>
    </row>
    <row r="61" spans="1:21" x14ac:dyDescent="0.2">
      <c r="A61" s="5" t="s">
        <v>138</v>
      </c>
      <c r="B61" s="6" t="s">
        <v>139</v>
      </c>
      <c r="C61" s="6" t="s">
        <v>259</v>
      </c>
      <c r="D61" s="6">
        <v>18.85076904296875</v>
      </c>
      <c r="E61" s="6">
        <v>0.20999999344348907</v>
      </c>
      <c r="F61" s="6">
        <v>423.21658586120606</v>
      </c>
      <c r="G61" s="6">
        <v>16.709</v>
      </c>
      <c r="H61" s="6">
        <v>0.82999998331069946</v>
      </c>
      <c r="I61" s="6">
        <v>18.85076904296875</v>
      </c>
      <c r="J61" s="6">
        <v>14.853560447692871</v>
      </c>
      <c r="K61" s="6">
        <v>17980723705.801773</v>
      </c>
      <c r="L61" s="6">
        <v>5.7672709862988608E-3</v>
      </c>
      <c r="M61" s="6">
        <v>6.1738753318786621</v>
      </c>
      <c r="N61" s="6">
        <v>6.1650137901306152</v>
      </c>
      <c r="O61" s="6">
        <v>1.4559713315009928</v>
      </c>
      <c r="P61" s="6">
        <v>1.0350792888034599</v>
      </c>
      <c r="Q61" s="6">
        <v>-1.6921501755776536</v>
      </c>
      <c r="R61" s="6">
        <v>9.0966081619262695</v>
      </c>
      <c r="S61" s="6">
        <v>16.197280883789062</v>
      </c>
      <c r="T61" s="6" t="s">
        <v>242</v>
      </c>
      <c r="U61" s="9">
        <v>0.75389772653579712</v>
      </c>
    </row>
    <row r="62" spans="1:21" x14ac:dyDescent="0.2">
      <c r="A62" s="3" t="s">
        <v>140</v>
      </c>
      <c r="B62" s="4" t="s">
        <v>141</v>
      </c>
      <c r="C62" s="4" t="s">
        <v>259</v>
      </c>
      <c r="D62" s="4">
        <v>8.4471769332885742</v>
      </c>
      <c r="E62" s="4">
        <v>27</v>
      </c>
      <c r="F62" s="4" t="s">
        <v>242</v>
      </c>
      <c r="G62" s="4">
        <v>3.338514</v>
      </c>
      <c r="H62" s="4"/>
      <c r="I62" s="4">
        <v>8.4471769332885742</v>
      </c>
      <c r="J62" s="4">
        <v>14.80596923828125</v>
      </c>
      <c r="K62" s="4">
        <v>107638972027.99998</v>
      </c>
      <c r="L62" s="4">
        <v>6.0061127187486648E-3</v>
      </c>
      <c r="M62" s="4">
        <v>7.1400384902954102</v>
      </c>
      <c r="N62" s="4">
        <v>-34.761661529541016</v>
      </c>
      <c r="O62" s="4">
        <v>0.12347914106225671</v>
      </c>
      <c r="P62" s="4">
        <v>1.0842195724567623</v>
      </c>
      <c r="Q62" s="4">
        <v>0.66617886979702157</v>
      </c>
      <c r="R62" s="4">
        <v>6.4692587852478027</v>
      </c>
      <c r="S62" s="4">
        <v>14.005526542663574</v>
      </c>
      <c r="T62" s="4" t="s">
        <v>242</v>
      </c>
      <c r="U62" s="8">
        <v>0.53190559999999998</v>
      </c>
    </row>
    <row r="63" spans="1:21" x14ac:dyDescent="0.2">
      <c r="A63" s="5" t="s">
        <v>142</v>
      </c>
      <c r="B63" s="6" t="s">
        <v>143</v>
      </c>
      <c r="C63" s="6" t="s">
        <v>259</v>
      </c>
      <c r="D63" s="6">
        <v>4.9414520263671875</v>
      </c>
      <c r="E63" s="6">
        <v>0.29499998688697815</v>
      </c>
      <c r="F63" s="6">
        <v>33.782223556035156</v>
      </c>
      <c r="G63" s="6">
        <v>0.31444100000000003</v>
      </c>
      <c r="H63" s="6">
        <v>1.1200000047683716</v>
      </c>
      <c r="I63" s="6">
        <v>4.9414520263671875</v>
      </c>
      <c r="J63" s="6">
        <v>14.720317840576172</v>
      </c>
      <c r="K63" s="6">
        <v>1733843452.8756714</v>
      </c>
      <c r="L63" s="6">
        <v>9.7565265994628211E-3</v>
      </c>
      <c r="M63" s="6">
        <v>5.6496810913085938</v>
      </c>
      <c r="N63" s="6">
        <v>9.5016260147094727</v>
      </c>
      <c r="O63" s="6">
        <v>1.8748979591836736</v>
      </c>
      <c r="P63" s="6">
        <v>1.1079136690647482</v>
      </c>
      <c r="Q63" s="6">
        <v>4.2522905481560516</v>
      </c>
      <c r="R63" s="6">
        <v>6.6497597694396973</v>
      </c>
      <c r="S63" s="6">
        <v>17.700115203857422</v>
      </c>
      <c r="T63" s="6" t="s">
        <v>242</v>
      </c>
      <c r="U63" s="9">
        <v>1.0813852548599243</v>
      </c>
    </row>
    <row r="64" spans="1:21" x14ac:dyDescent="0.2">
      <c r="A64" s="3" t="s">
        <v>144</v>
      </c>
      <c r="B64" s="4" t="s">
        <v>145</v>
      </c>
      <c r="C64" s="4" t="s">
        <v>259</v>
      </c>
      <c r="D64" s="4">
        <v>27.931007385253906</v>
      </c>
      <c r="E64" s="4">
        <v>2.25</v>
      </c>
      <c r="F64" s="4">
        <v>54.604764561501469</v>
      </c>
      <c r="G64" s="4">
        <v>0.22380700000000001</v>
      </c>
      <c r="H64" s="4">
        <v>7.9499999284744263</v>
      </c>
      <c r="I64" s="4">
        <v>27.931007385253906</v>
      </c>
      <c r="J64" s="4">
        <v>14.712621688842773</v>
      </c>
      <c r="K64" s="4">
        <v>1662657838.9278717</v>
      </c>
      <c r="L64" s="4">
        <v>-4.1001631703893324E-3</v>
      </c>
      <c r="M64" s="4">
        <v>9.5109376907348633</v>
      </c>
      <c r="N64" s="4">
        <v>4.9007220268249512</v>
      </c>
      <c r="O64" s="4" t="s">
        <v>242</v>
      </c>
      <c r="P64" s="4" t="s">
        <v>242</v>
      </c>
      <c r="Q64" s="4" t="s">
        <v>242</v>
      </c>
      <c r="R64" s="4">
        <v>14.120277404785156</v>
      </c>
      <c r="S64" s="4">
        <v>10.514209747314453</v>
      </c>
      <c r="T64" s="4" t="s">
        <v>242</v>
      </c>
      <c r="U64" s="8">
        <v>1.4019548892974854</v>
      </c>
    </row>
    <row r="65" spans="1:21" x14ac:dyDescent="0.2">
      <c r="A65" s="5" t="s">
        <v>146</v>
      </c>
      <c r="B65" s="6" t="s">
        <v>147</v>
      </c>
      <c r="C65" s="6" t="s">
        <v>259</v>
      </c>
      <c r="D65" s="6">
        <v>10.310020446777344</v>
      </c>
      <c r="E65" s="6">
        <v>0.25</v>
      </c>
      <c r="F65" s="6">
        <v>251.08076242784568</v>
      </c>
      <c r="G65" s="6">
        <v>5.2330969999999999</v>
      </c>
      <c r="H65" s="6">
        <v>0.98000000417232513</v>
      </c>
      <c r="I65" s="6">
        <v>10.310020446777344</v>
      </c>
      <c r="J65" s="6">
        <v>14.071059226989746</v>
      </c>
      <c r="K65" s="6">
        <v>10223225515.712929</v>
      </c>
      <c r="L65" s="6">
        <v>3.476581426122997E-3</v>
      </c>
      <c r="M65" s="6">
        <v>6.8366422653198242</v>
      </c>
      <c r="N65" s="6">
        <v>14.022211074829102</v>
      </c>
      <c r="O65" s="6">
        <v>1.9525685657306844</v>
      </c>
      <c r="P65" s="6">
        <v>1.1317733990147782</v>
      </c>
      <c r="Q65" s="6">
        <v>1.7924994245818628</v>
      </c>
      <c r="R65" s="6">
        <v>13.037918090820312</v>
      </c>
      <c r="S65" s="6">
        <v>14.627062797546387</v>
      </c>
      <c r="T65" s="6" t="s">
        <v>242</v>
      </c>
      <c r="U65" s="9">
        <v>0.89188635349273682</v>
      </c>
    </row>
    <row r="66" spans="1:21" x14ac:dyDescent="0.2">
      <c r="A66" s="3" t="s">
        <v>148</v>
      </c>
      <c r="B66" s="4" t="s">
        <v>149</v>
      </c>
      <c r="C66" s="4" t="s">
        <v>257</v>
      </c>
      <c r="D66" s="4">
        <v>13.911455154418945</v>
      </c>
      <c r="E66" s="4">
        <v>0.93999999761581421</v>
      </c>
      <c r="F66" s="4">
        <v>347.50777092414063</v>
      </c>
      <c r="G66" s="4">
        <v>4.7</v>
      </c>
      <c r="H66" s="4">
        <v>3.7400000095367432</v>
      </c>
      <c r="I66" s="4">
        <v>13.911455154418945</v>
      </c>
      <c r="J66" s="4">
        <v>14.050254821777344</v>
      </c>
      <c r="K66" s="4">
        <v>19348892048.117889</v>
      </c>
      <c r="L66" s="4">
        <v>-7.1747141887578024E-3</v>
      </c>
      <c r="M66" s="4">
        <v>7.0507988929748535</v>
      </c>
      <c r="N66" s="4">
        <v>8.1442699432373047</v>
      </c>
      <c r="O66" s="4">
        <v>3.3127568158565279</v>
      </c>
      <c r="P66" s="4">
        <v>1.0341655716162943</v>
      </c>
      <c r="Q66" s="4">
        <v>-2.0028810410741169</v>
      </c>
      <c r="R66" s="4">
        <v>8.528289794921875</v>
      </c>
      <c r="S66" s="4">
        <v>14.18278980255127</v>
      </c>
      <c r="T66" s="4" t="s">
        <v>246</v>
      </c>
      <c r="U66" s="8">
        <v>1.0007773637771606</v>
      </c>
    </row>
    <row r="67" spans="1:21" x14ac:dyDescent="0.2">
      <c r="A67" s="5" t="s">
        <v>150</v>
      </c>
      <c r="B67" s="6" t="s">
        <v>151</v>
      </c>
      <c r="C67" s="6" t="s">
        <v>259</v>
      </c>
      <c r="D67" s="6"/>
      <c r="E67" s="6">
        <v>200</v>
      </c>
      <c r="F67" s="6" t="s">
        <v>242</v>
      </c>
      <c r="G67" s="6">
        <v>0.2</v>
      </c>
      <c r="H67" s="6"/>
      <c r="I67" s="6"/>
      <c r="J67" s="6">
        <v>14.018399238586426</v>
      </c>
      <c r="K67" s="6">
        <v>87981324000</v>
      </c>
      <c r="L67" s="6">
        <v>-1.3109655859179057E-2</v>
      </c>
      <c r="M67" s="6">
        <v>8.1070528030395508</v>
      </c>
      <c r="N67" s="6">
        <v>9.64862060546875</v>
      </c>
      <c r="O67" s="6" t="s">
        <v>242</v>
      </c>
      <c r="P67" s="6">
        <v>1.0024036181218576</v>
      </c>
      <c r="Q67" s="6" t="s">
        <v>242</v>
      </c>
      <c r="R67" s="6">
        <v>11.510149955749512</v>
      </c>
      <c r="S67" s="6">
        <v>12.334939002990723</v>
      </c>
      <c r="T67" s="6" t="s">
        <v>242</v>
      </c>
      <c r="U67" s="9">
        <v>0.71262510000000001</v>
      </c>
    </row>
    <row r="68" spans="1:21" x14ac:dyDescent="0.2">
      <c r="A68" s="3" t="s">
        <v>152</v>
      </c>
      <c r="B68" s="4" t="s">
        <v>153</v>
      </c>
      <c r="C68" s="4" t="s">
        <v>259</v>
      </c>
      <c r="D68" s="4">
        <v>9.0966072082519531</v>
      </c>
      <c r="E68" s="4">
        <v>8.5</v>
      </c>
      <c r="F68" s="4">
        <v>0</v>
      </c>
      <c r="G68" s="4" t="s">
        <v>242</v>
      </c>
      <c r="H68" s="4"/>
      <c r="I68" s="4">
        <v>9.0966072082519531</v>
      </c>
      <c r="J68" s="4">
        <v>13.943638801574707</v>
      </c>
      <c r="K68" s="4">
        <v>20888600000</v>
      </c>
      <c r="L68" s="4">
        <v>-4.1238740087566252E-3</v>
      </c>
      <c r="M68" s="4">
        <v>7.8566751480102539</v>
      </c>
      <c r="N68" s="4">
        <v>9.9151220321655273</v>
      </c>
      <c r="O68" s="4" t="s">
        <v>242</v>
      </c>
      <c r="P68" s="4">
        <v>1.0587024602382287</v>
      </c>
      <c r="Q68" s="4">
        <v>-2.1292101778264825</v>
      </c>
      <c r="R68" s="4">
        <v>5.0572028160095215</v>
      </c>
      <c r="S68" s="4">
        <v>12.728030204772949</v>
      </c>
      <c r="T68" s="4" t="s">
        <v>242</v>
      </c>
      <c r="U68" s="8">
        <v>0.58555219999999997</v>
      </c>
    </row>
    <row r="69" spans="1:21" x14ac:dyDescent="0.2">
      <c r="A69" s="5" t="s">
        <v>154</v>
      </c>
      <c r="B69" s="6" t="s">
        <v>155</v>
      </c>
      <c r="C69" s="6" t="s">
        <v>259</v>
      </c>
      <c r="D69" s="6">
        <v>34.809921264648438</v>
      </c>
      <c r="E69" s="6">
        <v>4</v>
      </c>
      <c r="F69" s="6" t="s">
        <v>242</v>
      </c>
      <c r="G69" s="6" t="s">
        <v>242</v>
      </c>
      <c r="H69" s="6"/>
      <c r="I69" s="6">
        <v>34.809921264648438</v>
      </c>
      <c r="J69" s="6">
        <v>13.861592292785645</v>
      </c>
      <c r="K69" s="6">
        <v>8012000274.6582031</v>
      </c>
      <c r="L69" s="6">
        <v>1.1951840774708757E-2</v>
      </c>
      <c r="M69" s="6">
        <v>5.54168701171875</v>
      </c>
      <c r="N69" s="6">
        <v>5.1655569076538086</v>
      </c>
      <c r="O69" s="6">
        <v>1.0128388308712457</v>
      </c>
      <c r="P69" s="6" t="s">
        <v>242</v>
      </c>
      <c r="Q69" s="6" t="s">
        <v>242</v>
      </c>
      <c r="R69" s="6">
        <v>7.554203987121582</v>
      </c>
      <c r="S69" s="6">
        <v>18.045045852661133</v>
      </c>
      <c r="T69" s="6" t="s">
        <v>254</v>
      </c>
      <c r="U69" s="9">
        <v>0.98729230000000001</v>
      </c>
    </row>
    <row r="70" spans="1:21" x14ac:dyDescent="0.2">
      <c r="A70" s="3" t="s">
        <v>156</v>
      </c>
      <c r="B70" s="4" t="s">
        <v>157</v>
      </c>
      <c r="C70" s="4" t="s">
        <v>260</v>
      </c>
      <c r="D70" s="4">
        <v>1.888126015663147</v>
      </c>
      <c r="E70" s="4">
        <v>0.69999998807907104</v>
      </c>
      <c r="F70" s="4">
        <v>389.2149129015869</v>
      </c>
      <c r="G70" s="4">
        <v>6.3031620000000004</v>
      </c>
      <c r="H70" s="4">
        <v>2.7999999523162842</v>
      </c>
      <c r="I70" s="4">
        <v>1.888126015663147</v>
      </c>
      <c r="J70" s="4">
        <v>13.795937538146973</v>
      </c>
      <c r="K70" s="4">
        <v>20437952734.683804</v>
      </c>
      <c r="L70" s="4">
        <v>1.9030839284752549E-3</v>
      </c>
      <c r="M70" s="4">
        <v>7.2606101036071777</v>
      </c>
      <c r="N70" s="4">
        <v>5.4204440116882324</v>
      </c>
      <c r="O70" s="4">
        <v>2.2302396741244301</v>
      </c>
      <c r="P70" s="4">
        <v>1.1158413741914961</v>
      </c>
      <c r="Q70" s="4">
        <v>0.36412796745159076</v>
      </c>
      <c r="R70" s="4">
        <v>8.1165390014648438</v>
      </c>
      <c r="S70" s="4">
        <v>13.772947311401367</v>
      </c>
      <c r="T70" s="4" t="s">
        <v>242</v>
      </c>
      <c r="U70" s="8">
        <v>0.80176740884780884</v>
      </c>
    </row>
    <row r="71" spans="1:21" x14ac:dyDescent="0.2">
      <c r="A71" s="5" t="s">
        <v>158</v>
      </c>
      <c r="B71" s="6" t="s">
        <v>159</v>
      </c>
      <c r="C71" s="6" t="s">
        <v>260</v>
      </c>
      <c r="D71" s="6">
        <v>0.8929980993270874</v>
      </c>
      <c r="E71" s="6">
        <v>2.2999999523162842</v>
      </c>
      <c r="F71" s="6">
        <v>0</v>
      </c>
      <c r="G71" s="6" t="s">
        <v>242</v>
      </c>
      <c r="H71" s="6"/>
      <c r="I71" s="6">
        <v>0.8929980993270874</v>
      </c>
      <c r="J71" s="6">
        <v>13.76328182220459</v>
      </c>
      <c r="K71" s="6">
        <v>14493410275.199999</v>
      </c>
      <c r="L71" s="6">
        <v>9.1885804960005063E-3</v>
      </c>
      <c r="M71" s="6">
        <v>7.0703516006469727</v>
      </c>
      <c r="N71" s="6">
        <v>8.4262914657592773</v>
      </c>
      <c r="O71" s="6" t="s">
        <v>242</v>
      </c>
      <c r="P71" s="6">
        <v>1.03944490661228</v>
      </c>
      <c r="Q71" s="6" t="s">
        <v>242</v>
      </c>
      <c r="R71" s="6">
        <v>10.175203323364258</v>
      </c>
      <c r="S71" s="6">
        <v>14.14356803894043</v>
      </c>
      <c r="T71" s="6" t="s">
        <v>242</v>
      </c>
      <c r="U71" s="9">
        <v>0.40204329999999999</v>
      </c>
    </row>
    <row r="72" spans="1:21" x14ac:dyDescent="0.2">
      <c r="A72" s="3" t="s">
        <v>160</v>
      </c>
      <c r="B72" s="4" t="s">
        <v>161</v>
      </c>
      <c r="C72" s="4" t="s">
        <v>260</v>
      </c>
      <c r="D72" s="4">
        <v>6.1376748085021973</v>
      </c>
      <c r="E72" s="4">
        <v>31</v>
      </c>
      <c r="F72" s="4">
        <v>19933</v>
      </c>
      <c r="G72" s="4" t="s">
        <v>242</v>
      </c>
      <c r="H72" s="4"/>
      <c r="I72" s="4">
        <v>6.1376748085021973</v>
      </c>
      <c r="J72" s="4">
        <v>13.73655891418457</v>
      </c>
      <c r="K72" s="4">
        <v>532992526562.49994</v>
      </c>
      <c r="L72" s="4">
        <v>-1.082362852374334E-2</v>
      </c>
      <c r="M72" s="4">
        <v>8.8113727569580078</v>
      </c>
      <c r="N72" s="4">
        <v>5.5529541969299316</v>
      </c>
      <c r="O72" s="4" t="s">
        <v>242</v>
      </c>
      <c r="P72" s="4">
        <v>1.0052301069147707</v>
      </c>
      <c r="Q72" s="4">
        <v>1.2877252884416128</v>
      </c>
      <c r="R72" s="4">
        <v>13.668243408203125</v>
      </c>
      <c r="S72" s="4">
        <v>11.348969459533691</v>
      </c>
      <c r="T72" s="4" t="s">
        <v>242</v>
      </c>
      <c r="U72" s="8">
        <v>1.212318</v>
      </c>
    </row>
    <row r="73" spans="1:21" x14ac:dyDescent="0.2">
      <c r="A73" s="5" t="s">
        <v>162</v>
      </c>
      <c r="B73" s="6" t="s">
        <v>163</v>
      </c>
      <c r="C73" s="6" t="s">
        <v>260</v>
      </c>
      <c r="D73" s="6">
        <v>12.664144515991211</v>
      </c>
      <c r="E73" s="6">
        <v>0.83499997854232788</v>
      </c>
      <c r="F73" s="6">
        <v>0</v>
      </c>
      <c r="G73" s="6" t="s">
        <v>242</v>
      </c>
      <c r="H73" s="6"/>
      <c r="I73" s="6">
        <v>12.664144515991211</v>
      </c>
      <c r="J73" s="6">
        <v>13.550205230712891</v>
      </c>
      <c r="K73" s="6">
        <v>54452837747.659996</v>
      </c>
      <c r="L73" s="6">
        <v>-9.3163048847798198E-3</v>
      </c>
      <c r="M73" s="6">
        <v>8.0902099609375</v>
      </c>
      <c r="N73" s="6">
        <v>11.73924446105957</v>
      </c>
      <c r="O73" s="6" t="s">
        <v>242</v>
      </c>
      <c r="P73" s="6">
        <v>1.0236880000073572</v>
      </c>
      <c r="Q73" s="6">
        <v>1.2737537599478543</v>
      </c>
      <c r="R73" s="6">
        <v>6.4618229866027832</v>
      </c>
      <c r="S73" s="6">
        <v>12.360618591308594</v>
      </c>
      <c r="T73" s="6" t="s">
        <v>242</v>
      </c>
      <c r="U73" s="9">
        <v>1.154873</v>
      </c>
    </row>
    <row r="74" spans="1:21" x14ac:dyDescent="0.2">
      <c r="A74" s="3" t="s">
        <v>164</v>
      </c>
      <c r="B74" s="4" t="s">
        <v>165</v>
      </c>
      <c r="C74" s="4" t="s">
        <v>260</v>
      </c>
      <c r="D74" s="4">
        <v>31.95079231262207</v>
      </c>
      <c r="E74" s="4">
        <v>200</v>
      </c>
      <c r="F74" s="4">
        <v>0</v>
      </c>
      <c r="G74" s="4">
        <v>0.49662000000000001</v>
      </c>
      <c r="H74" s="4"/>
      <c r="I74" s="4">
        <v>31.95079231262207</v>
      </c>
      <c r="J74" s="4">
        <v>13.454279899597168</v>
      </c>
      <c r="K74" s="4">
        <v>357230577600</v>
      </c>
      <c r="L74" s="4">
        <v>1.5856958935802645E-2</v>
      </c>
      <c r="M74" s="4">
        <v>6.4994606971740723</v>
      </c>
      <c r="N74" s="4">
        <v>13.366244316101074</v>
      </c>
      <c r="O74" s="4" t="s">
        <v>242</v>
      </c>
      <c r="P74" s="4">
        <v>1.0124575394863107</v>
      </c>
      <c r="Q74" s="4">
        <v>1.1283752714325208</v>
      </c>
      <c r="R74" s="4">
        <v>8.4643421173095703</v>
      </c>
      <c r="S74" s="4">
        <v>15.385891914367676</v>
      </c>
      <c r="T74" s="4" t="s">
        <v>242</v>
      </c>
      <c r="U74" s="8">
        <v>0.79906719999999998</v>
      </c>
    </row>
    <row r="75" spans="1:21" x14ac:dyDescent="0.2">
      <c r="A75" s="5" t="s">
        <v>166</v>
      </c>
      <c r="B75" s="6" t="s">
        <v>167</v>
      </c>
      <c r="C75" s="6" t="s">
        <v>257</v>
      </c>
      <c r="D75" s="6">
        <v>24.573095321655273</v>
      </c>
      <c r="E75" s="6">
        <v>15</v>
      </c>
      <c r="F75" s="6">
        <v>0</v>
      </c>
      <c r="G75" s="6" t="s">
        <v>242</v>
      </c>
      <c r="H75" s="6"/>
      <c r="I75" s="6">
        <v>24.573095321655273</v>
      </c>
      <c r="J75" s="6">
        <v>13.288505554199219</v>
      </c>
      <c r="K75" s="6">
        <v>35266953150</v>
      </c>
      <c r="L75" s="6">
        <v>3.4949118004013483E-3</v>
      </c>
      <c r="M75" s="6">
        <v>7.6497797966003418</v>
      </c>
      <c r="N75" s="6">
        <v>10.720873832702637</v>
      </c>
      <c r="O75" s="6" t="s">
        <v>242</v>
      </c>
      <c r="P75" s="6">
        <v>1.0364533528476592</v>
      </c>
      <c r="Q75" s="6" t="s">
        <v>242</v>
      </c>
      <c r="R75" s="6">
        <v>11.240130424499512</v>
      </c>
      <c r="S75" s="6">
        <v>13.072272300720215</v>
      </c>
      <c r="T75" s="6" t="s">
        <v>242</v>
      </c>
      <c r="U75" s="9">
        <v>0.70550400000000002</v>
      </c>
    </row>
    <row r="76" spans="1:21" x14ac:dyDescent="0.2">
      <c r="A76" s="3" t="s">
        <v>168</v>
      </c>
      <c r="B76" s="4" t="s">
        <v>169</v>
      </c>
      <c r="C76" s="4" t="s">
        <v>258</v>
      </c>
      <c r="D76" s="4">
        <v>15.468149185180664</v>
      </c>
      <c r="E76" s="4">
        <v>7.8000001907348633</v>
      </c>
      <c r="F76" s="4">
        <v>0</v>
      </c>
      <c r="G76" s="4" t="s">
        <v>242</v>
      </c>
      <c r="H76" s="4"/>
      <c r="I76" s="4">
        <v>15.468149185180664</v>
      </c>
      <c r="J76" s="4">
        <v>13.263985633850098</v>
      </c>
      <c r="K76" s="4">
        <v>119708374590</v>
      </c>
      <c r="L76" s="4">
        <v>2.1132647872084717E-3</v>
      </c>
      <c r="M76" s="4">
        <v>9.0909137725830078</v>
      </c>
      <c r="N76" s="4">
        <v>9.1185092926025391</v>
      </c>
      <c r="O76" s="4" t="s">
        <v>242</v>
      </c>
      <c r="P76" s="4">
        <v>1.0135636933861794</v>
      </c>
      <c r="Q76" s="4">
        <v>-0.64332487607377364</v>
      </c>
      <c r="R76" s="4">
        <v>6.6497597694396973</v>
      </c>
      <c r="S76" s="4">
        <v>10.999994277954102</v>
      </c>
      <c r="T76" s="4" t="s">
        <v>242</v>
      </c>
      <c r="U76" s="8">
        <v>0.68430040000000003</v>
      </c>
    </row>
    <row r="77" spans="1:21" x14ac:dyDescent="0.2">
      <c r="A77" s="5" t="s">
        <v>170</v>
      </c>
      <c r="B77" s="6" t="s">
        <v>171</v>
      </c>
      <c r="C77" s="6" t="s">
        <v>259</v>
      </c>
      <c r="D77" s="6">
        <v>18.280570983886719</v>
      </c>
      <c r="E77" s="6">
        <v>36.509998321533203</v>
      </c>
      <c r="F77" s="6">
        <v>0</v>
      </c>
      <c r="G77" s="6" t="s">
        <v>242</v>
      </c>
      <c r="H77" s="6"/>
      <c r="I77" s="6">
        <v>18.280570983886719</v>
      </c>
      <c r="J77" s="6">
        <v>13.041483879089355</v>
      </c>
      <c r="K77" s="6">
        <v>7008661440</v>
      </c>
      <c r="L77" s="6">
        <v>3.3275610182859704E-2</v>
      </c>
      <c r="M77" s="6">
        <v>5.76129150390625</v>
      </c>
      <c r="N77" s="6">
        <v>13.251391410827637</v>
      </c>
      <c r="O77" s="6" t="s">
        <v>242</v>
      </c>
      <c r="P77" s="6">
        <v>1.089768411705476</v>
      </c>
      <c r="Q77" s="6">
        <v>-1.7062423429580962</v>
      </c>
      <c r="R77" s="6">
        <v>7.9181408882141113</v>
      </c>
      <c r="S77" s="6">
        <v>17.357219696044922</v>
      </c>
      <c r="T77" s="6" t="s">
        <v>242</v>
      </c>
      <c r="U77" s="9">
        <v>0.73315699999999995</v>
      </c>
    </row>
    <row r="78" spans="1:21" x14ac:dyDescent="0.2">
      <c r="A78" s="3" t="s">
        <v>172</v>
      </c>
      <c r="B78" s="4" t="s">
        <v>173</v>
      </c>
      <c r="C78" s="4" t="s">
        <v>259</v>
      </c>
      <c r="D78" s="4"/>
      <c r="E78" s="4">
        <v>8</v>
      </c>
      <c r="F78" s="4">
        <v>739.00699999999995</v>
      </c>
      <c r="G78" s="4" t="s">
        <v>242</v>
      </c>
      <c r="H78" s="4">
        <v>9.5</v>
      </c>
      <c r="I78" s="4"/>
      <c r="J78" s="4">
        <v>12.934043884277344</v>
      </c>
      <c r="K78" s="4">
        <v>9068014800</v>
      </c>
      <c r="L78" s="4">
        <v>-1.4875649925889207E-2</v>
      </c>
      <c r="M78" s="4">
        <v>8.5223665237426758</v>
      </c>
      <c r="N78" s="4">
        <v>12.795825958251953</v>
      </c>
      <c r="O78" s="4" t="s">
        <v>242</v>
      </c>
      <c r="P78" s="4">
        <v>1.0028819418932453</v>
      </c>
      <c r="Q78" s="4">
        <v>3.2808736528720761</v>
      </c>
      <c r="R78" s="4">
        <v>7.2107911109924316</v>
      </c>
      <c r="S78" s="4">
        <v>11.733830451965332</v>
      </c>
      <c r="T78" s="4" t="s">
        <v>242</v>
      </c>
      <c r="U78" s="8">
        <v>1.2158409999999999</v>
      </c>
    </row>
    <row r="79" spans="1:21" x14ac:dyDescent="0.2">
      <c r="A79" s="5" t="s">
        <v>174</v>
      </c>
      <c r="B79" s="6" t="s">
        <v>175</v>
      </c>
      <c r="C79" s="6" t="s">
        <v>259</v>
      </c>
      <c r="D79" s="6">
        <v>14.897554397583008</v>
      </c>
      <c r="E79" s="6">
        <v>4.9999098777770996</v>
      </c>
      <c r="F79" s="6">
        <v>0</v>
      </c>
      <c r="G79" s="6" t="s">
        <v>242</v>
      </c>
      <c r="H79" s="6"/>
      <c r="I79" s="6">
        <v>14.897554397583008</v>
      </c>
      <c r="J79" s="6">
        <v>12.78276252746582</v>
      </c>
      <c r="K79" s="6">
        <v>34273805059</v>
      </c>
      <c r="L79" s="6">
        <v>-4.9097886806792499E-3</v>
      </c>
      <c r="M79" s="6">
        <v>8.4770889282226562</v>
      </c>
      <c r="N79" s="6">
        <v>5.6148481369018555</v>
      </c>
      <c r="O79" s="6" t="s">
        <v>242</v>
      </c>
      <c r="P79" s="6">
        <v>1.0918817806132326</v>
      </c>
      <c r="Q79" s="6" t="s">
        <v>242</v>
      </c>
      <c r="R79" s="6">
        <v>9.1185388565063477</v>
      </c>
      <c r="S79" s="6">
        <v>11.796502113342285</v>
      </c>
      <c r="T79" s="6" t="s">
        <v>242</v>
      </c>
      <c r="U79" s="9">
        <v>0.85246829999999996</v>
      </c>
    </row>
    <row r="80" spans="1:21" x14ac:dyDescent="0.2">
      <c r="A80" s="3" t="s">
        <v>176</v>
      </c>
      <c r="B80" s="4" t="s">
        <v>177</v>
      </c>
      <c r="C80" s="4" t="s">
        <v>258</v>
      </c>
      <c r="D80" s="4"/>
      <c r="E80" s="4">
        <v>0.28499999642372131</v>
      </c>
      <c r="F80" s="4">
        <v>0</v>
      </c>
      <c r="G80" s="4" t="s">
        <v>242</v>
      </c>
      <c r="H80" s="4"/>
      <c r="I80" s="4"/>
      <c r="J80" s="4">
        <v>12.570263862609863</v>
      </c>
      <c r="K80" s="4">
        <v>3569089212.7800002</v>
      </c>
      <c r="L80" s="4">
        <v>5.473968224068218E-3</v>
      </c>
      <c r="M80" s="4">
        <v>8.5494966506958008</v>
      </c>
      <c r="N80" s="4">
        <v>5.0882291793823242</v>
      </c>
      <c r="O80" s="4" t="s">
        <v>242</v>
      </c>
      <c r="P80" s="4">
        <v>1.0698629388910841</v>
      </c>
      <c r="Q80" s="4">
        <v>-20.218660018164698</v>
      </c>
      <c r="R80" s="4">
        <v>12.842118263244629</v>
      </c>
      <c r="S80" s="4">
        <v>11.696595191955566</v>
      </c>
      <c r="T80" s="4" t="s">
        <v>242</v>
      </c>
      <c r="U80" s="8">
        <v>0.96608380000000005</v>
      </c>
    </row>
    <row r="81" spans="1:21" x14ac:dyDescent="0.2">
      <c r="A81" s="5" t="s">
        <v>178</v>
      </c>
      <c r="B81" s="6" t="s">
        <v>179</v>
      </c>
      <c r="C81" s="6" t="s">
        <v>258</v>
      </c>
      <c r="D81" s="6">
        <v>-6.0146231651306152</v>
      </c>
      <c r="E81" s="6">
        <v>1000</v>
      </c>
      <c r="F81" s="6">
        <v>0</v>
      </c>
      <c r="G81" s="6" t="s">
        <v>242</v>
      </c>
      <c r="H81" s="6"/>
      <c r="I81" s="6">
        <v>-6.0146231651306152</v>
      </c>
      <c r="J81" s="6">
        <v>12.379186630249023</v>
      </c>
      <c r="K81" s="6">
        <v>4951450539000</v>
      </c>
      <c r="L81" s="6">
        <v>5.2425161801273072E-3</v>
      </c>
      <c r="M81" s="6">
        <v>8.6421689987182617</v>
      </c>
      <c r="N81" s="6">
        <v>15.134597778320312</v>
      </c>
      <c r="O81" s="6" t="s">
        <v>242</v>
      </c>
      <c r="P81" s="6">
        <v>1.0438254699891285</v>
      </c>
      <c r="Q81" s="6">
        <v>-5.252215682820812</v>
      </c>
      <c r="R81" s="6">
        <v>5.7217569351196289</v>
      </c>
      <c r="S81" s="6">
        <v>11.571168899536133</v>
      </c>
      <c r="T81" s="6" t="s">
        <v>242</v>
      </c>
      <c r="U81" s="9">
        <v>0.63909099999999996</v>
      </c>
    </row>
    <row r="82" spans="1:21" x14ac:dyDescent="0.2">
      <c r="A82" s="3" t="s">
        <v>180</v>
      </c>
      <c r="B82" s="4" t="s">
        <v>181</v>
      </c>
      <c r="C82" s="4" t="s">
        <v>259</v>
      </c>
      <c r="D82" s="4"/>
      <c r="E82" s="4">
        <v>11</v>
      </c>
      <c r="F82" s="4">
        <v>0</v>
      </c>
      <c r="G82" s="4" t="s">
        <v>242</v>
      </c>
      <c r="H82" s="4"/>
      <c r="I82" s="4"/>
      <c r="J82" s="4">
        <v>12.047504425048828</v>
      </c>
      <c r="K82" s="4">
        <v>895656256001.50012</v>
      </c>
      <c r="L82" s="4">
        <v>1.4937408257854456E-2</v>
      </c>
      <c r="M82" s="4">
        <v>7.3932585716247559</v>
      </c>
      <c r="N82" s="4">
        <v>13.649959564208984</v>
      </c>
      <c r="O82" s="4">
        <v>0.36737297330511653</v>
      </c>
      <c r="P82" s="4">
        <v>1.2340279564359833</v>
      </c>
      <c r="Q82" s="4">
        <v>122.35277617777366</v>
      </c>
      <c r="R82" s="4">
        <v>10.102985382080078</v>
      </c>
      <c r="S82" s="4">
        <v>13.525835037231445</v>
      </c>
      <c r="T82" s="4" t="s">
        <v>242</v>
      </c>
      <c r="U82" s="8">
        <v>1.2306109999999999</v>
      </c>
    </row>
    <row r="83" spans="1:21" x14ac:dyDescent="0.2">
      <c r="A83" s="5" t="s">
        <v>182</v>
      </c>
      <c r="B83" s="6" t="s">
        <v>183</v>
      </c>
      <c r="C83" s="6" t="s">
        <v>259</v>
      </c>
      <c r="D83" s="6">
        <v>15.468149185180664</v>
      </c>
      <c r="E83" s="6">
        <v>0.20000000298023224</v>
      </c>
      <c r="F83" s="6">
        <v>0</v>
      </c>
      <c r="G83" s="6" t="s">
        <v>242</v>
      </c>
      <c r="H83" s="6"/>
      <c r="I83" s="6">
        <v>15.468149185180664</v>
      </c>
      <c r="J83" s="6">
        <v>11.877065658569336</v>
      </c>
      <c r="K83" s="6">
        <v>2916000000</v>
      </c>
      <c r="L83" s="6">
        <v>2.7087904523181158E-2</v>
      </c>
      <c r="M83" s="6">
        <v>7.0777778625488281</v>
      </c>
      <c r="N83" s="6">
        <v>21.538833618164062</v>
      </c>
      <c r="O83" s="6" t="s">
        <v>242</v>
      </c>
      <c r="P83" s="6">
        <v>1.004171976318859</v>
      </c>
      <c r="Q83" s="6" t="s">
        <v>242</v>
      </c>
      <c r="R83" s="6">
        <v>7.3940920829772949</v>
      </c>
      <c r="S83" s="6">
        <v>14.128728866577148</v>
      </c>
      <c r="T83" s="6" t="s">
        <v>242</v>
      </c>
      <c r="U83" s="9">
        <v>0.70688289999999998</v>
      </c>
    </row>
    <row r="84" spans="1:21" x14ac:dyDescent="0.2">
      <c r="A84" s="3" t="s">
        <v>184</v>
      </c>
      <c r="B84" s="4" t="s">
        <v>185</v>
      </c>
      <c r="C84" s="4" t="s">
        <v>259</v>
      </c>
      <c r="D84" s="4">
        <v>22.865970611572266</v>
      </c>
      <c r="E84" s="4">
        <v>7.4999998323619366E-3</v>
      </c>
      <c r="F84" s="4">
        <v>306.9643430878906</v>
      </c>
      <c r="G84" s="4" t="s">
        <v>242</v>
      </c>
      <c r="H84" s="4">
        <v>2.5999999605119228E-2</v>
      </c>
      <c r="I84" s="4">
        <v>22.865970611572266</v>
      </c>
      <c r="J84" s="4">
        <v>11.516854286193848</v>
      </c>
      <c r="K84" s="4">
        <v>1140685272</v>
      </c>
      <c r="L84" s="4">
        <v>5.1750687451083251E-2</v>
      </c>
      <c r="M84" s="4">
        <v>6.6646342277526855</v>
      </c>
      <c r="N84" s="4">
        <v>22.004852294921875</v>
      </c>
      <c r="O84" s="4" t="s">
        <v>242</v>
      </c>
      <c r="P84" s="4">
        <v>1.0263422859996234</v>
      </c>
      <c r="Q84" s="4">
        <v>2.0408177875173901</v>
      </c>
      <c r="R84" s="4">
        <v>13.28011417388916</v>
      </c>
      <c r="S84" s="4">
        <v>15.004573822021484</v>
      </c>
      <c r="T84" s="4" t="s">
        <v>242</v>
      </c>
      <c r="U84" s="8">
        <v>1.3286020000000001</v>
      </c>
    </row>
    <row r="85" spans="1:21" x14ac:dyDescent="0.2">
      <c r="A85" s="5" t="s">
        <v>186</v>
      </c>
      <c r="B85" s="6" t="s">
        <v>187</v>
      </c>
      <c r="C85" s="6" t="s">
        <v>259</v>
      </c>
      <c r="D85" s="6">
        <v>12.512456893920898</v>
      </c>
      <c r="E85" s="6">
        <v>0.15250000357627869</v>
      </c>
      <c r="F85" s="6">
        <v>167.54285670928709</v>
      </c>
      <c r="G85" s="6">
        <v>6.0137929999999997</v>
      </c>
      <c r="H85" s="6">
        <v>0.5950000137090683</v>
      </c>
      <c r="I85" s="6">
        <v>12.512456893920898</v>
      </c>
      <c r="J85" s="6">
        <v>11.486264228820801</v>
      </c>
      <c r="K85" s="6">
        <v>7449604906.2996721</v>
      </c>
      <c r="L85" s="6">
        <v>2.7935516048048455E-2</v>
      </c>
      <c r="M85" s="6">
        <v>6.1133360862731934</v>
      </c>
      <c r="N85" s="6">
        <v>13.411975860595703</v>
      </c>
      <c r="O85" s="6">
        <v>314.92919554082556</v>
      </c>
      <c r="P85" s="6">
        <v>1.1174530465911727</v>
      </c>
      <c r="Q85" s="6">
        <v>10.597944353670844</v>
      </c>
      <c r="R85" s="6">
        <v>10.459694862365723</v>
      </c>
      <c r="S85" s="6">
        <v>16.357681274414062</v>
      </c>
      <c r="T85" s="6" t="s">
        <v>242</v>
      </c>
      <c r="U85" s="9">
        <v>0.77626627683639526</v>
      </c>
    </row>
    <row r="86" spans="1:21" x14ac:dyDescent="0.2">
      <c r="A86" s="3" t="s">
        <v>188</v>
      </c>
      <c r="B86" s="4" t="s">
        <v>189</v>
      </c>
      <c r="C86" s="4" t="s">
        <v>259</v>
      </c>
      <c r="D86" s="4">
        <v>5.3055024147033691</v>
      </c>
      <c r="E86" s="4">
        <v>6</v>
      </c>
      <c r="F86" s="4" t="s">
        <v>242</v>
      </c>
      <c r="G86" s="4" t="s">
        <v>242</v>
      </c>
      <c r="H86" s="4"/>
      <c r="I86" s="4">
        <v>5.3055024147033691</v>
      </c>
      <c r="J86" s="4">
        <v>11.434096336364746</v>
      </c>
      <c r="K86" s="4">
        <v>1273605637.5</v>
      </c>
      <c r="L86" s="4">
        <v>1.0764616836926533E-2</v>
      </c>
      <c r="M86" s="4">
        <v>8.3001985549926758</v>
      </c>
      <c r="N86" s="4">
        <v>6.0008301734924316</v>
      </c>
      <c r="O86" s="4" t="s">
        <v>242</v>
      </c>
      <c r="P86" s="4" t="s">
        <v>242</v>
      </c>
      <c r="Q86" s="4" t="s">
        <v>242</v>
      </c>
      <c r="R86" s="4">
        <v>10.354057312011719</v>
      </c>
      <c r="S86" s="4">
        <v>12.047904014587402</v>
      </c>
      <c r="T86" s="4" t="s">
        <v>242</v>
      </c>
      <c r="U86" s="8">
        <v>0.43031970000000003</v>
      </c>
    </row>
    <row r="87" spans="1:21" x14ac:dyDescent="0.2">
      <c r="A87" s="5" t="s">
        <v>190</v>
      </c>
      <c r="B87" s="6" t="s">
        <v>191</v>
      </c>
      <c r="C87" s="6" t="s">
        <v>259</v>
      </c>
      <c r="D87" s="6">
        <v>17.496301651000977</v>
      </c>
      <c r="E87" s="6">
        <v>0.16709999740123749</v>
      </c>
      <c r="F87" s="6" t="s">
        <v>242</v>
      </c>
      <c r="G87" s="6" t="s">
        <v>242</v>
      </c>
      <c r="H87" s="6">
        <v>0.25710000097751617</v>
      </c>
      <c r="I87" s="6">
        <v>17.496301651000977</v>
      </c>
      <c r="J87" s="6">
        <v>11.420224189758301</v>
      </c>
      <c r="K87" s="6">
        <v>616519422215.34985</v>
      </c>
      <c r="L87" s="6">
        <v>-1.8399328768339519E-3</v>
      </c>
      <c r="M87" s="6">
        <v>9.1731948852539062</v>
      </c>
      <c r="N87" s="6">
        <v>3.7519490718841553</v>
      </c>
      <c r="O87" s="6" t="s">
        <v>242</v>
      </c>
      <c r="P87" s="6">
        <v>1.0113038978018685</v>
      </c>
      <c r="Q87" s="6">
        <v>1.6604486594053756</v>
      </c>
      <c r="R87" s="6">
        <v>7.1402029991149902</v>
      </c>
      <c r="S87" s="6">
        <v>10.901327133178711</v>
      </c>
      <c r="T87" s="6" t="s">
        <v>242</v>
      </c>
      <c r="U87" s="9">
        <v>0.52759710000000004</v>
      </c>
    </row>
    <row r="88" spans="1:21" x14ac:dyDescent="0.2">
      <c r="A88" s="3" t="s">
        <v>192</v>
      </c>
      <c r="B88" s="4" t="s">
        <v>193</v>
      </c>
      <c r="C88" s="4" t="s">
        <v>260</v>
      </c>
      <c r="D88" s="4">
        <v>10.756635665893555</v>
      </c>
      <c r="E88" s="4">
        <v>7</v>
      </c>
      <c r="F88" s="4">
        <v>0</v>
      </c>
      <c r="G88" s="4" t="s">
        <v>242</v>
      </c>
      <c r="H88" s="4"/>
      <c r="I88" s="4">
        <v>10.756635665893555</v>
      </c>
      <c r="J88" s="4">
        <v>11.400382995605469</v>
      </c>
      <c r="K88" s="4">
        <v>9688293780</v>
      </c>
      <c r="L88" s="4">
        <v>-1.7046919042119361E-2</v>
      </c>
      <c r="M88" s="4">
        <v>9.7375297546386719</v>
      </c>
      <c r="N88" s="4">
        <v>15.698344230651855</v>
      </c>
      <c r="O88" s="4" t="s">
        <v>242</v>
      </c>
      <c r="P88" s="4">
        <v>1.0047062805537073</v>
      </c>
      <c r="Q88" s="4">
        <v>3.8127605300929996</v>
      </c>
      <c r="R88" s="4">
        <v>5.124579906463623</v>
      </c>
      <c r="S88" s="4">
        <v>10.26954460144043</v>
      </c>
      <c r="T88" s="4" t="s">
        <v>242</v>
      </c>
      <c r="U88" s="8">
        <v>0.54168210000000006</v>
      </c>
    </row>
    <row r="89" spans="1:21" x14ac:dyDescent="0.2">
      <c r="A89" s="5" t="s">
        <v>194</v>
      </c>
      <c r="B89" s="6" t="s">
        <v>195</v>
      </c>
      <c r="C89" s="6" t="s">
        <v>259</v>
      </c>
      <c r="D89" s="6">
        <v>3.8101167678833008</v>
      </c>
      <c r="E89" s="6">
        <v>2158</v>
      </c>
      <c r="F89" s="6">
        <v>0</v>
      </c>
      <c r="G89" s="6" t="s">
        <v>242</v>
      </c>
      <c r="H89" s="6"/>
      <c r="I89" s="6">
        <v>3.8101167678833008</v>
      </c>
      <c r="J89" s="6">
        <v>11.233978271484375</v>
      </c>
      <c r="K89" s="6">
        <v>2016000000000</v>
      </c>
      <c r="L89" s="6">
        <v>-1.7137147392922319E-3</v>
      </c>
      <c r="M89" s="6">
        <v>9.0389776229858398</v>
      </c>
      <c r="N89" s="6">
        <v>11.198550224304199</v>
      </c>
      <c r="O89" s="6" t="s">
        <v>242</v>
      </c>
      <c r="P89" s="6">
        <v>1.0041149411801384</v>
      </c>
      <c r="Q89" s="6">
        <v>7.1901851900421283</v>
      </c>
      <c r="R89" s="6">
        <v>6.272770881652832</v>
      </c>
      <c r="S89" s="6">
        <v>11.063199043273926</v>
      </c>
      <c r="T89" s="6" t="s">
        <v>242</v>
      </c>
      <c r="U89" s="9">
        <v>0.52858910000000003</v>
      </c>
    </row>
    <row r="90" spans="1:21" x14ac:dyDescent="0.2">
      <c r="A90" s="3" t="s">
        <v>196</v>
      </c>
      <c r="B90" s="4" t="s">
        <v>197</v>
      </c>
      <c r="C90" s="4" t="s">
        <v>260</v>
      </c>
      <c r="D90" s="4">
        <v>1.8646382093429565</v>
      </c>
      <c r="E90" s="4">
        <v>0.68000000715255737</v>
      </c>
      <c r="F90" s="4">
        <v>545.36980669808327</v>
      </c>
      <c r="G90" s="4">
        <v>3.4513859999999998</v>
      </c>
      <c r="H90" s="4">
        <v>2.7200000286102295</v>
      </c>
      <c r="I90" s="4">
        <v>1.8646382093429565</v>
      </c>
      <c r="J90" s="4">
        <v>10.921344757080078</v>
      </c>
      <c r="K90" s="4">
        <v>7842886095.7424927</v>
      </c>
      <c r="L90" s="4">
        <v>1.706254253114918E-2</v>
      </c>
      <c r="M90" s="4">
        <v>6.0174665451049805</v>
      </c>
      <c r="N90" s="4">
        <v>7.7456579208374023</v>
      </c>
      <c r="O90" s="4">
        <v>0.96610353149207473</v>
      </c>
      <c r="P90" s="4">
        <v>1.1557788944723617</v>
      </c>
      <c r="Q90" s="4">
        <v>0.25470683837802827</v>
      </c>
      <c r="R90" s="4">
        <v>12.166878700256348</v>
      </c>
      <c r="S90" s="4">
        <v>16.618288040161133</v>
      </c>
      <c r="T90" s="4" t="s">
        <v>242</v>
      </c>
      <c r="U90" s="8">
        <v>0.82778881696900752</v>
      </c>
    </row>
    <row r="91" spans="1:21" x14ac:dyDescent="0.2">
      <c r="A91" s="5" t="s">
        <v>198</v>
      </c>
      <c r="B91" s="6" t="s">
        <v>199</v>
      </c>
      <c r="C91" s="6" t="s">
        <v>260</v>
      </c>
      <c r="D91" s="6">
        <v>5.7610101699829102</v>
      </c>
      <c r="E91" s="6">
        <v>0.95649999380111694</v>
      </c>
      <c r="F91" s="6">
        <v>0</v>
      </c>
      <c r="G91" s="6">
        <v>0</v>
      </c>
      <c r="H91" s="6">
        <v>3.5065000653266907</v>
      </c>
      <c r="I91" s="6">
        <v>5.7610101699829102</v>
      </c>
      <c r="J91" s="6">
        <v>10.910238265991211</v>
      </c>
      <c r="K91" s="6">
        <v>47935108386.55806</v>
      </c>
      <c r="L91" s="6">
        <v>-9.244992573307206E-3</v>
      </c>
      <c r="M91" s="6">
        <v>9.9445085525512695</v>
      </c>
      <c r="N91" s="6">
        <v>11.662089347839355</v>
      </c>
      <c r="O91" s="6">
        <v>1.6194398872002465</v>
      </c>
      <c r="P91" s="6">
        <v>1.2240819385460904</v>
      </c>
      <c r="Q91" s="6">
        <v>-7.834821264287449E-2</v>
      </c>
      <c r="R91" s="6">
        <v>10.610997200012207</v>
      </c>
      <c r="S91" s="6">
        <v>10.055801391601562</v>
      </c>
      <c r="T91" s="6" t="s">
        <v>242</v>
      </c>
      <c r="U91" s="9">
        <v>0.54477220773696899</v>
      </c>
    </row>
    <row r="92" spans="1:21" x14ac:dyDescent="0.2">
      <c r="A92" s="3" t="s">
        <v>200</v>
      </c>
      <c r="B92" s="4" t="s">
        <v>201</v>
      </c>
      <c r="C92" s="4" t="s">
        <v>260</v>
      </c>
      <c r="D92" s="4">
        <v>4.4894261360168457</v>
      </c>
      <c r="E92" s="4">
        <v>1</v>
      </c>
      <c r="F92" s="4" t="s">
        <v>242</v>
      </c>
      <c r="G92" s="4" t="s">
        <v>242</v>
      </c>
      <c r="H92" s="4">
        <v>3.5</v>
      </c>
      <c r="I92" s="4">
        <v>4.4894261360168457</v>
      </c>
      <c r="J92" s="4">
        <v>10.576389312744141</v>
      </c>
      <c r="K92" s="4">
        <v>1197194310</v>
      </c>
      <c r="L92" s="4">
        <v>-4.8666654054530245E-3</v>
      </c>
      <c r="M92" s="4">
        <v>9.5431985855102539</v>
      </c>
      <c r="N92" s="4">
        <v>6.0942831039428711</v>
      </c>
      <c r="O92" s="4" t="s">
        <v>242</v>
      </c>
      <c r="P92" s="4">
        <v>1.13387541137359</v>
      </c>
      <c r="Q92" s="4">
        <v>8.7372245537239923</v>
      </c>
      <c r="R92" s="4">
        <v>14.503666877746582</v>
      </c>
      <c r="S92" s="4">
        <v>10.478666305541992</v>
      </c>
      <c r="T92" s="4" t="s">
        <v>247</v>
      </c>
      <c r="U92" s="8">
        <v>0.51058199999999998</v>
      </c>
    </row>
    <row r="93" spans="1:21" x14ac:dyDescent="0.2">
      <c r="A93" s="5" t="s">
        <v>202</v>
      </c>
      <c r="B93" s="6" t="s">
        <v>203</v>
      </c>
      <c r="C93" s="6" t="s">
        <v>260</v>
      </c>
      <c r="D93" s="6">
        <v>23.927602767944336</v>
      </c>
      <c r="E93" s="6">
        <v>45</v>
      </c>
      <c r="F93" s="6">
        <v>0</v>
      </c>
      <c r="G93" s="6" t="s">
        <v>242</v>
      </c>
      <c r="H93" s="6"/>
      <c r="I93" s="6">
        <v>23.927602767944336</v>
      </c>
      <c r="J93" s="6">
        <v>10.505346298217773</v>
      </c>
      <c r="K93" s="6">
        <v>46041000000</v>
      </c>
      <c r="L93" s="6">
        <v>1.8395654369942539E-2</v>
      </c>
      <c r="M93" s="6">
        <v>7.886469841003418</v>
      </c>
      <c r="N93" s="6">
        <v>10.73079776763916</v>
      </c>
      <c r="O93" s="6" t="s">
        <v>242</v>
      </c>
      <c r="P93" s="6">
        <v>1</v>
      </c>
      <c r="Q93" s="6">
        <v>0.99066840958826019</v>
      </c>
      <c r="R93" s="6">
        <v>7.1370840072631836</v>
      </c>
      <c r="S93" s="6">
        <v>12.679944038391113</v>
      </c>
      <c r="T93" s="6" t="s">
        <v>242</v>
      </c>
      <c r="U93" s="9">
        <v>1.0369139999999999</v>
      </c>
    </row>
    <row r="94" spans="1:21" x14ac:dyDescent="0.2">
      <c r="A94" s="3" t="s">
        <v>204</v>
      </c>
      <c r="B94" s="4" t="s">
        <v>205</v>
      </c>
      <c r="C94" s="4" t="s">
        <v>260</v>
      </c>
      <c r="D94" s="4">
        <v>8.1215038299560547</v>
      </c>
      <c r="E94" s="4">
        <v>1.9800000190734863</v>
      </c>
      <c r="F94" s="4" t="s">
        <v>242</v>
      </c>
      <c r="G94" s="4" t="s">
        <v>242</v>
      </c>
      <c r="H94" s="4"/>
      <c r="I94" s="4">
        <v>8.1215038299560547</v>
      </c>
      <c r="J94" s="4">
        <v>10.484585762023926</v>
      </c>
      <c r="K94" s="4">
        <v>75126250494.913101</v>
      </c>
      <c r="L94" s="4">
        <v>2.8518414593829775E-4</v>
      </c>
      <c r="M94" s="4">
        <v>9.6893405914306641</v>
      </c>
      <c r="N94" s="4">
        <v>1.1574679613113403</v>
      </c>
      <c r="O94" s="4" t="s">
        <v>242</v>
      </c>
      <c r="P94" s="4" t="s">
        <v>242</v>
      </c>
      <c r="Q94" s="4" t="s">
        <v>242</v>
      </c>
      <c r="R94" s="4">
        <v>13.982213973999023</v>
      </c>
      <c r="S94" s="4">
        <v>10.320620536804199</v>
      </c>
      <c r="T94" s="4" t="s">
        <v>242</v>
      </c>
      <c r="U94" s="8">
        <v>1.0298639999999999</v>
      </c>
    </row>
    <row r="95" spans="1:21" x14ac:dyDescent="0.2">
      <c r="A95" s="5" t="s">
        <v>206</v>
      </c>
      <c r="B95" s="6" t="s">
        <v>207</v>
      </c>
      <c r="C95" s="6" t="s">
        <v>260</v>
      </c>
      <c r="D95" s="6"/>
      <c r="E95" s="6">
        <v>3.5</v>
      </c>
      <c r="F95" s="6">
        <v>0</v>
      </c>
      <c r="G95" s="6" t="s">
        <v>242</v>
      </c>
      <c r="H95" s="6"/>
      <c r="I95" s="6"/>
      <c r="J95" s="6">
        <v>10.442342758178711</v>
      </c>
      <c r="K95" s="6">
        <v>4659599999.999999</v>
      </c>
      <c r="L95" s="6">
        <v>2.3735741494015708E-2</v>
      </c>
      <c r="M95" s="6">
        <v>7.2001376152038574</v>
      </c>
      <c r="N95" s="6">
        <v>9.5615167617797852</v>
      </c>
      <c r="O95" s="6" t="s">
        <v>242</v>
      </c>
      <c r="P95" s="6">
        <v>1.0045894225968268</v>
      </c>
      <c r="Q95" s="6">
        <v>-1.3119588278754082</v>
      </c>
      <c r="R95" s="6">
        <v>8.7674503326416016</v>
      </c>
      <c r="S95" s="6">
        <v>13.888623237609863</v>
      </c>
      <c r="T95" s="6" t="s">
        <v>242</v>
      </c>
      <c r="U95" s="9">
        <v>0.72708640000000002</v>
      </c>
    </row>
    <row r="96" spans="1:21" x14ac:dyDescent="0.2">
      <c r="A96" s="3" t="s">
        <v>208</v>
      </c>
      <c r="B96" s="4" t="s">
        <v>209</v>
      </c>
      <c r="C96" s="4" t="s">
        <v>260</v>
      </c>
      <c r="D96" s="4">
        <v>13.266813278198242</v>
      </c>
      <c r="E96" s="4">
        <v>6.362299919128418</v>
      </c>
      <c r="F96" s="4">
        <v>0</v>
      </c>
      <c r="G96" s="4" t="s">
        <v>242</v>
      </c>
      <c r="H96" s="4"/>
      <c r="I96" s="4">
        <v>13.266813278198242</v>
      </c>
      <c r="J96" s="4">
        <v>10.212775230407715</v>
      </c>
      <c r="K96" s="4">
        <v>246645990948.00003</v>
      </c>
      <c r="L96" s="4">
        <v>6.8893494184002939E-3</v>
      </c>
      <c r="M96" s="4">
        <v>7.4569201469421387</v>
      </c>
      <c r="N96" s="4">
        <v>2.5719990730285645</v>
      </c>
      <c r="O96" s="4">
        <v>0.76234623565964055</v>
      </c>
      <c r="P96" s="4">
        <v>1.0027184335352943</v>
      </c>
      <c r="Q96" s="4" t="s">
        <v>242</v>
      </c>
      <c r="R96" s="4">
        <v>6.6923880577087402</v>
      </c>
      <c r="S96" s="4">
        <v>13.410362243652344</v>
      </c>
      <c r="T96" s="4" t="s">
        <v>252</v>
      </c>
      <c r="U96" s="8">
        <v>0.72033040000000004</v>
      </c>
    </row>
    <row r="97" spans="1:21" x14ac:dyDescent="0.2">
      <c r="A97" s="5" t="s">
        <v>210</v>
      </c>
      <c r="B97" s="6" t="s">
        <v>211</v>
      </c>
      <c r="C97" s="6" t="s">
        <v>260</v>
      </c>
      <c r="D97" s="6">
        <v>-7.2582736015319824</v>
      </c>
      <c r="E97" s="6">
        <v>134.22799682617188</v>
      </c>
      <c r="F97" s="6">
        <v>103</v>
      </c>
      <c r="G97" s="6">
        <v>3.417516</v>
      </c>
      <c r="H97" s="6">
        <v>4.3499999046325684</v>
      </c>
      <c r="I97" s="6">
        <v>-7.2582736015319824</v>
      </c>
      <c r="J97" s="6">
        <v>10.196938514709473</v>
      </c>
      <c r="K97" s="6">
        <v>88373878634.487946</v>
      </c>
      <c r="L97" s="6">
        <v>3.6585601645800998E-2</v>
      </c>
      <c r="M97" s="6">
        <v>6.5129938125610352</v>
      </c>
      <c r="N97" s="6">
        <v>10.779020309448242</v>
      </c>
      <c r="O97" s="6" t="s">
        <v>242</v>
      </c>
      <c r="P97" s="6">
        <v>1.1521063267526814</v>
      </c>
      <c r="Q97" s="6">
        <v>-9.4129258992509239</v>
      </c>
      <c r="R97" s="6">
        <v>7.2532157897949219</v>
      </c>
      <c r="S97" s="6">
        <v>15.353922843933105</v>
      </c>
      <c r="T97" s="6" t="s">
        <v>242</v>
      </c>
      <c r="U97" s="9">
        <v>0.92731350000000001</v>
      </c>
    </row>
    <row r="98" spans="1:21" x14ac:dyDescent="0.2">
      <c r="A98" s="3" t="s">
        <v>212</v>
      </c>
      <c r="B98" s="4" t="s">
        <v>213</v>
      </c>
      <c r="C98" s="4" t="s">
        <v>260</v>
      </c>
      <c r="D98" s="4">
        <v>8.2495908737182617</v>
      </c>
      <c r="E98" s="4">
        <v>3.1500000506639481E-2</v>
      </c>
      <c r="F98" s="4" t="s">
        <v>242</v>
      </c>
      <c r="G98" s="4" t="s">
        <v>242</v>
      </c>
      <c r="H98" s="4">
        <v>17.53149988129735</v>
      </c>
      <c r="I98" s="4">
        <v>8.2495908737182617</v>
      </c>
      <c r="J98" s="4">
        <v>10.01678466796875</v>
      </c>
      <c r="K98" s="4">
        <v>7323722892.3844109</v>
      </c>
      <c r="L98" s="4">
        <v>5.4542680764437523E-3</v>
      </c>
      <c r="M98" s="4">
        <v>9.5819187164306641</v>
      </c>
      <c r="N98" s="4">
        <v>4.7556948661804199</v>
      </c>
      <c r="O98" s="4" t="s">
        <v>242</v>
      </c>
      <c r="P98" s="4">
        <v>1.1847366520067137</v>
      </c>
      <c r="Q98" s="4">
        <v>1.7167054710373217</v>
      </c>
      <c r="R98" s="4">
        <v>5.3323769569396973</v>
      </c>
      <c r="S98" s="4">
        <v>10.436323165893555</v>
      </c>
      <c r="T98" s="4" t="s">
        <v>242</v>
      </c>
      <c r="U98" s="8">
        <v>0.33870299999999998</v>
      </c>
    </row>
    <row r="99" spans="1:21" x14ac:dyDescent="0.2">
      <c r="A99" s="5" t="s">
        <v>214</v>
      </c>
      <c r="B99" s="6" t="s">
        <v>215</v>
      </c>
      <c r="C99" s="6" t="s">
        <v>259</v>
      </c>
      <c r="D99" s="6">
        <v>23.873201370239258</v>
      </c>
      <c r="E99" s="6">
        <v>350</v>
      </c>
      <c r="F99" s="6">
        <v>0</v>
      </c>
      <c r="G99" s="6">
        <v>0</v>
      </c>
      <c r="H99" s="6"/>
      <c r="I99" s="6">
        <v>23.873201370239258</v>
      </c>
      <c r="J99" s="6">
        <v>9.9075117111206055</v>
      </c>
      <c r="K99" s="6">
        <v>333200091700</v>
      </c>
      <c r="L99" s="6">
        <v>2.6805099078705864E-2</v>
      </c>
      <c r="M99" s="6">
        <v>7.6292610168457031</v>
      </c>
      <c r="N99" s="6">
        <v>13.110840797424316</v>
      </c>
      <c r="O99" s="6" t="s">
        <v>242</v>
      </c>
      <c r="P99" s="6">
        <v>1.0086670272075637</v>
      </c>
      <c r="Q99" s="6" t="s">
        <v>242</v>
      </c>
      <c r="R99" s="6">
        <v>8.873753547668457</v>
      </c>
      <c r="S99" s="6">
        <v>13.107429504394531</v>
      </c>
      <c r="T99" s="6" t="s">
        <v>242</v>
      </c>
      <c r="U99" s="9">
        <v>0.66367929999999997</v>
      </c>
    </row>
    <row r="100" spans="1:21" x14ac:dyDescent="0.2">
      <c r="A100" s="3" t="s">
        <v>216</v>
      </c>
      <c r="B100" s="4" t="s">
        <v>217</v>
      </c>
      <c r="C100" s="4" t="s">
        <v>259</v>
      </c>
      <c r="D100" s="4">
        <v>26.792036056518555</v>
      </c>
      <c r="E100" s="4">
        <v>11</v>
      </c>
      <c r="F100" s="4" t="s">
        <v>242</v>
      </c>
      <c r="G100" s="4" t="s">
        <v>242</v>
      </c>
      <c r="H100" s="4"/>
      <c r="I100" s="4">
        <v>26.792036056518555</v>
      </c>
      <c r="J100" s="4">
        <v>9.7189188003540039</v>
      </c>
      <c r="K100" s="4">
        <v>196703474152.3324</v>
      </c>
      <c r="L100" s="4">
        <v>5.2143282719376044E-2</v>
      </c>
      <c r="M100" s="4">
        <v>7.0349736213684082</v>
      </c>
      <c r="N100" s="4">
        <v>16.483022689819336</v>
      </c>
      <c r="O100" s="4" t="s">
        <v>242</v>
      </c>
      <c r="P100" s="4">
        <v>1.008221747507754</v>
      </c>
      <c r="Q100" s="4" t="s">
        <v>242</v>
      </c>
      <c r="R100" s="4">
        <v>9.5604457855224609</v>
      </c>
      <c r="S100" s="4">
        <v>14.214694976806641</v>
      </c>
      <c r="T100" s="4" t="s">
        <v>242</v>
      </c>
      <c r="U100" s="8">
        <v>0.33611980000000002</v>
      </c>
    </row>
    <row r="101" spans="1:21" x14ac:dyDescent="0.2">
      <c r="A101" s="5" t="s">
        <v>218</v>
      </c>
      <c r="B101" s="6" t="s">
        <v>219</v>
      </c>
      <c r="C101" s="6" t="s">
        <v>259</v>
      </c>
      <c r="D101" s="6">
        <v>20.877540588378906</v>
      </c>
      <c r="E101" s="6">
        <v>0.85714298486709595</v>
      </c>
      <c r="F101" s="6">
        <v>0</v>
      </c>
      <c r="G101" s="6" t="s">
        <v>242</v>
      </c>
      <c r="H101" s="6">
        <v>1.8000000715255737</v>
      </c>
      <c r="I101" s="6">
        <v>20.877553939819336</v>
      </c>
      <c r="J101" s="6">
        <v>9.5630588531494141</v>
      </c>
      <c r="K101" s="6">
        <v>6739183359.7200003</v>
      </c>
      <c r="L101" s="6">
        <v>1.8113227713778171E-2</v>
      </c>
      <c r="M101" s="6">
        <v>7.8337564468383789</v>
      </c>
      <c r="N101" s="6">
        <v>5.6089339256286621</v>
      </c>
      <c r="O101" s="6" t="s">
        <v>242</v>
      </c>
      <c r="P101" s="6">
        <v>1.3914669621831279</v>
      </c>
      <c r="Q101" s="6">
        <v>-2.5292234312608808</v>
      </c>
      <c r="R101" s="6">
        <v>10.158035278320312</v>
      </c>
      <c r="S101" s="6">
        <v>12.765268325805664</v>
      </c>
      <c r="T101" s="6" t="s">
        <v>242</v>
      </c>
      <c r="U101" s="9">
        <v>0.60463270000000002</v>
      </c>
    </row>
    <row r="102" spans="1:21" x14ac:dyDescent="0.2">
      <c r="A102" s="3" t="s">
        <v>220</v>
      </c>
      <c r="B102" s="4" t="s">
        <v>221</v>
      </c>
      <c r="C102" s="4" t="s">
        <v>259</v>
      </c>
      <c r="D102" s="4">
        <v>-1.4291598796844482</v>
      </c>
      <c r="E102" s="4">
        <v>0.17000000178813934</v>
      </c>
      <c r="F102" s="4">
        <v>1041.0620328651953</v>
      </c>
      <c r="G102" s="4">
        <v>24.690595999999999</v>
      </c>
      <c r="H102" s="4">
        <v>0.64999999105930328</v>
      </c>
      <c r="I102" s="4">
        <v>-1.4291598796844482</v>
      </c>
      <c r="J102" s="4">
        <v>9.3067665100097656</v>
      </c>
      <c r="K102" s="4">
        <v>25959732986.506176</v>
      </c>
      <c r="L102" s="4">
        <v>6.2569857185026658E-3</v>
      </c>
      <c r="M102" s="4">
        <v>8.9069004058837891</v>
      </c>
      <c r="N102" s="4">
        <v>10.937532424926758</v>
      </c>
      <c r="O102" s="4">
        <v>1.9159696557090058</v>
      </c>
      <c r="P102" s="4">
        <v>1.1319656224008872</v>
      </c>
      <c r="Q102" s="4">
        <v>3.7916958049197182</v>
      </c>
      <c r="R102" s="4">
        <v>13.837903022766113</v>
      </c>
      <c r="S102" s="4">
        <v>11.227250099182129</v>
      </c>
      <c r="T102" s="4" t="s">
        <v>242</v>
      </c>
      <c r="U102" s="8">
        <v>0.85057181119918823</v>
      </c>
    </row>
    <row r="103" spans="1:21" x14ac:dyDescent="0.2">
      <c r="A103" s="5" t="s">
        <v>222</v>
      </c>
      <c r="B103" s="6" t="s">
        <v>223</v>
      </c>
      <c r="C103" s="6" t="s">
        <v>259</v>
      </c>
      <c r="D103" s="6">
        <v>1.1131508350372314</v>
      </c>
      <c r="E103" s="6">
        <v>1.2999999523162842</v>
      </c>
      <c r="F103" s="6">
        <v>0</v>
      </c>
      <c r="G103" s="6" t="s">
        <v>242</v>
      </c>
      <c r="H103" s="6"/>
      <c r="I103" s="6">
        <v>1.1131508350372314</v>
      </c>
      <c r="J103" s="6">
        <v>9.1138324737548828</v>
      </c>
      <c r="K103" s="6">
        <v>29881648867.200001</v>
      </c>
      <c r="L103" s="6">
        <v>3.7373416671575135E-2</v>
      </c>
      <c r="M103" s="6">
        <v>7.9356484413146973</v>
      </c>
      <c r="N103" s="6">
        <v>16.007242202758789</v>
      </c>
      <c r="O103" s="6" t="s">
        <v>242</v>
      </c>
      <c r="P103" s="6">
        <v>1.0060606221970854</v>
      </c>
      <c r="Q103" s="6">
        <v>3.8956666907773645</v>
      </c>
      <c r="R103" s="6">
        <v>14.534236907958984</v>
      </c>
      <c r="S103" s="6">
        <v>12.601365089416504</v>
      </c>
      <c r="T103" s="6" t="s">
        <v>242</v>
      </c>
      <c r="U103" s="9">
        <v>0.97043500000000005</v>
      </c>
    </row>
    <row r="104" spans="1:21" x14ac:dyDescent="0.2">
      <c r="A104" s="3" t="s">
        <v>224</v>
      </c>
      <c r="B104" s="4" t="s">
        <v>225</v>
      </c>
      <c r="C104" s="4" t="s">
        <v>259</v>
      </c>
      <c r="D104" s="4">
        <v>7.7383103370666504</v>
      </c>
      <c r="E104" s="4">
        <v>0.44999998807907104</v>
      </c>
      <c r="F104" s="4" t="s">
        <v>242</v>
      </c>
      <c r="G104" s="4" t="s">
        <v>242</v>
      </c>
      <c r="H104" s="4"/>
      <c r="I104" s="4">
        <v>7.7383103370666504</v>
      </c>
      <c r="J104" s="4">
        <v>8.9404706954956055</v>
      </c>
      <c r="K104" s="4">
        <v>2935283358</v>
      </c>
      <c r="L104" s="4">
        <v>1.587508725107872E-2</v>
      </c>
      <c r="M104" s="4">
        <v>9.2900781631469727</v>
      </c>
      <c r="N104" s="4">
        <v>5.7044677734375</v>
      </c>
      <c r="O104" s="4" t="s">
        <v>242</v>
      </c>
      <c r="P104" s="4">
        <v>1.3147820540292721</v>
      </c>
      <c r="Q104" s="4">
        <v>5.7532865857537328</v>
      </c>
      <c r="R104" s="4">
        <v>5.6725997924804688</v>
      </c>
      <c r="S104" s="4">
        <v>10.764172554016113</v>
      </c>
      <c r="T104" s="4" t="s">
        <v>242</v>
      </c>
      <c r="U104" s="8">
        <v>0.80429510000000004</v>
      </c>
    </row>
    <row r="105" spans="1:21" x14ac:dyDescent="0.2">
      <c r="A105" s="5" t="s">
        <v>226</v>
      </c>
      <c r="B105" s="6" t="s">
        <v>227</v>
      </c>
      <c r="C105" s="6" t="s">
        <v>259</v>
      </c>
      <c r="D105" s="6">
        <v>13.806042671203613</v>
      </c>
      <c r="E105" s="6">
        <v>22</v>
      </c>
      <c r="F105" s="6" t="s">
        <v>242</v>
      </c>
      <c r="G105" s="6" t="s">
        <v>242</v>
      </c>
      <c r="H105" s="6"/>
      <c r="I105" s="6">
        <v>13.806042671203613</v>
      </c>
      <c r="J105" s="6">
        <v>8.7930116653442383</v>
      </c>
      <c r="K105" s="6">
        <v>97537835369.000015</v>
      </c>
      <c r="L105" s="6">
        <v>1.2434367182963478E-2</v>
      </c>
      <c r="M105" s="6">
        <v>8.9120121002197266</v>
      </c>
      <c r="N105" s="6">
        <v>6.6738362312316895</v>
      </c>
      <c r="O105" s="6" t="s">
        <v>242</v>
      </c>
      <c r="P105" s="6">
        <v>1.0257813085513003</v>
      </c>
      <c r="Q105" s="6">
        <v>5.4282564876351058</v>
      </c>
      <c r="R105" s="6">
        <v>7.2045950889587402</v>
      </c>
      <c r="S105" s="6">
        <v>11.220810890197754</v>
      </c>
      <c r="T105" s="6" t="s">
        <v>253</v>
      </c>
      <c r="U105" s="9">
        <v>0.95582009999999995</v>
      </c>
    </row>
    <row r="106" spans="1:21" x14ac:dyDescent="0.2">
      <c r="A106" s="3" t="s">
        <v>228</v>
      </c>
      <c r="B106" s="4" t="s">
        <v>229</v>
      </c>
      <c r="C106" s="4" t="s">
        <v>257</v>
      </c>
      <c r="D106" s="4">
        <v>9.7030506134033203</v>
      </c>
      <c r="E106" s="4">
        <v>286</v>
      </c>
      <c r="F106" s="4">
        <v>0</v>
      </c>
      <c r="G106" s="4" t="s">
        <v>242</v>
      </c>
      <c r="H106" s="4"/>
      <c r="I106" s="4">
        <v>9.7030506134033203</v>
      </c>
      <c r="J106" s="4">
        <v>8.4516410827636719</v>
      </c>
      <c r="K106" s="4">
        <v>3066650904000</v>
      </c>
      <c r="L106" s="4">
        <v>1.466518836806068E-2</v>
      </c>
      <c r="M106" s="4">
        <v>8.9955463409423828</v>
      </c>
      <c r="N106" s="4">
        <v>6.9511489868164062</v>
      </c>
      <c r="O106" s="4" t="s">
        <v>242</v>
      </c>
      <c r="P106" s="4">
        <v>1.0216910427899208</v>
      </c>
      <c r="Q106" s="4">
        <v>-3.0334732370459325</v>
      </c>
      <c r="R106" s="4">
        <v>10.082491874694824</v>
      </c>
      <c r="S106" s="4">
        <v>11.116612434387207</v>
      </c>
      <c r="T106" s="4" t="s">
        <v>242</v>
      </c>
      <c r="U106" s="8">
        <v>0.43283630000000001</v>
      </c>
    </row>
    <row r="107" spans="1:21" x14ac:dyDescent="0.2">
      <c r="A107" s="5" t="s">
        <v>230</v>
      </c>
      <c r="B107" s="6" t="s">
        <v>231</v>
      </c>
      <c r="C107" s="6" t="s">
        <v>260</v>
      </c>
      <c r="D107" s="6">
        <v>19.279575347900391</v>
      </c>
      <c r="E107" s="6">
        <v>2.4068599566817284E-2</v>
      </c>
      <c r="F107" s="6">
        <v>0</v>
      </c>
      <c r="G107" s="6" t="s">
        <v>242</v>
      </c>
      <c r="H107" s="6"/>
      <c r="I107" s="6">
        <v>19.279575347900391</v>
      </c>
      <c r="J107" s="6">
        <v>7.9048581123352051</v>
      </c>
      <c r="K107" s="6">
        <v>5965873501.9476843</v>
      </c>
      <c r="L107" s="6">
        <v>2.3801505133338105E-2</v>
      </c>
      <c r="M107" s="6">
        <v>6.4657549858093262</v>
      </c>
      <c r="N107" s="6">
        <v>4.8421669006347656</v>
      </c>
      <c r="O107" s="6" t="s">
        <v>242</v>
      </c>
      <c r="P107" s="6">
        <v>1.4480033378883441</v>
      </c>
      <c r="Q107" s="6">
        <v>2.2663264607323881</v>
      </c>
      <c r="R107" s="6">
        <v>14.020626068115234</v>
      </c>
      <c r="S107" s="6">
        <v>15.466097831726074</v>
      </c>
      <c r="T107" s="6" t="s">
        <v>242</v>
      </c>
      <c r="U107" s="9">
        <v>1.019328</v>
      </c>
    </row>
    <row r="108" spans="1:21" x14ac:dyDescent="0.2">
      <c r="A108" s="3" t="s">
        <v>232</v>
      </c>
      <c r="B108" s="4" t="s">
        <v>233</v>
      </c>
      <c r="C108" s="4" t="s">
        <v>260</v>
      </c>
      <c r="D108" s="4">
        <v>-5.4710507392883301</v>
      </c>
      <c r="E108" s="4">
        <v>0.21091000735759735</v>
      </c>
      <c r="F108" s="4">
        <v>0</v>
      </c>
      <c r="G108" s="4" t="s">
        <v>242</v>
      </c>
      <c r="H108" s="4"/>
      <c r="I108" s="4">
        <v>-5.4710507392883301</v>
      </c>
      <c r="J108" s="4">
        <v>7.8613972663879395</v>
      </c>
      <c r="K108" s="4">
        <v>2480606484.9871416</v>
      </c>
      <c r="L108" s="4">
        <v>3.8577032383574753E-2</v>
      </c>
      <c r="M108" s="4">
        <v>8.1823968887329102</v>
      </c>
      <c r="N108" s="4">
        <v>10.808297157287598</v>
      </c>
      <c r="O108" s="4" t="s">
        <v>242</v>
      </c>
      <c r="P108" s="4">
        <v>1.0764400261675093</v>
      </c>
      <c r="Q108" s="4">
        <v>-1.7405731267986437</v>
      </c>
      <c r="R108" s="4">
        <v>9.4339981079101562</v>
      </c>
      <c r="S108" s="4">
        <v>12.221357345581055</v>
      </c>
      <c r="T108" s="4" t="s">
        <v>242</v>
      </c>
      <c r="U108" s="8">
        <v>0.78921680000000005</v>
      </c>
    </row>
    <row r="109" spans="1:21" x14ac:dyDescent="0.2">
      <c r="A109" s="5" t="s">
        <v>234</v>
      </c>
      <c r="B109" s="6" t="s">
        <v>235</v>
      </c>
      <c r="C109" s="6" t="s">
        <v>259</v>
      </c>
      <c r="D109" s="6">
        <v>17.607902526855469</v>
      </c>
      <c r="E109" s="6">
        <v>1.7999999523162842</v>
      </c>
      <c r="F109" s="6">
        <v>0</v>
      </c>
      <c r="G109" s="6" t="s">
        <v>242</v>
      </c>
      <c r="H109" s="6"/>
      <c r="I109" s="6">
        <v>17.607902526855469</v>
      </c>
      <c r="J109" s="6">
        <v>7.6525177955627441</v>
      </c>
      <c r="K109" s="6">
        <v>2329640806.9381409</v>
      </c>
      <c r="L109" s="6">
        <v>2.8824588753385064E-2</v>
      </c>
      <c r="M109" s="6">
        <v>8.4672708511352539</v>
      </c>
      <c r="N109" s="6">
        <v>7.995628833770752</v>
      </c>
      <c r="O109" s="6" t="s">
        <v>242</v>
      </c>
      <c r="P109" s="6">
        <v>1.0270333662432021</v>
      </c>
      <c r="Q109" s="6">
        <v>4.2431239034896784</v>
      </c>
      <c r="R109" s="6">
        <v>12.999241828918457</v>
      </c>
      <c r="S109" s="6">
        <v>11.8101806640625</v>
      </c>
      <c r="T109" s="6" t="s">
        <v>249</v>
      </c>
      <c r="U109" s="9">
        <v>0.69602920000000001</v>
      </c>
    </row>
    <row r="110" spans="1:21" x14ac:dyDescent="0.2">
      <c r="A110" s="3" t="s">
        <v>236</v>
      </c>
      <c r="B110" s="4" t="s">
        <v>237</v>
      </c>
      <c r="C110" s="4" t="s">
        <v>260</v>
      </c>
      <c r="D110" s="4"/>
      <c r="E110" s="4">
        <v>0</v>
      </c>
      <c r="F110" s="4">
        <v>0</v>
      </c>
      <c r="G110" s="4" t="s">
        <v>242</v>
      </c>
      <c r="H110" s="4"/>
      <c r="I110" s="4"/>
      <c r="J110" s="4">
        <v>7.3605728149414062</v>
      </c>
      <c r="K110" s="4">
        <v>46122554852.970238</v>
      </c>
      <c r="L110" s="4">
        <v>8.4532545364965372</v>
      </c>
      <c r="M110" s="4">
        <v>7.2027044296264648</v>
      </c>
      <c r="N110" s="4">
        <v>12.548887252807617</v>
      </c>
      <c r="O110" s="4" t="s">
        <v>242</v>
      </c>
      <c r="P110" s="4">
        <v>1.7459161959504534</v>
      </c>
      <c r="Q110" s="4">
        <v>9.1556783856066808</v>
      </c>
      <c r="R110" s="4">
        <v>11.369321823120117</v>
      </c>
      <c r="S110" s="4">
        <v>13.883673667907715</v>
      </c>
      <c r="T110" s="4" t="s">
        <v>247</v>
      </c>
      <c r="U110" s="8">
        <v>1.0031399999999999</v>
      </c>
    </row>
    <row r="111" spans="1:21" x14ac:dyDescent="0.2">
      <c r="A111" s="5" t="s">
        <v>238</v>
      </c>
      <c r="B111" s="6" t="s">
        <v>239</v>
      </c>
      <c r="C111" s="6" t="s">
        <v>259</v>
      </c>
      <c r="D111" s="6">
        <v>18.330743789672852</v>
      </c>
      <c r="E111" s="6">
        <v>580</v>
      </c>
      <c r="F111" s="6" t="s">
        <v>242</v>
      </c>
      <c r="G111" s="6">
        <v>1.686763</v>
      </c>
      <c r="H111" s="6"/>
      <c r="I111" s="6">
        <v>18.330743789672852</v>
      </c>
      <c r="J111" s="6">
        <v>6.4037494659423828</v>
      </c>
      <c r="K111" s="6">
        <v>1602789026799.9998</v>
      </c>
      <c r="L111" s="6">
        <v>7.3276211225570917E-2</v>
      </c>
      <c r="M111" s="6">
        <v>5.4890613555908203</v>
      </c>
      <c r="N111" s="6">
        <v>10.386198997497559</v>
      </c>
      <c r="O111" s="6" t="s">
        <v>242</v>
      </c>
      <c r="P111" s="6">
        <v>1.0041005748067278</v>
      </c>
      <c r="Q111" s="6">
        <v>-2.1112701073633349</v>
      </c>
      <c r="R111" s="6">
        <v>10.789931297302246</v>
      </c>
      <c r="S111" s="6">
        <v>18.218050003051758</v>
      </c>
      <c r="T111" s="6" t="s">
        <v>242</v>
      </c>
      <c r="U111" s="9">
        <v>1.3041180000000001</v>
      </c>
    </row>
    <row r="112" spans="1:21" x14ac:dyDescent="0.2">
      <c r="A112" s="3" t="s">
        <v>240</v>
      </c>
      <c r="B112" s="4" t="s">
        <v>241</v>
      </c>
      <c r="C112" s="4" t="s">
        <v>259</v>
      </c>
      <c r="D112" s="4">
        <v>-1.892241358757019</v>
      </c>
      <c r="E112" s="4">
        <v>0.13199999928474426</v>
      </c>
      <c r="F112" s="4">
        <v>0</v>
      </c>
      <c r="G112" s="4" t="s">
        <v>242</v>
      </c>
      <c r="H112" s="4">
        <v>0.38199999928474426</v>
      </c>
      <c r="I112" s="4">
        <v>-1.892241358757019</v>
      </c>
      <c r="J112" s="4">
        <v>6.3872241973876953</v>
      </c>
      <c r="K112" s="4">
        <v>3497319275.7300005</v>
      </c>
      <c r="L112" s="4">
        <v>3.565210352732287E-2</v>
      </c>
      <c r="M112" s="4">
        <v>6.9801321029663086</v>
      </c>
      <c r="N112" s="4">
        <v>6.5403599739074707</v>
      </c>
      <c r="O112" s="4" t="s">
        <v>242</v>
      </c>
      <c r="P112" s="4" t="s">
        <v>242</v>
      </c>
      <c r="Q112" s="4" t="s">
        <v>242</v>
      </c>
      <c r="R112" s="4">
        <v>7.8059501647949219</v>
      </c>
      <c r="S112" s="4">
        <v>14.326375961303711</v>
      </c>
      <c r="T112" s="4" t="s">
        <v>242</v>
      </c>
      <c r="U112" s="8">
        <v>0.94140740000000001</v>
      </c>
    </row>
  </sheetData>
  <conditionalFormatting sqref="C2:C112">
    <cfRule type="containsText" dxfId="3" priority="1" operator="containsText" text="NO">
      <formula>NOT(ISERROR(SEARCH("NO",C2)))</formula>
    </cfRule>
    <cfRule type="containsText" dxfId="2" priority="2" operator="containsText" text="YES">
      <formula>NOT(ISERROR(SEARCH("YES",C2)))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458F-B237-2644-A09C-B8AA2241A16A}">
  <dimension ref="A1:AE54"/>
  <sheetViews>
    <sheetView zoomScale="134" workbookViewId="0">
      <pane xSplit="1" topLeftCell="W1" activePane="topRight" state="frozen"/>
      <selection pane="topRight" activeCell="W18" sqref="W18"/>
    </sheetView>
  </sheetViews>
  <sheetFormatPr baseColWidth="10" defaultColWidth="11.5" defaultRowHeight="15" x14ac:dyDescent="0.2"/>
  <cols>
    <col min="1" max="1" width="17" bestFit="1" customWidth="1"/>
    <col min="2" max="2" width="17.6640625" bestFit="1" customWidth="1"/>
    <col min="3" max="3" width="18.1640625" bestFit="1" customWidth="1"/>
    <col min="4" max="4" width="15.5" customWidth="1"/>
    <col min="5" max="5" width="16.5" customWidth="1"/>
    <col min="6" max="6" width="15.33203125" customWidth="1"/>
    <col min="7" max="10" width="11" bestFit="1" customWidth="1"/>
    <col min="11" max="11" width="11.83203125" bestFit="1" customWidth="1"/>
    <col min="12" max="17" width="11" bestFit="1" customWidth="1"/>
    <col min="18" max="18" width="22.1640625" customWidth="1"/>
    <col min="19" max="19" width="11" bestFit="1" customWidth="1"/>
    <col min="20" max="20" width="23.5" customWidth="1"/>
    <col min="21" max="21" width="11" bestFit="1" customWidth="1"/>
    <col min="22" max="22" width="17" customWidth="1"/>
    <col min="26" max="26" width="23.1640625" customWidth="1"/>
    <col min="27" max="27" width="22.5" customWidth="1"/>
    <col min="28" max="28" width="21.83203125" customWidth="1"/>
    <col min="29" max="29" width="22.6640625" customWidth="1"/>
    <col min="30" max="30" width="23.5" customWidth="1"/>
    <col min="31" max="31" width="21.5" customWidth="1"/>
  </cols>
  <sheetData>
    <row r="1" spans="1:31" x14ac:dyDescent="0.2">
      <c r="A1" s="22" t="s">
        <v>0</v>
      </c>
      <c r="B1" s="2" t="s">
        <v>1</v>
      </c>
      <c r="C1" s="2" t="s">
        <v>255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7" t="s">
        <v>19</v>
      </c>
      <c r="V1" s="18" t="s">
        <v>309</v>
      </c>
      <c r="W1" s="25" t="s">
        <v>310</v>
      </c>
      <c r="X1" s="25" t="s">
        <v>311</v>
      </c>
      <c r="Y1" s="25" t="s">
        <v>312</v>
      </c>
      <c r="Z1" s="25" t="s">
        <v>314</v>
      </c>
      <c r="AA1" s="25" t="s">
        <v>315</v>
      </c>
      <c r="AB1" s="25" t="s">
        <v>316</v>
      </c>
      <c r="AC1" s="25" t="s">
        <v>317</v>
      </c>
      <c r="AD1" s="25" t="s">
        <v>318</v>
      </c>
      <c r="AE1" s="25" t="s">
        <v>319</v>
      </c>
    </row>
    <row r="2" spans="1:31" x14ac:dyDescent="0.2">
      <c r="A2" s="23" t="s">
        <v>38</v>
      </c>
      <c r="B2" s="6" t="s">
        <v>39</v>
      </c>
      <c r="C2" s="6" t="s">
        <v>257</v>
      </c>
      <c r="D2" s="6">
        <v>19.573802947998047</v>
      </c>
      <c r="E2" s="6">
        <v>2.2000000476837158</v>
      </c>
      <c r="F2" s="6">
        <v>0</v>
      </c>
      <c r="G2" s="6" t="s">
        <v>242</v>
      </c>
      <c r="H2" s="6"/>
      <c r="I2" s="6">
        <v>19.573802947998047</v>
      </c>
      <c r="J2" s="6">
        <v>21.831375122070312</v>
      </c>
      <c r="K2" s="6">
        <v>109292507077.60001</v>
      </c>
      <c r="L2" s="6">
        <v>-3.7175192490516442E-3</v>
      </c>
      <c r="M2" s="6">
        <v>5.4952273368835449</v>
      </c>
      <c r="N2" s="6">
        <v>3.7630960941314697</v>
      </c>
      <c r="O2" s="6" t="s">
        <v>242</v>
      </c>
      <c r="P2" s="6">
        <v>1.0504956676378221</v>
      </c>
      <c r="Q2" s="6">
        <v>16.941441013982647</v>
      </c>
      <c r="R2" s="6">
        <v>5.387394905090332</v>
      </c>
      <c r="S2" s="6">
        <v>18.197608947753906</v>
      </c>
      <c r="T2" s="6" t="s">
        <v>244</v>
      </c>
      <c r="U2" s="9">
        <v>0.74011119999999997</v>
      </c>
      <c r="V2" s="19">
        <v>1.4</v>
      </c>
      <c r="W2" s="40">
        <v>0.625</v>
      </c>
      <c r="X2" s="41">
        <v>0.375</v>
      </c>
      <c r="Y2" s="42">
        <v>0</v>
      </c>
      <c r="Z2" s="39" t="s">
        <v>320</v>
      </c>
      <c r="AA2" s="39" t="s">
        <v>320</v>
      </c>
      <c r="AB2">
        <v>15.82</v>
      </c>
      <c r="AC2">
        <v>15.41</v>
      </c>
      <c r="AD2" s="39" t="s">
        <v>320</v>
      </c>
      <c r="AE2" s="39" t="s">
        <v>321</v>
      </c>
    </row>
    <row r="3" spans="1:31" x14ac:dyDescent="0.2">
      <c r="A3" s="23" t="s">
        <v>44</v>
      </c>
      <c r="B3" s="4" t="s">
        <v>45</v>
      </c>
      <c r="C3" s="4" t="s">
        <v>256</v>
      </c>
      <c r="D3" s="4"/>
      <c r="E3" s="4">
        <v>0.69999998807907104</v>
      </c>
      <c r="F3" s="4">
        <v>0</v>
      </c>
      <c r="G3" s="4" t="s">
        <v>242</v>
      </c>
      <c r="H3" s="4">
        <v>0.69999998807907104</v>
      </c>
      <c r="I3" s="4"/>
      <c r="J3" s="4">
        <v>21.369909286499023</v>
      </c>
      <c r="K3" s="4">
        <v>21197153206.620003</v>
      </c>
      <c r="L3" s="4"/>
      <c r="M3" s="4">
        <v>7.3617525100708008</v>
      </c>
      <c r="N3" s="4">
        <v>7.1233639717102051</v>
      </c>
      <c r="O3" s="4" t="s">
        <v>242</v>
      </c>
      <c r="P3" s="4">
        <v>1.0594374243325173</v>
      </c>
      <c r="Q3" s="4" t="s">
        <v>242</v>
      </c>
      <c r="R3" s="4">
        <v>11.06829833984375</v>
      </c>
      <c r="S3" s="4">
        <v>13.583722114562988</v>
      </c>
      <c r="T3" s="4" t="s">
        <v>242</v>
      </c>
      <c r="U3" s="8">
        <v>0.95320110000000002</v>
      </c>
      <c r="W3" s="40">
        <v>0</v>
      </c>
      <c r="X3" s="41">
        <v>1</v>
      </c>
      <c r="Y3" s="42">
        <v>0</v>
      </c>
      <c r="Z3" s="39" t="s">
        <v>320</v>
      </c>
      <c r="AA3" s="39" t="s">
        <v>320</v>
      </c>
      <c r="AB3" s="39" t="s">
        <v>320</v>
      </c>
      <c r="AC3" s="39" t="s">
        <v>320</v>
      </c>
      <c r="AD3" s="39" t="s">
        <v>320</v>
      </c>
      <c r="AE3" s="39" t="s">
        <v>320</v>
      </c>
    </row>
    <row r="4" spans="1:31" x14ac:dyDescent="0.2">
      <c r="A4" s="21" t="s">
        <v>46</v>
      </c>
      <c r="B4" s="6" t="s">
        <v>47</v>
      </c>
      <c r="C4" s="6" t="s">
        <v>258</v>
      </c>
      <c r="D4" s="6">
        <v>-0.95488202571868896</v>
      </c>
      <c r="E4" s="6">
        <v>30.200000762939453</v>
      </c>
      <c r="F4" s="6" t="s">
        <v>242</v>
      </c>
      <c r="G4" s="6">
        <v>4.2051959999999999</v>
      </c>
      <c r="H4" s="6">
        <v>0.43749998509883881</v>
      </c>
      <c r="I4" s="6">
        <v>-0.95488202571868896</v>
      </c>
      <c r="J4" s="6">
        <v>21.206869125366211</v>
      </c>
      <c r="K4" s="6">
        <v>5282162870.04</v>
      </c>
      <c r="L4" s="6">
        <v>-2.3622996445928864E-2</v>
      </c>
      <c r="M4" s="6">
        <v>6.5851469039916992</v>
      </c>
      <c r="N4" s="6">
        <v>5.805178165435791</v>
      </c>
      <c r="O4" s="6" t="s">
        <v>242</v>
      </c>
      <c r="P4" s="6">
        <v>1.1657303370786516</v>
      </c>
      <c r="Q4" s="6">
        <v>0.95191328196421576</v>
      </c>
      <c r="R4" s="6">
        <v>8.5419082641601562</v>
      </c>
      <c r="S4" s="6">
        <v>15.185689926147461</v>
      </c>
      <c r="T4" s="6" t="s">
        <v>242</v>
      </c>
      <c r="U4" s="9">
        <v>0.98158489999999998</v>
      </c>
      <c r="V4" s="19">
        <v>2.36</v>
      </c>
      <c r="W4" s="40">
        <v>0.64300000000000002</v>
      </c>
      <c r="X4" s="41">
        <v>0.35699999999999998</v>
      </c>
      <c r="Y4" s="42">
        <v>0</v>
      </c>
      <c r="Z4">
        <v>2.33</v>
      </c>
      <c r="AA4" s="39" t="s">
        <v>320</v>
      </c>
      <c r="AB4">
        <v>13.75</v>
      </c>
      <c r="AC4">
        <v>13.52</v>
      </c>
      <c r="AD4">
        <v>12.33</v>
      </c>
      <c r="AE4">
        <v>11.83</v>
      </c>
    </row>
    <row r="5" spans="1:31" x14ac:dyDescent="0.2">
      <c r="A5" s="5" t="s">
        <v>48</v>
      </c>
      <c r="B5" s="4" t="s">
        <v>49</v>
      </c>
      <c r="C5" s="4" t="s">
        <v>256</v>
      </c>
      <c r="D5" s="4">
        <v>11.032153129577637</v>
      </c>
      <c r="E5" s="4">
        <v>0.69999998807907104</v>
      </c>
      <c r="F5" s="4">
        <v>5697.6311103710941</v>
      </c>
      <c r="G5" s="4">
        <v>21.635242999999999</v>
      </c>
      <c r="H5" s="4">
        <v>2.699999988079071</v>
      </c>
      <c r="I5" s="4">
        <v>11.032153129577637</v>
      </c>
      <c r="J5" s="4">
        <v>21.105224609375</v>
      </c>
      <c r="K5" s="4">
        <v>202048888509.3085</v>
      </c>
      <c r="L5" s="4">
        <v>-1.2681039821494489E-2</v>
      </c>
      <c r="M5" s="4">
        <v>6.3589258193969727</v>
      </c>
      <c r="N5" s="4">
        <v>3.7931919097900391</v>
      </c>
      <c r="O5" s="4">
        <v>1.2979139456626938</v>
      </c>
      <c r="P5" s="4" t="s">
        <v>242</v>
      </c>
      <c r="Q5" s="4" t="s">
        <v>242</v>
      </c>
      <c r="R5" s="4">
        <v>10.905329704284668</v>
      </c>
      <c r="S5" s="4">
        <v>15.725926399230957</v>
      </c>
      <c r="T5" s="4" t="s">
        <v>242</v>
      </c>
      <c r="U5" s="8">
        <v>1.1341867446899414</v>
      </c>
      <c r="V5" s="20">
        <v>6.82</v>
      </c>
      <c r="W5" s="40">
        <v>0.39400000000000002</v>
      </c>
      <c r="X5" s="41">
        <v>0.48499999999999999</v>
      </c>
      <c r="Y5" s="42">
        <v>0.121</v>
      </c>
      <c r="Z5">
        <v>7.34</v>
      </c>
      <c r="AA5">
        <v>7.16</v>
      </c>
      <c r="AB5">
        <v>20.97</v>
      </c>
      <c r="AC5">
        <v>22.17</v>
      </c>
      <c r="AD5">
        <v>21.91</v>
      </c>
      <c r="AE5">
        <v>21.77</v>
      </c>
    </row>
    <row r="6" spans="1:31" x14ac:dyDescent="0.2">
      <c r="A6" s="5" t="s">
        <v>50</v>
      </c>
      <c r="B6" s="6" t="s">
        <v>51</v>
      </c>
      <c r="C6" s="6" t="s">
        <v>258</v>
      </c>
      <c r="D6" s="6">
        <v>39.325901031494141</v>
      </c>
      <c r="E6" s="6">
        <v>0.60000002384185791</v>
      </c>
      <c r="F6" s="6">
        <v>0</v>
      </c>
      <c r="G6" s="6" t="s">
        <v>242</v>
      </c>
      <c r="H6" s="6"/>
      <c r="I6" s="6">
        <v>39.325901031494141</v>
      </c>
      <c r="J6" s="6">
        <v>21.090839385986328</v>
      </c>
      <c r="K6" s="6">
        <v>50287206887.579994</v>
      </c>
      <c r="L6" s="6">
        <v>-0.15244110722519816</v>
      </c>
      <c r="M6" s="6">
        <v>7.3061261177062988</v>
      </c>
      <c r="N6" s="6">
        <v>28.183408737182617</v>
      </c>
      <c r="O6" s="6" t="s">
        <v>242</v>
      </c>
      <c r="P6" s="6">
        <v>1.0004061458169478</v>
      </c>
      <c r="Q6" s="6">
        <v>-0.63642476818637339</v>
      </c>
      <c r="R6" s="6">
        <v>13.325738906860352</v>
      </c>
      <c r="S6" s="6">
        <v>13.68714427947998</v>
      </c>
      <c r="T6" s="6" t="s">
        <v>242</v>
      </c>
      <c r="U6" s="9">
        <v>0.97383200000000003</v>
      </c>
      <c r="V6" s="19">
        <v>6.26</v>
      </c>
      <c r="W6" s="40">
        <v>1</v>
      </c>
      <c r="X6" s="41">
        <v>0</v>
      </c>
      <c r="Y6" s="42">
        <v>0</v>
      </c>
      <c r="Z6" s="39" t="s">
        <v>320</v>
      </c>
      <c r="AA6" s="39" t="s">
        <v>320</v>
      </c>
      <c r="AB6">
        <v>21.68</v>
      </c>
      <c r="AC6">
        <v>20.64</v>
      </c>
      <c r="AD6">
        <v>24.13</v>
      </c>
      <c r="AE6">
        <v>23.11</v>
      </c>
    </row>
    <row r="7" spans="1:31" x14ac:dyDescent="0.2">
      <c r="A7" s="5" t="s">
        <v>52</v>
      </c>
      <c r="B7" s="4" t="s">
        <v>53</v>
      </c>
      <c r="C7" s="4" t="s">
        <v>259</v>
      </c>
      <c r="D7" s="4">
        <v>5.6055927276611328</v>
      </c>
      <c r="E7" s="4">
        <v>1.2400000095367432</v>
      </c>
      <c r="F7" s="4">
        <v>2366.3814777559764</v>
      </c>
      <c r="G7" s="4">
        <v>31.085414</v>
      </c>
      <c r="H7" s="4">
        <v>4.8600001335144043</v>
      </c>
      <c r="I7" s="4">
        <v>5.6055927276611328</v>
      </c>
      <c r="J7" s="4">
        <v>20.45509147644043</v>
      </c>
      <c r="K7" s="4">
        <v>377346738115.08496</v>
      </c>
      <c r="L7" s="4">
        <v>-3.4720687278890841E-2</v>
      </c>
      <c r="M7" s="4">
        <v>5.4823760986328125</v>
      </c>
      <c r="N7" s="4">
        <v>8.5285816192626953</v>
      </c>
      <c r="O7" s="4">
        <v>5.2290394688553024</v>
      </c>
      <c r="P7" s="4">
        <v>1.0368954310839227</v>
      </c>
      <c r="Q7" s="4">
        <v>1.1214173013440807</v>
      </c>
      <c r="R7" s="4">
        <v>10.957282066345215</v>
      </c>
      <c r="S7" s="4">
        <v>18.240264892578125</v>
      </c>
      <c r="T7" s="4" t="s">
        <v>242</v>
      </c>
      <c r="U7" s="8">
        <v>0.52650070190429688</v>
      </c>
      <c r="V7" s="19">
        <v>5.335</v>
      </c>
      <c r="W7" s="40">
        <v>0.5</v>
      </c>
      <c r="X7" s="41">
        <v>0.5</v>
      </c>
      <c r="Y7" s="42">
        <v>0</v>
      </c>
      <c r="Z7">
        <v>5.17</v>
      </c>
      <c r="AA7">
        <v>5.0199999999999996</v>
      </c>
      <c r="AB7">
        <v>15.47</v>
      </c>
      <c r="AC7">
        <v>16.29</v>
      </c>
      <c r="AD7">
        <v>14.92</v>
      </c>
      <c r="AE7">
        <v>15.16</v>
      </c>
    </row>
    <row r="8" spans="1:31" x14ac:dyDescent="0.2">
      <c r="A8" s="5" t="s">
        <v>54</v>
      </c>
      <c r="B8" s="6" t="s">
        <v>55</v>
      </c>
      <c r="C8" s="6" t="s">
        <v>256</v>
      </c>
      <c r="D8" s="6">
        <v>4.5639553070068359</v>
      </c>
      <c r="E8" s="6">
        <v>30</v>
      </c>
      <c r="F8" s="6">
        <v>43715</v>
      </c>
      <c r="G8" s="6" t="s">
        <v>242</v>
      </c>
      <c r="H8" s="6"/>
      <c r="I8" s="6">
        <v>4.5639553070068359</v>
      </c>
      <c r="J8" s="6">
        <v>20.201461791992188</v>
      </c>
      <c r="K8" s="6">
        <v>5827153276882.5</v>
      </c>
      <c r="L8" s="6">
        <v>-2.7383775430006312E-3</v>
      </c>
      <c r="M8" s="6">
        <v>5.5398597717285156</v>
      </c>
      <c r="N8" s="6">
        <v>4.8010687828063965</v>
      </c>
      <c r="O8" s="6">
        <v>1.5748378948847819</v>
      </c>
      <c r="P8" s="6">
        <v>1.0239112615434482</v>
      </c>
      <c r="Q8" s="6">
        <v>4.9645223826720493</v>
      </c>
      <c r="R8" s="6">
        <v>8.0774154663085938</v>
      </c>
      <c r="S8" s="6">
        <v>18.050998687744141</v>
      </c>
      <c r="T8" s="6" t="s">
        <v>242</v>
      </c>
      <c r="U8" s="9">
        <v>1.403319</v>
      </c>
      <c r="V8" s="19">
        <v>1.51</v>
      </c>
      <c r="W8" s="40">
        <v>0.6</v>
      </c>
      <c r="X8" s="41">
        <v>0.3</v>
      </c>
      <c r="Y8" s="42">
        <v>0.1</v>
      </c>
      <c r="Z8" s="39" t="s">
        <v>320</v>
      </c>
      <c r="AA8" s="39" t="s">
        <v>320</v>
      </c>
      <c r="AB8" s="39" t="s">
        <v>320</v>
      </c>
      <c r="AC8" s="39" t="s">
        <v>320</v>
      </c>
      <c r="AD8" s="39" t="s">
        <v>320</v>
      </c>
      <c r="AE8" s="39" t="s">
        <v>320</v>
      </c>
    </row>
    <row r="9" spans="1:31" x14ac:dyDescent="0.2">
      <c r="A9" s="5" t="s">
        <v>58</v>
      </c>
      <c r="B9" s="6" t="s">
        <v>59</v>
      </c>
      <c r="C9" s="6" t="s">
        <v>256</v>
      </c>
      <c r="D9" s="6">
        <v>12.362473487854004</v>
      </c>
      <c r="E9" s="6">
        <v>30</v>
      </c>
      <c r="F9" s="6">
        <v>6169</v>
      </c>
      <c r="G9" s="6" t="s">
        <v>242</v>
      </c>
      <c r="H9" s="6"/>
      <c r="I9" s="6">
        <v>12.362473487854004</v>
      </c>
      <c r="J9" s="6">
        <v>20.024112701416016</v>
      </c>
      <c r="K9" s="6">
        <v>310954000000</v>
      </c>
      <c r="L9" s="6">
        <v>-6.2090842345980182E-2</v>
      </c>
      <c r="M9" s="6">
        <v>7.8704948425292969</v>
      </c>
      <c r="N9" s="6">
        <v>10.939443588256836</v>
      </c>
      <c r="O9" s="6" t="s">
        <v>242</v>
      </c>
      <c r="P9" s="6">
        <v>1.004905781486406</v>
      </c>
      <c r="Q9" s="6">
        <v>3.7802550172620929E-2</v>
      </c>
      <c r="R9" s="6">
        <v>13.129752159118652</v>
      </c>
      <c r="S9" s="6">
        <v>12.705680847167969</v>
      </c>
      <c r="T9" s="6" t="s">
        <v>242</v>
      </c>
      <c r="U9" s="9">
        <v>0.86198900000000001</v>
      </c>
      <c r="V9" s="19">
        <v>4.13</v>
      </c>
      <c r="W9" s="40">
        <v>0.375</v>
      </c>
      <c r="X9" s="41">
        <v>0.625</v>
      </c>
      <c r="Y9" s="42">
        <v>0</v>
      </c>
      <c r="Z9" s="39" t="s">
        <v>320</v>
      </c>
      <c r="AA9" s="39" t="s">
        <v>320</v>
      </c>
      <c r="AB9" s="39" t="s">
        <v>320</v>
      </c>
      <c r="AC9" s="39" t="s">
        <v>320</v>
      </c>
      <c r="AD9" s="39" t="s">
        <v>320</v>
      </c>
      <c r="AE9" s="39" t="s">
        <v>320</v>
      </c>
    </row>
    <row r="10" spans="1:31" x14ac:dyDescent="0.2">
      <c r="A10" s="5" t="s">
        <v>60</v>
      </c>
      <c r="B10" s="4" t="s">
        <v>61</v>
      </c>
      <c r="C10" s="4" t="s">
        <v>256</v>
      </c>
      <c r="D10" s="4">
        <v>10.756633758544922</v>
      </c>
      <c r="E10" s="4">
        <v>0.5</v>
      </c>
      <c r="F10" s="4">
        <v>0</v>
      </c>
      <c r="G10" s="4" t="s">
        <v>242</v>
      </c>
      <c r="H10" s="4"/>
      <c r="I10" s="4">
        <v>10.756633758544922</v>
      </c>
      <c r="J10" s="4">
        <v>19.918323516845703</v>
      </c>
      <c r="K10" s="4">
        <v>82888023505.400009</v>
      </c>
      <c r="L10" s="4">
        <v>-4.1955042157169428E-2</v>
      </c>
      <c r="M10" s="4">
        <v>7.8576407432556152</v>
      </c>
      <c r="N10" s="4">
        <v>7.9755392074584961</v>
      </c>
      <c r="O10" s="4" t="s">
        <v>242</v>
      </c>
      <c r="P10" s="4">
        <v>1.1284952990642818</v>
      </c>
      <c r="Q10" s="4" t="s">
        <v>242</v>
      </c>
      <c r="R10" s="4">
        <v>13.896415710449219</v>
      </c>
      <c r="S10" s="4">
        <v>12.726466178894043</v>
      </c>
      <c r="T10" s="4" t="s">
        <v>242</v>
      </c>
      <c r="U10" s="8">
        <v>1.201004</v>
      </c>
      <c r="V10" s="19">
        <v>3.74</v>
      </c>
      <c r="W10" s="40">
        <v>1</v>
      </c>
      <c r="X10" s="41">
        <v>0</v>
      </c>
      <c r="Y10" s="42">
        <v>0</v>
      </c>
      <c r="Z10" s="39" t="s">
        <v>320</v>
      </c>
      <c r="AA10" s="39" t="s">
        <v>320</v>
      </c>
      <c r="AB10" s="1">
        <v>18.98</v>
      </c>
      <c r="AC10" s="1">
        <v>18.23</v>
      </c>
      <c r="AD10" s="1">
        <v>19.93</v>
      </c>
      <c r="AE10" s="1">
        <v>15</v>
      </c>
    </row>
    <row r="11" spans="1:31" x14ac:dyDescent="0.2">
      <c r="A11" s="5" t="s">
        <v>62</v>
      </c>
      <c r="B11" s="6" t="s">
        <v>63</v>
      </c>
      <c r="C11" s="6" t="s">
        <v>256</v>
      </c>
      <c r="D11" s="6">
        <v>11.628840446472168</v>
      </c>
      <c r="E11" s="6">
        <v>0.12999999523162842</v>
      </c>
      <c r="F11" s="6">
        <v>0</v>
      </c>
      <c r="G11" s="6" t="s">
        <v>242</v>
      </c>
      <c r="H11" s="6"/>
      <c r="I11" s="6">
        <v>11.628840446472168</v>
      </c>
      <c r="J11" s="6">
        <v>19.826814651489258</v>
      </c>
      <c r="K11" s="6">
        <v>3619343160</v>
      </c>
      <c r="L11" s="6">
        <v>-3.1686895583827368E-2</v>
      </c>
      <c r="M11" s="6">
        <v>7.0215301513671875</v>
      </c>
      <c r="N11" s="6">
        <v>7.9171380996704102</v>
      </c>
      <c r="O11" s="6" t="s">
        <v>242</v>
      </c>
      <c r="P11" s="6">
        <v>1.18862272117971</v>
      </c>
      <c r="Q11" s="6" t="s">
        <v>242</v>
      </c>
      <c r="R11" s="6">
        <v>12.209203720092773</v>
      </c>
      <c r="S11" s="6">
        <v>14.241909980773926</v>
      </c>
      <c r="T11" s="6" t="s">
        <v>242</v>
      </c>
      <c r="U11" s="9">
        <v>1.1032150000000001</v>
      </c>
      <c r="W11" s="40">
        <v>1</v>
      </c>
      <c r="X11" s="41">
        <v>0</v>
      </c>
      <c r="Y11" s="42">
        <v>0</v>
      </c>
      <c r="Z11" s="39" t="s">
        <v>320</v>
      </c>
      <c r="AA11" s="39" t="s">
        <v>320</v>
      </c>
      <c r="AB11" s="1">
        <v>18.27</v>
      </c>
      <c r="AC11" s="1">
        <v>16.89</v>
      </c>
      <c r="AD11" s="1">
        <v>32.520000000000003</v>
      </c>
      <c r="AE11" s="1">
        <v>22.15</v>
      </c>
    </row>
    <row r="12" spans="1:31" x14ac:dyDescent="0.2">
      <c r="A12" s="5" t="s">
        <v>66</v>
      </c>
      <c r="B12" s="6" t="s">
        <v>67</v>
      </c>
      <c r="C12" s="6" t="s">
        <v>259</v>
      </c>
      <c r="D12" s="6">
        <v>-7.4372496604919434</v>
      </c>
      <c r="E12" s="6">
        <v>3.5</v>
      </c>
      <c r="F12" s="6">
        <v>0</v>
      </c>
      <c r="G12" s="6" t="s">
        <v>242</v>
      </c>
      <c r="H12" s="6">
        <v>24.5</v>
      </c>
      <c r="I12" s="6">
        <v>-7.4372496604919434</v>
      </c>
      <c r="J12" s="6">
        <v>19.538238525390625</v>
      </c>
      <c r="K12" s="6">
        <v>15216805506.261932</v>
      </c>
      <c r="L12" s="6">
        <v>-2.2278476962025315E-2</v>
      </c>
      <c r="M12" s="6">
        <v>7.4790234565734863</v>
      </c>
      <c r="N12" s="6">
        <v>4.8924050331115723</v>
      </c>
      <c r="O12" s="6" t="s">
        <v>242</v>
      </c>
      <c r="P12" s="6">
        <v>1.21484375</v>
      </c>
      <c r="Q12" s="6">
        <v>0.56359516550617361</v>
      </c>
      <c r="R12" s="6">
        <v>6.8115458488464355</v>
      </c>
      <c r="S12" s="6">
        <v>13.370729446411133</v>
      </c>
      <c r="T12" s="6" t="s">
        <v>242</v>
      </c>
      <c r="U12" s="9">
        <v>0.78786860000000003</v>
      </c>
      <c r="V12" s="19">
        <v>3.69</v>
      </c>
      <c r="W12" s="40">
        <v>0.77800000000000002</v>
      </c>
      <c r="X12" s="41">
        <v>0.111</v>
      </c>
      <c r="Y12" s="42">
        <v>0.111</v>
      </c>
      <c r="Z12">
        <v>3.78</v>
      </c>
      <c r="AA12">
        <v>3.57</v>
      </c>
      <c r="AB12" s="1">
        <v>18.3</v>
      </c>
      <c r="AC12" s="1">
        <v>16.43</v>
      </c>
      <c r="AD12" s="1">
        <v>12.15</v>
      </c>
      <c r="AE12" s="1">
        <v>11.12</v>
      </c>
    </row>
    <row r="13" spans="1:31" x14ac:dyDescent="0.2">
      <c r="A13" s="5" t="s">
        <v>68</v>
      </c>
      <c r="B13" s="4" t="s">
        <v>69</v>
      </c>
      <c r="C13" s="4" t="s">
        <v>256</v>
      </c>
      <c r="D13" s="4">
        <v>1.389420747756958</v>
      </c>
      <c r="E13" s="4">
        <v>3.75</v>
      </c>
      <c r="F13" s="4" t="s">
        <v>242</v>
      </c>
      <c r="G13" s="4" t="s">
        <v>242</v>
      </c>
      <c r="H13" s="4">
        <v>4</v>
      </c>
      <c r="I13" s="4">
        <v>1.38942074775696</v>
      </c>
      <c r="J13" s="4">
        <v>19.353693008422852</v>
      </c>
      <c r="K13" s="4">
        <v>4728207060</v>
      </c>
      <c r="L13" s="4">
        <v>-2.3477064891301385E-3</v>
      </c>
      <c r="M13" s="4">
        <v>5.428593635559082</v>
      </c>
      <c r="N13" s="4">
        <v>5.3057150840759277</v>
      </c>
      <c r="O13" s="4" t="s">
        <v>242</v>
      </c>
      <c r="P13" s="4">
        <v>1.1993452164423428</v>
      </c>
      <c r="Q13" s="4">
        <v>61.211670187963328</v>
      </c>
      <c r="R13" s="4">
        <v>12.342753410339355</v>
      </c>
      <c r="S13" s="4">
        <v>18.420978546142578</v>
      </c>
      <c r="T13" s="4" t="s">
        <v>248</v>
      </c>
      <c r="U13" s="8">
        <v>1.034351</v>
      </c>
      <c r="V13" s="19">
        <v>4.07</v>
      </c>
      <c r="W13" s="40">
        <v>0.66700000000000004</v>
      </c>
      <c r="X13" s="41">
        <v>0.222</v>
      </c>
      <c r="Y13" s="42">
        <v>0.111</v>
      </c>
      <c r="Z13" s="39" t="s">
        <v>320</v>
      </c>
      <c r="AA13" s="39" t="s">
        <v>320</v>
      </c>
      <c r="AB13" s="1">
        <v>18.37</v>
      </c>
      <c r="AC13" s="1">
        <v>17.82</v>
      </c>
      <c r="AD13" s="1">
        <v>12.24</v>
      </c>
      <c r="AE13" s="1">
        <v>11.86</v>
      </c>
    </row>
    <row r="14" spans="1:31" x14ac:dyDescent="0.2">
      <c r="A14" s="5" t="s">
        <v>74</v>
      </c>
      <c r="B14" s="6" t="s">
        <v>75</v>
      </c>
      <c r="C14" s="6" t="s">
        <v>257</v>
      </c>
      <c r="D14" s="6">
        <v>6.9753580093383789</v>
      </c>
      <c r="E14" s="6">
        <v>20.79210090637207</v>
      </c>
      <c r="F14" s="6">
        <v>0</v>
      </c>
      <c r="G14" s="6" t="s">
        <v>242</v>
      </c>
      <c r="H14" s="6"/>
      <c r="I14" s="6">
        <v>6.9753580093383789</v>
      </c>
      <c r="J14" s="6">
        <v>18.662046432495117</v>
      </c>
      <c r="K14" s="6">
        <v>51418745840</v>
      </c>
      <c r="L14" s="6">
        <v>-4.093034160634984E-2</v>
      </c>
      <c r="M14" s="6">
        <v>7.4442272186279297</v>
      </c>
      <c r="N14" s="6">
        <v>10.521785736083984</v>
      </c>
      <c r="O14" s="6" t="s">
        <v>242</v>
      </c>
      <c r="P14" s="6">
        <v>1.0549310491894155</v>
      </c>
      <c r="Q14" s="6">
        <v>1.5486473301689077</v>
      </c>
      <c r="R14" s="6">
        <v>8.4860448837280273</v>
      </c>
      <c r="S14" s="6">
        <v>13.433228492736816</v>
      </c>
      <c r="T14" s="6" t="s">
        <v>242</v>
      </c>
      <c r="U14" s="9">
        <v>0.3826524</v>
      </c>
      <c r="V14" s="19">
        <v>7.99</v>
      </c>
      <c r="W14" s="40">
        <v>0.8</v>
      </c>
      <c r="X14" s="41">
        <v>0.2</v>
      </c>
      <c r="Y14" s="42">
        <v>0</v>
      </c>
      <c r="Z14" s="39" t="s">
        <v>320</v>
      </c>
      <c r="AA14" s="39" t="s">
        <v>320</v>
      </c>
      <c r="AB14" s="1">
        <v>17.96</v>
      </c>
      <c r="AC14" s="1">
        <v>17.43</v>
      </c>
      <c r="AD14" s="39" t="s">
        <v>320</v>
      </c>
      <c r="AE14" s="39" t="s">
        <v>320</v>
      </c>
    </row>
    <row r="15" spans="1:31" x14ac:dyDescent="0.2">
      <c r="A15" s="3" t="s">
        <v>76</v>
      </c>
      <c r="B15" s="4" t="s">
        <v>77</v>
      </c>
      <c r="C15" s="4" t="s">
        <v>257</v>
      </c>
      <c r="D15" s="4">
        <v>10.694167137145996</v>
      </c>
      <c r="E15" s="4">
        <v>3</v>
      </c>
      <c r="F15" s="4">
        <v>2427</v>
      </c>
      <c r="G15" s="4" t="s">
        <v>242</v>
      </c>
      <c r="H15" s="4">
        <v>11.600000143051147</v>
      </c>
      <c r="I15" s="4">
        <v>10.694167137145996</v>
      </c>
      <c r="J15" s="4">
        <v>18.361865997314453</v>
      </c>
      <c r="K15" s="4">
        <v>61169788000</v>
      </c>
      <c r="L15" s="4">
        <v>-2.2942645521759921E-2</v>
      </c>
      <c r="M15" s="4">
        <v>7.1049113273620605</v>
      </c>
      <c r="N15" s="4">
        <v>10.499558448791504</v>
      </c>
      <c r="O15" s="4" t="s">
        <v>242</v>
      </c>
      <c r="P15" s="4">
        <v>1.015820698747528</v>
      </c>
      <c r="Q15" s="4">
        <v>7.5444448835466336</v>
      </c>
      <c r="R15" s="4">
        <v>10.577750205993652</v>
      </c>
      <c r="S15" s="4">
        <v>14.074770927429199</v>
      </c>
      <c r="T15" s="4" t="s">
        <v>242</v>
      </c>
      <c r="U15" s="8">
        <v>1.1893800000000001</v>
      </c>
      <c r="V15" s="19">
        <v>5.7</v>
      </c>
      <c r="W15" s="40">
        <v>0.66700000000000004</v>
      </c>
      <c r="X15" s="41">
        <v>0.33300000000000002</v>
      </c>
      <c r="Y15" s="42">
        <v>0</v>
      </c>
      <c r="Z15" s="39" t="s">
        <v>320</v>
      </c>
      <c r="AA15" s="39" t="s">
        <v>320</v>
      </c>
      <c r="AB15" s="39" t="s">
        <v>320</v>
      </c>
      <c r="AC15" s="39" t="s">
        <v>320</v>
      </c>
      <c r="AD15" s="39" t="s">
        <v>320</v>
      </c>
      <c r="AE15" s="39" t="s">
        <v>320</v>
      </c>
    </row>
    <row r="16" spans="1:31" x14ac:dyDescent="0.2">
      <c r="A16" s="5" t="s">
        <v>82</v>
      </c>
      <c r="B16" s="6" t="s">
        <v>83</v>
      </c>
      <c r="C16" s="6" t="s">
        <v>257</v>
      </c>
      <c r="D16" s="6">
        <v>6.9610371589660645</v>
      </c>
      <c r="E16" s="6">
        <v>0.76999998092651367</v>
      </c>
      <c r="F16" s="6">
        <v>1210.3241882324219</v>
      </c>
      <c r="G16" s="6">
        <v>12.539229000000001</v>
      </c>
      <c r="H16" s="6">
        <v>3.0799999237060547</v>
      </c>
      <c r="I16" s="6">
        <v>6.9610371589660645</v>
      </c>
      <c r="J16" s="6">
        <v>18.114128112792969</v>
      </c>
      <c r="K16" s="6">
        <v>255923233572.74878</v>
      </c>
      <c r="L16" s="6">
        <v>-2.3865259691870422E-2</v>
      </c>
      <c r="M16" s="6">
        <v>5.7888545989990234</v>
      </c>
      <c r="N16" s="6">
        <v>10.833902359008789</v>
      </c>
      <c r="O16" s="6">
        <v>0.2125315509673221</v>
      </c>
      <c r="P16" s="6">
        <v>1.9478908188585609</v>
      </c>
      <c r="Q16" s="6" t="s">
        <v>242</v>
      </c>
      <c r="R16" s="6">
        <v>10.876112937927246</v>
      </c>
      <c r="S16" s="6">
        <v>17.274574279785156</v>
      </c>
      <c r="T16" s="6" t="s">
        <v>250</v>
      </c>
      <c r="U16" s="9">
        <v>0.42126208543777466</v>
      </c>
      <c r="V16" s="19">
        <v>5.85</v>
      </c>
      <c r="W16" s="40">
        <v>0.81299999999999994</v>
      </c>
      <c r="X16" s="41">
        <v>0.188</v>
      </c>
      <c r="Y16" s="42">
        <v>0</v>
      </c>
      <c r="Z16">
        <v>5.44</v>
      </c>
      <c r="AA16">
        <v>5.1100000000000003</v>
      </c>
      <c r="AB16" s="1">
        <v>12.93</v>
      </c>
      <c r="AC16" s="1">
        <v>12.81</v>
      </c>
      <c r="AD16" s="1">
        <v>10.42</v>
      </c>
      <c r="AE16" s="1">
        <v>10.09</v>
      </c>
    </row>
    <row r="17" spans="1:31" x14ac:dyDescent="0.2">
      <c r="A17" s="3" t="s">
        <v>88</v>
      </c>
      <c r="B17" s="4" t="s">
        <v>89</v>
      </c>
      <c r="C17" s="4" t="s">
        <v>257</v>
      </c>
      <c r="D17" s="4">
        <v>-6.5171570777893066</v>
      </c>
      <c r="E17" s="4">
        <v>10</v>
      </c>
      <c r="F17" s="4">
        <v>0</v>
      </c>
      <c r="G17" s="4" t="s">
        <v>242</v>
      </c>
      <c r="H17" s="4">
        <v>0.29200000315904617</v>
      </c>
      <c r="I17" s="4">
        <v>-6.5171570777893066</v>
      </c>
      <c r="J17" s="4">
        <v>17.937246322631836</v>
      </c>
      <c r="K17" s="4">
        <v>4478742602.7300005</v>
      </c>
      <c r="L17" s="4">
        <v>7.9673339816661065E-5</v>
      </c>
      <c r="M17" s="4">
        <v>5.5705547332763672</v>
      </c>
      <c r="N17" s="4">
        <v>10.05378246307373</v>
      </c>
      <c r="O17" s="4" t="s">
        <v>242</v>
      </c>
      <c r="P17" s="4">
        <v>1.107018763029882</v>
      </c>
      <c r="Q17" s="4">
        <v>0.95355808319303748</v>
      </c>
      <c r="R17" s="4">
        <v>11.145263671875</v>
      </c>
      <c r="S17" s="4">
        <v>17.951534271240234</v>
      </c>
      <c r="T17" s="4" t="s">
        <v>242</v>
      </c>
      <c r="U17" s="8">
        <v>1.194078</v>
      </c>
      <c r="V17" s="19">
        <v>4.0599999999999996</v>
      </c>
      <c r="W17" s="40">
        <v>0.7</v>
      </c>
      <c r="X17" s="41">
        <v>0.3</v>
      </c>
      <c r="Y17" s="42">
        <v>0</v>
      </c>
      <c r="Z17" s="39" t="s">
        <v>320</v>
      </c>
      <c r="AA17" s="39" t="s">
        <v>320</v>
      </c>
      <c r="AB17" s="1">
        <v>14.47</v>
      </c>
      <c r="AC17" s="1">
        <v>14.34</v>
      </c>
      <c r="AD17" s="1">
        <v>11.54</v>
      </c>
      <c r="AE17" s="1">
        <v>11.07</v>
      </c>
    </row>
    <row r="18" spans="1:31" x14ac:dyDescent="0.2">
      <c r="A18" s="3" t="s">
        <v>92</v>
      </c>
      <c r="B18" s="4" t="s">
        <v>93</v>
      </c>
      <c r="C18" s="4" t="s">
        <v>259</v>
      </c>
      <c r="D18" s="4"/>
      <c r="E18" s="4">
        <v>5</v>
      </c>
      <c r="F18" s="4">
        <v>0</v>
      </c>
      <c r="G18" s="4" t="s">
        <v>242</v>
      </c>
      <c r="H18" s="4">
        <v>5</v>
      </c>
      <c r="I18" s="4"/>
      <c r="J18" s="4">
        <v>17.460607528686523</v>
      </c>
      <c r="K18" s="4">
        <v>49021434663</v>
      </c>
      <c r="L18" s="4"/>
      <c r="M18" s="4">
        <v>5.591130256652832</v>
      </c>
      <c r="N18" s="4">
        <v>14.563595771789551</v>
      </c>
      <c r="O18" s="4" t="s">
        <v>242</v>
      </c>
      <c r="P18" s="4">
        <v>1.0009469553579853</v>
      </c>
      <c r="Q18" s="4">
        <v>1.5797130378353141</v>
      </c>
      <c r="R18" s="4">
        <v>10.110615730285645</v>
      </c>
      <c r="S18" s="4">
        <v>17.885471343994141</v>
      </c>
      <c r="T18" s="4" t="s">
        <v>243</v>
      </c>
      <c r="U18" s="8">
        <v>0.70322419999999997</v>
      </c>
      <c r="V18" s="19">
        <v>3.84</v>
      </c>
      <c r="W18" s="40">
        <v>0.33300000000000002</v>
      </c>
      <c r="X18" s="41">
        <v>0</v>
      </c>
      <c r="Y18" s="42">
        <v>0.66700000000000004</v>
      </c>
      <c r="Z18" s="39" t="s">
        <v>320</v>
      </c>
      <c r="AA18" s="39" t="s">
        <v>320</v>
      </c>
      <c r="AB18" s="1">
        <v>8.7100000000000009</v>
      </c>
      <c r="AC18" s="1">
        <v>8.6300000000000008</v>
      </c>
      <c r="AD18" s="39" t="s">
        <v>320</v>
      </c>
      <c r="AE18" s="39" t="s">
        <v>320</v>
      </c>
    </row>
    <row r="19" spans="1:31" x14ac:dyDescent="0.2">
      <c r="A19" s="3" t="s">
        <v>104</v>
      </c>
      <c r="B19" s="4" t="s">
        <v>105</v>
      </c>
      <c r="C19" s="4" t="s">
        <v>259</v>
      </c>
      <c r="D19" s="4">
        <v>15.557727813720703</v>
      </c>
      <c r="E19" s="4">
        <v>45</v>
      </c>
      <c r="F19" s="4">
        <v>15</v>
      </c>
      <c r="G19" s="4" t="s">
        <v>242</v>
      </c>
      <c r="H19" s="4"/>
      <c r="I19" s="4">
        <v>15.557727813720703</v>
      </c>
      <c r="J19" s="4">
        <v>16.428462982177734</v>
      </c>
      <c r="K19" s="4">
        <v>394158447024</v>
      </c>
      <c r="L19" s="4">
        <v>-4.1675096579643495E-3</v>
      </c>
      <c r="M19" s="4">
        <v>6.5812177658081055</v>
      </c>
      <c r="N19" s="4">
        <v>5.5895051956176758</v>
      </c>
      <c r="O19" s="4" t="s">
        <v>242</v>
      </c>
      <c r="P19" s="4">
        <v>1.0119800580400327</v>
      </c>
      <c r="Q19" s="4">
        <v>11.720437795814297</v>
      </c>
      <c r="R19" s="4">
        <v>11.606396675109863</v>
      </c>
      <c r="S19" s="4">
        <v>15.194755554199219</v>
      </c>
      <c r="T19" s="4" t="s">
        <v>242</v>
      </c>
      <c r="U19" s="8">
        <v>1.0774919999999999</v>
      </c>
      <c r="V19" s="19">
        <v>1.27</v>
      </c>
      <c r="W19" s="40">
        <v>0.85699999999999998</v>
      </c>
      <c r="X19" s="41">
        <v>0.14299999999999999</v>
      </c>
      <c r="Y19" s="42">
        <v>0</v>
      </c>
      <c r="Z19" s="39" t="s">
        <v>320</v>
      </c>
      <c r="AA19" s="39" t="s">
        <v>320</v>
      </c>
      <c r="AB19" s="39" t="s">
        <v>320</v>
      </c>
      <c r="AC19" s="39" t="s">
        <v>320</v>
      </c>
      <c r="AD19" s="39" t="s">
        <v>320</v>
      </c>
      <c r="AE19" s="39" t="s">
        <v>320</v>
      </c>
    </row>
    <row r="20" spans="1:31" x14ac:dyDescent="0.2">
      <c r="A20" s="5" t="s">
        <v>106</v>
      </c>
      <c r="B20" s="6" t="s">
        <v>107</v>
      </c>
      <c r="C20" s="6" t="s">
        <v>259</v>
      </c>
      <c r="D20" s="6">
        <v>15.438525199890137</v>
      </c>
      <c r="E20" s="6">
        <v>0.10999999940395355</v>
      </c>
      <c r="F20" s="6" t="s">
        <v>242</v>
      </c>
      <c r="G20" s="6">
        <v>0.228127</v>
      </c>
      <c r="H20" s="6">
        <v>0.40000000596046448</v>
      </c>
      <c r="I20" s="6">
        <v>15.438525199890137</v>
      </c>
      <c r="J20" s="6">
        <v>16.264608383178711</v>
      </c>
      <c r="K20" s="6">
        <v>2602757413.9849858</v>
      </c>
      <c r="L20" s="6">
        <v>-6.0545804615468896E-3</v>
      </c>
      <c r="M20" s="6">
        <v>6.7239313125610352</v>
      </c>
      <c r="N20" s="6">
        <v>4.5379672050476074</v>
      </c>
      <c r="O20" s="6">
        <v>1.0243473895582329</v>
      </c>
      <c r="P20" s="6">
        <v>1.5804967801287948</v>
      </c>
      <c r="Q20" s="6" t="s">
        <v>242</v>
      </c>
      <c r="R20" s="6">
        <v>6.069091796875</v>
      </c>
      <c r="S20" s="6">
        <v>14.872251510620117</v>
      </c>
      <c r="T20" s="6" t="s">
        <v>242</v>
      </c>
      <c r="U20" s="9">
        <v>1.1521445512771606</v>
      </c>
      <c r="V20" s="19">
        <v>1.54</v>
      </c>
      <c r="W20" s="40">
        <v>1</v>
      </c>
      <c r="X20" s="41">
        <v>0</v>
      </c>
      <c r="Y20" s="42">
        <v>0</v>
      </c>
      <c r="Z20">
        <v>1</v>
      </c>
      <c r="AA20">
        <v>0.97</v>
      </c>
      <c r="AB20" s="1">
        <v>13.56</v>
      </c>
      <c r="AC20" s="1">
        <v>13.45</v>
      </c>
      <c r="AD20" s="1">
        <v>8.51</v>
      </c>
      <c r="AE20" s="1">
        <v>8.1199999999999992</v>
      </c>
    </row>
    <row r="21" spans="1:31" x14ac:dyDescent="0.2">
      <c r="A21" s="3" t="s">
        <v>132</v>
      </c>
      <c r="B21" s="4" t="s">
        <v>133</v>
      </c>
      <c r="C21" s="4" t="s">
        <v>260</v>
      </c>
      <c r="D21" s="4">
        <v>11.368024826049805</v>
      </c>
      <c r="E21" s="4">
        <v>1.1200000047683716</v>
      </c>
      <c r="F21" s="4">
        <v>155</v>
      </c>
      <c r="G21" s="4">
        <v>0</v>
      </c>
      <c r="H21" s="4">
        <v>4.4200000762939453</v>
      </c>
      <c r="I21" s="4">
        <v>11.368024826049805</v>
      </c>
      <c r="J21" s="4">
        <v>15.053884506225586</v>
      </c>
      <c r="K21" s="4">
        <v>69520415533.101013</v>
      </c>
      <c r="L21" s="4">
        <v>-1.4303897353378043E-2</v>
      </c>
      <c r="M21" s="4">
        <v>7.5564193725585938</v>
      </c>
      <c r="N21" s="4">
        <v>8.2178726196289062</v>
      </c>
      <c r="O21" s="4">
        <v>1.0526014761949267</v>
      </c>
      <c r="P21" s="4">
        <v>1.0964457252641691</v>
      </c>
      <c r="Q21" s="4" t="s">
        <v>242</v>
      </c>
      <c r="R21" s="4">
        <v>7.1451082229614258</v>
      </c>
      <c r="S21" s="4">
        <v>13.233780860900879</v>
      </c>
      <c r="T21" s="4" t="s">
        <v>245</v>
      </c>
      <c r="U21" s="8">
        <v>1.0207043886184692</v>
      </c>
      <c r="V21" s="19">
        <v>4.78</v>
      </c>
      <c r="W21" s="40">
        <v>0.58799999999999997</v>
      </c>
      <c r="X21" s="41">
        <v>0.39</v>
      </c>
      <c r="Y21" s="42">
        <v>2.4E-2</v>
      </c>
      <c r="Z21">
        <v>4.6900000000000004</v>
      </c>
      <c r="AA21">
        <v>4.62</v>
      </c>
      <c r="AB21" s="1">
        <v>17.12</v>
      </c>
      <c r="AC21" s="1">
        <v>16.02</v>
      </c>
      <c r="AD21" s="1">
        <v>10.45</v>
      </c>
      <c r="AE21" s="1">
        <v>9.41</v>
      </c>
    </row>
    <row r="22" spans="1:31" x14ac:dyDescent="0.2">
      <c r="A22" s="5" t="s">
        <v>134</v>
      </c>
      <c r="B22" s="6" t="s">
        <v>135</v>
      </c>
      <c r="C22" s="6" t="s">
        <v>257</v>
      </c>
      <c r="D22" s="6">
        <v>20.446891784667969</v>
      </c>
      <c r="E22" s="6">
        <v>0.10000000149011612</v>
      </c>
      <c r="F22" s="6">
        <v>0</v>
      </c>
      <c r="G22" s="6" t="s">
        <v>242</v>
      </c>
      <c r="H22" s="6"/>
      <c r="I22" s="6">
        <v>20.446891784667969</v>
      </c>
      <c r="J22" s="6">
        <v>14.928267478942871</v>
      </c>
      <c r="K22" s="6">
        <v>3191463194.5200005</v>
      </c>
      <c r="L22" s="6">
        <v>-8.1331395344111553E-3</v>
      </c>
      <c r="M22" s="6">
        <v>7.290977954864502</v>
      </c>
      <c r="N22" s="6">
        <v>14.120010375976562</v>
      </c>
      <c r="O22" s="6" t="s">
        <v>242</v>
      </c>
      <c r="P22" s="6">
        <v>1.0030794720413179</v>
      </c>
      <c r="Q22" s="6">
        <v>0.29306732770583016</v>
      </c>
      <c r="R22" s="6">
        <v>9.7013139724731445</v>
      </c>
      <c r="S22" s="6">
        <v>13.715581893920898</v>
      </c>
      <c r="T22" s="6" t="s">
        <v>242</v>
      </c>
      <c r="U22" s="9">
        <v>0.71831909999999999</v>
      </c>
      <c r="W22" s="40">
        <v>1</v>
      </c>
      <c r="X22" s="41">
        <v>0</v>
      </c>
      <c r="Y22" s="42">
        <v>0</v>
      </c>
      <c r="Z22" s="39" t="s">
        <v>320</v>
      </c>
      <c r="AA22" s="39" t="s">
        <v>320</v>
      </c>
      <c r="AB22" s="1">
        <v>15.24</v>
      </c>
      <c r="AC22" s="1">
        <v>14.52</v>
      </c>
      <c r="AD22" s="1">
        <v>25.72</v>
      </c>
      <c r="AE22" s="1">
        <v>20.75</v>
      </c>
    </row>
    <row r="23" spans="1:31" x14ac:dyDescent="0.2">
      <c r="A23" s="3" t="s">
        <v>136</v>
      </c>
      <c r="B23" s="4" t="s">
        <v>137</v>
      </c>
      <c r="C23" s="4" t="s">
        <v>259</v>
      </c>
      <c r="D23" s="4">
        <v>4.6398916244506836</v>
      </c>
      <c r="E23" s="4">
        <v>75</v>
      </c>
      <c r="F23" s="4">
        <v>246.89999847412111</v>
      </c>
      <c r="G23" s="4">
        <v>4.298</v>
      </c>
      <c r="H23" s="4">
        <v>2.1499999761581421</v>
      </c>
      <c r="I23" s="4">
        <v>4.6398916244506836</v>
      </c>
      <c r="J23" s="4">
        <v>14.912768363952637</v>
      </c>
      <c r="K23" s="4">
        <v>12413903453.82</v>
      </c>
      <c r="L23" s="4">
        <v>1.6487455864556511E-2</v>
      </c>
      <c r="M23" s="4">
        <v>6.0877251625061035</v>
      </c>
      <c r="N23" s="4">
        <v>18.375398635864258</v>
      </c>
      <c r="O23" s="4" t="s">
        <v>242</v>
      </c>
      <c r="P23" s="4">
        <v>1.0990324416619237</v>
      </c>
      <c r="Q23" s="4">
        <v>0.5750149281066198</v>
      </c>
      <c r="R23" s="4">
        <v>5.3243160247802734</v>
      </c>
      <c r="S23" s="4">
        <v>16.426496505737305</v>
      </c>
      <c r="T23" s="4" t="s">
        <v>242</v>
      </c>
      <c r="U23" s="8">
        <v>0.96196910000000002</v>
      </c>
      <c r="V23" s="19">
        <v>8.64</v>
      </c>
      <c r="W23" s="40">
        <v>0.19</v>
      </c>
      <c r="X23" s="41">
        <v>0.71399999999999997</v>
      </c>
      <c r="Y23" s="42">
        <v>9.5000000000000001E-2</v>
      </c>
      <c r="Z23" s="39" t="s">
        <v>320</v>
      </c>
      <c r="AA23" s="39" t="s">
        <v>320</v>
      </c>
      <c r="AB23">
        <v>16.579999999999998</v>
      </c>
      <c r="AC23">
        <v>16.27</v>
      </c>
      <c r="AD23">
        <v>12.16</v>
      </c>
      <c r="AE23">
        <v>11.45</v>
      </c>
    </row>
    <row r="24" spans="1:31" x14ac:dyDescent="0.2">
      <c r="A24" s="5" t="s">
        <v>138</v>
      </c>
      <c r="B24" s="6" t="s">
        <v>139</v>
      </c>
      <c r="C24" s="6" t="s">
        <v>259</v>
      </c>
      <c r="D24" s="6">
        <v>18.85076904296875</v>
      </c>
      <c r="E24" s="6">
        <v>0.20999999344348907</v>
      </c>
      <c r="F24" s="6">
        <v>423.21658586120606</v>
      </c>
      <c r="G24" s="6">
        <v>16.709</v>
      </c>
      <c r="H24" s="6">
        <v>0.82999998331069946</v>
      </c>
      <c r="I24" s="6">
        <v>18.85076904296875</v>
      </c>
      <c r="J24" s="6">
        <v>14.853560447692871</v>
      </c>
      <c r="K24" s="6">
        <v>17980723705.801773</v>
      </c>
      <c r="L24" s="6">
        <v>5.7672709862988608E-3</v>
      </c>
      <c r="M24" s="6">
        <v>6.1738753318786621</v>
      </c>
      <c r="N24" s="6">
        <v>6.1650137901306152</v>
      </c>
      <c r="O24" s="6">
        <v>1.4559713315009928</v>
      </c>
      <c r="P24" s="6">
        <v>1.0350792888034599</v>
      </c>
      <c r="Q24" s="6">
        <v>-1.6921501755776536</v>
      </c>
      <c r="R24" s="6">
        <v>9.0966081619262695</v>
      </c>
      <c r="S24" s="6">
        <v>16.197280883789062</v>
      </c>
      <c r="T24" s="6" t="s">
        <v>242</v>
      </c>
      <c r="U24" s="9">
        <v>0.75389772653579712</v>
      </c>
      <c r="V24" s="19">
        <v>1.39</v>
      </c>
      <c r="W24" s="40">
        <v>0.81499999999999995</v>
      </c>
      <c r="X24" s="41">
        <v>0.185</v>
      </c>
      <c r="Y24" s="42">
        <v>0</v>
      </c>
      <c r="Z24">
        <v>1.47</v>
      </c>
      <c r="AA24">
        <v>1.44</v>
      </c>
      <c r="AB24">
        <v>15.44</v>
      </c>
      <c r="AC24">
        <v>13.98</v>
      </c>
      <c r="AD24">
        <v>6.31</v>
      </c>
      <c r="AE24">
        <v>5.98</v>
      </c>
    </row>
    <row r="25" spans="1:31" x14ac:dyDescent="0.2">
      <c r="A25" s="5" t="s">
        <v>142</v>
      </c>
      <c r="B25" s="6" t="s">
        <v>143</v>
      </c>
      <c r="C25" s="6" t="s">
        <v>259</v>
      </c>
      <c r="D25" s="6">
        <v>4.9414520263671875</v>
      </c>
      <c r="E25" s="6">
        <v>0.29499998688697815</v>
      </c>
      <c r="F25" s="6">
        <v>33.782223556035156</v>
      </c>
      <c r="G25" s="6">
        <v>0.31444100000000003</v>
      </c>
      <c r="H25" s="6">
        <v>1.1200000047683716</v>
      </c>
      <c r="I25" s="6">
        <v>4.9414520263671875</v>
      </c>
      <c r="J25" s="6">
        <v>14.720317840576172</v>
      </c>
      <c r="K25" s="6">
        <v>1733843452.8756714</v>
      </c>
      <c r="L25" s="6">
        <v>9.7565265994628211E-3</v>
      </c>
      <c r="M25" s="6">
        <v>5.6496810913085938</v>
      </c>
      <c r="N25" s="6">
        <v>9.5016260147094727</v>
      </c>
      <c r="O25" s="6">
        <v>1.8748979591836736</v>
      </c>
      <c r="P25" s="6">
        <v>1.1079136690647482</v>
      </c>
      <c r="Q25" s="6">
        <v>4.2522905481560516</v>
      </c>
      <c r="R25" s="6">
        <v>6.6497597694396973</v>
      </c>
      <c r="S25" s="6">
        <v>17.700115203857422</v>
      </c>
      <c r="T25" s="6" t="s">
        <v>242</v>
      </c>
      <c r="U25" s="9">
        <v>1.0813852548599243</v>
      </c>
      <c r="V25" s="19">
        <v>2.64</v>
      </c>
      <c r="W25" s="40">
        <v>1</v>
      </c>
      <c r="X25" s="41">
        <v>0</v>
      </c>
      <c r="Y25" s="42">
        <v>0</v>
      </c>
      <c r="Z25" s="39" t="s">
        <v>320</v>
      </c>
      <c r="AA25" s="39" t="s">
        <v>320</v>
      </c>
      <c r="AB25">
        <v>14.38</v>
      </c>
      <c r="AC25">
        <v>15.23</v>
      </c>
      <c r="AD25" s="39" t="s">
        <v>320</v>
      </c>
      <c r="AE25" s="39" t="s">
        <v>320</v>
      </c>
    </row>
    <row r="26" spans="1:31" x14ac:dyDescent="0.2">
      <c r="A26" s="3" t="s">
        <v>144</v>
      </c>
      <c r="B26" s="4" t="s">
        <v>145</v>
      </c>
      <c r="C26" s="4" t="s">
        <v>259</v>
      </c>
      <c r="D26" s="4">
        <v>27.931007385253906</v>
      </c>
      <c r="E26" s="4">
        <v>2.25</v>
      </c>
      <c r="F26" s="4">
        <v>54.604764561501469</v>
      </c>
      <c r="G26" s="4">
        <v>0.22380700000000001</v>
      </c>
      <c r="H26" s="4">
        <v>7.9499999284744263</v>
      </c>
      <c r="I26" s="4">
        <v>27.931007385253906</v>
      </c>
      <c r="J26" s="4">
        <v>14.712621688842773</v>
      </c>
      <c r="K26" s="4">
        <v>1662657838.9278717</v>
      </c>
      <c r="L26" s="4">
        <v>-4.1001631703893324E-3</v>
      </c>
      <c r="M26" s="4">
        <v>9.5109376907348633</v>
      </c>
      <c r="N26" s="4">
        <v>4.9007220268249512</v>
      </c>
      <c r="O26" s="4" t="s">
        <v>242</v>
      </c>
      <c r="P26" s="4" t="s">
        <v>242</v>
      </c>
      <c r="Q26" s="4" t="s">
        <v>242</v>
      </c>
      <c r="R26" s="4">
        <v>14.120277404785156</v>
      </c>
      <c r="S26" s="4">
        <v>10.514209747314453</v>
      </c>
      <c r="T26" s="4" t="s">
        <v>242</v>
      </c>
      <c r="U26" s="8">
        <v>1.4019548892974854</v>
      </c>
      <c r="V26" s="19">
        <v>1.87</v>
      </c>
      <c r="W26" s="40">
        <v>0.25</v>
      </c>
      <c r="X26" s="41">
        <v>0.25</v>
      </c>
      <c r="Y26" s="42">
        <v>0.5</v>
      </c>
      <c r="Z26">
        <v>1.81</v>
      </c>
      <c r="AA26">
        <v>1.73</v>
      </c>
      <c r="AB26">
        <v>8.99</v>
      </c>
      <c r="AC26">
        <v>8.66</v>
      </c>
      <c r="AD26" s="39" t="s">
        <v>320</v>
      </c>
      <c r="AE26" s="39" t="s">
        <v>320</v>
      </c>
    </row>
    <row r="27" spans="1:31" x14ac:dyDescent="0.2">
      <c r="A27" s="5" t="s">
        <v>146</v>
      </c>
      <c r="B27" s="6" t="s">
        <v>147</v>
      </c>
      <c r="C27" s="6" t="s">
        <v>259</v>
      </c>
      <c r="D27" s="6">
        <v>10.310020446777344</v>
      </c>
      <c r="E27" s="6">
        <v>0.25</v>
      </c>
      <c r="F27" s="6">
        <v>251.08076242784568</v>
      </c>
      <c r="G27" s="6">
        <v>5.2330969999999999</v>
      </c>
      <c r="H27" s="6">
        <v>0.98000000417232513</v>
      </c>
      <c r="I27" s="6">
        <v>10.310020446777344</v>
      </c>
      <c r="J27" s="6">
        <v>14.071059226989746</v>
      </c>
      <c r="K27" s="6">
        <v>10223225515.712929</v>
      </c>
      <c r="L27" s="6">
        <v>3.476581426122997E-3</v>
      </c>
      <c r="M27" s="6">
        <v>6.8366422653198242</v>
      </c>
      <c r="N27" s="6">
        <v>14.022211074829102</v>
      </c>
      <c r="O27" s="6">
        <v>1.9525685657306844</v>
      </c>
      <c r="P27" s="6">
        <v>1.1317733990147782</v>
      </c>
      <c r="Q27" s="6">
        <v>1.7924994245818628</v>
      </c>
      <c r="R27" s="6">
        <v>13.037918090820312</v>
      </c>
      <c r="S27" s="6">
        <v>14.627062797546387</v>
      </c>
      <c r="T27" s="6" t="s">
        <v>242</v>
      </c>
      <c r="U27" s="9">
        <v>0.89188635349273682</v>
      </c>
      <c r="V27" s="19">
        <v>6.13</v>
      </c>
      <c r="W27" s="40">
        <v>0.3</v>
      </c>
      <c r="X27" s="41">
        <v>0.4</v>
      </c>
      <c r="Y27" s="42">
        <v>0.3</v>
      </c>
      <c r="Z27">
        <v>6.04</v>
      </c>
      <c r="AA27">
        <v>5.61</v>
      </c>
      <c r="AB27">
        <v>14.31</v>
      </c>
      <c r="AC27">
        <v>14.73</v>
      </c>
      <c r="AD27" s="1">
        <v>12.97</v>
      </c>
      <c r="AE27" s="1">
        <v>10.43</v>
      </c>
    </row>
    <row r="28" spans="1:31" x14ac:dyDescent="0.2">
      <c r="A28" s="3" t="s">
        <v>148</v>
      </c>
      <c r="B28" s="4" t="s">
        <v>149</v>
      </c>
      <c r="C28" s="4" t="s">
        <v>257</v>
      </c>
      <c r="D28" s="4">
        <v>13.911455154418945</v>
      </c>
      <c r="E28" s="4">
        <v>0.93999999761581421</v>
      </c>
      <c r="F28" s="4">
        <v>347.50777092414063</v>
      </c>
      <c r="G28" s="4">
        <v>4.7</v>
      </c>
      <c r="H28" s="4">
        <v>3.7400000095367432</v>
      </c>
      <c r="I28" s="4">
        <v>13.911455154418945</v>
      </c>
      <c r="J28" s="4">
        <v>14.050254821777344</v>
      </c>
      <c r="K28" s="4">
        <v>19348892048.117889</v>
      </c>
      <c r="L28" s="4">
        <v>-7.1747141887578024E-3</v>
      </c>
      <c r="M28" s="4">
        <v>7.0507988929748535</v>
      </c>
      <c r="N28" s="4">
        <v>8.1442699432373047</v>
      </c>
      <c r="O28" s="4">
        <v>3.3127568158565279</v>
      </c>
      <c r="P28" s="4">
        <v>1.0341655716162943</v>
      </c>
      <c r="Q28" s="4">
        <v>-2.0028810410741169</v>
      </c>
      <c r="R28" s="4">
        <v>8.528289794921875</v>
      </c>
      <c r="S28" s="4">
        <v>14.18278980255127</v>
      </c>
      <c r="T28" s="4" t="s">
        <v>246</v>
      </c>
      <c r="U28" s="8">
        <v>1.0007773637771606</v>
      </c>
      <c r="V28" s="19">
        <v>6.16</v>
      </c>
      <c r="W28" s="40">
        <v>0.36699999999999999</v>
      </c>
      <c r="X28" s="41">
        <v>0.53300000000000003</v>
      </c>
      <c r="Y28" s="42">
        <v>0.1</v>
      </c>
      <c r="Z28">
        <v>6.1</v>
      </c>
      <c r="AA28">
        <v>5.75</v>
      </c>
      <c r="AB28">
        <v>14.67</v>
      </c>
      <c r="AC28">
        <v>14.23</v>
      </c>
      <c r="AD28" s="1">
        <v>8.26</v>
      </c>
      <c r="AE28" s="1">
        <v>9.01</v>
      </c>
    </row>
    <row r="29" spans="1:31" x14ac:dyDescent="0.2">
      <c r="A29" s="3" t="s">
        <v>152</v>
      </c>
      <c r="B29" s="4" t="s">
        <v>153</v>
      </c>
      <c r="C29" s="4" t="s">
        <v>259</v>
      </c>
      <c r="D29" s="4">
        <v>9.0966072082519531</v>
      </c>
      <c r="E29" s="4">
        <v>8.5</v>
      </c>
      <c r="F29" s="4">
        <v>0</v>
      </c>
      <c r="G29" s="4" t="s">
        <v>242</v>
      </c>
      <c r="H29" s="4"/>
      <c r="I29" s="4">
        <v>9.0966072082519531</v>
      </c>
      <c r="J29" s="4">
        <v>13.943638801574707</v>
      </c>
      <c r="K29" s="4">
        <v>20888600000</v>
      </c>
      <c r="L29" s="4">
        <v>-4.1238740087566252E-3</v>
      </c>
      <c r="M29" s="4">
        <v>7.8566751480102539</v>
      </c>
      <c r="N29" s="4">
        <v>9.9151220321655273</v>
      </c>
      <c r="O29" s="4" t="s">
        <v>242</v>
      </c>
      <c r="P29" s="4">
        <v>1.0587024602382287</v>
      </c>
      <c r="Q29" s="4">
        <v>-2.1292101778264825</v>
      </c>
      <c r="R29" s="4">
        <v>5.0572028160095215</v>
      </c>
      <c r="S29" s="4">
        <v>12.728030204772949</v>
      </c>
      <c r="T29" s="4" t="s">
        <v>242</v>
      </c>
      <c r="U29" s="8">
        <v>0.58555219999999997</v>
      </c>
      <c r="W29" s="40">
        <v>1</v>
      </c>
      <c r="X29" s="41">
        <v>0</v>
      </c>
      <c r="Y29" s="42">
        <v>0</v>
      </c>
      <c r="Z29" s="39" t="s">
        <v>320</v>
      </c>
      <c r="AA29" s="39" t="s">
        <v>320</v>
      </c>
      <c r="AB29" s="39" t="s">
        <v>320</v>
      </c>
      <c r="AC29" s="39" t="s">
        <v>320</v>
      </c>
      <c r="AD29" s="39" t="s">
        <v>320</v>
      </c>
      <c r="AE29" s="39" t="s">
        <v>320</v>
      </c>
    </row>
    <row r="30" spans="1:31" x14ac:dyDescent="0.2">
      <c r="A30" s="3" t="s">
        <v>156</v>
      </c>
      <c r="B30" s="4" t="s">
        <v>157</v>
      </c>
      <c r="C30" s="4" t="s">
        <v>260</v>
      </c>
      <c r="D30" s="4">
        <v>1.888126015663147</v>
      </c>
      <c r="E30" s="4">
        <v>0.69999998807907104</v>
      </c>
      <c r="F30" s="4">
        <v>389.2149129015869</v>
      </c>
      <c r="G30" s="4">
        <v>6.3031620000000004</v>
      </c>
      <c r="H30" s="4">
        <v>2.7999999523162842</v>
      </c>
      <c r="I30" s="4">
        <v>1.888126015663147</v>
      </c>
      <c r="J30" s="4">
        <v>13.795937538146973</v>
      </c>
      <c r="K30" s="4">
        <v>20437952734.683804</v>
      </c>
      <c r="L30" s="4">
        <v>1.9030839284752549E-3</v>
      </c>
      <c r="M30" s="4">
        <v>7.2606101036071777</v>
      </c>
      <c r="N30" s="4">
        <v>5.4204440116882324</v>
      </c>
      <c r="O30" s="4">
        <v>2.2302396741244301</v>
      </c>
      <c r="P30" s="4">
        <v>1.1158413741914961</v>
      </c>
      <c r="Q30" s="4">
        <v>0.36412796745159076</v>
      </c>
      <c r="R30" s="4">
        <v>8.1165390014648438</v>
      </c>
      <c r="S30" s="4">
        <v>13.772947311401367</v>
      </c>
      <c r="T30" s="4" t="s">
        <v>242</v>
      </c>
      <c r="U30" s="8">
        <v>0.80176740884780884</v>
      </c>
      <c r="V30" s="19">
        <v>5.16</v>
      </c>
      <c r="W30" s="40">
        <v>0.71399999999999997</v>
      </c>
      <c r="X30" s="41">
        <v>0.214</v>
      </c>
      <c r="Y30" s="42">
        <v>7.0999999999999994E-2</v>
      </c>
      <c r="Z30" s="1">
        <v>5.15</v>
      </c>
      <c r="AA30" s="1">
        <v>5.0599999999999996</v>
      </c>
      <c r="AB30" s="1">
        <v>12.97</v>
      </c>
      <c r="AC30" s="1">
        <v>12.93</v>
      </c>
      <c r="AD30" s="1">
        <v>11.37</v>
      </c>
      <c r="AE30" s="1">
        <v>10.75</v>
      </c>
    </row>
    <row r="31" spans="1:31" x14ac:dyDescent="0.2">
      <c r="A31" s="5" t="s">
        <v>158</v>
      </c>
      <c r="B31" s="6" t="s">
        <v>159</v>
      </c>
      <c r="C31" s="6" t="s">
        <v>260</v>
      </c>
      <c r="D31" s="6">
        <v>0.8929980993270874</v>
      </c>
      <c r="E31" s="6">
        <v>2.2999999523162842</v>
      </c>
      <c r="F31" s="6">
        <v>0</v>
      </c>
      <c r="G31" s="6" t="s">
        <v>242</v>
      </c>
      <c r="H31" s="6"/>
      <c r="I31" s="6">
        <v>0.8929980993270874</v>
      </c>
      <c r="J31" s="6">
        <v>13.76328182220459</v>
      </c>
      <c r="K31" s="6">
        <v>14493410275.199999</v>
      </c>
      <c r="L31" s="6">
        <v>9.1885804960005063E-3</v>
      </c>
      <c r="M31" s="6">
        <v>7.0703516006469727</v>
      </c>
      <c r="N31" s="6">
        <v>8.4262914657592773</v>
      </c>
      <c r="O31" s="6" t="s">
        <v>242</v>
      </c>
      <c r="P31" s="6">
        <v>1.03944490661228</v>
      </c>
      <c r="Q31" s="6" t="s">
        <v>242</v>
      </c>
      <c r="R31" s="6">
        <v>10.175203323364258</v>
      </c>
      <c r="S31" s="6">
        <v>14.14356803894043</v>
      </c>
      <c r="T31" s="6" t="s">
        <v>242</v>
      </c>
      <c r="U31" s="9">
        <v>0.40204329999999999</v>
      </c>
      <c r="W31" s="40">
        <v>0</v>
      </c>
      <c r="X31" s="41">
        <v>0</v>
      </c>
      <c r="Y31" s="42">
        <v>0</v>
      </c>
      <c r="Z31" s="39" t="s">
        <v>320</v>
      </c>
      <c r="AA31" s="39" t="s">
        <v>320</v>
      </c>
      <c r="AB31" s="39" t="s">
        <v>320</v>
      </c>
      <c r="AC31" s="39" t="s">
        <v>320</v>
      </c>
      <c r="AD31" s="39" t="s">
        <v>320</v>
      </c>
      <c r="AE31" s="39" t="s">
        <v>320</v>
      </c>
    </row>
    <row r="32" spans="1:31" x14ac:dyDescent="0.2">
      <c r="A32" s="3" t="s">
        <v>160</v>
      </c>
      <c r="B32" s="4" t="s">
        <v>161</v>
      </c>
      <c r="C32" s="4" t="s">
        <v>260</v>
      </c>
      <c r="D32" s="4">
        <v>6.1376748085021973</v>
      </c>
      <c r="E32" s="4">
        <v>31</v>
      </c>
      <c r="F32" s="4">
        <v>19933</v>
      </c>
      <c r="G32" s="4" t="s">
        <v>242</v>
      </c>
      <c r="H32" s="4"/>
      <c r="I32" s="4">
        <v>6.1376748085021973</v>
      </c>
      <c r="J32" s="4">
        <v>13.73655891418457</v>
      </c>
      <c r="K32" s="4">
        <v>532992526562.49994</v>
      </c>
      <c r="L32" s="4">
        <v>-1.082362852374334E-2</v>
      </c>
      <c r="M32" s="4">
        <v>8.8113727569580078</v>
      </c>
      <c r="N32" s="4">
        <v>5.5529541969299316</v>
      </c>
      <c r="O32" s="4" t="s">
        <v>242</v>
      </c>
      <c r="P32" s="4">
        <v>1.0052301069147707</v>
      </c>
      <c r="Q32" s="4">
        <v>1.2877252884416128</v>
      </c>
      <c r="R32" s="4">
        <v>13.668243408203125</v>
      </c>
      <c r="S32" s="4">
        <v>11.348969459533691</v>
      </c>
      <c r="T32" s="4" t="s">
        <v>242</v>
      </c>
      <c r="U32" s="8">
        <v>1.212318</v>
      </c>
      <c r="V32" s="19">
        <v>0.95</v>
      </c>
      <c r="W32" s="40">
        <v>0.625</v>
      </c>
      <c r="X32" s="41">
        <v>0.375</v>
      </c>
      <c r="Y32" s="42">
        <v>0</v>
      </c>
      <c r="Z32" s="39" t="s">
        <v>320</v>
      </c>
      <c r="AA32" s="39" t="s">
        <v>320</v>
      </c>
      <c r="AB32" s="39" t="s">
        <v>320</v>
      </c>
      <c r="AC32" s="39" t="s">
        <v>320</v>
      </c>
      <c r="AD32" s="39" t="s">
        <v>320</v>
      </c>
      <c r="AE32" s="39" t="s">
        <v>320</v>
      </c>
    </row>
    <row r="33" spans="1:31" x14ac:dyDescent="0.2">
      <c r="A33" s="5" t="s">
        <v>162</v>
      </c>
      <c r="B33" s="6" t="s">
        <v>163</v>
      </c>
      <c r="C33" s="6" t="s">
        <v>260</v>
      </c>
      <c r="D33" s="6">
        <v>12.664144515991211</v>
      </c>
      <c r="E33" s="6">
        <v>0.83499997854232788</v>
      </c>
      <c r="F33" s="6">
        <v>0</v>
      </c>
      <c r="G33" s="6" t="s">
        <v>242</v>
      </c>
      <c r="H33" s="6"/>
      <c r="I33" s="6">
        <v>12.664144515991211</v>
      </c>
      <c r="J33" s="6">
        <v>13.550205230712891</v>
      </c>
      <c r="K33" s="6">
        <v>54452837747.659996</v>
      </c>
      <c r="L33" s="6">
        <v>-9.3163048847798198E-3</v>
      </c>
      <c r="M33" s="6">
        <v>8.0902099609375</v>
      </c>
      <c r="N33" s="6">
        <v>11.73924446105957</v>
      </c>
      <c r="O33" s="6" t="s">
        <v>242</v>
      </c>
      <c r="P33" s="6">
        <v>1.0236880000073572</v>
      </c>
      <c r="Q33" s="6">
        <v>1.2737537599478543</v>
      </c>
      <c r="R33" s="6">
        <v>6.4618229866027832</v>
      </c>
      <c r="S33" s="6">
        <v>12.360618591308594</v>
      </c>
      <c r="T33" s="6" t="s">
        <v>242</v>
      </c>
      <c r="U33" s="9">
        <v>1.154873</v>
      </c>
      <c r="V33" s="19">
        <v>2.11</v>
      </c>
      <c r="W33" s="40">
        <v>1</v>
      </c>
      <c r="X33" s="41">
        <v>0</v>
      </c>
      <c r="Y33" s="42">
        <v>0</v>
      </c>
      <c r="Z33" s="39" t="s">
        <v>320</v>
      </c>
      <c r="AA33" s="39" t="s">
        <v>320</v>
      </c>
      <c r="AB33">
        <v>12.12</v>
      </c>
      <c r="AC33">
        <v>11.73</v>
      </c>
      <c r="AD33">
        <v>10.76</v>
      </c>
      <c r="AE33">
        <v>10.37</v>
      </c>
    </row>
    <row r="34" spans="1:31" x14ac:dyDescent="0.2">
      <c r="A34" s="5" t="s">
        <v>166</v>
      </c>
      <c r="B34" s="6" t="s">
        <v>167</v>
      </c>
      <c r="C34" s="6" t="s">
        <v>257</v>
      </c>
      <c r="D34" s="6">
        <v>24.573095321655273</v>
      </c>
      <c r="E34" s="6">
        <v>15</v>
      </c>
      <c r="F34" s="6">
        <v>0</v>
      </c>
      <c r="G34" s="6" t="s">
        <v>242</v>
      </c>
      <c r="H34" s="6"/>
      <c r="I34" s="6">
        <v>24.573095321655273</v>
      </c>
      <c r="J34" s="6">
        <v>13.288505554199219</v>
      </c>
      <c r="K34" s="6">
        <v>35266953150</v>
      </c>
      <c r="L34" s="6">
        <v>3.4949118004013483E-3</v>
      </c>
      <c r="M34" s="6">
        <v>7.6497797966003418</v>
      </c>
      <c r="N34" s="6">
        <v>10.720873832702637</v>
      </c>
      <c r="O34" s="6" t="s">
        <v>242</v>
      </c>
      <c r="P34" s="6">
        <v>1.0364533528476592</v>
      </c>
      <c r="Q34" s="6" t="s">
        <v>242</v>
      </c>
      <c r="R34" s="6">
        <v>11.240130424499512</v>
      </c>
      <c r="S34" s="6">
        <v>13.072272300720215</v>
      </c>
      <c r="T34" s="6" t="s">
        <v>242</v>
      </c>
      <c r="U34" s="9">
        <v>0.70550400000000002</v>
      </c>
      <c r="V34" s="19">
        <v>2.65</v>
      </c>
      <c r="W34" s="40">
        <v>1</v>
      </c>
      <c r="X34" s="41">
        <v>0</v>
      </c>
      <c r="Y34" s="42">
        <v>0</v>
      </c>
      <c r="Z34" s="39" t="s">
        <v>320</v>
      </c>
      <c r="AA34" s="39" t="s">
        <v>320</v>
      </c>
      <c r="AB34" s="39" t="s">
        <v>320</v>
      </c>
      <c r="AC34" s="39" t="s">
        <v>320</v>
      </c>
      <c r="AD34" s="39" t="s">
        <v>320</v>
      </c>
      <c r="AE34" s="39" t="s">
        <v>320</v>
      </c>
    </row>
    <row r="35" spans="1:31" x14ac:dyDescent="0.2">
      <c r="A35" s="3" t="s">
        <v>168</v>
      </c>
      <c r="B35" s="4" t="s">
        <v>169</v>
      </c>
      <c r="C35" s="4" t="s">
        <v>258</v>
      </c>
      <c r="D35" s="4">
        <v>15.468149185180664</v>
      </c>
      <c r="E35" s="4">
        <v>7.8000001907348633</v>
      </c>
      <c r="F35" s="4">
        <v>0</v>
      </c>
      <c r="G35" s="4" t="s">
        <v>242</v>
      </c>
      <c r="H35" s="4"/>
      <c r="I35" s="4">
        <v>15.468149185180664</v>
      </c>
      <c r="J35" s="4">
        <v>13.263985633850098</v>
      </c>
      <c r="K35" s="4">
        <v>119708374590</v>
      </c>
      <c r="L35" s="4">
        <v>2.1132647872084717E-3</v>
      </c>
      <c r="M35" s="4">
        <v>9.0909137725830078</v>
      </c>
      <c r="N35" s="4">
        <v>9.1185092926025391</v>
      </c>
      <c r="O35" s="4" t="s">
        <v>242</v>
      </c>
      <c r="P35" s="4">
        <v>1.0135636933861794</v>
      </c>
      <c r="Q35" s="4">
        <v>-0.64332487607377364</v>
      </c>
      <c r="R35" s="4">
        <v>6.6497597694396973</v>
      </c>
      <c r="S35" s="4">
        <v>10.999994277954102</v>
      </c>
      <c r="T35" s="4" t="s">
        <v>242</v>
      </c>
      <c r="U35" s="8">
        <v>0.68430040000000003</v>
      </c>
      <c r="W35" s="40">
        <v>0.77800000000000002</v>
      </c>
      <c r="X35" s="41">
        <v>0.222</v>
      </c>
      <c r="Y35" s="42">
        <v>0</v>
      </c>
      <c r="Z35" s="39" t="s">
        <v>320</v>
      </c>
      <c r="AA35" s="39" t="s">
        <v>320</v>
      </c>
      <c r="AB35">
        <v>11.31</v>
      </c>
      <c r="AC35">
        <v>11.12</v>
      </c>
      <c r="AD35" s="1" t="s">
        <v>320</v>
      </c>
      <c r="AE35" s="1" t="s">
        <v>320</v>
      </c>
    </row>
    <row r="36" spans="1:31" x14ac:dyDescent="0.2">
      <c r="A36" s="3" t="s">
        <v>172</v>
      </c>
      <c r="B36" s="4" t="s">
        <v>173</v>
      </c>
      <c r="C36" s="4" t="s">
        <v>259</v>
      </c>
      <c r="D36" s="4"/>
      <c r="E36" s="4">
        <v>8</v>
      </c>
      <c r="F36" s="4">
        <v>739.00699999999995</v>
      </c>
      <c r="G36" s="4" t="s">
        <v>242</v>
      </c>
      <c r="H36" s="4">
        <v>9.5</v>
      </c>
      <c r="I36" s="4"/>
      <c r="J36" s="4">
        <v>12.934043884277344</v>
      </c>
      <c r="K36" s="4">
        <v>9068014800</v>
      </c>
      <c r="L36" s="4">
        <v>-1.4875649925889207E-2</v>
      </c>
      <c r="M36" s="4">
        <v>8.5223665237426758</v>
      </c>
      <c r="N36" s="4">
        <v>12.795825958251953</v>
      </c>
      <c r="O36" s="4" t="s">
        <v>242</v>
      </c>
      <c r="P36" s="4">
        <v>1.0028819418932453</v>
      </c>
      <c r="Q36" s="4">
        <v>3.2808736528720761</v>
      </c>
      <c r="R36" s="4">
        <v>7.2107911109924316</v>
      </c>
      <c r="S36" s="4">
        <v>11.733830451965332</v>
      </c>
      <c r="T36" s="4" t="s">
        <v>242</v>
      </c>
      <c r="U36" s="8">
        <v>1.2158409999999999</v>
      </c>
      <c r="V36" s="19">
        <v>2.42</v>
      </c>
      <c r="W36" s="40" t="s">
        <v>313</v>
      </c>
      <c r="X36" s="41" t="s">
        <v>313</v>
      </c>
      <c r="Y36" s="42" t="s">
        <v>313</v>
      </c>
      <c r="Z36" s="39" t="s">
        <v>320</v>
      </c>
      <c r="AA36" s="39" t="s">
        <v>320</v>
      </c>
      <c r="AB36" s="39" t="s">
        <v>320</v>
      </c>
      <c r="AC36" s="39" t="s">
        <v>320</v>
      </c>
      <c r="AD36" s="39" t="s">
        <v>320</v>
      </c>
      <c r="AE36" s="39" t="s">
        <v>320</v>
      </c>
    </row>
    <row r="37" spans="1:31" x14ac:dyDescent="0.2">
      <c r="A37" s="3" t="s">
        <v>176</v>
      </c>
      <c r="B37" s="4" t="s">
        <v>177</v>
      </c>
      <c r="C37" s="4" t="s">
        <v>258</v>
      </c>
      <c r="D37" s="4"/>
      <c r="E37" s="4">
        <v>0.28499999642372131</v>
      </c>
      <c r="F37" s="4">
        <v>0</v>
      </c>
      <c r="G37" s="4" t="s">
        <v>242</v>
      </c>
      <c r="H37" s="4"/>
      <c r="I37" s="4"/>
      <c r="J37" s="4">
        <v>12.570263862609863</v>
      </c>
      <c r="K37" s="4">
        <v>3569089212.7800002</v>
      </c>
      <c r="L37" s="4">
        <v>5.473968224068218E-3</v>
      </c>
      <c r="M37" s="4">
        <v>8.5494966506958008</v>
      </c>
      <c r="N37" s="4">
        <v>5.0882291793823242</v>
      </c>
      <c r="O37" s="4" t="s">
        <v>242</v>
      </c>
      <c r="P37" s="4">
        <v>1.0698629388910841</v>
      </c>
      <c r="Q37" s="4">
        <v>-20.218660018164698</v>
      </c>
      <c r="R37" s="4">
        <v>12.842118263244629</v>
      </c>
      <c r="S37" s="4">
        <v>11.696595191955566</v>
      </c>
      <c r="T37" s="4" t="s">
        <v>242</v>
      </c>
      <c r="U37" s="8">
        <v>0.96608380000000005</v>
      </c>
      <c r="W37" s="40">
        <v>1</v>
      </c>
      <c r="X37" s="41">
        <v>0</v>
      </c>
      <c r="Y37" s="42">
        <v>0</v>
      </c>
      <c r="Z37" s="39" t="s">
        <v>320</v>
      </c>
      <c r="AA37" s="39" t="s">
        <v>320</v>
      </c>
      <c r="AB37">
        <v>11.88</v>
      </c>
      <c r="AC37">
        <v>11.07</v>
      </c>
      <c r="AD37">
        <v>10.31</v>
      </c>
      <c r="AE37">
        <v>8.57</v>
      </c>
    </row>
    <row r="38" spans="1:31" x14ac:dyDescent="0.2">
      <c r="A38" s="3" t="s">
        <v>180</v>
      </c>
      <c r="B38" s="4" t="s">
        <v>181</v>
      </c>
      <c r="C38" s="4" t="s">
        <v>259</v>
      </c>
      <c r="D38" s="4"/>
      <c r="E38" s="4">
        <v>11</v>
      </c>
      <c r="F38" s="4">
        <v>0</v>
      </c>
      <c r="G38" s="4" t="s">
        <v>242</v>
      </c>
      <c r="H38" s="4"/>
      <c r="I38" s="4"/>
      <c r="J38" s="4">
        <v>12.047504425048828</v>
      </c>
      <c r="K38" s="4">
        <v>895656256001.50012</v>
      </c>
      <c r="L38" s="4">
        <v>1.4937408257854456E-2</v>
      </c>
      <c r="M38" s="4">
        <v>7.3932585716247559</v>
      </c>
      <c r="N38" s="4">
        <v>13.649959564208984</v>
      </c>
      <c r="O38" s="4">
        <v>0.36737297330511653</v>
      </c>
      <c r="P38" s="4">
        <v>1.2340279564359833</v>
      </c>
      <c r="Q38" s="4">
        <v>122.35277617777366</v>
      </c>
      <c r="R38" s="4">
        <v>10.102985382080078</v>
      </c>
      <c r="S38" s="4">
        <v>13.525835037231445</v>
      </c>
      <c r="T38" s="4" t="s">
        <v>242</v>
      </c>
      <c r="U38" s="8">
        <v>1.2306109999999999</v>
      </c>
      <c r="V38" s="19">
        <v>0.75</v>
      </c>
      <c r="W38" s="40">
        <v>0.435</v>
      </c>
      <c r="X38" s="41">
        <v>0.26100000000000001</v>
      </c>
      <c r="Y38" s="42">
        <v>0.30399999999999999</v>
      </c>
      <c r="Z38" s="39" t="s">
        <v>320</v>
      </c>
      <c r="AA38" s="39" t="s">
        <v>320</v>
      </c>
      <c r="AB38" s="39" t="s">
        <v>320</v>
      </c>
      <c r="AC38">
        <v>10.19</v>
      </c>
      <c r="AD38" s="39" t="s">
        <v>320</v>
      </c>
      <c r="AE38" s="39" t="s">
        <v>320</v>
      </c>
    </row>
    <row r="39" spans="1:31" x14ac:dyDescent="0.2">
      <c r="A39" s="5" t="s">
        <v>186</v>
      </c>
      <c r="B39" s="6" t="s">
        <v>187</v>
      </c>
      <c r="C39" s="6" t="s">
        <v>259</v>
      </c>
      <c r="D39" s="6">
        <v>12.512456893920898</v>
      </c>
      <c r="E39" s="6">
        <v>0.15250000357627869</v>
      </c>
      <c r="F39" s="6">
        <v>167.54285670928709</v>
      </c>
      <c r="G39" s="6">
        <v>6.0137929999999997</v>
      </c>
      <c r="H39" s="6">
        <v>0.5950000137090683</v>
      </c>
      <c r="I39" s="6">
        <v>12.512456893920898</v>
      </c>
      <c r="J39" s="6">
        <v>11.486264228820801</v>
      </c>
      <c r="K39" s="6">
        <v>7449604906.2996721</v>
      </c>
      <c r="L39" s="6">
        <v>2.7935516048048455E-2</v>
      </c>
      <c r="M39" s="6">
        <v>6.1133360862731934</v>
      </c>
      <c r="N39" s="6">
        <v>13.411975860595703</v>
      </c>
      <c r="O39" s="6">
        <v>314.92919554082556</v>
      </c>
      <c r="P39" s="6">
        <v>1.1174530465911727</v>
      </c>
      <c r="Q39" s="6">
        <v>10.597944353670844</v>
      </c>
      <c r="R39" s="6">
        <v>10.459694862365723</v>
      </c>
      <c r="S39" s="6">
        <v>16.357681274414062</v>
      </c>
      <c r="T39" s="6" t="s">
        <v>242</v>
      </c>
      <c r="U39" s="9">
        <v>0.77626627683639526</v>
      </c>
      <c r="V39" s="19">
        <v>3.38</v>
      </c>
      <c r="W39" s="40">
        <v>0.23100000000000001</v>
      </c>
      <c r="X39" s="41">
        <v>0.76900000000000002</v>
      </c>
      <c r="Y39" s="42">
        <v>0</v>
      </c>
      <c r="Z39">
        <v>3.38</v>
      </c>
      <c r="AA39">
        <v>3.27</v>
      </c>
      <c r="AB39">
        <v>14.27</v>
      </c>
      <c r="AC39">
        <v>14.68</v>
      </c>
      <c r="AD39">
        <v>15.78</v>
      </c>
      <c r="AE39">
        <v>14.9</v>
      </c>
    </row>
    <row r="40" spans="1:31" x14ac:dyDescent="0.2">
      <c r="A40" s="3" t="s">
        <v>188</v>
      </c>
      <c r="B40" s="4" t="s">
        <v>189</v>
      </c>
      <c r="C40" s="4" t="s">
        <v>259</v>
      </c>
      <c r="D40" s="4">
        <v>5.3055024147033691</v>
      </c>
      <c r="E40" s="4">
        <v>6</v>
      </c>
      <c r="F40" s="4" t="s">
        <v>242</v>
      </c>
      <c r="G40" s="4" t="s">
        <v>242</v>
      </c>
      <c r="H40" s="4"/>
      <c r="I40" s="4">
        <v>5.3055024147033691</v>
      </c>
      <c r="J40" s="4">
        <v>11.434096336364746</v>
      </c>
      <c r="K40" s="4">
        <v>1273605637.5</v>
      </c>
      <c r="L40" s="4">
        <v>1.0764616836926533E-2</v>
      </c>
      <c r="M40" s="4">
        <v>8.3001985549926758</v>
      </c>
      <c r="N40" s="4">
        <v>6.0008301734924316</v>
      </c>
      <c r="O40" s="4" t="s">
        <v>242</v>
      </c>
      <c r="P40" s="4" t="s">
        <v>242</v>
      </c>
      <c r="Q40" s="4" t="s">
        <v>242</v>
      </c>
      <c r="R40" s="4">
        <v>10.354057312011719</v>
      </c>
      <c r="S40" s="4">
        <v>12.047904014587402</v>
      </c>
      <c r="T40" s="4" t="s">
        <v>242</v>
      </c>
      <c r="U40" s="8">
        <v>0.43031970000000003</v>
      </c>
      <c r="V40" s="19">
        <v>2.78</v>
      </c>
      <c r="W40" s="40">
        <v>1</v>
      </c>
      <c r="X40" s="41">
        <v>0</v>
      </c>
      <c r="Y40" s="42">
        <v>0</v>
      </c>
      <c r="Z40" s="39" t="s">
        <v>320</v>
      </c>
      <c r="AA40" s="39" t="s">
        <v>320</v>
      </c>
      <c r="AB40" s="39" t="s">
        <v>320</v>
      </c>
      <c r="AC40" s="39" t="s">
        <v>320</v>
      </c>
      <c r="AD40" s="39" t="s">
        <v>320</v>
      </c>
      <c r="AE40" s="39" t="s">
        <v>320</v>
      </c>
    </row>
    <row r="41" spans="1:31" x14ac:dyDescent="0.2">
      <c r="A41" s="5" t="s">
        <v>190</v>
      </c>
      <c r="B41" s="6" t="s">
        <v>191</v>
      </c>
      <c r="C41" s="6" t="s">
        <v>259</v>
      </c>
      <c r="D41" s="6">
        <v>17.496301651000977</v>
      </c>
      <c r="E41" s="6">
        <v>0.16709999740123749</v>
      </c>
      <c r="F41" s="6" t="s">
        <v>242</v>
      </c>
      <c r="G41" s="6" t="s">
        <v>242</v>
      </c>
      <c r="H41" s="6">
        <v>0.25710000097751617</v>
      </c>
      <c r="I41" s="6">
        <v>17.496301651000977</v>
      </c>
      <c r="J41" s="6">
        <v>11.420224189758301</v>
      </c>
      <c r="K41" s="6">
        <v>616519422215.34985</v>
      </c>
      <c r="L41" s="6">
        <v>-1.8399328768339519E-3</v>
      </c>
      <c r="M41" s="6">
        <v>9.1731948852539062</v>
      </c>
      <c r="N41" s="6">
        <v>3.7519490718841553</v>
      </c>
      <c r="O41" s="6" t="s">
        <v>242</v>
      </c>
      <c r="P41" s="6">
        <v>1.0113038978018685</v>
      </c>
      <c r="Q41" s="6">
        <v>1.6604486594053756</v>
      </c>
      <c r="R41" s="6">
        <v>7.1402029991149902</v>
      </c>
      <c r="S41" s="6">
        <v>10.901327133178711</v>
      </c>
      <c r="T41" s="6" t="s">
        <v>242</v>
      </c>
      <c r="U41" s="9">
        <v>0.52759710000000004</v>
      </c>
      <c r="V41" s="19">
        <v>0.81</v>
      </c>
      <c r="W41" s="40">
        <v>0.95</v>
      </c>
      <c r="X41" s="41">
        <v>0.05</v>
      </c>
      <c r="Y41" s="42">
        <v>0</v>
      </c>
      <c r="Z41" s="39" t="s">
        <v>320</v>
      </c>
      <c r="AA41" s="39" t="s">
        <v>320</v>
      </c>
      <c r="AB41">
        <v>17.05</v>
      </c>
      <c r="AC41" s="1">
        <v>16.43</v>
      </c>
      <c r="AD41" s="1">
        <v>3.11</v>
      </c>
      <c r="AE41" s="1">
        <v>3.01</v>
      </c>
    </row>
    <row r="42" spans="1:31" x14ac:dyDescent="0.2">
      <c r="A42" s="3" t="s">
        <v>192</v>
      </c>
      <c r="B42" s="4" t="s">
        <v>193</v>
      </c>
      <c r="C42" s="4" t="s">
        <v>260</v>
      </c>
      <c r="D42" s="4">
        <v>10.756635665893555</v>
      </c>
      <c r="E42" s="4">
        <v>7</v>
      </c>
      <c r="F42" s="4">
        <v>0</v>
      </c>
      <c r="G42" s="4" t="s">
        <v>242</v>
      </c>
      <c r="H42" s="4"/>
      <c r="I42" s="4">
        <v>10.756635665893555</v>
      </c>
      <c r="J42" s="4">
        <v>11.400382995605469</v>
      </c>
      <c r="K42" s="4">
        <v>9688293780</v>
      </c>
      <c r="L42" s="4">
        <v>-1.7046919042119361E-2</v>
      </c>
      <c r="M42" s="4">
        <v>9.7375297546386719</v>
      </c>
      <c r="N42" s="4">
        <v>15.698344230651855</v>
      </c>
      <c r="O42" s="4" t="s">
        <v>242</v>
      </c>
      <c r="P42" s="4">
        <v>1.0047062805537073</v>
      </c>
      <c r="Q42" s="4">
        <v>3.8127605300929996</v>
      </c>
      <c r="R42" s="4">
        <v>5.124579906463623</v>
      </c>
      <c r="S42" s="4">
        <v>10.26954460144043</v>
      </c>
      <c r="T42" s="4" t="s">
        <v>242</v>
      </c>
      <c r="U42" s="8">
        <v>0.54168210000000006</v>
      </c>
      <c r="W42" s="40">
        <v>1</v>
      </c>
      <c r="X42" s="41">
        <v>0</v>
      </c>
      <c r="Y42" s="42">
        <v>0</v>
      </c>
      <c r="Z42" s="39" t="s">
        <v>320</v>
      </c>
      <c r="AA42" s="39" t="s">
        <v>320</v>
      </c>
      <c r="AB42" s="39" t="s">
        <v>320</v>
      </c>
      <c r="AC42" s="39" t="s">
        <v>320</v>
      </c>
      <c r="AD42" s="39" t="s">
        <v>320</v>
      </c>
      <c r="AE42" s="39" t="s">
        <v>320</v>
      </c>
    </row>
    <row r="43" spans="1:31" x14ac:dyDescent="0.2">
      <c r="A43" s="3" t="s">
        <v>196</v>
      </c>
      <c r="B43" s="4" t="s">
        <v>197</v>
      </c>
      <c r="C43" s="4" t="s">
        <v>260</v>
      </c>
      <c r="D43" s="4">
        <v>1.8646382093429565</v>
      </c>
      <c r="E43" s="4">
        <v>0.68000000715255737</v>
      </c>
      <c r="F43" s="4">
        <v>545.36980669808327</v>
      </c>
      <c r="G43" s="4">
        <v>3.4513859999999998</v>
      </c>
      <c r="H43" s="4">
        <v>2.7200000286102295</v>
      </c>
      <c r="I43" s="4">
        <v>1.8646382093429565</v>
      </c>
      <c r="J43" s="4">
        <v>10.921344757080078</v>
      </c>
      <c r="K43" s="4">
        <v>7842886095.7424927</v>
      </c>
      <c r="L43" s="4">
        <v>1.706254253114918E-2</v>
      </c>
      <c r="M43" s="4">
        <v>6.0174665451049805</v>
      </c>
      <c r="N43" s="4">
        <v>7.7456579208374023</v>
      </c>
      <c r="O43" s="4">
        <v>0.96610353149207473</v>
      </c>
      <c r="P43" s="4">
        <v>1.1557788944723617</v>
      </c>
      <c r="Q43" s="4">
        <v>0.25470683837802827</v>
      </c>
      <c r="R43" s="4">
        <v>12.166878700256348</v>
      </c>
      <c r="S43" s="4">
        <v>16.618288040161133</v>
      </c>
      <c r="T43" s="4" t="s">
        <v>242</v>
      </c>
      <c r="U43" s="8">
        <v>0.82778881696900752</v>
      </c>
      <c r="V43" s="19">
        <v>3.4</v>
      </c>
      <c r="W43" s="40">
        <v>0.60899999999999999</v>
      </c>
      <c r="X43" s="41">
        <v>0.39100000000000001</v>
      </c>
      <c r="Y43" s="42">
        <v>0</v>
      </c>
      <c r="Z43">
        <v>3.34</v>
      </c>
      <c r="AA43">
        <v>3.23</v>
      </c>
      <c r="AB43">
        <v>12.31</v>
      </c>
      <c r="AC43" s="1">
        <v>11.11</v>
      </c>
      <c r="AD43" s="1">
        <v>7.66</v>
      </c>
      <c r="AE43" s="1">
        <v>3.31</v>
      </c>
    </row>
    <row r="44" spans="1:31" x14ac:dyDescent="0.2">
      <c r="A44" s="5" t="s">
        <v>198</v>
      </c>
      <c r="B44" s="6" t="s">
        <v>199</v>
      </c>
      <c r="C44" s="6" t="s">
        <v>260</v>
      </c>
      <c r="D44" s="6">
        <v>5.7610101699829102</v>
      </c>
      <c r="E44" s="6">
        <v>0.95649999380111694</v>
      </c>
      <c r="F44" s="6">
        <v>0</v>
      </c>
      <c r="G44" s="6">
        <v>0</v>
      </c>
      <c r="H44" s="6">
        <v>3.5065000653266907</v>
      </c>
      <c r="I44" s="6">
        <v>5.7610101699829102</v>
      </c>
      <c r="J44" s="6">
        <v>10.910238265991211</v>
      </c>
      <c r="K44" s="6">
        <v>47935108386.55806</v>
      </c>
      <c r="L44" s="6">
        <v>-9.244992573307206E-3</v>
      </c>
      <c r="M44" s="6">
        <v>9.9445085525512695</v>
      </c>
      <c r="N44" s="6">
        <v>11.662089347839355</v>
      </c>
      <c r="O44" s="6">
        <v>1.6194398872002465</v>
      </c>
      <c r="P44" s="6">
        <v>1.2240819385460904</v>
      </c>
      <c r="Q44" s="6">
        <v>-7.834821264287449E-2</v>
      </c>
      <c r="R44" s="6">
        <v>10.610997200012207</v>
      </c>
      <c r="S44" s="6">
        <v>10.055801391601562</v>
      </c>
      <c r="T44" s="6" t="s">
        <v>242</v>
      </c>
      <c r="U44" s="9">
        <v>0.54477220773696899</v>
      </c>
      <c r="V44" s="19">
        <v>3.41</v>
      </c>
      <c r="W44" s="40">
        <v>0.625</v>
      </c>
      <c r="X44" s="41">
        <v>0.313</v>
      </c>
      <c r="Y44" s="42">
        <v>6.3E-2</v>
      </c>
      <c r="Z44">
        <v>3.34</v>
      </c>
      <c r="AA44">
        <v>3.32</v>
      </c>
      <c r="AB44">
        <v>10.94</v>
      </c>
      <c r="AC44" s="1">
        <v>11.03</v>
      </c>
      <c r="AD44" s="1">
        <v>8.91</v>
      </c>
      <c r="AE44" s="1">
        <v>8.92</v>
      </c>
    </row>
    <row r="45" spans="1:31" x14ac:dyDescent="0.2">
      <c r="A45" s="3" t="s">
        <v>200</v>
      </c>
      <c r="B45" s="4" t="s">
        <v>201</v>
      </c>
      <c r="C45" s="4" t="s">
        <v>260</v>
      </c>
      <c r="D45" s="4">
        <v>4.4894261360168457</v>
      </c>
      <c r="E45" s="4">
        <v>1</v>
      </c>
      <c r="F45" s="4" t="s">
        <v>242</v>
      </c>
      <c r="G45" s="4" t="s">
        <v>242</v>
      </c>
      <c r="H45" s="4">
        <v>3.5</v>
      </c>
      <c r="I45" s="4">
        <v>4.4894261360168457</v>
      </c>
      <c r="J45" s="4">
        <v>10.576389312744141</v>
      </c>
      <c r="K45" s="4">
        <v>1197194310</v>
      </c>
      <c r="L45" s="4">
        <v>-4.8666654054530245E-3</v>
      </c>
      <c r="M45" s="4">
        <v>9.5431985855102539</v>
      </c>
      <c r="N45" s="4">
        <v>6.0942831039428711</v>
      </c>
      <c r="O45" s="4" t="s">
        <v>242</v>
      </c>
      <c r="P45" s="4">
        <v>1.13387541137359</v>
      </c>
      <c r="Q45" s="4">
        <v>8.7372245537239923</v>
      </c>
      <c r="R45" s="4">
        <v>14.503666877746582</v>
      </c>
      <c r="S45" s="4">
        <v>10.478666305541992</v>
      </c>
      <c r="T45" s="4" t="s">
        <v>247</v>
      </c>
      <c r="U45" s="8">
        <v>0.51058199999999998</v>
      </c>
      <c r="V45" s="19">
        <v>1.3</v>
      </c>
      <c r="W45" s="40">
        <v>0.5</v>
      </c>
      <c r="X45" s="41">
        <v>0.5</v>
      </c>
      <c r="Y45" s="42">
        <v>0</v>
      </c>
      <c r="Z45">
        <v>1.17</v>
      </c>
      <c r="AA45">
        <v>1.1499999999999999</v>
      </c>
      <c r="AB45">
        <v>10.65</v>
      </c>
      <c r="AC45" s="1">
        <v>11.89</v>
      </c>
      <c r="AD45" s="1">
        <v>5.18</v>
      </c>
      <c r="AE45" s="1">
        <v>5.23</v>
      </c>
    </row>
    <row r="46" spans="1:31" x14ac:dyDescent="0.2">
      <c r="A46" s="5" t="s">
        <v>202</v>
      </c>
      <c r="B46" s="6" t="s">
        <v>203</v>
      </c>
      <c r="C46" s="6" t="s">
        <v>260</v>
      </c>
      <c r="D46" s="6">
        <v>23.927602767944336</v>
      </c>
      <c r="E46" s="6">
        <v>45</v>
      </c>
      <c r="F46" s="6">
        <v>0</v>
      </c>
      <c r="G46" s="6" t="s">
        <v>242</v>
      </c>
      <c r="H46" s="6"/>
      <c r="I46" s="6">
        <v>23.927602767944336</v>
      </c>
      <c r="J46" s="6">
        <v>10.505346298217773</v>
      </c>
      <c r="K46" s="6">
        <v>46041000000</v>
      </c>
      <c r="L46" s="6">
        <v>1.8395654369942539E-2</v>
      </c>
      <c r="M46" s="6">
        <v>7.886469841003418</v>
      </c>
      <c r="N46" s="6">
        <v>10.73079776763916</v>
      </c>
      <c r="O46" s="6" t="s">
        <v>242</v>
      </c>
      <c r="P46" s="6">
        <v>1</v>
      </c>
      <c r="Q46" s="6">
        <v>0.99066840958826019</v>
      </c>
      <c r="R46" s="6">
        <v>7.1370840072631836</v>
      </c>
      <c r="S46" s="6">
        <v>12.679944038391113</v>
      </c>
      <c r="T46" s="6" t="s">
        <v>242</v>
      </c>
      <c r="U46" s="9">
        <v>1.0369139999999999</v>
      </c>
      <c r="V46" s="19">
        <v>1.39</v>
      </c>
      <c r="W46" s="40">
        <v>0</v>
      </c>
      <c r="X46" s="41">
        <v>0</v>
      </c>
      <c r="Y46" s="42">
        <v>0</v>
      </c>
      <c r="Z46" s="39" t="s">
        <v>320</v>
      </c>
      <c r="AA46" s="39" t="s">
        <v>320</v>
      </c>
      <c r="AB46" s="39" t="s">
        <v>320</v>
      </c>
      <c r="AC46" s="39" t="s">
        <v>320</v>
      </c>
      <c r="AD46" s="39" t="s">
        <v>320</v>
      </c>
      <c r="AE46" s="39" t="s">
        <v>320</v>
      </c>
    </row>
    <row r="47" spans="1:31" x14ac:dyDescent="0.2">
      <c r="A47" s="3" t="s">
        <v>204</v>
      </c>
      <c r="B47" s="4" t="s">
        <v>205</v>
      </c>
      <c r="C47" s="4" t="s">
        <v>260</v>
      </c>
      <c r="D47" s="4">
        <v>8.1215038299560547</v>
      </c>
      <c r="E47" s="4">
        <v>1.9800000190734863</v>
      </c>
      <c r="F47" s="4" t="s">
        <v>242</v>
      </c>
      <c r="G47" s="4" t="s">
        <v>242</v>
      </c>
      <c r="H47" s="4"/>
      <c r="I47" s="4">
        <v>8.1215038299560547</v>
      </c>
      <c r="J47" s="4">
        <v>10.484585762023926</v>
      </c>
      <c r="K47" s="4">
        <v>75126250494.913101</v>
      </c>
      <c r="L47" s="4">
        <v>2.8518414593829775E-4</v>
      </c>
      <c r="M47" s="4">
        <v>9.6893405914306641</v>
      </c>
      <c r="N47" s="4">
        <v>1.1574679613113403</v>
      </c>
      <c r="O47" s="4" t="s">
        <v>242</v>
      </c>
      <c r="P47" s="4" t="s">
        <v>242</v>
      </c>
      <c r="Q47" s="4" t="s">
        <v>242</v>
      </c>
      <c r="R47" s="4">
        <v>13.982213973999023</v>
      </c>
      <c r="S47" s="4">
        <v>10.320620536804199</v>
      </c>
      <c r="T47" s="4" t="s">
        <v>242</v>
      </c>
      <c r="U47" s="8">
        <v>1.0298639999999999</v>
      </c>
      <c r="V47" s="19">
        <v>1.56</v>
      </c>
      <c r="W47" s="40">
        <v>0.76</v>
      </c>
      <c r="X47" s="41">
        <v>0.24</v>
      </c>
      <c r="Y47" s="42">
        <v>0</v>
      </c>
      <c r="Z47" s="39" t="s">
        <v>320</v>
      </c>
      <c r="AA47" s="39" t="s">
        <v>320</v>
      </c>
      <c r="AB47" s="1">
        <v>9.6999999999999993</v>
      </c>
      <c r="AC47" s="1">
        <v>9.51</v>
      </c>
      <c r="AD47" s="1">
        <v>12.86</v>
      </c>
      <c r="AE47" s="1">
        <v>12.4</v>
      </c>
    </row>
    <row r="48" spans="1:31" x14ac:dyDescent="0.2">
      <c r="A48" s="5" t="s">
        <v>206</v>
      </c>
      <c r="B48" s="6" t="s">
        <v>207</v>
      </c>
      <c r="C48" s="6" t="s">
        <v>260</v>
      </c>
      <c r="D48" s="6"/>
      <c r="E48" s="6">
        <v>3.5</v>
      </c>
      <c r="F48" s="6">
        <v>0</v>
      </c>
      <c r="G48" s="6" t="s">
        <v>242</v>
      </c>
      <c r="H48" s="6"/>
      <c r="I48" s="6"/>
      <c r="J48" s="6">
        <v>10.442342758178711</v>
      </c>
      <c r="K48" s="6">
        <v>4659599999.999999</v>
      </c>
      <c r="L48" s="6">
        <v>2.3735741494015708E-2</v>
      </c>
      <c r="M48" s="6">
        <v>7.2001376152038574</v>
      </c>
      <c r="N48" s="6">
        <v>9.5615167617797852</v>
      </c>
      <c r="O48" s="6" t="s">
        <v>242</v>
      </c>
      <c r="P48" s="6">
        <v>1.0045894225968268</v>
      </c>
      <c r="Q48" s="6">
        <v>-1.3119588278754082</v>
      </c>
      <c r="R48" s="6">
        <v>8.7674503326416016</v>
      </c>
      <c r="S48" s="6">
        <v>13.888623237609863</v>
      </c>
      <c r="T48" s="6" t="s">
        <v>242</v>
      </c>
      <c r="U48" s="9">
        <v>0.72708640000000002</v>
      </c>
      <c r="W48" s="40">
        <v>0</v>
      </c>
      <c r="X48" s="41">
        <v>0</v>
      </c>
      <c r="Y48" s="42">
        <v>0</v>
      </c>
      <c r="Z48" s="39" t="s">
        <v>320</v>
      </c>
      <c r="AA48" s="39" t="s">
        <v>320</v>
      </c>
      <c r="AB48" s="39" t="s">
        <v>320</v>
      </c>
      <c r="AC48" s="39" t="s">
        <v>320</v>
      </c>
      <c r="AD48" s="39" t="s">
        <v>320</v>
      </c>
      <c r="AE48" s="39" t="s">
        <v>320</v>
      </c>
    </row>
    <row r="49" spans="1:31" x14ac:dyDescent="0.2">
      <c r="A49" s="3" t="s">
        <v>208</v>
      </c>
      <c r="B49" s="4" t="s">
        <v>209</v>
      </c>
      <c r="C49" s="4" t="s">
        <v>260</v>
      </c>
      <c r="D49" s="4">
        <v>13.266813278198242</v>
      </c>
      <c r="E49" s="4">
        <v>6.362299919128418</v>
      </c>
      <c r="F49" s="4">
        <v>0</v>
      </c>
      <c r="G49" s="4" t="s">
        <v>242</v>
      </c>
      <c r="H49" s="4"/>
      <c r="I49" s="4">
        <v>13.266813278198242</v>
      </c>
      <c r="J49" s="4">
        <v>10.212775230407715</v>
      </c>
      <c r="K49" s="4">
        <v>246645990948.00003</v>
      </c>
      <c r="L49" s="4">
        <v>6.8893494184002939E-3</v>
      </c>
      <c r="M49" s="4">
        <v>7.4569201469421387</v>
      </c>
      <c r="N49" s="4">
        <v>2.5719990730285645</v>
      </c>
      <c r="O49" s="4">
        <v>0.76234623565964055</v>
      </c>
      <c r="P49" s="4">
        <v>1.0027184335352943</v>
      </c>
      <c r="Q49" s="4" t="s">
        <v>242</v>
      </c>
      <c r="R49" s="4">
        <v>6.6923880577087402</v>
      </c>
      <c r="S49" s="4">
        <v>13.410362243652344</v>
      </c>
      <c r="T49" s="4" t="s">
        <v>252</v>
      </c>
      <c r="U49" s="8">
        <v>0.72033040000000004</v>
      </c>
      <c r="V49" s="20">
        <v>1.6</v>
      </c>
      <c r="W49" s="40">
        <v>0.42899999999999999</v>
      </c>
      <c r="X49" s="41">
        <v>0.42899999999999999</v>
      </c>
      <c r="Y49" s="42">
        <v>0.14300000000000002</v>
      </c>
      <c r="Z49" s="39" t="s">
        <v>320</v>
      </c>
      <c r="AA49" s="39" t="s">
        <v>320</v>
      </c>
      <c r="AB49" s="39" t="s">
        <v>320</v>
      </c>
      <c r="AC49" s="39" t="s">
        <v>321</v>
      </c>
      <c r="AD49" s="39" t="s">
        <v>321</v>
      </c>
      <c r="AE49" s="39" t="s">
        <v>320</v>
      </c>
    </row>
    <row r="50" spans="1:31" x14ac:dyDescent="0.2">
      <c r="A50" s="3" t="s">
        <v>220</v>
      </c>
      <c r="B50" s="4" t="s">
        <v>221</v>
      </c>
      <c r="C50" s="4" t="s">
        <v>259</v>
      </c>
      <c r="D50" s="4">
        <v>-1.4291598796844482</v>
      </c>
      <c r="E50" s="4">
        <v>0.17000000178813934</v>
      </c>
      <c r="F50" s="4">
        <v>1041.0620328651953</v>
      </c>
      <c r="G50" s="4">
        <v>24.690595999999999</v>
      </c>
      <c r="H50" s="4">
        <v>0.64999999105930328</v>
      </c>
      <c r="I50" s="4">
        <v>-1.4291598796844482</v>
      </c>
      <c r="J50" s="4">
        <v>9.3067665100097656</v>
      </c>
      <c r="K50" s="4">
        <v>25959732986.506176</v>
      </c>
      <c r="L50" s="4">
        <v>6.2569857185026658E-3</v>
      </c>
      <c r="M50" s="4">
        <v>8.9069004058837891</v>
      </c>
      <c r="N50" s="4">
        <v>10.937532424926758</v>
      </c>
      <c r="O50" s="4">
        <v>1.9159696557090058</v>
      </c>
      <c r="P50" s="4">
        <v>1.1319656224008872</v>
      </c>
      <c r="Q50" s="4">
        <v>3.7916958049197182</v>
      </c>
      <c r="R50" s="4">
        <v>13.837903022766113</v>
      </c>
      <c r="S50" s="4">
        <v>11.227250099182129</v>
      </c>
      <c r="T50" s="4" t="s">
        <v>242</v>
      </c>
      <c r="U50" s="8">
        <v>0.85057181119918823</v>
      </c>
      <c r="V50" s="19">
        <v>2.4900000000000002</v>
      </c>
      <c r="W50" s="40">
        <v>0.82799999999999996</v>
      </c>
      <c r="X50" s="41">
        <v>0.17199999999999999</v>
      </c>
      <c r="Y50" s="42">
        <v>0</v>
      </c>
      <c r="Z50">
        <v>2.5</v>
      </c>
      <c r="AA50">
        <v>2.42</v>
      </c>
      <c r="AB50">
        <v>10.130000000000001</v>
      </c>
      <c r="AC50">
        <v>10.08</v>
      </c>
      <c r="AD50">
        <v>7.13</v>
      </c>
      <c r="AE50">
        <v>7.14</v>
      </c>
    </row>
    <row r="51" spans="1:31" x14ac:dyDescent="0.2">
      <c r="A51" s="5" t="s">
        <v>222</v>
      </c>
      <c r="B51" s="6" t="s">
        <v>223</v>
      </c>
      <c r="C51" s="6" t="s">
        <v>259</v>
      </c>
      <c r="D51" s="6">
        <v>1.1131508350372314</v>
      </c>
      <c r="E51" s="6">
        <v>1.2999999523162842</v>
      </c>
      <c r="F51" s="6">
        <v>0</v>
      </c>
      <c r="G51" s="6" t="s">
        <v>242</v>
      </c>
      <c r="H51" s="6"/>
      <c r="I51" s="6">
        <v>1.1131508350372314</v>
      </c>
      <c r="J51" s="6">
        <v>9.1138324737548828</v>
      </c>
      <c r="K51" s="6">
        <v>29881648867.200001</v>
      </c>
      <c r="L51" s="6">
        <v>3.7373416671575135E-2</v>
      </c>
      <c r="M51" s="6">
        <v>7.9356484413146973</v>
      </c>
      <c r="N51" s="6">
        <v>16.007242202758789</v>
      </c>
      <c r="O51" s="6" t="s">
        <v>242</v>
      </c>
      <c r="P51" s="6">
        <v>1.0060606221970854</v>
      </c>
      <c r="Q51" s="6">
        <v>3.8956666907773645</v>
      </c>
      <c r="R51" s="6">
        <v>14.534236907958984</v>
      </c>
      <c r="S51" s="6">
        <v>12.601365089416504</v>
      </c>
      <c r="T51" s="6" t="s">
        <v>242</v>
      </c>
      <c r="U51" s="9">
        <v>0.97043500000000005</v>
      </c>
      <c r="W51" s="40">
        <v>1</v>
      </c>
      <c r="X51" s="41">
        <v>0</v>
      </c>
      <c r="Y51" s="42">
        <v>0</v>
      </c>
      <c r="Z51" s="39" t="s">
        <v>320</v>
      </c>
      <c r="AA51" s="39" t="s">
        <v>320</v>
      </c>
      <c r="AB51">
        <v>11.11</v>
      </c>
      <c r="AC51">
        <v>10.78</v>
      </c>
      <c r="AD51">
        <v>16.670000000000002</v>
      </c>
      <c r="AE51">
        <v>14.11</v>
      </c>
    </row>
    <row r="52" spans="1:31" x14ac:dyDescent="0.2">
      <c r="A52" s="5" t="s">
        <v>226</v>
      </c>
      <c r="B52" s="6" t="s">
        <v>227</v>
      </c>
      <c r="C52" s="6" t="s">
        <v>259</v>
      </c>
      <c r="D52" s="6">
        <v>13.806042671203613</v>
      </c>
      <c r="E52" s="6">
        <v>22</v>
      </c>
      <c r="F52" s="6" t="s">
        <v>242</v>
      </c>
      <c r="G52" s="6" t="s">
        <v>242</v>
      </c>
      <c r="H52" s="6"/>
      <c r="I52" s="6">
        <v>13.806042671203613</v>
      </c>
      <c r="J52" s="6">
        <v>8.7930116653442383</v>
      </c>
      <c r="K52" s="6">
        <v>97537835369.000015</v>
      </c>
      <c r="L52" s="6">
        <v>1.2434367182963478E-2</v>
      </c>
      <c r="M52" s="6">
        <v>8.9120121002197266</v>
      </c>
      <c r="N52" s="6">
        <v>6.6738362312316895</v>
      </c>
      <c r="O52" s="6" t="s">
        <v>242</v>
      </c>
      <c r="P52" s="6">
        <v>1.0257813085513003</v>
      </c>
      <c r="Q52" s="6">
        <v>5.4282564876351058</v>
      </c>
      <c r="R52" s="6">
        <v>7.2045950889587402</v>
      </c>
      <c r="S52" s="6">
        <v>11.220810890197754</v>
      </c>
      <c r="T52" s="6" t="s">
        <v>253</v>
      </c>
      <c r="U52" s="9">
        <v>0.95582009999999995</v>
      </c>
      <c r="V52" s="19">
        <v>0.88</v>
      </c>
      <c r="W52" s="40">
        <v>1</v>
      </c>
      <c r="X52" s="41">
        <v>0</v>
      </c>
      <c r="Y52" s="42">
        <v>0</v>
      </c>
      <c r="Z52" s="39" t="s">
        <v>320</v>
      </c>
      <c r="AA52" s="39" t="s">
        <v>320</v>
      </c>
      <c r="AB52" s="39" t="s">
        <v>320</v>
      </c>
      <c r="AC52" s="39" t="s">
        <v>320</v>
      </c>
      <c r="AD52" s="39" t="s">
        <v>320</v>
      </c>
      <c r="AE52" s="39" t="s">
        <v>320</v>
      </c>
    </row>
    <row r="53" spans="1:31" x14ac:dyDescent="0.2">
      <c r="A53" s="3" t="s">
        <v>232</v>
      </c>
      <c r="B53" s="4" t="s">
        <v>233</v>
      </c>
      <c r="C53" s="4" t="s">
        <v>260</v>
      </c>
      <c r="D53" s="4">
        <v>-5.4710507392883301</v>
      </c>
      <c r="E53" s="4">
        <v>0.21091000735759735</v>
      </c>
      <c r="F53" s="4">
        <v>0</v>
      </c>
      <c r="G53" s="4" t="s">
        <v>242</v>
      </c>
      <c r="H53" s="4"/>
      <c r="I53" s="4">
        <v>-5.4710507392883301</v>
      </c>
      <c r="J53" s="4">
        <v>7.8613972663879395</v>
      </c>
      <c r="K53" s="4">
        <v>2480606484.9871416</v>
      </c>
      <c r="L53" s="4">
        <v>3.8577032383574753E-2</v>
      </c>
      <c r="M53" s="4">
        <v>8.1823968887329102</v>
      </c>
      <c r="N53" s="4">
        <v>10.808297157287598</v>
      </c>
      <c r="O53" s="4" t="s">
        <v>242</v>
      </c>
      <c r="P53" s="4">
        <v>1.0764400261675093</v>
      </c>
      <c r="Q53" s="4">
        <v>-1.7405731267986437</v>
      </c>
      <c r="R53" s="4">
        <v>9.4339981079101562</v>
      </c>
      <c r="S53" s="4">
        <v>12.221357345581055</v>
      </c>
      <c r="T53" s="4" t="s">
        <v>242</v>
      </c>
      <c r="U53" s="8">
        <v>0.78921680000000005</v>
      </c>
      <c r="V53" s="20">
        <v>1.86</v>
      </c>
      <c r="W53" s="40">
        <v>0.5</v>
      </c>
      <c r="X53" s="41">
        <v>0.5</v>
      </c>
      <c r="Y53" s="42">
        <v>0</v>
      </c>
      <c r="Z53" s="39" t="s">
        <v>320</v>
      </c>
      <c r="AA53" s="39" t="s">
        <v>320</v>
      </c>
      <c r="AB53">
        <v>8.44</v>
      </c>
      <c r="AC53">
        <v>8.3699999999999992</v>
      </c>
      <c r="AD53">
        <v>5.83</v>
      </c>
      <c r="AE53">
        <v>5.76</v>
      </c>
    </row>
    <row r="54" spans="1:31" x14ac:dyDescent="0.2">
      <c r="A54" s="5" t="s">
        <v>234</v>
      </c>
      <c r="B54" s="6" t="s">
        <v>235</v>
      </c>
      <c r="C54" s="6" t="s">
        <v>259</v>
      </c>
      <c r="D54" s="6">
        <v>17.607902526855469</v>
      </c>
      <c r="E54" s="6">
        <v>1.7999999523162842</v>
      </c>
      <c r="F54" s="6">
        <v>0</v>
      </c>
      <c r="G54" s="6" t="s">
        <v>242</v>
      </c>
      <c r="H54" s="6"/>
      <c r="I54" s="6">
        <v>17.607902526855469</v>
      </c>
      <c r="J54" s="6">
        <v>7.6525177955627441</v>
      </c>
      <c r="K54" s="6">
        <v>2329640806.9381409</v>
      </c>
      <c r="L54" s="6">
        <v>2.8824588753385064E-2</v>
      </c>
      <c r="M54" s="6">
        <v>8.4672708511352539</v>
      </c>
      <c r="N54" s="6">
        <v>7.995628833770752</v>
      </c>
      <c r="O54" s="6" t="s">
        <v>242</v>
      </c>
      <c r="P54" s="6">
        <v>1.0270333662432021</v>
      </c>
      <c r="Q54" s="6">
        <v>4.2431239034896784</v>
      </c>
      <c r="R54" s="6">
        <v>12.999241828918457</v>
      </c>
      <c r="S54" s="6">
        <v>11.8101806640625</v>
      </c>
      <c r="T54" s="6" t="s">
        <v>249</v>
      </c>
      <c r="U54" s="9">
        <v>0.69602920000000001</v>
      </c>
      <c r="V54" s="19">
        <v>1.1000000000000001</v>
      </c>
      <c r="W54" s="40">
        <v>1</v>
      </c>
      <c r="X54" s="41">
        <v>0</v>
      </c>
      <c r="Y54" s="42">
        <v>0</v>
      </c>
      <c r="Z54" s="39" t="s">
        <v>320</v>
      </c>
      <c r="AA54" s="39" t="s">
        <v>320</v>
      </c>
      <c r="AB54">
        <v>8.5500000000000007</v>
      </c>
      <c r="AC54">
        <v>8.8699999999999992</v>
      </c>
      <c r="AD54">
        <v>4.5599999999999996</v>
      </c>
      <c r="AE54">
        <v>4.55</v>
      </c>
    </row>
  </sheetData>
  <conditionalFormatting sqref="C2:C54">
    <cfRule type="containsText" dxfId="1" priority="1" operator="containsText" text="NO">
      <formula>NOT(ISERROR(SEARCH("NO",C2)))</formula>
    </cfRule>
    <cfRule type="containsText" dxfId="0" priority="2" operator="containsText" text="YES">
      <formula>NOT(ISERROR(SEARCH("YES",C2)))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D841-C7B1-4459-97D9-85ABBB700AFB}">
  <dimension ref="A1:Z305"/>
  <sheetViews>
    <sheetView workbookViewId="0">
      <selection activeCell="Q197" sqref="Q197"/>
    </sheetView>
  </sheetViews>
  <sheetFormatPr baseColWidth="10" defaultColWidth="11.5" defaultRowHeight="15" x14ac:dyDescent="0.2"/>
  <cols>
    <col min="1" max="1" width="22.33203125" bestFit="1" customWidth="1"/>
    <col min="2" max="2" width="20.1640625" bestFit="1" customWidth="1"/>
    <col min="5" max="5" width="15.1640625" customWidth="1"/>
    <col min="7" max="7" width="87.33203125" customWidth="1"/>
    <col min="10" max="10" width="12.33203125" customWidth="1"/>
    <col min="11" max="11" width="18.6640625" customWidth="1"/>
    <col min="12" max="12" width="20.1640625" bestFit="1" customWidth="1"/>
    <col min="13" max="13" width="14.33203125" bestFit="1" customWidth="1"/>
    <col min="15" max="15" width="11.6640625" bestFit="1" customWidth="1"/>
    <col min="20" max="20" width="17.5" customWidth="1"/>
    <col min="21" max="21" width="21.6640625" customWidth="1"/>
    <col min="24" max="24" width="11.6640625" customWidth="1"/>
  </cols>
  <sheetData>
    <row r="1" spans="1:26" ht="30" x14ac:dyDescent="0.3">
      <c r="A1" s="14" t="s">
        <v>38</v>
      </c>
      <c r="E1" t="s">
        <v>325</v>
      </c>
      <c r="G1" t="s">
        <v>327</v>
      </c>
      <c r="K1" s="15" t="s">
        <v>262</v>
      </c>
      <c r="T1" s="29" t="s">
        <v>263</v>
      </c>
      <c r="X1" s="1" t="s">
        <v>329</v>
      </c>
      <c r="Y1" s="1"/>
      <c r="Z1" t="s">
        <v>326</v>
      </c>
    </row>
    <row r="2" spans="1:26" x14ac:dyDescent="0.2">
      <c r="A2" s="26">
        <v>7875</v>
      </c>
      <c r="B2" s="27">
        <f t="shared" ref="B2:B12" si="0">A2/(1+$E$2)^C2</f>
        <v>6558.3551491535782</v>
      </c>
      <c r="C2">
        <v>1</v>
      </c>
      <c r="E2">
        <v>0.20075839458257286</v>
      </c>
      <c r="G2" s="24">
        <f>E2-0.0672</f>
        <v>0.13355839458257285</v>
      </c>
      <c r="K2" s="27">
        <v>1763.92</v>
      </c>
      <c r="L2">
        <f>K2/(1+$O$3)^M2</f>
        <v>1470.7883100565625</v>
      </c>
      <c r="M2">
        <v>1</v>
      </c>
      <c r="O2" t="s">
        <v>328</v>
      </c>
      <c r="Q2" t="s">
        <v>326</v>
      </c>
      <c r="T2" s="12">
        <v>301.25</v>
      </c>
      <c r="U2">
        <v>1</v>
      </c>
      <c r="V2">
        <f t="shared" ref="V2:V12" si="1">T2/(1+$X$2)^U2</f>
        <v>272.00496787487248</v>
      </c>
      <c r="X2">
        <v>0.10751653675156697</v>
      </c>
      <c r="Z2">
        <f>X2-0.0672</f>
        <v>4.0316536751566975E-2</v>
      </c>
    </row>
    <row r="3" spans="1:26" x14ac:dyDescent="0.2">
      <c r="A3" s="27">
        <v>10004.86</v>
      </c>
      <c r="B3" s="27">
        <f t="shared" si="0"/>
        <v>6939.0457816475746</v>
      </c>
      <c r="C3">
        <v>2</v>
      </c>
      <c r="K3" s="27">
        <v>1932.47</v>
      </c>
      <c r="L3">
        <f t="shared" ref="L3:L12" si="2">K3/(1+$O$3)^M3</f>
        <v>1343.5546318257277</v>
      </c>
      <c r="M3">
        <v>2</v>
      </c>
      <c r="O3">
        <v>0.19930243389829813</v>
      </c>
      <c r="Q3" s="24">
        <f>O3-0.1215</f>
        <v>7.7802433898298134E-2</v>
      </c>
      <c r="T3" s="12">
        <v>347.75</v>
      </c>
      <c r="U3">
        <v>2</v>
      </c>
      <c r="V3">
        <f t="shared" si="1"/>
        <v>283.50890169278654</v>
      </c>
    </row>
    <row r="4" spans="1:26" ht="20" x14ac:dyDescent="0.2">
      <c r="A4" s="27">
        <v>11930.5</v>
      </c>
      <c r="B4" s="27">
        <f t="shared" si="0"/>
        <v>6891.1507494522848</v>
      </c>
      <c r="C4">
        <v>3</v>
      </c>
      <c r="G4" s="44" t="s">
        <v>261</v>
      </c>
      <c r="K4" s="27">
        <v>2100.63</v>
      </c>
      <c r="L4">
        <f t="shared" si="2"/>
        <v>1217.7648054654846</v>
      </c>
      <c r="M4">
        <v>3</v>
      </c>
      <c r="T4" s="12">
        <v>397</v>
      </c>
      <c r="U4">
        <v>3</v>
      </c>
      <c r="V4">
        <f t="shared" si="1"/>
        <v>292.24012709834739</v>
      </c>
    </row>
    <row r="5" spans="1:26" x14ac:dyDescent="0.2">
      <c r="A5" s="27">
        <v>13575.47</v>
      </c>
      <c r="B5" s="27">
        <f t="shared" si="0"/>
        <v>6530.2881999595638</v>
      </c>
      <c r="C5">
        <v>4</v>
      </c>
      <c r="G5" s="45" t="s">
        <v>375</v>
      </c>
      <c r="K5" s="27">
        <v>2270.87</v>
      </c>
      <c r="L5">
        <f t="shared" si="2"/>
        <v>1097.684199298697</v>
      </c>
      <c r="M5">
        <v>4</v>
      </c>
      <c r="T5" s="12">
        <v>398</v>
      </c>
      <c r="U5">
        <v>4</v>
      </c>
      <c r="V5">
        <f t="shared" si="1"/>
        <v>264.53442328239879</v>
      </c>
      <c r="Y5" s="1"/>
    </row>
    <row r="6" spans="1:26" x14ac:dyDescent="0.2">
      <c r="A6" s="27">
        <v>14928.48</v>
      </c>
      <c r="B6" s="27">
        <f t="shared" si="0"/>
        <v>5980.4991516634909</v>
      </c>
      <c r="C6">
        <v>5</v>
      </c>
      <c r="K6" s="27">
        <v>2445.41</v>
      </c>
      <c r="L6">
        <f t="shared" si="2"/>
        <v>985.61682512757159</v>
      </c>
      <c r="M6">
        <v>5</v>
      </c>
      <c r="T6" s="12">
        <v>483</v>
      </c>
      <c r="U6">
        <v>5</v>
      </c>
      <c r="V6">
        <f t="shared" si="1"/>
        <v>289.86516932504054</v>
      </c>
    </row>
    <row r="7" spans="1:26" x14ac:dyDescent="0.2">
      <c r="A7" s="26">
        <v>16017</v>
      </c>
      <c r="B7" s="27">
        <f t="shared" si="0"/>
        <v>5343.7654357481888</v>
      </c>
      <c r="C7">
        <v>6</v>
      </c>
      <c r="K7" s="27">
        <v>2626.2</v>
      </c>
      <c r="L7">
        <f t="shared" si="2"/>
        <v>882.58289579615905</v>
      </c>
      <c r="M7">
        <v>6</v>
      </c>
      <c r="T7" s="12">
        <v>519.87</v>
      </c>
      <c r="U7">
        <v>6</v>
      </c>
      <c r="V7">
        <f t="shared" si="1"/>
        <v>281.70427591706721</v>
      </c>
    </row>
    <row r="8" spans="1:26" x14ac:dyDescent="0.2">
      <c r="A8" s="27">
        <v>16884.98</v>
      </c>
      <c r="B8" s="27">
        <f t="shared" si="0"/>
        <v>4691.4936196810222</v>
      </c>
      <c r="C8">
        <v>7</v>
      </c>
      <c r="K8" s="27">
        <v>2814.98</v>
      </c>
      <c r="L8">
        <f t="shared" si="2"/>
        <v>788.81345204416766</v>
      </c>
      <c r="M8">
        <v>7</v>
      </c>
      <c r="T8" s="12">
        <v>550.95000000000005</v>
      </c>
      <c r="U8">
        <v>7</v>
      </c>
      <c r="V8">
        <f t="shared" si="1"/>
        <v>269.56322930694262</v>
      </c>
    </row>
    <row r="9" spans="1:26" x14ac:dyDescent="0.2">
      <c r="A9" s="27">
        <v>17578.68</v>
      </c>
      <c r="B9" s="27">
        <f t="shared" si="0"/>
        <v>4067.6278141152925</v>
      </c>
      <c r="C9">
        <v>8</v>
      </c>
      <c r="K9" s="27">
        <v>3013.29</v>
      </c>
      <c r="L9">
        <f t="shared" si="2"/>
        <v>704.06249434638096</v>
      </c>
      <c r="M9">
        <v>8</v>
      </c>
      <c r="T9" s="12">
        <v>577.48</v>
      </c>
      <c r="U9">
        <v>8</v>
      </c>
      <c r="V9">
        <f t="shared" si="1"/>
        <v>255.11452814833191</v>
      </c>
    </row>
    <row r="10" spans="1:26" x14ac:dyDescent="0.2">
      <c r="A10" s="27">
        <v>18139.59</v>
      </c>
      <c r="B10" s="27">
        <f t="shared" si="0"/>
        <v>3495.6406672997582</v>
      </c>
      <c r="C10">
        <v>9</v>
      </c>
      <c r="K10" s="27">
        <v>3222.54</v>
      </c>
      <c r="L10">
        <f t="shared" si="2"/>
        <v>627.82684459779432</v>
      </c>
      <c r="M10">
        <v>9</v>
      </c>
      <c r="T10" s="12">
        <v>600.61</v>
      </c>
      <c r="U10">
        <v>9</v>
      </c>
      <c r="V10">
        <f t="shared" si="1"/>
        <v>239.57449577403</v>
      </c>
    </row>
    <row r="11" spans="1:26" x14ac:dyDescent="0.2">
      <c r="A11" s="27">
        <v>18601.900000000001</v>
      </c>
      <c r="B11" s="27">
        <f t="shared" si="0"/>
        <v>2985.389426564519</v>
      </c>
      <c r="C11">
        <v>10</v>
      </c>
      <c r="K11" s="27">
        <v>3444.06</v>
      </c>
      <c r="L11">
        <f t="shared" si="2"/>
        <v>559.47870157631712</v>
      </c>
      <c r="M11">
        <v>10</v>
      </c>
      <c r="T11" s="12">
        <v>621.25</v>
      </c>
      <c r="U11">
        <v>10</v>
      </c>
      <c r="V11">
        <f t="shared" si="1"/>
        <v>223.75059874637097</v>
      </c>
    </row>
    <row r="12" spans="1:26" x14ac:dyDescent="0.2">
      <c r="A12" s="10">
        <v>331685.90000000002</v>
      </c>
      <c r="B12" s="27">
        <f t="shared" si="0"/>
        <v>53231.744004673521</v>
      </c>
      <c r="C12">
        <v>10</v>
      </c>
      <c r="K12" s="28">
        <v>67558.02</v>
      </c>
      <c r="L12">
        <f t="shared" si="2"/>
        <v>10974.626838866589</v>
      </c>
      <c r="M12">
        <v>10</v>
      </c>
      <c r="T12" s="10">
        <v>13771.6</v>
      </c>
      <c r="U12">
        <v>10</v>
      </c>
      <c r="V12">
        <f t="shared" si="1"/>
        <v>4960.0060292885673</v>
      </c>
    </row>
    <row r="13" spans="1:26" x14ac:dyDescent="0.2">
      <c r="A13" s="10" t="s">
        <v>323</v>
      </c>
      <c r="B13" s="10" t="s">
        <v>324</v>
      </c>
      <c r="K13" s="10" t="s">
        <v>323</v>
      </c>
      <c r="L13" s="10" t="s">
        <v>324</v>
      </c>
      <c r="T13" s="10" t="s">
        <v>323</v>
      </c>
      <c r="U13" s="10" t="s">
        <v>324</v>
      </c>
    </row>
    <row r="14" spans="1:26" x14ac:dyDescent="0.2">
      <c r="A14" s="27">
        <f>50.6*A19</f>
        <v>106715.40000000001</v>
      </c>
      <c r="B14" s="28">
        <f>SUM(B2:B12)</f>
        <v>106714.99999995879</v>
      </c>
      <c r="K14">
        <f>184.4*K17</f>
        <v>20652.8</v>
      </c>
      <c r="L14">
        <f>SUM(L2:L12)</f>
        <v>20652.79999900145</v>
      </c>
      <c r="T14">
        <f>15.34*T17</f>
        <v>5261.62</v>
      </c>
      <c r="U14">
        <f>SUM(V2:V12)</f>
        <v>7631.8667464547561</v>
      </c>
    </row>
    <row r="16" spans="1:26" x14ac:dyDescent="0.2">
      <c r="K16" t="s">
        <v>322</v>
      </c>
      <c r="T16" s="1" t="s">
        <v>322</v>
      </c>
    </row>
    <row r="17" spans="1:26" x14ac:dyDescent="0.2">
      <c r="K17">
        <v>112</v>
      </c>
      <c r="T17">
        <v>343</v>
      </c>
    </row>
    <row r="18" spans="1:26" x14ac:dyDescent="0.2">
      <c r="A18" t="s">
        <v>322</v>
      </c>
    </row>
    <row r="19" spans="1:26" x14ac:dyDescent="0.2">
      <c r="A19">
        <v>2109</v>
      </c>
    </row>
    <row r="21" spans="1:26" ht="31" x14ac:dyDescent="0.35">
      <c r="A21" s="15" t="s">
        <v>266</v>
      </c>
      <c r="K21" s="16" t="s">
        <v>264</v>
      </c>
      <c r="T21" s="30" t="s">
        <v>265</v>
      </c>
      <c r="X21" t="s">
        <v>329</v>
      </c>
      <c r="Z21" t="s">
        <v>326</v>
      </c>
    </row>
    <row r="22" spans="1:26" x14ac:dyDescent="0.2">
      <c r="A22" s="27">
        <v>197774.25</v>
      </c>
      <c r="B22">
        <f t="shared" ref="B22:B32" si="3">A22/(1+$E$23)^C22</f>
        <v>183699.4960548344</v>
      </c>
      <c r="C22">
        <v>1</v>
      </c>
      <c r="E22" t="s">
        <v>325</v>
      </c>
      <c r="G22" t="s">
        <v>327</v>
      </c>
      <c r="K22" s="13">
        <v>2606</v>
      </c>
      <c r="L22">
        <f>K22/(1+$O$23)^M22</f>
        <v>2289.9120244167275</v>
      </c>
      <c r="M22">
        <v>1</v>
      </c>
      <c r="O22" t="s">
        <v>328</v>
      </c>
      <c r="Q22" t="s">
        <v>326</v>
      </c>
      <c r="T22" s="27">
        <v>22449.23</v>
      </c>
      <c r="U22">
        <v>1</v>
      </c>
      <c r="V22">
        <f t="shared" ref="V22:V32" si="4">T22/(1+$X$22)^U22</f>
        <v>19879.347443661227</v>
      </c>
      <c r="X22">
        <v>0.1292739896831076</v>
      </c>
      <c r="Z22">
        <f>X22-0.0592</f>
        <v>7.0073989683107601E-2</v>
      </c>
    </row>
    <row r="23" spans="1:26" x14ac:dyDescent="0.2">
      <c r="A23" s="26">
        <v>244170</v>
      </c>
      <c r="B23">
        <f t="shared" si="3"/>
        <v>210653.52967716087</v>
      </c>
      <c r="C23">
        <v>2</v>
      </c>
      <c r="E23">
        <v>7.6618359045276294E-2</v>
      </c>
      <c r="G23">
        <f>E23-0.0587</f>
        <v>1.7918359045276291E-2</v>
      </c>
      <c r="K23" s="13">
        <v>3156</v>
      </c>
      <c r="L23">
        <f t="shared" ref="L23:L31" si="5">K23/(1+$O$23)^M23</f>
        <v>2436.8329981637517</v>
      </c>
      <c r="M23">
        <v>2</v>
      </c>
      <c r="O23">
        <v>0.1380349865902751</v>
      </c>
      <c r="Q23" s="24">
        <f>O23-0.074065</f>
        <v>6.3969986590275099E-2</v>
      </c>
      <c r="T23" s="27">
        <v>22200.78</v>
      </c>
      <c r="U23">
        <v>2</v>
      </c>
      <c r="V23">
        <f t="shared" si="4"/>
        <v>17408.829933175093</v>
      </c>
    </row>
    <row r="24" spans="1:26" x14ac:dyDescent="0.2">
      <c r="A24" s="27">
        <v>280779.59999999998</v>
      </c>
      <c r="B24">
        <f t="shared" si="3"/>
        <v>224998.80262862667</v>
      </c>
      <c r="C24">
        <v>3</v>
      </c>
      <c r="K24" s="11">
        <v>3533.66</v>
      </c>
      <c r="L24">
        <f t="shared" si="5"/>
        <v>2397.4961538183265</v>
      </c>
      <c r="M24">
        <v>3</v>
      </c>
      <c r="T24" s="27">
        <v>21810.1</v>
      </c>
      <c r="U24">
        <v>3</v>
      </c>
      <c r="V24">
        <f t="shared" si="4"/>
        <v>15144.665345719444</v>
      </c>
    </row>
    <row r="25" spans="1:26" x14ac:dyDescent="0.2">
      <c r="A25" s="27">
        <v>319503.67</v>
      </c>
      <c r="B25">
        <f t="shared" si="3"/>
        <v>237809.24037237835</v>
      </c>
      <c r="C25">
        <v>4</v>
      </c>
      <c r="K25" s="11">
        <v>3859.34</v>
      </c>
      <c r="L25">
        <f t="shared" si="5"/>
        <v>2300.8620746214956</v>
      </c>
      <c r="M25">
        <v>4</v>
      </c>
      <c r="T25" s="27">
        <v>23477.5</v>
      </c>
      <c r="U25">
        <v>4</v>
      </c>
      <c r="V25">
        <f t="shared" si="4"/>
        <v>14436.255114905249</v>
      </c>
    </row>
    <row r="26" spans="1:26" x14ac:dyDescent="0.2">
      <c r="A26" s="27">
        <v>347516.67</v>
      </c>
      <c r="B26">
        <f t="shared" si="3"/>
        <v>240251.84710353476</v>
      </c>
      <c r="C26">
        <v>5</v>
      </c>
      <c r="K26" s="11">
        <v>4140.75</v>
      </c>
      <c r="L26">
        <f t="shared" si="5"/>
        <v>2169.2067225058145</v>
      </c>
      <c r="M26">
        <v>5</v>
      </c>
      <c r="T26" s="27">
        <v>23859.16</v>
      </c>
      <c r="U26">
        <v>5</v>
      </c>
      <c r="V26">
        <f t="shared" si="4"/>
        <v>12991.476836873977</v>
      </c>
    </row>
    <row r="27" spans="1:26" x14ac:dyDescent="0.2">
      <c r="A27" s="27">
        <v>366649.26</v>
      </c>
      <c r="B27">
        <f t="shared" si="3"/>
        <v>235439.93255554326</v>
      </c>
      <c r="C27">
        <v>6</v>
      </c>
      <c r="K27" s="11">
        <v>4386.88</v>
      </c>
      <c r="L27">
        <f t="shared" si="5"/>
        <v>2019.3986989391185</v>
      </c>
      <c r="M27">
        <v>6</v>
      </c>
      <c r="T27" s="27">
        <v>24318.2</v>
      </c>
      <c r="U27">
        <v>6</v>
      </c>
      <c r="V27">
        <f t="shared" si="4"/>
        <v>11725.610788265763</v>
      </c>
    </row>
    <row r="28" spans="1:26" x14ac:dyDescent="0.2">
      <c r="A28" s="27">
        <v>381120.41</v>
      </c>
      <c r="B28">
        <f t="shared" si="3"/>
        <v>227315.85983891567</v>
      </c>
      <c r="C28">
        <v>7</v>
      </c>
      <c r="K28" s="11">
        <v>4606.26</v>
      </c>
      <c r="L28">
        <f t="shared" si="5"/>
        <v>1863.1986104452346</v>
      </c>
      <c r="M28">
        <v>7</v>
      </c>
      <c r="T28" s="27">
        <v>24836.84</v>
      </c>
      <c r="U28">
        <v>7</v>
      </c>
      <c r="V28">
        <f t="shared" si="4"/>
        <v>10604.765336652083</v>
      </c>
    </row>
    <row r="29" spans="1:26" x14ac:dyDescent="0.2">
      <c r="A29" s="27">
        <v>392004.47</v>
      </c>
      <c r="B29">
        <f t="shared" si="3"/>
        <v>217168.46839508551</v>
      </c>
      <c r="C29">
        <v>8</v>
      </c>
      <c r="K29" s="11">
        <v>4806.2</v>
      </c>
      <c r="L29">
        <f t="shared" si="5"/>
        <v>1708.2716319460387</v>
      </c>
      <c r="M29">
        <v>8</v>
      </c>
      <c r="T29" s="27">
        <v>25402.86</v>
      </c>
      <c r="U29">
        <v>8</v>
      </c>
      <c r="V29">
        <f t="shared" si="4"/>
        <v>9604.793072214954</v>
      </c>
    </row>
    <row r="30" spans="1:26" x14ac:dyDescent="0.2">
      <c r="A30" s="27">
        <v>400205.45</v>
      </c>
      <c r="B30">
        <f t="shared" si="3"/>
        <v>205933.48371226748</v>
      </c>
      <c r="C30">
        <v>9</v>
      </c>
      <c r="K30" s="11">
        <v>4992.6099999999997</v>
      </c>
      <c r="L30">
        <f t="shared" si="5"/>
        <v>1559.2908065008385</v>
      </c>
      <c r="M30">
        <v>9</v>
      </c>
      <c r="T30" s="27">
        <v>26007.77</v>
      </c>
      <c r="U30">
        <v>9</v>
      </c>
      <c r="V30">
        <f t="shared" si="4"/>
        <v>8707.8148963864296</v>
      </c>
    </row>
    <row r="31" spans="1:26" x14ac:dyDescent="0.2">
      <c r="A31" s="27">
        <v>406438.42</v>
      </c>
      <c r="B31">
        <f t="shared" si="3"/>
        <v>194257.11782901557</v>
      </c>
      <c r="C31">
        <v>10</v>
      </c>
      <c r="K31" s="11">
        <v>5170.09</v>
      </c>
      <c r="L31">
        <f t="shared" si="5"/>
        <v>1418.8679067804489</v>
      </c>
      <c r="M31">
        <v>10</v>
      </c>
      <c r="T31" s="27">
        <v>26645.7</v>
      </c>
      <c r="U31">
        <v>10</v>
      </c>
      <c r="V31">
        <f t="shared" si="4"/>
        <v>7900.123516887983</v>
      </c>
    </row>
    <row r="32" spans="1:26" x14ac:dyDescent="0.2">
      <c r="A32" s="10">
        <v>7337454.71</v>
      </c>
      <c r="B32">
        <f t="shared" si="3"/>
        <v>3506934.221832511</v>
      </c>
      <c r="C32">
        <v>10</v>
      </c>
      <c r="K32" s="11">
        <v>115388.65</v>
      </c>
      <c r="L32">
        <f>K32/(1+$O$23)^M32</f>
        <v>31667.002371665061</v>
      </c>
      <c r="M32">
        <v>10</v>
      </c>
      <c r="T32" s="27">
        <v>829606.22</v>
      </c>
      <c r="U32">
        <v>10</v>
      </c>
      <c r="V32">
        <f t="shared" si="4"/>
        <v>245968.07771529912</v>
      </c>
    </row>
    <row r="33" spans="1:26" x14ac:dyDescent="0.2">
      <c r="A33" s="10" t="s">
        <v>323</v>
      </c>
      <c r="K33" s="1" t="s">
        <v>323</v>
      </c>
      <c r="L33" s="1" t="s">
        <v>324</v>
      </c>
      <c r="T33" s="10" t="s">
        <v>323</v>
      </c>
      <c r="U33" s="10" t="s">
        <v>324</v>
      </c>
    </row>
    <row r="34" spans="1:26" x14ac:dyDescent="0.2">
      <c r="A34">
        <f>2739.5*A37</f>
        <v>5684462.5</v>
      </c>
      <c r="B34">
        <f>SUM(B22:B32)</f>
        <v>5684461.9999998733</v>
      </c>
      <c r="K34">
        <f>K37*41.07</f>
        <v>51830.340000000004</v>
      </c>
      <c r="L34">
        <f>SUM(L22:L32)</f>
        <v>51830.339999802854</v>
      </c>
      <c r="T34" s="27">
        <f>155.47*T37</f>
        <v>374371.76</v>
      </c>
      <c r="U34">
        <f>SUM(V22:V32)</f>
        <v>374371.76000004134</v>
      </c>
    </row>
    <row r="36" spans="1:26" x14ac:dyDescent="0.2">
      <c r="A36" t="s">
        <v>322</v>
      </c>
      <c r="K36" s="1" t="s">
        <v>322</v>
      </c>
      <c r="T36" t="s">
        <v>322</v>
      </c>
    </row>
    <row r="37" spans="1:26" x14ac:dyDescent="0.2">
      <c r="A37">
        <v>2075</v>
      </c>
      <c r="K37">
        <v>1262</v>
      </c>
      <c r="T37">
        <v>2408</v>
      </c>
    </row>
    <row r="42" spans="1:26" ht="31" x14ac:dyDescent="0.35">
      <c r="A42" s="16" t="s">
        <v>269</v>
      </c>
      <c r="K42" s="15" t="s">
        <v>267</v>
      </c>
      <c r="T42" s="29" t="s">
        <v>268</v>
      </c>
      <c r="X42" t="s">
        <v>329</v>
      </c>
      <c r="Z42" t="s">
        <v>326</v>
      </c>
    </row>
    <row r="43" spans="1:26" x14ac:dyDescent="0.2">
      <c r="K43" s="11">
        <v>19480.97</v>
      </c>
      <c r="L43">
        <f>K43/(1+$O$44)^M43</f>
        <v>16774.681879509699</v>
      </c>
      <c r="M43">
        <v>1</v>
      </c>
      <c r="O43" t="s">
        <v>328</v>
      </c>
      <c r="Q43" t="s">
        <v>326</v>
      </c>
      <c r="T43" s="26">
        <v>4774</v>
      </c>
      <c r="U43">
        <v>1</v>
      </c>
      <c r="V43">
        <f t="shared" ref="V43:V53" si="6">T43/(1+$X$43)^U43</f>
        <v>4341.126934824716</v>
      </c>
      <c r="X43">
        <v>9.9714445505556665E-2</v>
      </c>
      <c r="Z43">
        <f>X43-0.0678</f>
        <v>3.1914445505556666E-2</v>
      </c>
    </row>
    <row r="44" spans="1:26" x14ac:dyDescent="0.2">
      <c r="A44" s="10">
        <v>254.19</v>
      </c>
      <c r="B44">
        <f t="shared" ref="B44:B54" si="7">A44/(1+$E$45)^C44</f>
        <v>195.1189248263295</v>
      </c>
      <c r="C44">
        <v>1</v>
      </c>
      <c r="E44" t="s">
        <v>325</v>
      </c>
      <c r="F44" t="s">
        <v>327</v>
      </c>
      <c r="K44" s="11">
        <v>29772.36</v>
      </c>
      <c r="L44">
        <f t="shared" ref="L44:L53" si="8">K44/(1+$O$44)^M44</f>
        <v>22074.998984324287</v>
      </c>
      <c r="M44">
        <v>2</v>
      </c>
      <c r="O44">
        <v>0.16133171048662545</v>
      </c>
      <c r="Q44" s="24">
        <f>O44-0.0484678</f>
        <v>0.11286391048662545</v>
      </c>
      <c r="T44" s="26">
        <v>5676</v>
      </c>
      <c r="U44">
        <v>2</v>
      </c>
      <c r="V44">
        <f t="shared" si="6"/>
        <v>4693.3455126358831</v>
      </c>
    </row>
    <row r="45" spans="1:26" x14ac:dyDescent="0.2">
      <c r="A45" s="10">
        <v>265.95999999999998</v>
      </c>
      <c r="B45">
        <f t="shared" si="7"/>
        <v>156.71053397249543</v>
      </c>
      <c r="C45">
        <v>2</v>
      </c>
      <c r="E45">
        <v>0.30274395590406294</v>
      </c>
      <c r="F45">
        <f>E45-0.0833</f>
        <v>0.21944395590406296</v>
      </c>
      <c r="K45" s="11">
        <v>28549.17</v>
      </c>
      <c r="L45">
        <f t="shared" si="8"/>
        <v>18227.396147516833</v>
      </c>
      <c r="M45">
        <v>3</v>
      </c>
      <c r="T45" s="27">
        <v>5238.09</v>
      </c>
      <c r="U45">
        <v>3</v>
      </c>
      <c r="V45">
        <f t="shared" si="6"/>
        <v>3938.5210103031568</v>
      </c>
    </row>
    <row r="46" spans="1:26" x14ac:dyDescent="0.2">
      <c r="A46" s="10">
        <v>276.81</v>
      </c>
      <c r="B46">
        <f t="shared" si="7"/>
        <v>125.2000708224154</v>
      </c>
      <c r="C46">
        <v>3</v>
      </c>
      <c r="K46" s="13">
        <v>30040</v>
      </c>
      <c r="L46">
        <f t="shared" si="8"/>
        <v>16514.855929826193</v>
      </c>
      <c r="M46">
        <v>4</v>
      </c>
      <c r="T46" s="27">
        <v>4999.2</v>
      </c>
      <c r="U46">
        <v>4</v>
      </c>
      <c r="V46">
        <f t="shared" si="6"/>
        <v>3418.0687383948166</v>
      </c>
    </row>
    <row r="47" spans="1:26" x14ac:dyDescent="0.2">
      <c r="A47" s="10">
        <v>287.05</v>
      </c>
      <c r="B47">
        <f t="shared" si="7"/>
        <v>99.66009193995346</v>
      </c>
      <c r="C47">
        <v>4</v>
      </c>
      <c r="K47" s="13">
        <v>31670</v>
      </c>
      <c r="L47">
        <f t="shared" si="8"/>
        <v>14992.243928518514</v>
      </c>
      <c r="M47">
        <v>5</v>
      </c>
      <c r="T47" s="27">
        <v>4881.6000000000004</v>
      </c>
      <c r="U47">
        <v>5</v>
      </c>
      <c r="V47">
        <f t="shared" si="6"/>
        <v>3035.0268748163317</v>
      </c>
    </row>
    <row r="48" spans="1:26" x14ac:dyDescent="0.2">
      <c r="A48" s="10">
        <v>296.88</v>
      </c>
      <c r="B48">
        <f t="shared" si="7"/>
        <v>79.119877594101752</v>
      </c>
      <c r="C48">
        <v>5</v>
      </c>
      <c r="K48" s="11">
        <v>32230.04</v>
      </c>
      <c r="L48">
        <f t="shared" si="8"/>
        <v>13137.814819966276</v>
      </c>
      <c r="M48">
        <v>6</v>
      </c>
      <c r="T48" s="27">
        <v>4842.22</v>
      </c>
      <c r="U48">
        <v>6</v>
      </c>
      <c r="V48">
        <f t="shared" si="6"/>
        <v>2737.56814121663</v>
      </c>
    </row>
    <row r="49" spans="1:26" x14ac:dyDescent="0.2">
      <c r="A49" s="10">
        <v>306.5</v>
      </c>
      <c r="B49">
        <f t="shared" si="7"/>
        <v>62.701232437067873</v>
      </c>
      <c r="C49">
        <v>6</v>
      </c>
      <c r="K49" s="11">
        <v>32658.98</v>
      </c>
      <c r="L49">
        <f t="shared" si="8"/>
        <v>11463.272692047265</v>
      </c>
      <c r="M49">
        <v>7</v>
      </c>
      <c r="T49" s="27">
        <v>4855.55</v>
      </c>
      <c r="U49">
        <v>7</v>
      </c>
      <c r="V49">
        <f t="shared" si="6"/>
        <v>2496.197372342383</v>
      </c>
    </row>
    <row r="50" spans="1:26" x14ac:dyDescent="0.2">
      <c r="A50" s="10">
        <v>316.02999999999997</v>
      </c>
      <c r="B50">
        <f t="shared" si="7"/>
        <v>49.626636641576482</v>
      </c>
      <c r="C50">
        <v>7</v>
      </c>
      <c r="K50" s="11">
        <v>32993.61</v>
      </c>
      <c r="L50">
        <f t="shared" si="8"/>
        <v>9971.9377481777719</v>
      </c>
      <c r="M50">
        <v>8</v>
      </c>
      <c r="T50" s="27">
        <v>4905.7</v>
      </c>
      <c r="U50">
        <v>8</v>
      </c>
      <c r="V50">
        <f t="shared" si="6"/>
        <v>2293.3035711202956</v>
      </c>
    </row>
    <row r="51" spans="1:26" x14ac:dyDescent="0.2">
      <c r="A51" s="10">
        <v>325.55</v>
      </c>
      <c r="B51">
        <f t="shared" si="7"/>
        <v>39.241460639512439</v>
      </c>
      <c r="C51">
        <v>8</v>
      </c>
      <c r="K51" s="11">
        <v>33260.93</v>
      </c>
      <c r="L51">
        <f t="shared" si="8"/>
        <v>8656.2108323512948</v>
      </c>
      <c r="M51">
        <v>9</v>
      </c>
      <c r="T51" s="27">
        <v>4982.37</v>
      </c>
      <c r="U51">
        <v>9</v>
      </c>
      <c r="V51">
        <f t="shared" si="6"/>
        <v>2117.9544090299746</v>
      </c>
    </row>
    <row r="52" spans="1:26" x14ac:dyDescent="0.2">
      <c r="A52" s="10">
        <v>335.16</v>
      </c>
      <c r="B52">
        <f t="shared" si="7"/>
        <v>31.011343347479574</v>
      </c>
      <c r="C52">
        <v>9</v>
      </c>
      <c r="K52" s="11">
        <v>33480.5</v>
      </c>
      <c r="L52">
        <f t="shared" si="8"/>
        <v>7502.8987853579138</v>
      </c>
      <c r="M52">
        <v>10</v>
      </c>
      <c r="T52" s="27">
        <v>5078.7299999999996</v>
      </c>
      <c r="U52">
        <v>10</v>
      </c>
      <c r="V52">
        <f t="shared" si="6"/>
        <v>1963.1605877284442</v>
      </c>
    </row>
    <row r="53" spans="1:26" x14ac:dyDescent="0.2">
      <c r="A53" s="10">
        <v>344.9</v>
      </c>
      <c r="B53">
        <f t="shared" si="7"/>
        <v>24.496414670960696</v>
      </c>
      <c r="C53">
        <v>10</v>
      </c>
      <c r="K53" s="11">
        <v>740151.65</v>
      </c>
      <c r="L53">
        <f t="shared" si="8"/>
        <v>165866.18825183783</v>
      </c>
      <c r="M53">
        <v>10</v>
      </c>
      <c r="T53">
        <v>131047.49</v>
      </c>
      <c r="U53">
        <v>10</v>
      </c>
      <c r="V53">
        <f t="shared" si="6"/>
        <v>50655.8268481958</v>
      </c>
    </row>
    <row r="54" spans="1:26" x14ac:dyDescent="0.2">
      <c r="A54">
        <v>6407.82</v>
      </c>
      <c r="B54">
        <f t="shared" si="7"/>
        <v>455.11341216838326</v>
      </c>
      <c r="C54">
        <v>10</v>
      </c>
      <c r="K54" s="1" t="s">
        <v>323</v>
      </c>
      <c r="L54" s="1" t="s">
        <v>324</v>
      </c>
      <c r="T54" s="10" t="s">
        <v>323</v>
      </c>
      <c r="U54" s="10" t="s">
        <v>324</v>
      </c>
    </row>
    <row r="55" spans="1:26" x14ac:dyDescent="0.2">
      <c r="A55" s="10" t="s">
        <v>323</v>
      </c>
      <c r="K55" s="1">
        <f>K58*2906.5</f>
        <v>305182.5</v>
      </c>
      <c r="L55">
        <f>SUM(L43:L53)</f>
        <v>305182.49999943387</v>
      </c>
      <c r="T55">
        <f>49.3*T58</f>
        <v>81690.099999999991</v>
      </c>
      <c r="U55">
        <f>SUM(V43:V53)</f>
        <v>81690.100000608436</v>
      </c>
    </row>
    <row r="56" spans="1:26" x14ac:dyDescent="0.2">
      <c r="A56">
        <f>214*6.16</f>
        <v>1318.24</v>
      </c>
      <c r="B56">
        <f>SUM(B44:B54)</f>
        <v>1317.999999060276</v>
      </c>
    </row>
    <row r="57" spans="1:26" x14ac:dyDescent="0.2">
      <c r="K57" s="1" t="s">
        <v>322</v>
      </c>
      <c r="T57" t="s">
        <v>322</v>
      </c>
    </row>
    <row r="58" spans="1:26" x14ac:dyDescent="0.2">
      <c r="K58">
        <v>105</v>
      </c>
      <c r="T58">
        <v>1657</v>
      </c>
    </row>
    <row r="60" spans="1:26" ht="31" x14ac:dyDescent="0.35">
      <c r="A60" s="16" t="s">
        <v>272</v>
      </c>
      <c r="K60" s="15" t="s">
        <v>270</v>
      </c>
      <c r="T60" s="30" t="s">
        <v>271</v>
      </c>
      <c r="X60" t="s">
        <v>329</v>
      </c>
      <c r="Z60" t="s">
        <v>326</v>
      </c>
    </row>
    <row r="61" spans="1:26" x14ac:dyDescent="0.2">
      <c r="A61" s="27">
        <v>4252.75</v>
      </c>
      <c r="B61">
        <f t="shared" ref="B61:B71" si="9">A61/(1+$E$62)^C61</f>
        <v>3716.39131684002</v>
      </c>
      <c r="C61">
        <v>1</v>
      </c>
      <c r="E61" t="s">
        <v>325</v>
      </c>
      <c r="G61" t="s">
        <v>327</v>
      </c>
      <c r="K61" s="11">
        <v>1837.5</v>
      </c>
      <c r="L61">
        <f>K61/(1+$O$62)^M61</f>
        <v>1578.3170711850221</v>
      </c>
      <c r="M61">
        <v>1</v>
      </c>
      <c r="O61" t="s">
        <v>328</v>
      </c>
      <c r="Q61" t="s">
        <v>326</v>
      </c>
      <c r="T61" s="10">
        <v>314.25</v>
      </c>
      <c r="U61">
        <v>1</v>
      </c>
      <c r="V61">
        <f t="shared" ref="V61:V71" si="10">T61/(1+$X$61)^U61</f>
        <v>223.44665382917449</v>
      </c>
      <c r="X61">
        <v>0.40637594976134628</v>
      </c>
      <c r="Z61">
        <f>X61-0.0501</f>
        <v>0.3562759497613463</v>
      </c>
    </row>
    <row r="62" spans="1:26" x14ac:dyDescent="0.2">
      <c r="A62" s="27">
        <v>4727.5</v>
      </c>
      <c r="B62">
        <f t="shared" si="9"/>
        <v>3610.2286172301433</v>
      </c>
      <c r="C62">
        <v>2</v>
      </c>
      <c r="E62">
        <v>0.14432244546735087</v>
      </c>
      <c r="G62">
        <f>E62-0.0671</f>
        <v>7.7222445467350867E-2</v>
      </c>
      <c r="K62" s="13">
        <v>1699</v>
      </c>
      <c r="L62">
        <f t="shared" ref="L62:L71" si="11">K62/(1+$O$62)^M62</f>
        <v>1253.5082342217315</v>
      </c>
      <c r="M62">
        <v>2</v>
      </c>
      <c r="O62">
        <v>0.16421474084442333</v>
      </c>
      <c r="Q62" s="24">
        <f>O62-0.0735932</f>
        <v>9.0621540844423337E-2</v>
      </c>
      <c r="T62" s="10">
        <v>363.2</v>
      </c>
      <c r="U62">
        <v>2</v>
      </c>
      <c r="V62">
        <f t="shared" si="10"/>
        <v>183.62972248508882</v>
      </c>
    </row>
    <row r="63" spans="1:26" x14ac:dyDescent="0.2">
      <c r="A63" s="27">
        <v>4891.63</v>
      </c>
      <c r="B63">
        <f t="shared" si="9"/>
        <v>3264.4374401293853</v>
      </c>
      <c r="C63">
        <v>3</v>
      </c>
      <c r="K63" s="11">
        <v>1625.33</v>
      </c>
      <c r="L63">
        <f t="shared" si="11"/>
        <v>1030.0119657644002</v>
      </c>
      <c r="M63">
        <v>3</v>
      </c>
      <c r="T63" s="10">
        <v>397.36</v>
      </c>
      <c r="U63">
        <v>3</v>
      </c>
      <c r="V63">
        <f t="shared" si="10"/>
        <v>142.84987149480463</v>
      </c>
    </row>
    <row r="64" spans="1:26" x14ac:dyDescent="0.2">
      <c r="A64" s="27">
        <v>5025.92</v>
      </c>
      <c r="B64">
        <f t="shared" si="9"/>
        <v>2931.0410793052324</v>
      </c>
      <c r="C64">
        <v>4</v>
      </c>
      <c r="K64" s="11">
        <v>1587.55</v>
      </c>
      <c r="L64">
        <f t="shared" si="11"/>
        <v>864.1617449718841</v>
      </c>
      <c r="M64">
        <v>4</v>
      </c>
      <c r="T64" s="10">
        <v>423.89</v>
      </c>
      <c r="U64">
        <v>4</v>
      </c>
      <c r="V64">
        <f t="shared" si="10"/>
        <v>108.35462346787821</v>
      </c>
    </row>
    <row r="65" spans="1:26" x14ac:dyDescent="0.2">
      <c r="A65" s="27">
        <v>5138.34</v>
      </c>
      <c r="B65">
        <f t="shared" si="9"/>
        <v>2618.6698925439478</v>
      </c>
      <c r="C65">
        <v>5</v>
      </c>
      <c r="K65" s="11">
        <v>1573.01</v>
      </c>
      <c r="L65">
        <f t="shared" si="11"/>
        <v>735.4717812438721</v>
      </c>
      <c r="M65">
        <v>5</v>
      </c>
      <c r="T65" s="10">
        <v>444.09</v>
      </c>
      <c r="U65">
        <v>5</v>
      </c>
      <c r="V65">
        <f t="shared" si="10"/>
        <v>80.716781949435557</v>
      </c>
    </row>
    <row r="66" spans="1:26" x14ac:dyDescent="0.2">
      <c r="A66" s="27">
        <v>5234.97</v>
      </c>
      <c r="B66">
        <f t="shared" si="9"/>
        <v>2331.4370721861569</v>
      </c>
      <c r="C66">
        <v>6</v>
      </c>
      <c r="K66" s="11">
        <v>1574.11</v>
      </c>
      <c r="L66">
        <f t="shared" si="11"/>
        <v>632.17383192671173</v>
      </c>
      <c r="M66">
        <v>6</v>
      </c>
      <c r="T66" s="10">
        <v>459.32</v>
      </c>
      <c r="U66">
        <v>6</v>
      </c>
      <c r="V66">
        <f t="shared" si="10"/>
        <v>59.361760206851294</v>
      </c>
    </row>
    <row r="67" spans="1:26" x14ac:dyDescent="0.2">
      <c r="A67" s="27">
        <v>5320.38</v>
      </c>
      <c r="B67">
        <f t="shared" si="9"/>
        <v>2070.635885548892</v>
      </c>
      <c r="C67">
        <v>7</v>
      </c>
      <c r="K67" s="11">
        <v>1586.07</v>
      </c>
      <c r="L67">
        <f t="shared" si="11"/>
        <v>547.13020811487536</v>
      </c>
      <c r="M67">
        <v>7</v>
      </c>
      <c r="T67" s="10">
        <v>470.78</v>
      </c>
      <c r="U67">
        <v>7</v>
      </c>
      <c r="V67">
        <f t="shared" si="10"/>
        <v>43.262138932504435</v>
      </c>
    </row>
    <row r="68" spans="1:26" x14ac:dyDescent="0.2">
      <c r="A68" s="27">
        <v>5397.9</v>
      </c>
      <c r="B68">
        <f t="shared" si="9"/>
        <v>1835.8513037790758</v>
      </c>
      <c r="C68">
        <v>8</v>
      </c>
      <c r="K68" s="11">
        <v>1605.78</v>
      </c>
      <c r="L68">
        <f t="shared" si="11"/>
        <v>475.79655546278315</v>
      </c>
      <c r="M68">
        <v>8</v>
      </c>
      <c r="T68" s="10">
        <v>479.43</v>
      </c>
      <c r="U68">
        <v>8</v>
      </c>
      <c r="V68">
        <f t="shared" si="10"/>
        <v>31.326635821852605</v>
      </c>
    </row>
    <row r="69" spans="1:26" x14ac:dyDescent="0.2">
      <c r="A69" s="27">
        <v>5469.96</v>
      </c>
      <c r="B69">
        <f t="shared" si="9"/>
        <v>1625.7299310588569</v>
      </c>
      <c r="C69">
        <v>9</v>
      </c>
      <c r="K69" s="11">
        <v>1631.17</v>
      </c>
      <c r="L69">
        <f t="shared" si="11"/>
        <v>415.14649989157226</v>
      </c>
      <c r="M69">
        <v>9</v>
      </c>
      <c r="T69" s="10">
        <v>486.05</v>
      </c>
      <c r="U69">
        <v>9</v>
      </c>
      <c r="V69">
        <f t="shared" si="10"/>
        <v>22.582294593066539</v>
      </c>
    </row>
    <row r="70" spans="1:26" x14ac:dyDescent="0.2">
      <c r="A70" s="27">
        <v>5538.31</v>
      </c>
      <c r="B70">
        <f t="shared" si="9"/>
        <v>1438.4444524863466</v>
      </c>
      <c r="C70">
        <v>10</v>
      </c>
      <c r="K70" s="11">
        <v>1660.82</v>
      </c>
      <c r="L70">
        <f t="shared" si="11"/>
        <v>363.07105529860206</v>
      </c>
      <c r="M70">
        <v>10</v>
      </c>
      <c r="T70" s="10">
        <v>491.2</v>
      </c>
      <c r="U70">
        <v>10</v>
      </c>
      <c r="V70">
        <f t="shared" si="10"/>
        <v>16.2272171662364</v>
      </c>
    </row>
    <row r="71" spans="1:26" x14ac:dyDescent="0.2">
      <c r="A71" s="10">
        <v>98920.05</v>
      </c>
      <c r="B71">
        <f t="shared" si="9"/>
        <v>25692.133008475874</v>
      </c>
      <c r="C71">
        <v>10</v>
      </c>
      <c r="K71" s="27">
        <v>34075.42</v>
      </c>
      <c r="L71">
        <f t="shared" si="11"/>
        <v>7449.2110518557647</v>
      </c>
      <c r="M71">
        <v>10</v>
      </c>
      <c r="T71">
        <v>10480.799999999999</v>
      </c>
      <c r="U71">
        <v>10</v>
      </c>
      <c r="V71">
        <f t="shared" si="10"/>
        <v>346.24229982876722</v>
      </c>
    </row>
    <row r="72" spans="1:26" x14ac:dyDescent="0.2">
      <c r="A72" s="10"/>
      <c r="K72" s="1" t="s">
        <v>323</v>
      </c>
      <c r="L72" s="1" t="s">
        <v>324</v>
      </c>
      <c r="T72" s="10" t="s">
        <v>323</v>
      </c>
      <c r="U72" s="10" t="s">
        <v>324</v>
      </c>
    </row>
    <row r="73" spans="1:26" x14ac:dyDescent="0.2">
      <c r="A73" s="10" t="s">
        <v>323</v>
      </c>
      <c r="K73">
        <f>K76*137</f>
        <v>15344</v>
      </c>
      <c r="L73">
        <f>SUM(L61:L71)</f>
        <v>15343.999999937219</v>
      </c>
      <c r="T73">
        <f>37*T76</f>
        <v>1258</v>
      </c>
      <c r="U73">
        <f>SUM(V61:V71)</f>
        <v>1257.9999997756602</v>
      </c>
    </row>
    <row r="74" spans="1:26" x14ac:dyDescent="0.2">
      <c r="A74">
        <f>105*487</f>
        <v>51135</v>
      </c>
      <c r="B74">
        <f>SUM(B61:B71)</f>
        <v>51134.999999583932</v>
      </c>
    </row>
    <row r="75" spans="1:26" x14ac:dyDescent="0.2">
      <c r="K75" s="1" t="s">
        <v>322</v>
      </c>
      <c r="T75" t="s">
        <v>322</v>
      </c>
    </row>
    <row r="76" spans="1:26" x14ac:dyDescent="0.2">
      <c r="K76">
        <v>112</v>
      </c>
      <c r="T76">
        <v>34</v>
      </c>
    </row>
    <row r="79" spans="1:26" ht="30" x14ac:dyDescent="0.3">
      <c r="A79" s="15" t="s">
        <v>275</v>
      </c>
      <c r="K79" s="15" t="s">
        <v>273</v>
      </c>
      <c r="T79" s="29" t="s">
        <v>274</v>
      </c>
      <c r="X79" t="s">
        <v>329</v>
      </c>
      <c r="Z79" t="s">
        <v>326</v>
      </c>
    </row>
    <row r="80" spans="1:26" x14ac:dyDescent="0.2">
      <c r="A80" s="17">
        <v>331.42</v>
      </c>
      <c r="B80">
        <f t="shared" ref="B80:B90" si="12">A80/(1+$E$81)^C80</f>
        <v>295.80603960416772</v>
      </c>
      <c r="C80">
        <v>1</v>
      </c>
      <c r="E80" t="s">
        <v>325</v>
      </c>
      <c r="G80" t="s">
        <v>327</v>
      </c>
      <c r="K80" s="11">
        <v>3489.94</v>
      </c>
      <c r="L80">
        <f>K80/(1+$O$81)^M80</f>
        <v>3218.8094695551217</v>
      </c>
      <c r="M80">
        <v>1</v>
      </c>
      <c r="O80" t="s">
        <v>328</v>
      </c>
      <c r="Q80" t="s">
        <v>326</v>
      </c>
      <c r="T80" s="27">
        <v>23632.37</v>
      </c>
      <c r="U80">
        <v>1</v>
      </c>
      <c r="V80">
        <f t="shared" ref="V80:V90" si="13">T80/(1+$X$80)^U80</f>
        <v>19723.250230099853</v>
      </c>
      <c r="X80">
        <v>0.19819855877173836</v>
      </c>
      <c r="Z80">
        <f>X80-0.0592</f>
        <v>0.13899855877173836</v>
      </c>
    </row>
    <row r="81" spans="1:22" x14ac:dyDescent="0.2">
      <c r="A81" s="17">
        <v>337.5</v>
      </c>
      <c r="B81">
        <f t="shared" si="12"/>
        <v>268.86261917903732</v>
      </c>
      <c r="C81">
        <v>2</v>
      </c>
      <c r="E81">
        <v>0.12039632606382555</v>
      </c>
      <c r="G81">
        <f>E81-0.074</f>
        <v>4.6396326063825558E-2</v>
      </c>
      <c r="K81" s="11">
        <v>3524.25</v>
      </c>
      <c r="L81">
        <f t="shared" ref="L81:L90" si="14">K81/(1+$O$81)^M81</f>
        <v>2997.9288951324074</v>
      </c>
      <c r="M81">
        <v>2</v>
      </c>
      <c r="O81">
        <v>8.4233171614955027E-2</v>
      </c>
      <c r="Q81" s="24">
        <f>O81-0.0507088</f>
        <v>3.3524371614955029E-2</v>
      </c>
      <c r="T81" s="27">
        <v>25597.64</v>
      </c>
      <c r="U81">
        <v>2</v>
      </c>
      <c r="V81">
        <f t="shared" si="13"/>
        <v>17829.630426845939</v>
      </c>
    </row>
    <row r="82" spans="1:22" x14ac:dyDescent="0.2">
      <c r="A82" s="17">
        <v>343.59</v>
      </c>
      <c r="B82">
        <f t="shared" si="12"/>
        <v>244.30113648766874</v>
      </c>
      <c r="C82">
        <v>3</v>
      </c>
      <c r="K82" s="11">
        <v>3551.77</v>
      </c>
      <c r="L82">
        <f t="shared" si="14"/>
        <v>2786.6136753509059</v>
      </c>
      <c r="M82">
        <v>3</v>
      </c>
      <c r="T82" s="27">
        <v>28356.1</v>
      </c>
      <c r="U82">
        <v>3</v>
      </c>
      <c r="V82">
        <f t="shared" si="13"/>
        <v>16483.905671947425</v>
      </c>
    </row>
    <row r="83" spans="1:22" x14ac:dyDescent="0.2">
      <c r="A83" s="17">
        <v>350.1</v>
      </c>
      <c r="B83">
        <f t="shared" si="12"/>
        <v>222.18022723014232</v>
      </c>
      <c r="C83">
        <v>4</v>
      </c>
      <c r="K83" s="11">
        <v>3574.49</v>
      </c>
      <c r="L83">
        <f t="shared" si="14"/>
        <v>2586.5645773245119</v>
      </c>
      <c r="M83">
        <v>4</v>
      </c>
      <c r="T83" s="27">
        <v>27577.32</v>
      </c>
      <c r="U83">
        <v>4</v>
      </c>
      <c r="V83">
        <f t="shared" si="13"/>
        <v>13379.407676808052</v>
      </c>
    </row>
    <row r="84" spans="1:22" x14ac:dyDescent="0.2">
      <c r="A84" s="17">
        <v>356.97</v>
      </c>
      <c r="B84">
        <f t="shared" si="12"/>
        <v>202.19636279881584</v>
      </c>
      <c r="C84">
        <v>5</v>
      </c>
      <c r="K84" s="11">
        <v>3593.83</v>
      </c>
      <c r="L84">
        <f t="shared" si="14"/>
        <v>2398.5240569930584</v>
      </c>
      <c r="M84">
        <v>5</v>
      </c>
      <c r="T84" s="27">
        <v>27300.55</v>
      </c>
      <c r="U84">
        <v>5</v>
      </c>
      <c r="V84">
        <f t="shared" si="13"/>
        <v>11054.202907994095</v>
      </c>
    </row>
    <row r="85" spans="1:22" x14ac:dyDescent="0.2">
      <c r="A85" s="17">
        <v>364.13</v>
      </c>
      <c r="B85">
        <f t="shared" si="12"/>
        <v>184.08839228621525</v>
      </c>
      <c r="C85">
        <v>6</v>
      </c>
      <c r="K85" s="11">
        <v>3610.77</v>
      </c>
      <c r="L85">
        <f t="shared" si="14"/>
        <v>2222.6121512499171</v>
      </c>
      <c r="M85">
        <v>6</v>
      </c>
      <c r="T85" s="27">
        <v>27323.34</v>
      </c>
      <c r="U85">
        <v>6</v>
      </c>
      <c r="V85">
        <f t="shared" si="13"/>
        <v>9233.3867984427161</v>
      </c>
    </row>
    <row r="86" spans="1:22" x14ac:dyDescent="0.2">
      <c r="A86" s="17">
        <v>371.54</v>
      </c>
      <c r="B86">
        <f t="shared" si="12"/>
        <v>167.65011067673353</v>
      </c>
      <c r="C86">
        <v>7</v>
      </c>
      <c r="K86" s="11">
        <v>3626.05</v>
      </c>
      <c r="L86">
        <f t="shared" si="14"/>
        <v>2058.6141662286609</v>
      </c>
      <c r="M86">
        <v>7</v>
      </c>
      <c r="T86" s="27">
        <v>27554.07</v>
      </c>
      <c r="U86">
        <v>7</v>
      </c>
      <c r="V86">
        <f t="shared" si="13"/>
        <v>7771.1305926269715</v>
      </c>
    </row>
    <row r="87" spans="1:22" x14ac:dyDescent="0.2">
      <c r="A87" s="17">
        <v>379.19</v>
      </c>
      <c r="B87">
        <f t="shared" si="12"/>
        <v>152.71562267265023</v>
      </c>
      <c r="C87">
        <v>8</v>
      </c>
      <c r="K87" s="11">
        <v>3640.16</v>
      </c>
      <c r="L87">
        <f t="shared" si="14"/>
        <v>1906.0704636044939</v>
      </c>
      <c r="M87">
        <v>8</v>
      </c>
      <c r="T87" s="27">
        <v>27933.52</v>
      </c>
      <c r="U87">
        <v>8</v>
      </c>
      <c r="V87">
        <f t="shared" si="13"/>
        <v>6574.9934289349285</v>
      </c>
    </row>
    <row r="88" spans="1:22" x14ac:dyDescent="0.2">
      <c r="A88" s="17">
        <v>387.05</v>
      </c>
      <c r="B88">
        <f t="shared" si="12"/>
        <v>139.13038516417402</v>
      </c>
      <c r="C88">
        <v>9</v>
      </c>
      <c r="K88" s="11">
        <v>3653.46</v>
      </c>
      <c r="L88">
        <f t="shared" si="14"/>
        <v>1764.4125782183485</v>
      </c>
      <c r="M88">
        <v>9</v>
      </c>
      <c r="T88" s="27">
        <v>28422.35</v>
      </c>
      <c r="U88">
        <v>9</v>
      </c>
      <c r="V88">
        <f t="shared" si="13"/>
        <v>5583.4270634500235</v>
      </c>
    </row>
    <row r="89" spans="1:22" x14ac:dyDescent="0.2">
      <c r="A89" s="17">
        <v>395.12</v>
      </c>
      <c r="B89">
        <f t="shared" si="12"/>
        <v>126.76876305887933</v>
      </c>
      <c r="C89">
        <v>10</v>
      </c>
      <c r="K89" s="11">
        <v>3666.21</v>
      </c>
      <c r="L89">
        <f t="shared" si="14"/>
        <v>1633.0159845540763</v>
      </c>
      <c r="M89">
        <v>10</v>
      </c>
      <c r="T89" s="27">
        <v>28993.919999999998</v>
      </c>
      <c r="U89">
        <v>10</v>
      </c>
      <c r="V89">
        <f t="shared" si="13"/>
        <v>4753.5603014994167</v>
      </c>
    </row>
    <row r="90" spans="1:22" x14ac:dyDescent="0.2">
      <c r="A90" s="17">
        <v>7631</v>
      </c>
      <c r="B90">
        <f t="shared" si="12"/>
        <v>2448.300341421108</v>
      </c>
      <c r="C90">
        <v>10</v>
      </c>
      <c r="K90">
        <v>77249.710000000006</v>
      </c>
      <c r="L90">
        <f t="shared" si="14"/>
        <v>34408.833981732329</v>
      </c>
      <c r="M90">
        <v>10</v>
      </c>
      <c r="T90" s="27">
        <v>902717.19</v>
      </c>
      <c r="U90">
        <v>10</v>
      </c>
      <c r="V90">
        <f t="shared" si="13"/>
        <v>148000.70490175547</v>
      </c>
    </row>
    <row r="91" spans="1:22" x14ac:dyDescent="0.2">
      <c r="K91" s="1" t="s">
        <v>323</v>
      </c>
      <c r="L91" s="1" t="s">
        <v>324</v>
      </c>
      <c r="T91" s="10" t="s">
        <v>323</v>
      </c>
      <c r="U91" s="10" t="s">
        <v>324</v>
      </c>
    </row>
    <row r="92" spans="1:22" x14ac:dyDescent="0.2">
      <c r="A92" t="s">
        <v>323</v>
      </c>
      <c r="K92">
        <f>K95*547</f>
        <v>57982</v>
      </c>
      <c r="L92">
        <f>SUM(L80:L90)</f>
        <v>57981.99999994383</v>
      </c>
      <c r="T92">
        <f>102.92*T95</f>
        <v>260387.6</v>
      </c>
      <c r="U92">
        <f>SUM(V80:V90)</f>
        <v>260387.6000004049</v>
      </c>
    </row>
    <row r="93" spans="1:22" x14ac:dyDescent="0.2">
      <c r="A93">
        <f>255*17.46</f>
        <v>4452.3</v>
      </c>
      <c r="B93">
        <f>SUM(B80:B90)</f>
        <v>4452.0000005795919</v>
      </c>
    </row>
    <row r="94" spans="1:22" x14ac:dyDescent="0.2">
      <c r="K94" s="1" t="s">
        <v>322</v>
      </c>
      <c r="T94" t="s">
        <v>322</v>
      </c>
    </row>
    <row r="95" spans="1:22" x14ac:dyDescent="0.2">
      <c r="K95">
        <v>106</v>
      </c>
      <c r="T95">
        <v>2530</v>
      </c>
    </row>
    <row r="98" spans="1:26" ht="30" x14ac:dyDescent="0.3">
      <c r="A98" s="15" t="s">
        <v>278</v>
      </c>
      <c r="K98" s="15" t="s">
        <v>276</v>
      </c>
      <c r="T98" s="29" t="s">
        <v>277</v>
      </c>
      <c r="X98" t="s">
        <v>329</v>
      </c>
      <c r="Z98" t="s">
        <v>326</v>
      </c>
    </row>
    <row r="99" spans="1:26" x14ac:dyDescent="0.2">
      <c r="A99" s="17">
        <v>189.2</v>
      </c>
      <c r="B99">
        <f t="shared" ref="B99:B109" si="15">A99/(1+$E$100)^C99</f>
        <v>163.96733095662356</v>
      </c>
      <c r="C99">
        <v>1</v>
      </c>
      <c r="E99" t="s">
        <v>325</v>
      </c>
      <c r="G99" t="s">
        <v>327</v>
      </c>
      <c r="K99" s="13">
        <v>2594</v>
      </c>
      <c r="L99">
        <f>K99/(1+$O$100)^M99</f>
        <v>2215.2775976490457</v>
      </c>
      <c r="M99">
        <v>1</v>
      </c>
      <c r="O99" t="s">
        <v>328</v>
      </c>
      <c r="Q99" t="s">
        <v>326</v>
      </c>
      <c r="T99" s="26">
        <v>9424</v>
      </c>
      <c r="U99">
        <v>1</v>
      </c>
      <c r="V99">
        <f t="shared" ref="V99:V109" si="16">T99/(1+$X$99)^U99</f>
        <v>8622.0976487344542</v>
      </c>
      <c r="X99">
        <v>9.3005482416828045E-2</v>
      </c>
      <c r="Z99">
        <f>X99-0.0516</f>
        <v>4.1405482416828045E-2</v>
      </c>
    </row>
    <row r="100" spans="1:26" x14ac:dyDescent="0.2">
      <c r="A100" s="17">
        <v>207</v>
      </c>
      <c r="B100">
        <f t="shared" si="15"/>
        <v>155.46861726561647</v>
      </c>
      <c r="C100">
        <v>2</v>
      </c>
      <c r="E100">
        <v>0.15388839286559802</v>
      </c>
      <c r="G100">
        <f>E100-0.0724</f>
        <v>8.1488392865598017E-2</v>
      </c>
      <c r="K100" s="13">
        <v>2765</v>
      </c>
      <c r="L100">
        <f t="shared" ref="L100:L109" si="17">K100/(1+$O$100)^M100</f>
        <v>2016.5616486708007</v>
      </c>
      <c r="M100">
        <v>2</v>
      </c>
      <c r="O100">
        <v>0.17095934286198347</v>
      </c>
      <c r="Q100" s="24">
        <f>O100-0.1215</f>
        <v>4.9459342861983474E-2</v>
      </c>
      <c r="T100" s="26">
        <v>22376</v>
      </c>
      <c r="U100">
        <v>2</v>
      </c>
      <c r="V100">
        <f t="shared" si="16"/>
        <v>18729.999797907989</v>
      </c>
    </row>
    <row r="101" spans="1:26" x14ac:dyDescent="0.2">
      <c r="A101" s="17">
        <v>219.53</v>
      </c>
      <c r="B101">
        <f t="shared" si="15"/>
        <v>142.8902062750746</v>
      </c>
      <c r="C101">
        <v>3</v>
      </c>
      <c r="K101" s="13">
        <v>3602</v>
      </c>
      <c r="L101">
        <f t="shared" si="17"/>
        <v>2243.459636045945</v>
      </c>
      <c r="M101">
        <v>3</v>
      </c>
      <c r="T101" s="27">
        <v>27200.75</v>
      </c>
      <c r="U101">
        <v>3</v>
      </c>
      <c r="V101">
        <f t="shared" si="16"/>
        <v>20831.179341086259</v>
      </c>
    </row>
    <row r="102" spans="1:26" x14ac:dyDescent="0.2">
      <c r="A102" s="17">
        <v>230.55</v>
      </c>
      <c r="B102">
        <f t="shared" si="15"/>
        <v>130.0498655640971</v>
      </c>
      <c r="C102">
        <v>4</v>
      </c>
      <c r="K102" s="11">
        <v>4100.2299999999996</v>
      </c>
      <c r="L102">
        <f t="shared" si="17"/>
        <v>2180.9261231228174</v>
      </c>
      <c r="M102">
        <v>4</v>
      </c>
      <c r="T102" s="27">
        <v>28743.5</v>
      </c>
      <c r="U102">
        <v>4</v>
      </c>
      <c r="V102">
        <f t="shared" si="16"/>
        <v>20139.57438523462</v>
      </c>
    </row>
    <row r="103" spans="1:26" x14ac:dyDescent="0.2">
      <c r="A103" s="17">
        <v>240.46</v>
      </c>
      <c r="B103">
        <f t="shared" si="15"/>
        <v>117.55032090682693</v>
      </c>
      <c r="C103">
        <v>5</v>
      </c>
      <c r="K103" s="11">
        <v>4579.7700000000004</v>
      </c>
      <c r="L103">
        <f t="shared" si="17"/>
        <v>2080.3412828295482</v>
      </c>
      <c r="M103">
        <v>5</v>
      </c>
      <c r="T103" s="26">
        <v>28100</v>
      </c>
      <c r="U103">
        <v>5</v>
      </c>
      <c r="V103">
        <f t="shared" si="16"/>
        <v>18013.355423679081</v>
      </c>
    </row>
    <row r="104" spans="1:26" x14ac:dyDescent="0.2">
      <c r="A104" s="17">
        <v>249.59</v>
      </c>
      <c r="B104">
        <f t="shared" si="15"/>
        <v>105.74122871205259</v>
      </c>
      <c r="C104">
        <v>6</v>
      </c>
      <c r="K104" s="11">
        <v>5046.8999999999996</v>
      </c>
      <c r="L104">
        <f t="shared" si="17"/>
        <v>1957.824698940763</v>
      </c>
      <c r="M104">
        <v>6</v>
      </c>
      <c r="T104" s="27">
        <v>27716.16</v>
      </c>
      <c r="U104">
        <v>6</v>
      </c>
      <c r="V104">
        <f t="shared" si="16"/>
        <v>16255.45079204274</v>
      </c>
    </row>
    <row r="105" spans="1:26" x14ac:dyDescent="0.2">
      <c r="A105" s="17">
        <v>258.19</v>
      </c>
      <c r="B105">
        <f t="shared" si="15"/>
        <v>94.796605072648106</v>
      </c>
      <c r="C105">
        <v>7</v>
      </c>
      <c r="K105" s="11">
        <v>5508.83</v>
      </c>
      <c r="L105">
        <f t="shared" si="17"/>
        <v>1825.0159221047015</v>
      </c>
      <c r="M105">
        <v>7</v>
      </c>
      <c r="T105" s="27">
        <v>27476.92</v>
      </c>
      <c r="U105">
        <v>7</v>
      </c>
      <c r="V105">
        <f t="shared" si="16"/>
        <v>14743.875905792269</v>
      </c>
    </row>
    <row r="106" spans="1:26" x14ac:dyDescent="0.2">
      <c r="A106" s="17">
        <v>266.44</v>
      </c>
      <c r="B106">
        <f t="shared" si="15"/>
        <v>84.779136151632201</v>
      </c>
      <c r="C106">
        <v>8</v>
      </c>
      <c r="K106" s="11">
        <v>5972.68</v>
      </c>
      <c r="L106">
        <f t="shared" si="17"/>
        <v>1689.7977140074213</v>
      </c>
      <c r="M106">
        <v>8</v>
      </c>
      <c r="T106" s="27">
        <v>27336.45</v>
      </c>
      <c r="U106">
        <v>8</v>
      </c>
      <c r="V106">
        <f t="shared" si="16"/>
        <v>13420.33609480827</v>
      </c>
    </row>
    <row r="107" spans="1:26" x14ac:dyDescent="0.2">
      <c r="A107" s="17">
        <v>274.5</v>
      </c>
      <c r="B107">
        <f t="shared" si="15"/>
        <v>75.695159095785442</v>
      </c>
      <c r="C107">
        <v>9</v>
      </c>
      <c r="K107" s="11">
        <v>6444.93</v>
      </c>
      <c r="L107">
        <f t="shared" si="17"/>
        <v>1557.1909098222843</v>
      </c>
      <c r="M107">
        <v>9</v>
      </c>
      <c r="T107" s="27">
        <v>27264.05</v>
      </c>
      <c r="U107">
        <v>9</v>
      </c>
      <c r="V107">
        <f t="shared" si="16"/>
        <v>12245.860463249546</v>
      </c>
    </row>
    <row r="108" spans="1:26" x14ac:dyDescent="0.2">
      <c r="A108" s="17">
        <v>282.47000000000003</v>
      </c>
      <c r="B108">
        <f t="shared" si="15"/>
        <v>67.504742120567158</v>
      </c>
      <c r="C108">
        <v>10</v>
      </c>
      <c r="K108" s="11">
        <v>6931.39</v>
      </c>
      <c r="L108">
        <f t="shared" si="17"/>
        <v>1430.2177856242756</v>
      </c>
      <c r="M108">
        <v>10</v>
      </c>
      <c r="T108" s="27">
        <v>27238.86</v>
      </c>
      <c r="U108">
        <v>10</v>
      </c>
      <c r="V108">
        <f t="shared" si="16"/>
        <v>11193.490220606518</v>
      </c>
    </row>
    <row r="109" spans="1:26" x14ac:dyDescent="0.2">
      <c r="A109" s="17">
        <v>6279</v>
      </c>
      <c r="B109">
        <f t="shared" si="15"/>
        <v>1500.5567875351051</v>
      </c>
      <c r="C109">
        <v>10</v>
      </c>
      <c r="K109" s="11">
        <v>135964.85999999999</v>
      </c>
      <c r="L109">
        <f t="shared" si="17"/>
        <v>28054.886681014141</v>
      </c>
      <c r="M109">
        <v>10</v>
      </c>
      <c r="T109">
        <v>562833.38</v>
      </c>
      <c r="U109">
        <v>10</v>
      </c>
      <c r="V109">
        <f t="shared" si="16"/>
        <v>231289.77992694674</v>
      </c>
    </row>
    <row r="110" spans="1:26" x14ac:dyDescent="0.2">
      <c r="A110" t="s">
        <v>323</v>
      </c>
      <c r="K110" s="1" t="s">
        <v>323</v>
      </c>
      <c r="L110" s="1" t="s">
        <v>324</v>
      </c>
      <c r="T110" s="10" t="s">
        <v>323</v>
      </c>
      <c r="U110" s="10" t="s">
        <v>324</v>
      </c>
    </row>
    <row r="111" spans="1:26" x14ac:dyDescent="0.2">
      <c r="A111">
        <f>82.49*32</f>
        <v>2639.68</v>
      </c>
      <c r="B111">
        <f>SUM(B99:B109)</f>
        <v>2638.9999996560291</v>
      </c>
      <c r="K111">
        <f>K114*926.5</f>
        <v>47251.5</v>
      </c>
      <c r="L111">
        <f>SUM(L99:L109)</f>
        <v>47251.499999831743</v>
      </c>
      <c r="T111">
        <f>4145*T114</f>
        <v>385485</v>
      </c>
      <c r="U111">
        <f>SUM(V99:V109)</f>
        <v>385485.00000008848</v>
      </c>
    </row>
    <row r="113" spans="1:26" x14ac:dyDescent="0.2">
      <c r="K113" s="1" t="s">
        <v>322</v>
      </c>
      <c r="T113" t="s">
        <v>322</v>
      </c>
    </row>
    <row r="114" spans="1:26" x14ac:dyDescent="0.2">
      <c r="K114">
        <v>51</v>
      </c>
      <c r="T114">
        <v>93</v>
      </c>
    </row>
    <row r="115" spans="1:26" ht="31" x14ac:dyDescent="0.35">
      <c r="A115" s="15" t="s">
        <v>281</v>
      </c>
      <c r="K115" s="16" t="s">
        <v>279</v>
      </c>
      <c r="T115" s="29" t="s">
        <v>280</v>
      </c>
      <c r="X115" t="s">
        <v>329</v>
      </c>
      <c r="Z115" t="s">
        <v>326</v>
      </c>
    </row>
    <row r="116" spans="1:26" x14ac:dyDescent="0.2">
      <c r="A116" s="10">
        <v>648.37</v>
      </c>
      <c r="B116">
        <f t="shared" ref="B116:B126" si="18">A116/(1+$E$117)^C116</f>
        <v>583.16369009804544</v>
      </c>
      <c r="C116">
        <v>1</v>
      </c>
      <c r="E116" t="s">
        <v>325</v>
      </c>
      <c r="G116" t="s">
        <v>326</v>
      </c>
      <c r="K116" s="11">
        <v>4084.17</v>
      </c>
      <c r="L116">
        <f>K116/(1+$O$117)^M116</f>
        <v>3575.4218178786195</v>
      </c>
      <c r="M116">
        <v>1</v>
      </c>
      <c r="O116" t="s">
        <v>328</v>
      </c>
      <c r="Q116" t="s">
        <v>326</v>
      </c>
      <c r="T116" s="10">
        <v>230.67</v>
      </c>
      <c r="U116">
        <v>1</v>
      </c>
      <c r="V116">
        <f>T116/(1+$X$116)^U116</f>
        <v>204.17162024278181</v>
      </c>
      <c r="X116">
        <v>0.129784833591019</v>
      </c>
      <c r="Z116">
        <f>X116-0.0809</f>
        <v>4.8884833591019E-2</v>
      </c>
    </row>
    <row r="117" spans="1:26" x14ac:dyDescent="0.2">
      <c r="A117" s="10">
        <v>727.07</v>
      </c>
      <c r="B117">
        <f t="shared" si="18"/>
        <v>588.18148889250176</v>
      </c>
      <c r="C117">
        <v>2</v>
      </c>
      <c r="E117">
        <v>0.11181476317737062</v>
      </c>
      <c r="G117">
        <f>E117-0.0736</f>
        <v>3.8214763177370617E-2</v>
      </c>
      <c r="K117" s="11">
        <v>3738.53</v>
      </c>
      <c r="L117">
        <f t="shared" ref="L117:L126" si="19">K117/(1+$O$117)^M117</f>
        <v>2865.1530113667591</v>
      </c>
      <c r="M117">
        <v>2</v>
      </c>
      <c r="O117">
        <v>0.14229039482206687</v>
      </c>
      <c r="Q117" s="24">
        <f>O117-0.0606844</f>
        <v>8.1605994822066874E-2</v>
      </c>
      <c r="T117" s="10">
        <v>239.03</v>
      </c>
      <c r="U117">
        <v>2</v>
      </c>
      <c r="V117">
        <f t="shared" ref="V117:V126" si="20">T117/(1+$X$116)^U117</f>
        <v>187.26686093354022</v>
      </c>
    </row>
    <row r="118" spans="1:26" x14ac:dyDescent="0.2">
      <c r="A118" s="10">
        <v>775.09</v>
      </c>
      <c r="B118">
        <f t="shared" si="18"/>
        <v>563.96846985068476</v>
      </c>
      <c r="C118">
        <v>3</v>
      </c>
      <c r="K118" s="11">
        <v>3909.77</v>
      </c>
      <c r="L118">
        <f t="shared" si="19"/>
        <v>2623.1409967947507</v>
      </c>
      <c r="M118">
        <v>3</v>
      </c>
      <c r="T118" s="10">
        <v>247.1</v>
      </c>
      <c r="U118">
        <v>3</v>
      </c>
      <c r="V118">
        <f t="shared" si="20"/>
        <v>171.35055845584435</v>
      </c>
    </row>
    <row r="119" spans="1:26" x14ac:dyDescent="0.2">
      <c r="A119" s="10">
        <v>829</v>
      </c>
      <c r="B119">
        <f t="shared" si="18"/>
        <v>542.5312822205226</v>
      </c>
      <c r="C119">
        <v>4</v>
      </c>
      <c r="K119" s="11">
        <v>4768.17</v>
      </c>
      <c r="L119">
        <f t="shared" si="19"/>
        <v>2800.5648335914575</v>
      </c>
      <c r="M119">
        <v>4</v>
      </c>
      <c r="T119" s="10">
        <v>255.01</v>
      </c>
      <c r="U119">
        <v>4</v>
      </c>
      <c r="V119">
        <f t="shared" si="20"/>
        <v>156.52158952580996</v>
      </c>
    </row>
    <row r="120" spans="1:26" x14ac:dyDescent="0.2">
      <c r="A120" s="10">
        <v>870.16</v>
      </c>
      <c r="B120">
        <f t="shared" si="18"/>
        <v>512.19688513707683</v>
      </c>
      <c r="C120">
        <v>5</v>
      </c>
      <c r="K120" s="13">
        <v>4956</v>
      </c>
      <c r="L120">
        <f t="shared" si="19"/>
        <v>2548.2889610984371</v>
      </c>
      <c r="M120">
        <v>5</v>
      </c>
      <c r="T120" s="10">
        <v>262.87</v>
      </c>
      <c r="U120">
        <v>5</v>
      </c>
      <c r="V120">
        <f t="shared" si="20"/>
        <v>142.81121799162651</v>
      </c>
    </row>
    <row r="121" spans="1:26" x14ac:dyDescent="0.2">
      <c r="A121" s="10">
        <v>905.9</v>
      </c>
      <c r="B121">
        <f t="shared" si="18"/>
        <v>479.60714084928173</v>
      </c>
      <c r="C121">
        <v>6</v>
      </c>
      <c r="K121" s="11">
        <v>5117.99</v>
      </c>
      <c r="L121">
        <f t="shared" si="19"/>
        <v>2303.7761783291708</v>
      </c>
      <c r="M121">
        <v>6</v>
      </c>
      <c r="T121" s="10">
        <v>270.75</v>
      </c>
      <c r="U121">
        <v>6</v>
      </c>
      <c r="V121">
        <f t="shared" si="20"/>
        <v>130.19491514530719</v>
      </c>
    </row>
    <row r="122" spans="1:26" x14ac:dyDescent="0.2">
      <c r="A122" s="10">
        <v>937.69</v>
      </c>
      <c r="B122">
        <f t="shared" si="18"/>
        <v>446.51106848322735</v>
      </c>
      <c r="C122">
        <v>7</v>
      </c>
      <c r="K122" s="11">
        <v>5275.31</v>
      </c>
      <c r="L122">
        <f t="shared" si="19"/>
        <v>2078.7980991630775</v>
      </c>
      <c r="M122">
        <v>7</v>
      </c>
      <c r="T122" s="10">
        <v>278.70999999999998</v>
      </c>
      <c r="U122">
        <v>7</v>
      </c>
      <c r="V122">
        <f t="shared" si="20"/>
        <v>118.62667795000068</v>
      </c>
    </row>
    <row r="123" spans="1:26" x14ac:dyDescent="0.2">
      <c r="A123" s="10">
        <v>966.66</v>
      </c>
      <c r="B123">
        <f t="shared" si="18"/>
        <v>414.01326489586859</v>
      </c>
      <c r="C123">
        <v>8</v>
      </c>
      <c r="K123" s="11">
        <v>5430.29</v>
      </c>
      <c r="L123">
        <f t="shared" si="19"/>
        <v>1873.3150563213317</v>
      </c>
      <c r="M123">
        <v>8</v>
      </c>
      <c r="T123" s="10">
        <v>286.77999999999997</v>
      </c>
      <c r="U123">
        <v>8</v>
      </c>
      <c r="V123">
        <f t="shared" si="20"/>
        <v>108.03959243342193</v>
      </c>
    </row>
    <row r="124" spans="1:26" x14ac:dyDescent="0.2">
      <c r="A124" s="10">
        <v>993.68</v>
      </c>
      <c r="B124">
        <f t="shared" si="18"/>
        <v>382.78474379988637</v>
      </c>
      <c r="C124">
        <v>9</v>
      </c>
      <c r="K124" s="11">
        <v>5584.64</v>
      </c>
      <c r="L124">
        <f t="shared" si="19"/>
        <v>1686.5781048391834</v>
      </c>
      <c r="M124">
        <v>9</v>
      </c>
      <c r="T124" s="10">
        <v>295.01</v>
      </c>
      <c r="U124">
        <v>9</v>
      </c>
      <c r="V124">
        <f t="shared" si="20"/>
        <v>98.372809287282323</v>
      </c>
    </row>
    <row r="125" spans="1:26" x14ac:dyDescent="0.2">
      <c r="A125" s="27">
        <v>1019.41</v>
      </c>
      <c r="B125">
        <f t="shared" si="18"/>
        <v>353.20311455267557</v>
      </c>
      <c r="C125">
        <v>10</v>
      </c>
      <c r="K125" s="11">
        <v>5739.66</v>
      </c>
      <c r="L125">
        <f t="shared" si="19"/>
        <v>1517.4728070245103</v>
      </c>
      <c r="M125">
        <v>10</v>
      </c>
      <c r="T125" s="10">
        <v>303.41000000000003</v>
      </c>
      <c r="U125">
        <v>10</v>
      </c>
      <c r="V125">
        <f t="shared" si="20"/>
        <v>89.551421996543993</v>
      </c>
    </row>
    <row r="126" spans="1:26" x14ac:dyDescent="0.2">
      <c r="A126" s="10">
        <v>19827</v>
      </c>
      <c r="B126">
        <f t="shared" si="18"/>
        <v>6869.6188503505937</v>
      </c>
      <c r="C126">
        <v>10</v>
      </c>
      <c r="K126" s="11">
        <v>170873.1</v>
      </c>
      <c r="L126">
        <f t="shared" si="19"/>
        <v>45176.070133419031</v>
      </c>
      <c r="M126">
        <v>10</v>
      </c>
      <c r="T126" s="10">
        <v>5899.69</v>
      </c>
      <c r="U126">
        <v>10</v>
      </c>
      <c r="V126">
        <f t="shared" si="20"/>
        <v>1741.2927353705895</v>
      </c>
    </row>
    <row r="127" spans="1:26" x14ac:dyDescent="0.2">
      <c r="A127" t="s">
        <v>323</v>
      </c>
      <c r="K127" s="1" t="s">
        <v>323</v>
      </c>
      <c r="L127" s="1" t="s">
        <v>324</v>
      </c>
      <c r="M127" s="1" t="s">
        <v>322</v>
      </c>
      <c r="T127" s="10" t="s">
        <v>323</v>
      </c>
      <c r="U127" s="10" t="s">
        <v>324</v>
      </c>
    </row>
    <row r="128" spans="1:26" x14ac:dyDescent="0.2">
      <c r="A128">
        <f>119*98.62</f>
        <v>11735.78</v>
      </c>
      <c r="B128">
        <f>SUM(B116:B126)</f>
        <v>11735.779999130364</v>
      </c>
      <c r="K128">
        <f>M128*149.78</f>
        <v>69048.58</v>
      </c>
      <c r="L128">
        <f>SUM(L116:L126)</f>
        <v>69048.579999826325</v>
      </c>
      <c r="M128">
        <v>461</v>
      </c>
      <c r="T128">
        <f>23.32*T130</f>
        <v>3148.2</v>
      </c>
      <c r="U128">
        <f>SUM(V116:V126)</f>
        <v>3148.1999993327481</v>
      </c>
    </row>
    <row r="129" spans="1:26" x14ac:dyDescent="0.2">
      <c r="T129" t="s">
        <v>322</v>
      </c>
    </row>
    <row r="130" spans="1:26" x14ac:dyDescent="0.2">
      <c r="K130" s="1"/>
      <c r="T130">
        <v>135</v>
      </c>
    </row>
    <row r="131" spans="1:26" ht="31" x14ac:dyDescent="0.35">
      <c r="A131" s="16" t="s">
        <v>286</v>
      </c>
      <c r="K131" s="15" t="s">
        <v>282</v>
      </c>
      <c r="T131" s="29" t="s">
        <v>283</v>
      </c>
      <c r="X131" t="s">
        <v>329</v>
      </c>
      <c r="Z131" t="s">
        <v>326</v>
      </c>
    </row>
    <row r="132" spans="1:26" x14ac:dyDescent="0.2">
      <c r="A132" s="27">
        <v>1596.49</v>
      </c>
      <c r="B132">
        <f t="shared" ref="B132:B142" si="21">A132/(1+$E$133)^C132</f>
        <v>1446.6996688622078</v>
      </c>
      <c r="C132">
        <v>1</v>
      </c>
      <c r="E132" t="s">
        <v>325</v>
      </c>
      <c r="G132" t="s">
        <v>326</v>
      </c>
      <c r="K132" s="11">
        <v>1661.14</v>
      </c>
      <c r="L132">
        <f>K132/(1+$O$133)^M132</f>
        <v>1380.0474938035366</v>
      </c>
      <c r="M132">
        <v>1</v>
      </c>
      <c r="O132" t="s">
        <v>328</v>
      </c>
      <c r="Q132" t="s">
        <v>326</v>
      </c>
      <c r="T132" s="10">
        <v>98.3</v>
      </c>
      <c r="U132">
        <v>1</v>
      </c>
      <c r="V132">
        <f t="shared" ref="V132:V142" si="22">T132/(1+$X$132)^U132</f>
        <v>84.797377455886533</v>
      </c>
      <c r="X132">
        <v>0.15923396394113518</v>
      </c>
      <c r="Z132">
        <f>X132-0.0705</f>
        <v>8.8733963941135183E-2</v>
      </c>
    </row>
    <row r="133" spans="1:26" x14ac:dyDescent="0.2">
      <c r="A133" s="27">
        <v>1508.81</v>
      </c>
      <c r="B133">
        <f t="shared" si="21"/>
        <v>1238.9646427060657</v>
      </c>
      <c r="C133">
        <v>2</v>
      </c>
      <c r="E133">
        <v>0.10353934155220934</v>
      </c>
      <c r="G133">
        <f>E133-0.0603</f>
        <v>4.3239341552209341E-2</v>
      </c>
      <c r="K133" s="11">
        <v>2216.23</v>
      </c>
      <c r="L133">
        <f t="shared" ref="L133:L142" si="23">K133/(1+$O$133)^M133</f>
        <v>1529.644194214585</v>
      </c>
      <c r="M133">
        <v>2</v>
      </c>
      <c r="O133">
        <v>0.20368321196087763</v>
      </c>
      <c r="Q133" s="24">
        <f>O133-0.0723852</f>
        <v>0.13129801196087765</v>
      </c>
      <c r="T133" s="10">
        <v>122.9</v>
      </c>
      <c r="U133">
        <v>2</v>
      </c>
      <c r="V133">
        <f t="shared" si="22"/>
        <v>91.45547066719999</v>
      </c>
    </row>
    <row r="134" spans="1:26" x14ac:dyDescent="0.2">
      <c r="A134" s="27">
        <v>1455.55</v>
      </c>
      <c r="B134">
        <f t="shared" si="21"/>
        <v>1083.0878077647944</v>
      </c>
      <c r="C134">
        <v>3</v>
      </c>
      <c r="K134" s="11">
        <v>2521.19</v>
      </c>
      <c r="L134">
        <f t="shared" si="23"/>
        <v>1445.6693241911887</v>
      </c>
      <c r="M134">
        <v>3</v>
      </c>
      <c r="T134" s="10">
        <v>136.19</v>
      </c>
      <c r="U134">
        <v>3</v>
      </c>
      <c r="V134">
        <f t="shared" si="22"/>
        <v>87.424252820858072</v>
      </c>
    </row>
    <row r="135" spans="1:26" x14ac:dyDescent="0.2">
      <c r="A135" s="27">
        <v>1424.17</v>
      </c>
      <c r="B135">
        <f t="shared" si="21"/>
        <v>960.30800938320419</v>
      </c>
      <c r="C135">
        <v>4</v>
      </c>
      <c r="K135" s="11">
        <v>2434.9</v>
      </c>
      <c r="L135">
        <f t="shared" si="23"/>
        <v>1159.9314294423095</v>
      </c>
      <c r="M135">
        <v>4</v>
      </c>
      <c r="T135" s="10">
        <v>147.57</v>
      </c>
      <c r="U135">
        <v>4</v>
      </c>
      <c r="V135">
        <f t="shared" si="22"/>
        <v>81.717239976570482</v>
      </c>
    </row>
    <row r="136" spans="1:26" x14ac:dyDescent="0.2">
      <c r="A136" s="27">
        <v>1407.16</v>
      </c>
      <c r="B136">
        <f t="shared" si="21"/>
        <v>859.813735644448</v>
      </c>
      <c r="C136">
        <v>5</v>
      </c>
      <c r="K136" s="11">
        <v>2399.5500000000002</v>
      </c>
      <c r="L136">
        <f t="shared" si="23"/>
        <v>949.66140224280787</v>
      </c>
      <c r="M136">
        <v>5</v>
      </c>
      <c r="T136" s="10">
        <v>157.36000000000001</v>
      </c>
      <c r="U136">
        <v>5</v>
      </c>
      <c r="V136">
        <f t="shared" si="22"/>
        <v>75.169015548947044</v>
      </c>
    </row>
    <row r="137" spans="1:26" x14ac:dyDescent="0.2">
      <c r="A137" s="27">
        <v>1399.83</v>
      </c>
      <c r="B137">
        <f t="shared" si="21"/>
        <v>775.08328920503743</v>
      </c>
      <c r="C137">
        <v>6</v>
      </c>
      <c r="K137" s="11">
        <v>2394.0300000000002</v>
      </c>
      <c r="L137">
        <f t="shared" si="23"/>
        <v>787.14794888255153</v>
      </c>
      <c r="M137">
        <v>6</v>
      </c>
      <c r="T137" s="10">
        <v>165.9</v>
      </c>
      <c r="U137">
        <v>6</v>
      </c>
      <c r="V137">
        <f t="shared" si="22"/>
        <v>68.362794106775937</v>
      </c>
    </row>
    <row r="138" spans="1:26" x14ac:dyDescent="0.2">
      <c r="A138" s="27">
        <v>1399.14</v>
      </c>
      <c r="B138">
        <f t="shared" si="21"/>
        <v>702.01506036746628</v>
      </c>
      <c r="C138">
        <v>7</v>
      </c>
      <c r="K138" s="11">
        <v>2408.9899999999998</v>
      </c>
      <c r="L138">
        <f t="shared" si="23"/>
        <v>658.03587858716753</v>
      </c>
      <c r="M138">
        <v>7</v>
      </c>
      <c r="T138" s="10">
        <v>173.51</v>
      </c>
      <c r="U138">
        <v>7</v>
      </c>
      <c r="V138">
        <f t="shared" si="22"/>
        <v>61.677509900976318</v>
      </c>
    </row>
    <row r="139" spans="1:26" x14ac:dyDescent="0.2">
      <c r="A139" s="27">
        <v>1403.06</v>
      </c>
      <c r="B139">
        <f t="shared" si="21"/>
        <v>637.93095926637432</v>
      </c>
      <c r="C139">
        <v>8</v>
      </c>
      <c r="K139" s="11">
        <v>2438.46</v>
      </c>
      <c r="L139">
        <f t="shared" si="23"/>
        <v>553.37305556555725</v>
      </c>
      <c r="M139">
        <v>8</v>
      </c>
      <c r="T139" s="10">
        <v>180.45</v>
      </c>
      <c r="U139">
        <v>8</v>
      </c>
      <c r="V139">
        <f t="shared" si="22"/>
        <v>55.333496174616556</v>
      </c>
    </row>
    <row r="140" spans="1:26" x14ac:dyDescent="0.2">
      <c r="A140" s="27">
        <v>1410.23</v>
      </c>
      <c r="B140">
        <f t="shared" si="21"/>
        <v>581.03134845546469</v>
      </c>
      <c r="C140">
        <v>9</v>
      </c>
      <c r="K140" s="11">
        <v>2478.5100000000002</v>
      </c>
      <c r="L140">
        <f t="shared" si="23"/>
        <v>467.28392933926386</v>
      </c>
      <c r="M140">
        <v>9</v>
      </c>
      <c r="T140" s="10">
        <v>186.92</v>
      </c>
      <c r="U140">
        <v>9</v>
      </c>
      <c r="V140">
        <f t="shared" si="22"/>
        <v>49.44426216541445</v>
      </c>
    </row>
    <row r="141" spans="1:26" x14ac:dyDescent="0.2">
      <c r="A141" s="27">
        <v>1419.72</v>
      </c>
      <c r="B141">
        <f t="shared" si="21"/>
        <v>530.05934456585226</v>
      </c>
      <c r="C141">
        <v>10</v>
      </c>
      <c r="K141" s="11">
        <v>2526.48</v>
      </c>
      <c r="L141">
        <f t="shared" si="23"/>
        <v>395.72531272935595</v>
      </c>
      <c r="M141">
        <v>10</v>
      </c>
      <c r="T141" s="10">
        <v>193.08</v>
      </c>
      <c r="U141">
        <v>10</v>
      </c>
      <c r="V141">
        <f t="shared" si="22"/>
        <v>44.058156515545043</v>
      </c>
    </row>
    <row r="142" spans="1:26" x14ac:dyDescent="0.2">
      <c r="A142" s="10">
        <v>28793</v>
      </c>
      <c r="B142">
        <f t="shared" si="21"/>
        <v>10750.006133663388</v>
      </c>
      <c r="C142">
        <v>10</v>
      </c>
      <c r="K142">
        <v>56112.36</v>
      </c>
      <c r="L142">
        <f t="shared" si="23"/>
        <v>8788.9400307867891</v>
      </c>
      <c r="M142">
        <v>10</v>
      </c>
      <c r="T142">
        <v>4472.8</v>
      </c>
      <c r="U142">
        <v>10</v>
      </c>
      <c r="V142">
        <f t="shared" si="22"/>
        <v>1020.6304250193177</v>
      </c>
    </row>
    <row r="143" spans="1:26" x14ac:dyDescent="0.2">
      <c r="A143" t="s">
        <v>323</v>
      </c>
      <c r="K143" s="1" t="s">
        <v>323</v>
      </c>
      <c r="L143" s="1" t="s">
        <v>324</v>
      </c>
      <c r="M143" s="1" t="s">
        <v>322</v>
      </c>
      <c r="T143" s="10" t="s">
        <v>323</v>
      </c>
      <c r="U143" s="10" t="s">
        <v>324</v>
      </c>
    </row>
    <row r="144" spans="1:26" x14ac:dyDescent="0.2">
      <c r="A144">
        <f>91*215</f>
        <v>19565</v>
      </c>
      <c r="B144">
        <f>SUM(B132:B142)</f>
        <v>19564.999999884305</v>
      </c>
      <c r="K144">
        <f>M144*24.58</f>
        <v>18115.46</v>
      </c>
      <c r="L144">
        <f>SUM(L132:L142)</f>
        <v>18115.459999785111</v>
      </c>
      <c r="M144" s="1">
        <v>737</v>
      </c>
      <c r="T144">
        <f>90.53*T146</f>
        <v>1720.07</v>
      </c>
      <c r="U144">
        <f>SUM(V132:V142)</f>
        <v>1720.0700003521083</v>
      </c>
    </row>
    <row r="145" spans="1:26" x14ac:dyDescent="0.2">
      <c r="T145" t="s">
        <v>322</v>
      </c>
    </row>
    <row r="146" spans="1:26" x14ac:dyDescent="0.2">
      <c r="T146">
        <v>19</v>
      </c>
    </row>
    <row r="147" spans="1:26" ht="31" x14ac:dyDescent="0.35">
      <c r="A147" s="16" t="s">
        <v>289</v>
      </c>
      <c r="K147" s="16" t="s">
        <v>284</v>
      </c>
      <c r="T147" s="29" t="s">
        <v>285</v>
      </c>
      <c r="X147" t="s">
        <v>329</v>
      </c>
      <c r="Z147" t="s">
        <v>326</v>
      </c>
    </row>
    <row r="148" spans="1:26" x14ac:dyDescent="0.2">
      <c r="A148" s="26">
        <v>46869</v>
      </c>
      <c r="B148">
        <f t="shared" ref="B148:B158" si="24">A148/(1+$E$149)^C148</f>
        <v>42146.093361584019</v>
      </c>
      <c r="C148">
        <v>1</v>
      </c>
      <c r="E148" t="s">
        <v>325</v>
      </c>
      <c r="G148" t="s">
        <v>326</v>
      </c>
      <c r="K148" s="12">
        <v>764.25</v>
      </c>
      <c r="L148">
        <f>K148/(1+$O$149)^M148</f>
        <v>678.92006256700802</v>
      </c>
      <c r="M148">
        <v>1</v>
      </c>
      <c r="O148" t="s">
        <v>328</v>
      </c>
      <c r="Q148" t="s">
        <v>326</v>
      </c>
      <c r="T148" s="31">
        <v>1274.6199999999999</v>
      </c>
      <c r="U148">
        <v>1</v>
      </c>
      <c r="V148">
        <f t="shared" ref="V148:V158" si="25">T148/(1+$X$148)^U148</f>
        <v>1080.1955719689427</v>
      </c>
      <c r="X148">
        <v>0.17999002502543771</v>
      </c>
      <c r="Z148">
        <f>X148-0.0729</f>
        <v>0.1070900250254377</v>
      </c>
    </row>
    <row r="149" spans="1:26" x14ac:dyDescent="0.2">
      <c r="A149" s="27">
        <v>35351.75</v>
      </c>
      <c r="B149">
        <f t="shared" si="24"/>
        <v>28586.052836097108</v>
      </c>
      <c r="C149">
        <v>2</v>
      </c>
      <c r="E149">
        <v>0.1120603657828198</v>
      </c>
      <c r="G149">
        <f>E149-0.0534</f>
        <v>5.8660365782819801E-2</v>
      </c>
      <c r="K149" s="12">
        <v>814</v>
      </c>
      <c r="L149">
        <f t="shared" ref="L149:L158" si="26">K149/(1+$O$149)^M149</f>
        <v>642.37820163597735</v>
      </c>
      <c r="M149">
        <v>2</v>
      </c>
      <c r="O149">
        <v>0.12568480759039302</v>
      </c>
      <c r="Q149" s="24">
        <f>O149-0.0724676</f>
        <v>5.3217207590393029E-2</v>
      </c>
      <c r="T149" s="31">
        <v>1653.55</v>
      </c>
      <c r="U149">
        <v>2</v>
      </c>
      <c r="V149">
        <f t="shared" si="25"/>
        <v>1187.5739417471309</v>
      </c>
    </row>
    <row r="150" spans="1:26" x14ac:dyDescent="0.2">
      <c r="A150" s="26">
        <v>40939</v>
      </c>
      <c r="B150">
        <f t="shared" si="24"/>
        <v>29768.170348122974</v>
      </c>
      <c r="C150">
        <v>3</v>
      </c>
      <c r="K150" s="12">
        <v>761</v>
      </c>
      <c r="L150">
        <f t="shared" si="26"/>
        <v>533.49977708082895</v>
      </c>
      <c r="M150">
        <v>3</v>
      </c>
      <c r="T150" s="31">
        <v>1835.55</v>
      </c>
      <c r="U150">
        <v>3</v>
      </c>
      <c r="V150">
        <f t="shared" si="25"/>
        <v>1117.2007304345966</v>
      </c>
    </row>
    <row r="151" spans="1:26" x14ac:dyDescent="0.2">
      <c r="A151" s="26">
        <v>36700</v>
      </c>
      <c r="B151">
        <f t="shared" si="24"/>
        <v>23996.760319213201</v>
      </c>
      <c r="C151">
        <v>4</v>
      </c>
      <c r="K151" s="12">
        <v>786</v>
      </c>
      <c r="L151">
        <f t="shared" si="26"/>
        <v>489.50296499607441</v>
      </c>
      <c r="M151">
        <v>4</v>
      </c>
      <c r="T151" s="31">
        <v>1973.38</v>
      </c>
      <c r="U151">
        <v>4</v>
      </c>
      <c r="V151">
        <f t="shared" si="25"/>
        <v>1017.8818681320755</v>
      </c>
    </row>
    <row r="152" spans="1:26" x14ac:dyDescent="0.2">
      <c r="A152" s="26">
        <v>38600</v>
      </c>
      <c r="B152">
        <f t="shared" si="24"/>
        <v>22695.799783802191</v>
      </c>
      <c r="C152">
        <v>5</v>
      </c>
      <c r="K152" s="12">
        <v>793.04</v>
      </c>
      <c r="L152">
        <f t="shared" si="26"/>
        <v>438.74387743557469</v>
      </c>
      <c r="M152">
        <v>5</v>
      </c>
      <c r="T152" s="31">
        <v>2092.61</v>
      </c>
      <c r="U152">
        <v>5</v>
      </c>
      <c r="V152">
        <f t="shared" si="25"/>
        <v>914.73777939897161</v>
      </c>
    </row>
    <row r="153" spans="1:26" x14ac:dyDescent="0.2">
      <c r="A153" s="27">
        <v>39027.65</v>
      </c>
      <c r="B153">
        <f t="shared" si="24"/>
        <v>20634.89322024168</v>
      </c>
      <c r="C153">
        <v>6</v>
      </c>
      <c r="K153" s="12">
        <v>804.25</v>
      </c>
      <c r="L153">
        <f t="shared" si="26"/>
        <v>395.26671156434111</v>
      </c>
      <c r="M153">
        <v>6</v>
      </c>
      <c r="T153" s="31">
        <v>2197.56</v>
      </c>
      <c r="U153">
        <v>6</v>
      </c>
      <c r="V153">
        <f t="shared" si="25"/>
        <v>814.08682301850956</v>
      </c>
    </row>
    <row r="154" spans="1:26" x14ac:dyDescent="0.2">
      <c r="A154" s="27">
        <v>39366.629999999997</v>
      </c>
      <c r="B154">
        <f t="shared" si="24"/>
        <v>18716.718131734084</v>
      </c>
      <c r="C154">
        <v>7</v>
      </c>
      <c r="K154" s="12">
        <v>818.52</v>
      </c>
      <c r="L154">
        <f t="shared" si="26"/>
        <v>357.36470866504163</v>
      </c>
      <c r="M154">
        <v>7</v>
      </c>
      <c r="T154" s="31">
        <v>2291.9899999999998</v>
      </c>
      <c r="U154">
        <v>7</v>
      </c>
      <c r="V154">
        <f t="shared" si="25"/>
        <v>719.55561444907016</v>
      </c>
    </row>
    <row r="155" spans="1:26" x14ac:dyDescent="0.2">
      <c r="A155" s="27">
        <v>39642.58</v>
      </c>
      <c r="B155">
        <f t="shared" si="24"/>
        <v>16948.646058283324</v>
      </c>
      <c r="C155">
        <v>8</v>
      </c>
      <c r="K155" s="12">
        <v>835.13</v>
      </c>
      <c r="L155">
        <f t="shared" si="26"/>
        <v>323.90648733192324</v>
      </c>
      <c r="M155">
        <v>8</v>
      </c>
      <c r="T155" s="31">
        <v>2378.94</v>
      </c>
      <c r="U155">
        <v>8</v>
      </c>
      <c r="V155">
        <f t="shared" si="25"/>
        <v>632.93163119201904</v>
      </c>
    </row>
    <row r="156" spans="1:26" x14ac:dyDescent="0.2">
      <c r="A156" s="27">
        <v>39873.96</v>
      </c>
      <c r="B156">
        <f t="shared" si="24"/>
        <v>15329.715864125603</v>
      </c>
      <c r="C156">
        <v>9</v>
      </c>
      <c r="K156" s="12">
        <v>853.55</v>
      </c>
      <c r="L156">
        <f t="shared" si="26"/>
        <v>294.08828398883082</v>
      </c>
      <c r="M156">
        <v>9</v>
      </c>
      <c r="T156" s="31">
        <v>2460.81</v>
      </c>
      <c r="U156">
        <v>9</v>
      </c>
      <c r="V156">
        <f t="shared" si="25"/>
        <v>554.84676546334583</v>
      </c>
    </row>
    <row r="157" spans="1:26" x14ac:dyDescent="0.2">
      <c r="A157" s="27">
        <v>40073.96</v>
      </c>
      <c r="B157">
        <f t="shared" si="24"/>
        <v>13854.110083051535</v>
      </c>
      <c r="C157">
        <v>10</v>
      </c>
      <c r="K157" s="12">
        <v>873.44</v>
      </c>
      <c r="L157">
        <f t="shared" si="26"/>
        <v>267.34066789118879</v>
      </c>
      <c r="M157">
        <v>10</v>
      </c>
      <c r="T157" s="31">
        <v>2539.44</v>
      </c>
      <c r="U157">
        <v>10</v>
      </c>
      <c r="V157">
        <f t="shared" si="25"/>
        <v>485.23776723421963</v>
      </c>
    </row>
    <row r="158" spans="1:26" x14ac:dyDescent="0.2">
      <c r="A158" s="27">
        <v>799156</v>
      </c>
      <c r="B158">
        <f t="shared" si="24"/>
        <v>276279.03999333066</v>
      </c>
      <c r="C158">
        <v>10</v>
      </c>
      <c r="K158">
        <v>19369.28</v>
      </c>
      <c r="L158">
        <f t="shared" si="26"/>
        <v>5928.5082567451054</v>
      </c>
      <c r="M158">
        <v>10</v>
      </c>
      <c r="T158">
        <v>55755.27</v>
      </c>
      <c r="U158">
        <v>10</v>
      </c>
      <c r="V158">
        <f t="shared" si="25"/>
        <v>10653.751506765691</v>
      </c>
    </row>
    <row r="159" spans="1:26" x14ac:dyDescent="0.2">
      <c r="A159" t="s">
        <v>323</v>
      </c>
      <c r="K159" s="1" t="s">
        <v>323</v>
      </c>
      <c r="L159" s="1" t="s">
        <v>324</v>
      </c>
      <c r="M159" s="1" t="s">
        <v>322</v>
      </c>
      <c r="T159" s="10" t="s">
        <v>323</v>
      </c>
      <c r="U159" s="10" t="s">
        <v>324</v>
      </c>
    </row>
    <row r="160" spans="1:26" x14ac:dyDescent="0.2">
      <c r="A160">
        <f>1533*332</f>
        <v>508956</v>
      </c>
      <c r="B160">
        <f>SUM(B148:B158)</f>
        <v>508955.99999958638</v>
      </c>
      <c r="K160" s="1">
        <f>M160*118.96</f>
        <v>10349.519999999999</v>
      </c>
      <c r="L160">
        <f>SUM(L148:L158)</f>
        <v>10349.519999901895</v>
      </c>
      <c r="M160" s="1">
        <v>87</v>
      </c>
      <c r="T160" s="31">
        <f>89.2*T163</f>
        <v>19178</v>
      </c>
      <c r="U160">
        <f>SUM(V148:V158)</f>
        <v>19177.999999804575</v>
      </c>
    </row>
    <row r="162" spans="1:26" x14ac:dyDescent="0.2">
      <c r="T162" t="s">
        <v>322</v>
      </c>
    </row>
    <row r="163" spans="1:26" x14ac:dyDescent="0.2">
      <c r="T163">
        <v>215</v>
      </c>
    </row>
    <row r="164" spans="1:26" ht="31" x14ac:dyDescent="0.35">
      <c r="A164" s="16" t="s">
        <v>292</v>
      </c>
      <c r="K164" s="16" t="s">
        <v>287</v>
      </c>
      <c r="T164" s="29" t="s">
        <v>288</v>
      </c>
      <c r="X164" t="s">
        <v>329</v>
      </c>
      <c r="Z164" t="s">
        <v>326</v>
      </c>
    </row>
    <row r="165" spans="1:26" x14ac:dyDescent="0.2">
      <c r="A165" s="31">
        <v>9089.67</v>
      </c>
      <c r="B165">
        <f t="shared" ref="B165:B175" si="27">A165/(1+$E$166)^C165</f>
        <v>8101.6208704042592</v>
      </c>
      <c r="C165">
        <v>1</v>
      </c>
      <c r="E165" t="s">
        <v>325</v>
      </c>
      <c r="G165" t="s">
        <v>326</v>
      </c>
      <c r="K165" s="11">
        <v>1858.74</v>
      </c>
      <c r="L165">
        <f>K165/(1+$O$166)^M165</f>
        <v>1590.6108959808712</v>
      </c>
      <c r="M165">
        <v>1</v>
      </c>
      <c r="O165" t="s">
        <v>328</v>
      </c>
      <c r="Q165" t="s">
        <v>326</v>
      </c>
      <c r="T165" s="10">
        <v>920.24</v>
      </c>
      <c r="U165">
        <v>1</v>
      </c>
      <c r="V165">
        <f t="shared" ref="V165:V175" si="28">T165/(1+$X$165)^U165</f>
        <v>838.00763160492625</v>
      </c>
      <c r="X165">
        <v>9.8128424245474827E-2</v>
      </c>
      <c r="Z165">
        <f>X165-0.0493</f>
        <v>4.882842424547483E-2</v>
      </c>
    </row>
    <row r="166" spans="1:26" x14ac:dyDescent="0.2">
      <c r="A166" s="31">
        <v>10372.9</v>
      </c>
      <c r="B166">
        <f t="shared" si="27"/>
        <v>8240.3904410741343</v>
      </c>
      <c r="C166">
        <v>2</v>
      </c>
      <c r="E166">
        <v>0.12195696952509191</v>
      </c>
      <c r="G166">
        <f>E166-0.067</f>
        <v>5.4956969525091909E-2</v>
      </c>
      <c r="K166" s="11">
        <v>1997.47</v>
      </c>
      <c r="L166">
        <f t="shared" ref="L166:L175" si="29">K166/(1+$O$166)^M166</f>
        <v>1462.7526094763932</v>
      </c>
      <c r="M166">
        <v>2</v>
      </c>
      <c r="O166">
        <v>0.16856989015769525</v>
      </c>
      <c r="Q166" s="24">
        <f>O166-0.0688008</f>
        <v>9.976909015769525E-2</v>
      </c>
      <c r="T166" s="10">
        <v>890.57</v>
      </c>
      <c r="U166">
        <v>2</v>
      </c>
      <c r="V166">
        <f t="shared" si="28"/>
        <v>738.51920771364883</v>
      </c>
    </row>
    <row r="167" spans="1:26" x14ac:dyDescent="0.2">
      <c r="A167" s="31">
        <v>11430.65</v>
      </c>
      <c r="B167">
        <f t="shared" si="27"/>
        <v>8093.6109573037775</v>
      </c>
      <c r="C167">
        <v>3</v>
      </c>
      <c r="K167" s="11">
        <v>1971.2</v>
      </c>
      <c r="L167">
        <f t="shared" si="29"/>
        <v>1235.2834268247391</v>
      </c>
      <c r="M167">
        <v>3</v>
      </c>
      <c r="T167" s="10">
        <v>873.27</v>
      </c>
      <c r="U167">
        <v>3</v>
      </c>
      <c r="V167">
        <f t="shared" si="28"/>
        <v>659.46103759815026</v>
      </c>
    </row>
    <row r="168" spans="1:26" x14ac:dyDescent="0.2">
      <c r="A168" s="31">
        <v>12282.59</v>
      </c>
      <c r="B168">
        <f t="shared" si="27"/>
        <v>7751.4893058474172</v>
      </c>
      <c r="C168">
        <v>4</v>
      </c>
      <c r="K168" s="11">
        <v>1969.88</v>
      </c>
      <c r="L168">
        <f t="shared" si="29"/>
        <v>1056.3820260120108</v>
      </c>
      <c r="M168">
        <v>4</v>
      </c>
      <c r="T168" s="10">
        <v>864.15</v>
      </c>
      <c r="U168">
        <v>4</v>
      </c>
      <c r="V168">
        <f t="shared" si="28"/>
        <v>594.26014139428082</v>
      </c>
    </row>
    <row r="169" spans="1:26" x14ac:dyDescent="0.2">
      <c r="A169" s="31">
        <v>12962.08</v>
      </c>
      <c r="B169">
        <f t="shared" si="27"/>
        <v>7291.1107302311293</v>
      </c>
      <c r="C169">
        <v>5</v>
      </c>
      <c r="K169" s="11">
        <v>1984.43</v>
      </c>
      <c r="L169">
        <f t="shared" si="29"/>
        <v>910.6727143077818</v>
      </c>
      <c r="M169">
        <v>5</v>
      </c>
      <c r="T169" s="10">
        <v>860.56</v>
      </c>
      <c r="U169">
        <v>5</v>
      </c>
      <c r="V169">
        <f t="shared" si="28"/>
        <v>538.90906657524306</v>
      </c>
    </row>
    <row r="170" spans="1:26" x14ac:dyDescent="0.2">
      <c r="A170" s="31">
        <v>13504.87</v>
      </c>
      <c r="B170">
        <f t="shared" si="27"/>
        <v>6770.6942687042219</v>
      </c>
      <c r="C170">
        <v>6</v>
      </c>
      <c r="K170" s="11">
        <v>2010.3</v>
      </c>
      <c r="L170">
        <f t="shared" si="29"/>
        <v>789.46470978071352</v>
      </c>
      <c r="M170">
        <v>6</v>
      </c>
      <c r="T170" s="10">
        <v>860.76</v>
      </c>
      <c r="U170">
        <v>6</v>
      </c>
      <c r="V170">
        <f t="shared" si="28"/>
        <v>490.86636936831229</v>
      </c>
    </row>
    <row r="171" spans="1:26" x14ac:dyDescent="0.2">
      <c r="A171" s="31">
        <v>13943.28</v>
      </c>
      <c r="B171">
        <f t="shared" si="27"/>
        <v>6230.6239999587769</v>
      </c>
      <c r="C171">
        <v>7</v>
      </c>
      <c r="K171" s="11">
        <v>2044.44</v>
      </c>
      <c r="L171">
        <f t="shared" si="29"/>
        <v>687.05503409914888</v>
      </c>
      <c r="M171">
        <v>7</v>
      </c>
      <c r="T171" s="10">
        <v>863.61</v>
      </c>
      <c r="U171">
        <v>7</v>
      </c>
      <c r="V171">
        <f t="shared" si="28"/>
        <v>448.48273710507601</v>
      </c>
    </row>
    <row r="172" spans="1:26" x14ac:dyDescent="0.2">
      <c r="A172" s="31">
        <v>14304.04</v>
      </c>
      <c r="B172">
        <f t="shared" si="27"/>
        <v>5697.0379198388919</v>
      </c>
      <c r="C172">
        <v>8</v>
      </c>
      <c r="K172" s="11">
        <v>2084.81</v>
      </c>
      <c r="L172">
        <f t="shared" si="29"/>
        <v>599.55488552308589</v>
      </c>
      <c r="M172">
        <v>8</v>
      </c>
      <c r="T172" s="10">
        <v>868.34</v>
      </c>
      <c r="U172">
        <v>8</v>
      </c>
      <c r="V172">
        <f t="shared" si="28"/>
        <v>410.64330115679661</v>
      </c>
    </row>
    <row r="173" spans="1:26" x14ac:dyDescent="0.2">
      <c r="A173" s="31">
        <v>14608.17</v>
      </c>
      <c r="B173">
        <f t="shared" si="27"/>
        <v>5185.7312740383377</v>
      </c>
      <c r="C173">
        <v>9</v>
      </c>
      <c r="K173" s="11">
        <v>2130.02</v>
      </c>
      <c r="L173">
        <f t="shared" si="29"/>
        <v>524.19328600232211</v>
      </c>
      <c r="M173">
        <v>9</v>
      </c>
      <c r="T173" s="10">
        <v>874.4</v>
      </c>
      <c r="U173">
        <v>9</v>
      </c>
      <c r="V173">
        <f t="shared" si="28"/>
        <v>376.55806290098695</v>
      </c>
    </row>
    <row r="174" spans="1:26" x14ac:dyDescent="0.2">
      <c r="A174" s="31">
        <v>14871.6</v>
      </c>
      <c r="B174">
        <f t="shared" si="27"/>
        <v>4705.3906865216723</v>
      </c>
      <c r="C174">
        <v>10</v>
      </c>
      <c r="K174" s="11">
        <v>2179.09</v>
      </c>
      <c r="L174">
        <f t="shared" si="29"/>
        <v>458.9107683827865</v>
      </c>
      <c r="M174">
        <v>10</v>
      </c>
      <c r="T174" s="10">
        <v>881.43</v>
      </c>
      <c r="U174">
        <v>10</v>
      </c>
      <c r="V174">
        <f t="shared" si="28"/>
        <v>345.66586708069855</v>
      </c>
    </row>
    <row r="175" spans="1:26" x14ac:dyDescent="0.2">
      <c r="A175" s="27">
        <v>139204</v>
      </c>
      <c r="B175">
        <f t="shared" si="27"/>
        <v>44044.299545883623</v>
      </c>
      <c r="C175">
        <v>10</v>
      </c>
      <c r="K175">
        <v>52492.66</v>
      </c>
      <c r="L175">
        <f t="shared" si="29"/>
        <v>11054.819642628971</v>
      </c>
      <c r="M175">
        <v>10</v>
      </c>
      <c r="T175">
        <v>22955.72</v>
      </c>
      <c r="U175">
        <v>10</v>
      </c>
      <c r="V175">
        <f t="shared" si="28"/>
        <v>9002.4265775634303</v>
      </c>
    </row>
    <row r="176" spans="1:26" x14ac:dyDescent="0.2">
      <c r="A176" t="s">
        <v>323</v>
      </c>
      <c r="K176" s="1" t="s">
        <v>323</v>
      </c>
      <c r="L176" s="1" t="s">
        <v>324</v>
      </c>
      <c r="M176" s="1" t="s">
        <v>322</v>
      </c>
      <c r="T176" s="10" t="s">
        <v>323</v>
      </c>
      <c r="U176" s="10" t="s">
        <v>324</v>
      </c>
    </row>
    <row r="177" spans="1:26" x14ac:dyDescent="0.2">
      <c r="A177">
        <f>728*154</f>
        <v>112112</v>
      </c>
      <c r="B177">
        <f>SUM(B165:B175)</f>
        <v>112111.99999980624</v>
      </c>
      <c r="K177" s="1">
        <f>104.46*M177</f>
        <v>20369.699999999997</v>
      </c>
      <c r="L177">
        <f>SUM(L165:L175)</f>
        <v>20369.699999018823</v>
      </c>
      <c r="M177" s="1">
        <v>195</v>
      </c>
      <c r="T177">
        <f>54.3*T179</f>
        <v>14443.8</v>
      </c>
      <c r="U177">
        <f>SUM(V165:V175)</f>
        <v>14443.80000006155</v>
      </c>
    </row>
    <row r="178" spans="1:26" x14ac:dyDescent="0.2">
      <c r="T178" t="s">
        <v>322</v>
      </c>
    </row>
    <row r="179" spans="1:26" x14ac:dyDescent="0.2">
      <c r="T179">
        <v>266</v>
      </c>
    </row>
    <row r="180" spans="1:26" ht="31" x14ac:dyDescent="0.35">
      <c r="A180" s="16" t="s">
        <v>295</v>
      </c>
      <c r="K180" s="16" t="s">
        <v>290</v>
      </c>
      <c r="T180" s="29" t="s">
        <v>291</v>
      </c>
      <c r="X180" t="s">
        <v>329</v>
      </c>
      <c r="Z180" t="s">
        <v>326</v>
      </c>
    </row>
    <row r="181" spans="1:26" x14ac:dyDescent="0.2">
      <c r="A181" s="27">
        <v>51098.3</v>
      </c>
      <c r="B181">
        <f t="shared" ref="B181:B191" si="30">A181/(1+$E$182)^C181</f>
        <v>41505.298870363789</v>
      </c>
      <c r="C181">
        <v>1</v>
      </c>
      <c r="E181" t="s">
        <v>325</v>
      </c>
      <c r="G181" t="s">
        <v>326</v>
      </c>
      <c r="K181" s="13">
        <v>3741</v>
      </c>
      <c r="L181">
        <f>K181/(1+$O$182)^M181</f>
        <v>3218.1404550793773</v>
      </c>
      <c r="M181">
        <v>1</v>
      </c>
      <c r="O181" t="s">
        <v>328</v>
      </c>
      <c r="Q181" t="s">
        <v>326</v>
      </c>
      <c r="T181" s="27">
        <v>2485.06</v>
      </c>
      <c r="U181">
        <v>1</v>
      </c>
      <c r="V181">
        <f t="shared" ref="V181:V191" si="31">T181/(1+$X$181)^U181</f>
        <v>2238.1768913595702</v>
      </c>
      <c r="X181">
        <v>0.11030544975846916</v>
      </c>
      <c r="Z181">
        <f>X181-0.0589</f>
        <v>5.1405449758469161E-2</v>
      </c>
    </row>
    <row r="182" spans="1:26" x14ac:dyDescent="0.2">
      <c r="A182" s="27">
        <v>74496.850000000006</v>
      </c>
      <c r="B182">
        <f t="shared" si="30"/>
        <v>49150.970443314756</v>
      </c>
      <c r="C182">
        <v>2</v>
      </c>
      <c r="E182">
        <v>0.23112714257518444</v>
      </c>
      <c r="G182">
        <f>E182-0.1215</f>
        <v>0.10962714257518444</v>
      </c>
      <c r="K182" s="13">
        <v>4897</v>
      </c>
      <c r="L182">
        <f t="shared" ref="L182:L191" si="32">K182/(1+$O$182)^M182</f>
        <v>3623.803810800724</v>
      </c>
      <c r="M182">
        <v>2</v>
      </c>
      <c r="O182">
        <v>0.16247256831048587</v>
      </c>
      <c r="Q182" s="24">
        <f>O182-0.0841744</f>
        <v>7.8298168310485874E-2</v>
      </c>
      <c r="T182" s="27">
        <v>2510.7600000000002</v>
      </c>
      <c r="U182">
        <v>2</v>
      </c>
      <c r="V182">
        <f t="shared" si="31"/>
        <v>2036.6680857718841</v>
      </c>
    </row>
    <row r="183" spans="1:26" x14ac:dyDescent="0.2">
      <c r="A183" s="27">
        <v>78707.81</v>
      </c>
      <c r="B183">
        <f t="shared" si="30"/>
        <v>42180.246143109041</v>
      </c>
      <c r="C183">
        <v>3</v>
      </c>
      <c r="K183" s="11">
        <v>5203.13</v>
      </c>
      <c r="L183">
        <f t="shared" si="32"/>
        <v>3312.1998783162553</v>
      </c>
      <c r="M183">
        <v>3</v>
      </c>
      <c r="T183" s="27">
        <v>2536.84</v>
      </c>
      <c r="U183">
        <v>3</v>
      </c>
      <c r="V183">
        <f t="shared" si="31"/>
        <v>1853.3850793532463</v>
      </c>
    </row>
    <row r="184" spans="1:26" x14ac:dyDescent="0.2">
      <c r="A184" s="27">
        <v>102566.5</v>
      </c>
      <c r="B184">
        <f t="shared" si="30"/>
        <v>44647.167404318869</v>
      </c>
      <c r="C184">
        <v>4</v>
      </c>
      <c r="K184" s="11">
        <v>5474.52</v>
      </c>
      <c r="L184">
        <f t="shared" si="32"/>
        <v>2997.8865480867662</v>
      </c>
      <c r="M184">
        <v>4</v>
      </c>
      <c r="T184" s="27">
        <v>2563.2800000000002</v>
      </c>
      <c r="U184">
        <v>4</v>
      </c>
      <c r="V184">
        <f t="shared" si="31"/>
        <v>1686.65463071158</v>
      </c>
    </row>
    <row r="185" spans="1:26" x14ac:dyDescent="0.2">
      <c r="A185" s="27">
        <v>119474.09</v>
      </c>
      <c r="B185">
        <f t="shared" si="30"/>
        <v>42243.432526107303</v>
      </c>
      <c r="C185">
        <v>5</v>
      </c>
      <c r="K185" s="11">
        <v>5720.39</v>
      </c>
      <c r="L185">
        <f t="shared" si="32"/>
        <v>2694.7102364615339</v>
      </c>
      <c r="M185">
        <v>5</v>
      </c>
      <c r="T185" s="27">
        <v>2590.0500000000002</v>
      </c>
      <c r="U185">
        <v>5</v>
      </c>
      <c r="V185">
        <f t="shared" si="31"/>
        <v>1534.955504596667</v>
      </c>
    </row>
    <row r="186" spans="1:26" x14ac:dyDescent="0.2">
      <c r="A186" s="27">
        <v>135665.41</v>
      </c>
      <c r="B186">
        <f t="shared" si="30"/>
        <v>38962.93769416814</v>
      </c>
      <c r="C186">
        <v>6</v>
      </c>
      <c r="K186" s="11">
        <v>5948.28</v>
      </c>
      <c r="L186">
        <f t="shared" si="32"/>
        <v>2410.4333288572411</v>
      </c>
      <c r="M186">
        <v>6</v>
      </c>
      <c r="T186" s="27">
        <v>2617.14</v>
      </c>
      <c r="U186">
        <v>6</v>
      </c>
      <c r="V186">
        <f t="shared" si="31"/>
        <v>1396.9219009725066</v>
      </c>
    </row>
    <row r="187" spans="1:26" x14ac:dyDescent="0.2">
      <c r="A187" s="27">
        <v>151266.26999999999</v>
      </c>
      <c r="B187">
        <f t="shared" si="30"/>
        <v>35287.570111942885</v>
      </c>
      <c r="C187">
        <v>7</v>
      </c>
      <c r="K187" s="11">
        <v>6164.13</v>
      </c>
      <c r="L187">
        <f t="shared" si="32"/>
        <v>2148.7841705126789</v>
      </c>
      <c r="M187">
        <v>7</v>
      </c>
      <c r="T187" s="27">
        <v>2644.55</v>
      </c>
      <c r="U187">
        <v>7</v>
      </c>
      <c r="V187">
        <f t="shared" si="31"/>
        <v>1271.3188376459655</v>
      </c>
    </row>
    <row r="188" spans="1:26" x14ac:dyDescent="0.2">
      <c r="A188" s="27">
        <v>166487.67000000001</v>
      </c>
      <c r="B188">
        <f t="shared" si="30"/>
        <v>31547.05516179185</v>
      </c>
      <c r="C188">
        <v>8</v>
      </c>
      <c r="K188" s="11">
        <v>6372.48</v>
      </c>
      <c r="L188">
        <f t="shared" si="32"/>
        <v>1910.9387823437858</v>
      </c>
      <c r="M188">
        <v>8</v>
      </c>
      <c r="T188" s="27">
        <v>2672.27</v>
      </c>
      <c r="U188">
        <v>8</v>
      </c>
      <c r="V188">
        <f t="shared" si="31"/>
        <v>1157.0191957240061</v>
      </c>
    </row>
    <row r="189" spans="1:26" x14ac:dyDescent="0.2">
      <c r="A189" s="27">
        <v>181566.23</v>
      </c>
      <c r="B189">
        <f t="shared" si="30"/>
        <v>27945.309224146778</v>
      </c>
      <c r="C189">
        <v>9</v>
      </c>
      <c r="K189" s="11">
        <v>6576.79</v>
      </c>
      <c r="L189">
        <f t="shared" si="32"/>
        <v>1696.5612951060234</v>
      </c>
      <c r="M189">
        <v>9</v>
      </c>
      <c r="T189" s="27">
        <v>2700.3</v>
      </c>
      <c r="U189">
        <v>9</v>
      </c>
      <c r="V189">
        <f t="shared" si="31"/>
        <v>1053.0033989960612</v>
      </c>
    </row>
    <row r="190" spans="1:26" x14ac:dyDescent="0.2">
      <c r="A190" s="27">
        <v>196732.1</v>
      </c>
      <c r="B190">
        <f t="shared" si="30"/>
        <v>24594.962518664877</v>
      </c>
      <c r="C190">
        <v>10</v>
      </c>
      <c r="K190" s="11">
        <v>6779.63</v>
      </c>
      <c r="L190">
        <f t="shared" si="32"/>
        <v>1504.4538134871755</v>
      </c>
      <c r="M190">
        <v>10</v>
      </c>
      <c r="T190" s="27">
        <v>2728.62</v>
      </c>
      <c r="U190">
        <v>10</v>
      </c>
      <c r="V190">
        <f t="shared" si="31"/>
        <v>958.33719253706306</v>
      </c>
    </row>
    <row r="191" spans="1:26" x14ac:dyDescent="0.2">
      <c r="A191" s="27">
        <v>3859059</v>
      </c>
      <c r="B191">
        <f t="shared" si="30"/>
        <v>482450.04990195477</v>
      </c>
      <c r="C191">
        <v>10</v>
      </c>
      <c r="K191" s="11">
        <v>124065.8</v>
      </c>
      <c r="L191">
        <f t="shared" si="32"/>
        <v>27531.187680350879</v>
      </c>
      <c r="M191">
        <v>10</v>
      </c>
      <c r="T191" s="27">
        <v>57014.81</v>
      </c>
      <c r="U191">
        <v>10</v>
      </c>
      <c r="V191">
        <f t="shared" si="31"/>
        <v>20024.559282140446</v>
      </c>
    </row>
    <row r="192" spans="1:26" x14ac:dyDescent="0.2">
      <c r="A192" t="s">
        <v>323</v>
      </c>
      <c r="K192" s="1" t="s">
        <v>323</v>
      </c>
      <c r="L192" s="1" t="s">
        <v>324</v>
      </c>
      <c r="M192" s="1" t="s">
        <v>322</v>
      </c>
      <c r="T192" s="10" t="s">
        <v>323</v>
      </c>
      <c r="U192" s="10" t="s">
        <v>324</v>
      </c>
    </row>
    <row r="193" spans="1:26" x14ac:dyDescent="0.2">
      <c r="A193">
        <f>2638*326.2</f>
        <v>860515.6</v>
      </c>
      <c r="B193">
        <f>SUM(B181:B191)</f>
        <v>860514.99999988312</v>
      </c>
      <c r="K193">
        <f>31.39*M193</f>
        <v>53049.1</v>
      </c>
      <c r="L193">
        <f>SUM(L181:L191)</f>
        <v>53049.099999402446</v>
      </c>
      <c r="M193" s="1">
        <v>1690</v>
      </c>
      <c r="T193">
        <f>291*T195</f>
        <v>35211</v>
      </c>
      <c r="U193">
        <f>SUM(V181:V191)</f>
        <v>35210.999999808992</v>
      </c>
    </row>
    <row r="194" spans="1:26" x14ac:dyDescent="0.2">
      <c r="T194" t="s">
        <v>322</v>
      </c>
    </row>
    <row r="195" spans="1:26" x14ac:dyDescent="0.2">
      <c r="T195">
        <v>121</v>
      </c>
    </row>
    <row r="196" spans="1:26" ht="31" x14ac:dyDescent="0.35">
      <c r="A196" s="16" t="s">
        <v>297</v>
      </c>
      <c r="K196" s="16" t="s">
        <v>293</v>
      </c>
      <c r="T196" s="29" t="s">
        <v>294</v>
      </c>
      <c r="X196" t="s">
        <v>329</v>
      </c>
      <c r="Z196" t="s">
        <v>326</v>
      </c>
    </row>
    <row r="197" spans="1:26" x14ac:dyDescent="0.2">
      <c r="A197" s="27">
        <v>41866.67</v>
      </c>
      <c r="B197">
        <f t="shared" ref="B197:B207" si="33">A197/(1+$E$198)^C197</f>
        <v>34898.842371931678</v>
      </c>
      <c r="C197">
        <v>1</v>
      </c>
      <c r="E197" t="s">
        <v>325</v>
      </c>
      <c r="G197" t="s">
        <v>326</v>
      </c>
      <c r="K197" s="12">
        <v>686.37</v>
      </c>
      <c r="L197">
        <f>K197/(1+$O$198)^M197</f>
        <v>595.72562648053145</v>
      </c>
      <c r="M197">
        <v>1</v>
      </c>
      <c r="O197" t="s">
        <v>328</v>
      </c>
      <c r="Q197" t="s">
        <v>326</v>
      </c>
      <c r="T197" s="10">
        <v>458.59</v>
      </c>
      <c r="U197">
        <v>1</v>
      </c>
      <c r="V197">
        <f t="shared" ref="V197:V207" si="34">T197/(1+$X$197)^U197</f>
        <v>334.9981664220968</v>
      </c>
      <c r="X197">
        <v>0.36893286580613044</v>
      </c>
      <c r="Z197">
        <f>X197-0.0806</f>
        <v>0.28833286580613043</v>
      </c>
    </row>
    <row r="198" spans="1:26" x14ac:dyDescent="0.2">
      <c r="A198" s="27">
        <v>49362.45</v>
      </c>
      <c r="B198">
        <f t="shared" si="33"/>
        <v>34299.035743045191</v>
      </c>
      <c r="C198">
        <v>2</v>
      </c>
      <c r="E198">
        <v>0.19965784405709652</v>
      </c>
      <c r="G198">
        <f>E198-0.0632</f>
        <v>0.13645784405709652</v>
      </c>
      <c r="K198" s="12">
        <v>706.17</v>
      </c>
      <c r="L198">
        <f t="shared" ref="L198:L207" si="35">K198/(1+$O$198)^M198</f>
        <v>531.9676746110091</v>
      </c>
      <c r="M198">
        <v>2</v>
      </c>
      <c r="O198">
        <v>0.15215792218807789</v>
      </c>
      <c r="Q198" s="24">
        <f>O198-0.0483184</f>
        <v>0.10383952218807789</v>
      </c>
      <c r="T198" s="10">
        <v>637.13</v>
      </c>
      <c r="U198">
        <v>2</v>
      </c>
      <c r="V198">
        <f t="shared" si="34"/>
        <v>339.98812954142198</v>
      </c>
    </row>
    <row r="199" spans="1:26" x14ac:dyDescent="0.2">
      <c r="A199" s="27">
        <v>47477.69</v>
      </c>
      <c r="B199">
        <f t="shared" si="33"/>
        <v>27499.030731967821</v>
      </c>
      <c r="C199">
        <v>3</v>
      </c>
      <c r="K199" s="12">
        <v>721.09</v>
      </c>
      <c r="L199">
        <f t="shared" si="35"/>
        <v>471.46932507475208</v>
      </c>
      <c r="M199">
        <v>3</v>
      </c>
      <c r="T199" s="10">
        <v>816.12</v>
      </c>
      <c r="U199">
        <v>3</v>
      </c>
      <c r="V199">
        <f t="shared" si="34"/>
        <v>318.13215691545975</v>
      </c>
    </row>
    <row r="200" spans="1:26" x14ac:dyDescent="0.2">
      <c r="A200" s="27">
        <v>46620.13</v>
      </c>
      <c r="B200">
        <f t="shared" si="33"/>
        <v>22508.361836979533</v>
      </c>
      <c r="C200">
        <v>4</v>
      </c>
      <c r="K200" s="12">
        <v>732.42</v>
      </c>
      <c r="L200">
        <f t="shared" si="35"/>
        <v>415.63503998175031</v>
      </c>
      <c r="M200">
        <v>4</v>
      </c>
      <c r="T200" s="10">
        <v>983.47</v>
      </c>
      <c r="U200">
        <v>4</v>
      </c>
      <c r="V200">
        <f t="shared" si="34"/>
        <v>280.04802576985554</v>
      </c>
    </row>
    <row r="201" spans="1:26" x14ac:dyDescent="0.2">
      <c r="A201" s="27">
        <v>46357.96</v>
      </c>
      <c r="B201">
        <f t="shared" si="33"/>
        <v>18656.807317860086</v>
      </c>
      <c r="C201">
        <v>5</v>
      </c>
      <c r="K201" s="12">
        <v>741.16</v>
      </c>
      <c r="L201">
        <f t="shared" si="35"/>
        <v>365.04963690564347</v>
      </c>
      <c r="M201">
        <v>5</v>
      </c>
      <c r="T201" s="27">
        <v>1132.9000000000001</v>
      </c>
      <c r="U201">
        <v>5</v>
      </c>
      <c r="V201">
        <f t="shared" si="34"/>
        <v>235.65726078772261</v>
      </c>
    </row>
    <row r="202" spans="1:26" x14ac:dyDescent="0.2">
      <c r="A202" s="27">
        <v>46500.91</v>
      </c>
      <c r="B202">
        <f t="shared" si="33"/>
        <v>15599.729356906186</v>
      </c>
      <c r="C202">
        <v>6</v>
      </c>
      <c r="K202" s="12">
        <v>748.04</v>
      </c>
      <c r="L202">
        <f t="shared" si="35"/>
        <v>319.78107588778647</v>
      </c>
      <c r="M202">
        <v>6</v>
      </c>
      <c r="T202" s="27">
        <v>1262.9100000000001</v>
      </c>
      <c r="U202">
        <v>6</v>
      </c>
      <c r="V202">
        <f t="shared" si="34"/>
        <v>191.9019996858033</v>
      </c>
    </row>
    <row r="203" spans="1:26" x14ac:dyDescent="0.2">
      <c r="A203" s="27">
        <v>46927.71</v>
      </c>
      <c r="B203">
        <f t="shared" si="33"/>
        <v>13122.832201635345</v>
      </c>
      <c r="C203">
        <v>7</v>
      </c>
      <c r="K203" s="12">
        <v>753.6</v>
      </c>
      <c r="L203">
        <f t="shared" si="35"/>
        <v>279.61265110272939</v>
      </c>
      <c r="M203">
        <v>7</v>
      </c>
      <c r="T203" s="27">
        <v>1374.96</v>
      </c>
      <c r="U203">
        <v>7</v>
      </c>
      <c r="V203">
        <f t="shared" si="34"/>
        <v>152.62125197323027</v>
      </c>
    </row>
    <row r="204" spans="1:26" x14ac:dyDescent="0.2">
      <c r="A204" s="27">
        <v>47558.65</v>
      </c>
      <c r="B204">
        <f t="shared" si="33"/>
        <v>11085.884104794333</v>
      </c>
      <c r="C204">
        <v>8</v>
      </c>
      <c r="K204" s="12">
        <v>758.22</v>
      </c>
      <c r="L204">
        <f t="shared" si="35"/>
        <v>244.17385110473808</v>
      </c>
      <c r="M204">
        <v>8</v>
      </c>
      <c r="T204" s="27">
        <v>1471.91</v>
      </c>
      <c r="U204">
        <v>8</v>
      </c>
      <c r="V204">
        <f t="shared" si="34"/>
        <v>119.35044796286709</v>
      </c>
    </row>
    <row r="205" spans="1:26" x14ac:dyDescent="0.2">
      <c r="A205" s="27">
        <v>48340.11</v>
      </c>
      <c r="B205">
        <f t="shared" si="33"/>
        <v>9392.7129932878706</v>
      </c>
      <c r="C205">
        <v>9</v>
      </c>
      <c r="K205" s="12">
        <v>762.18</v>
      </c>
      <c r="L205">
        <f t="shared" si="35"/>
        <v>213.03426158028853</v>
      </c>
      <c r="M205">
        <v>9</v>
      </c>
      <c r="T205" s="27">
        <v>1556.93</v>
      </c>
      <c r="U205">
        <v>9</v>
      </c>
      <c r="V205">
        <f t="shared" si="34"/>
        <v>92.220980263321792</v>
      </c>
    </row>
    <row r="206" spans="1:26" x14ac:dyDescent="0.2">
      <c r="A206" s="27">
        <v>49235.46</v>
      </c>
      <c r="B206">
        <f t="shared" si="33"/>
        <v>7974.5102311299688</v>
      </c>
      <c r="C206">
        <v>10</v>
      </c>
      <c r="K206" s="12">
        <v>765.67</v>
      </c>
      <c r="L206">
        <f t="shared" si="35"/>
        <v>185.7468799476739</v>
      </c>
      <c r="M206">
        <v>10</v>
      </c>
      <c r="T206" s="27">
        <v>1632.95</v>
      </c>
      <c r="U206">
        <v>10</v>
      </c>
      <c r="V206">
        <f t="shared" si="34"/>
        <v>70.656380152554135</v>
      </c>
    </row>
    <row r="207" spans="1:26" x14ac:dyDescent="0.2">
      <c r="A207" s="27">
        <v>1264748.3600000001</v>
      </c>
      <c r="B207">
        <f t="shared" si="33"/>
        <v>204847.25311035683</v>
      </c>
      <c r="C207">
        <v>10</v>
      </c>
      <c r="K207" s="12">
        <v>16990.55</v>
      </c>
      <c r="L207">
        <f t="shared" si="35"/>
        <v>4121.8039770331225</v>
      </c>
      <c r="M207">
        <v>10</v>
      </c>
      <c r="T207" s="27">
        <v>31928.17</v>
      </c>
      <c r="U207">
        <v>10</v>
      </c>
      <c r="V207">
        <f t="shared" si="34"/>
        <v>1381.5052004625827</v>
      </c>
    </row>
    <row r="208" spans="1:26" x14ac:dyDescent="0.2">
      <c r="A208" t="s">
        <v>323</v>
      </c>
      <c r="K208" s="1" t="s">
        <v>323</v>
      </c>
      <c r="L208" s="1" t="s">
        <v>324</v>
      </c>
      <c r="M208" s="1" t="s">
        <v>322</v>
      </c>
      <c r="T208" s="10" t="s">
        <v>323</v>
      </c>
      <c r="U208" s="10" t="s">
        <v>324</v>
      </c>
    </row>
    <row r="209" spans="1:26" x14ac:dyDescent="0.2">
      <c r="A209">
        <f>91507*4.37</f>
        <v>399885.59</v>
      </c>
      <c r="B209">
        <f>SUM(B197:B207)</f>
        <v>399884.99999989482</v>
      </c>
      <c r="K209">
        <f>352*M209</f>
        <v>7744</v>
      </c>
      <c r="L209">
        <f>SUM(L197:L207)</f>
        <v>7743.9999997100249</v>
      </c>
      <c r="M209" s="1">
        <v>22</v>
      </c>
      <c r="T209">
        <f>11.13*T211</f>
        <v>3517.0800000000004</v>
      </c>
      <c r="U209">
        <f>SUM(V197:V207)</f>
        <v>3517.079999936916</v>
      </c>
    </row>
    <row r="210" spans="1:26" x14ac:dyDescent="0.2">
      <c r="T210" t="s">
        <v>322</v>
      </c>
    </row>
    <row r="211" spans="1:26" x14ac:dyDescent="0.2">
      <c r="T211">
        <v>316</v>
      </c>
    </row>
    <row r="212" spans="1:26" ht="31" x14ac:dyDescent="0.35">
      <c r="A212" s="16" t="s">
        <v>300</v>
      </c>
      <c r="K212" s="16" t="s">
        <v>296</v>
      </c>
      <c r="T212" s="29" t="s">
        <v>299</v>
      </c>
      <c r="X212" t="s">
        <v>329</v>
      </c>
      <c r="Z212" t="s">
        <v>326</v>
      </c>
    </row>
    <row r="213" spans="1:26" x14ac:dyDescent="0.2">
      <c r="A213" s="27">
        <v>4811.18</v>
      </c>
      <c r="B213">
        <f t="shared" ref="B213:B223" si="36">A213/(1+$E$214)^C213</f>
        <v>4057.7329659520192</v>
      </c>
      <c r="C213">
        <v>1</v>
      </c>
      <c r="E213" t="s">
        <v>325</v>
      </c>
      <c r="G213" t="s">
        <v>326</v>
      </c>
      <c r="K213" s="12">
        <v>529</v>
      </c>
      <c r="L213">
        <f>K213/(1+$O$214)^M213</f>
        <v>459.15415224659256</v>
      </c>
      <c r="M213">
        <v>1</v>
      </c>
      <c r="O213" t="s">
        <v>328</v>
      </c>
      <c r="Q213" t="s">
        <v>326</v>
      </c>
      <c r="T213" s="10">
        <v>612.22</v>
      </c>
      <c r="U213">
        <v>1</v>
      </c>
      <c r="V213">
        <f t="shared" ref="V213:V223" si="37">T213/(1+$X$213)^U213</f>
        <v>531.12214793948431</v>
      </c>
      <c r="X213">
        <v>0.15269152750481035</v>
      </c>
      <c r="Z213">
        <f>X213-0.0772</f>
        <v>7.5491527504810349E-2</v>
      </c>
    </row>
    <row r="214" spans="1:26" x14ac:dyDescent="0.2">
      <c r="A214" s="27">
        <v>4980.74</v>
      </c>
      <c r="B214">
        <f t="shared" si="36"/>
        <v>3542.8893386665191</v>
      </c>
      <c r="C214">
        <v>2</v>
      </c>
      <c r="E214">
        <v>0.18568176870436517</v>
      </c>
      <c r="G214">
        <f>E214-0.0806</f>
        <v>0.10508176870436517</v>
      </c>
      <c r="K214" s="12">
        <v>604</v>
      </c>
      <c r="L214">
        <f t="shared" ref="L214:L223" si="38">K214/(1+$O$214)^M214</f>
        <v>455.03272021352632</v>
      </c>
      <c r="M214">
        <v>2</v>
      </c>
      <c r="O214">
        <v>0.15211851490759504</v>
      </c>
      <c r="Q214" s="24">
        <f>O214-0.0666584</f>
        <v>8.5460114907595031E-2</v>
      </c>
      <c r="T214" s="10">
        <v>697.84</v>
      </c>
      <c r="U214">
        <v>2</v>
      </c>
      <c r="V214">
        <f t="shared" si="37"/>
        <v>525.20597405859814</v>
      </c>
    </row>
    <row r="215" spans="1:26" x14ac:dyDescent="0.2">
      <c r="A215" s="26">
        <v>5329</v>
      </c>
      <c r="B215">
        <f t="shared" si="36"/>
        <v>3196.9901183317802</v>
      </c>
      <c r="C215">
        <v>3</v>
      </c>
      <c r="K215" s="12">
        <v>631.07000000000005</v>
      </c>
      <c r="L215">
        <f t="shared" si="38"/>
        <v>412.65400761646157</v>
      </c>
      <c r="M215">
        <v>3</v>
      </c>
      <c r="T215" s="10">
        <v>655.29999999999995</v>
      </c>
      <c r="U215">
        <v>3</v>
      </c>
      <c r="V215">
        <f t="shared" si="37"/>
        <v>427.85919022206809</v>
      </c>
    </row>
    <row r="216" spans="1:26" x14ac:dyDescent="0.2">
      <c r="A216" s="26">
        <v>5546</v>
      </c>
      <c r="B216">
        <f t="shared" si="36"/>
        <v>2806.1268339699532</v>
      </c>
      <c r="C216">
        <v>4</v>
      </c>
      <c r="K216" s="12">
        <v>655.82</v>
      </c>
      <c r="L216">
        <f t="shared" si="38"/>
        <v>372.2168531567275</v>
      </c>
      <c r="M216">
        <v>4</v>
      </c>
      <c r="T216" s="10">
        <v>720.4</v>
      </c>
      <c r="U216">
        <v>4</v>
      </c>
      <c r="V216">
        <f t="shared" si="37"/>
        <v>408.05743943810506</v>
      </c>
    </row>
    <row r="217" spans="1:26" x14ac:dyDescent="0.2">
      <c r="A217" s="27">
        <v>5731.83</v>
      </c>
      <c r="B217">
        <f t="shared" si="36"/>
        <v>2445.9782484705752</v>
      </c>
      <c r="C217">
        <v>5</v>
      </c>
      <c r="K217" s="12">
        <v>678.98</v>
      </c>
      <c r="L217">
        <f t="shared" si="38"/>
        <v>334.48080692225187</v>
      </c>
      <c r="M217">
        <v>5</v>
      </c>
      <c r="T217" s="10">
        <v>747.24</v>
      </c>
      <c r="U217">
        <v>5</v>
      </c>
      <c r="V217">
        <f t="shared" si="37"/>
        <v>367.19318027379256</v>
      </c>
    </row>
    <row r="218" spans="1:26" x14ac:dyDescent="0.2">
      <c r="A218" s="27">
        <v>5911.33</v>
      </c>
      <c r="B218">
        <f t="shared" si="36"/>
        <v>2127.5332288608483</v>
      </c>
      <c r="C218">
        <v>6</v>
      </c>
      <c r="K218" s="12">
        <v>701.11</v>
      </c>
      <c r="L218">
        <f t="shared" si="38"/>
        <v>299.7803939329238</v>
      </c>
      <c r="M218">
        <v>6</v>
      </c>
      <c r="T218" s="10">
        <v>772.6</v>
      </c>
      <c r="U218">
        <v>6</v>
      </c>
      <c r="V218">
        <f t="shared" si="37"/>
        <v>329.36397670524786</v>
      </c>
    </row>
    <row r="219" spans="1:26" x14ac:dyDescent="0.2">
      <c r="A219" s="27">
        <v>6087.37</v>
      </c>
      <c r="B219">
        <f t="shared" si="36"/>
        <v>1847.7903932787067</v>
      </c>
      <c r="C219">
        <v>7</v>
      </c>
      <c r="K219" s="12">
        <v>722.61</v>
      </c>
      <c r="L219">
        <f t="shared" si="38"/>
        <v>268.17844969303019</v>
      </c>
      <c r="M219">
        <v>7</v>
      </c>
      <c r="T219" s="10">
        <v>797.03</v>
      </c>
      <c r="U219">
        <v>7</v>
      </c>
      <c r="V219">
        <f t="shared" si="37"/>
        <v>294.76978267627493</v>
      </c>
    </row>
    <row r="220" spans="1:26" x14ac:dyDescent="0.2">
      <c r="A220" s="27">
        <v>6262.11</v>
      </c>
      <c r="B220">
        <f t="shared" si="36"/>
        <v>1603.1551527407523</v>
      </c>
      <c r="C220">
        <v>8</v>
      </c>
      <c r="K220" s="12">
        <v>743.8</v>
      </c>
      <c r="L220">
        <f t="shared" si="38"/>
        <v>239.59564871199541</v>
      </c>
      <c r="M220">
        <v>8</v>
      </c>
      <c r="T220" s="10">
        <v>820.94</v>
      </c>
      <c r="U220">
        <v>8</v>
      </c>
      <c r="V220">
        <f t="shared" si="37"/>
        <v>263.39444340504934</v>
      </c>
    </row>
    <row r="221" spans="1:26" x14ac:dyDescent="0.2">
      <c r="A221" s="27">
        <v>6437.17</v>
      </c>
      <c r="B221">
        <f t="shared" si="36"/>
        <v>1389.894062289123</v>
      </c>
      <c r="C221">
        <v>9</v>
      </c>
      <c r="K221" s="12">
        <v>764.92</v>
      </c>
      <c r="L221">
        <f t="shared" si="38"/>
        <v>213.86593412228962</v>
      </c>
      <c r="M221">
        <v>9</v>
      </c>
      <c r="T221" s="10">
        <v>844.63</v>
      </c>
      <c r="U221">
        <v>9</v>
      </c>
      <c r="V221">
        <f t="shared" si="37"/>
        <v>235.09781543461068</v>
      </c>
    </row>
    <row r="222" spans="1:26" x14ac:dyDescent="0.2">
      <c r="A222" s="27">
        <v>6613.73</v>
      </c>
      <c r="B222">
        <f t="shared" si="36"/>
        <v>1204.3841739675161</v>
      </c>
      <c r="C222">
        <v>10</v>
      </c>
      <c r="K222" s="12">
        <v>786.13</v>
      </c>
      <c r="L222">
        <f t="shared" si="38"/>
        <v>190.77559234168152</v>
      </c>
      <c r="M222">
        <v>10</v>
      </c>
      <c r="T222" s="10">
        <v>868.33</v>
      </c>
      <c r="U222">
        <v>10</v>
      </c>
      <c r="V222">
        <f t="shared" si="37"/>
        <v>209.67844901326202</v>
      </c>
    </row>
    <row r="223" spans="1:26" x14ac:dyDescent="0.2">
      <c r="A223" s="27">
        <v>124778</v>
      </c>
      <c r="B223">
        <f t="shared" si="36"/>
        <v>22722.525482491536</v>
      </c>
      <c r="C223">
        <v>10</v>
      </c>
      <c r="K223">
        <v>19943</v>
      </c>
      <c r="L223">
        <f t="shared" si="38"/>
        <v>4839.7054406652269</v>
      </c>
      <c r="M223">
        <v>10</v>
      </c>
      <c r="T223" s="10">
        <v>17462.05</v>
      </c>
      <c r="U223">
        <v>10</v>
      </c>
      <c r="V223">
        <f t="shared" si="37"/>
        <v>4216.6175999816105</v>
      </c>
    </row>
    <row r="224" spans="1:26" x14ac:dyDescent="0.2">
      <c r="A224" t="s">
        <v>323</v>
      </c>
      <c r="K224" s="1" t="s">
        <v>323</v>
      </c>
      <c r="L224" s="1" t="s">
        <v>324</v>
      </c>
      <c r="M224" s="1" t="s">
        <v>322</v>
      </c>
      <c r="T224" s="10" t="s">
        <v>323</v>
      </c>
      <c r="U224" s="10" t="s">
        <v>324</v>
      </c>
    </row>
    <row r="225" spans="1:26" x14ac:dyDescent="0.2">
      <c r="A225">
        <f>1021*45.98</f>
        <v>46945.579999999994</v>
      </c>
      <c r="B225">
        <f>SUM(B213:B223)</f>
        <v>46944.999999019332</v>
      </c>
      <c r="K225">
        <f>45.94*M225</f>
        <v>8085.44</v>
      </c>
      <c r="L225">
        <f>SUM(L213:L223)</f>
        <v>8085.4399996227075</v>
      </c>
      <c r="M225" s="1">
        <v>176</v>
      </c>
      <c r="T225" s="10">
        <f>98.84*T227</f>
        <v>7808.3600000000006</v>
      </c>
      <c r="U225">
        <f>SUM(V213:V223)</f>
        <v>7808.3599991481042</v>
      </c>
    </row>
    <row r="226" spans="1:26" x14ac:dyDescent="0.2">
      <c r="T226" t="s">
        <v>322</v>
      </c>
    </row>
    <row r="227" spans="1:26" x14ac:dyDescent="0.2">
      <c r="T227">
        <v>79</v>
      </c>
    </row>
    <row r="228" spans="1:26" ht="31" x14ac:dyDescent="0.35">
      <c r="A228" s="16" t="s">
        <v>304</v>
      </c>
      <c r="K228" s="16" t="s">
        <v>298</v>
      </c>
      <c r="T228" s="29" t="s">
        <v>302</v>
      </c>
      <c r="X228" t="s">
        <v>329</v>
      </c>
      <c r="Z228" t="s">
        <v>326</v>
      </c>
    </row>
    <row r="229" spans="1:26" x14ac:dyDescent="0.2">
      <c r="A229" s="27">
        <v>2721.48</v>
      </c>
      <c r="B229">
        <f t="shared" ref="B229:B239" si="39">A229/(1+$E$230)^C229</f>
        <v>2357.9447629132587</v>
      </c>
      <c r="C229">
        <v>1</v>
      </c>
      <c r="E229" t="s">
        <v>325</v>
      </c>
      <c r="G229" t="s">
        <v>326</v>
      </c>
      <c r="K229" s="11">
        <v>1283.1400000000001</v>
      </c>
      <c r="L229">
        <f>K229/(1+$O$230)^M229</f>
        <v>974.46693275265034</v>
      </c>
      <c r="M229">
        <v>1</v>
      </c>
      <c r="O229" t="s">
        <v>328</v>
      </c>
      <c r="Q229" t="s">
        <v>326</v>
      </c>
      <c r="T229" s="27">
        <v>3607.55</v>
      </c>
      <c r="U229">
        <v>1</v>
      </c>
      <c r="V229">
        <f t="shared" ref="V229:V239" si="40">T229/(1+$X$229)^U229</f>
        <v>3221.2302330485859</v>
      </c>
      <c r="X229">
        <v>0.11992926273568452</v>
      </c>
      <c r="Z229">
        <f>X229-0.0541</f>
        <v>6.5829262735684513E-2</v>
      </c>
    </row>
    <row r="230" spans="1:26" x14ac:dyDescent="0.2">
      <c r="A230" s="27">
        <v>2992.85</v>
      </c>
      <c r="B230">
        <f t="shared" si="39"/>
        <v>2246.6835781830423</v>
      </c>
      <c r="C230">
        <v>2</v>
      </c>
      <c r="E230">
        <v>0.15417461969617588</v>
      </c>
      <c r="G230">
        <f>E230-0.0867</f>
        <v>6.747461969617588E-2</v>
      </c>
      <c r="K230" s="11">
        <v>1616.61</v>
      </c>
      <c r="L230">
        <f t="shared" ref="L230:L239" si="41">K230/(1+$O$230)^M230</f>
        <v>932.37664535332863</v>
      </c>
      <c r="M230">
        <v>2</v>
      </c>
      <c r="O230">
        <v>0.31676094577721331</v>
      </c>
      <c r="Q230" s="24">
        <f>O230-0.0591455</f>
        <v>0.25761544577721329</v>
      </c>
      <c r="T230" s="27">
        <v>3685.33</v>
      </c>
      <c r="U230">
        <v>2</v>
      </c>
      <c r="V230">
        <f t="shared" si="40"/>
        <v>2938.2936561325419</v>
      </c>
    </row>
    <row r="231" spans="1:26" x14ac:dyDescent="0.2">
      <c r="A231" s="27">
        <v>3044.5</v>
      </c>
      <c r="B231">
        <f t="shared" si="39"/>
        <v>1980.1651760356074</v>
      </c>
      <c r="C231">
        <v>3</v>
      </c>
      <c r="K231" s="11">
        <v>1915.79</v>
      </c>
      <c r="L231">
        <f t="shared" si="41"/>
        <v>839.12583133589419</v>
      </c>
      <c r="M231">
        <v>3</v>
      </c>
      <c r="T231" s="27">
        <v>3744.37</v>
      </c>
      <c r="U231">
        <v>3</v>
      </c>
      <c r="V231">
        <f t="shared" si="40"/>
        <v>2665.6736526284494</v>
      </c>
    </row>
    <row r="232" spans="1:26" x14ac:dyDescent="0.2">
      <c r="A232" s="27">
        <v>3043.5</v>
      </c>
      <c r="B232">
        <f t="shared" si="39"/>
        <v>1715.0912304821213</v>
      </c>
      <c r="C232">
        <v>4</v>
      </c>
      <c r="K232" s="11">
        <v>2170.02</v>
      </c>
      <c r="L232">
        <f t="shared" si="41"/>
        <v>721.83176177286396</v>
      </c>
      <c r="M232">
        <v>4</v>
      </c>
      <c r="T232" s="27">
        <v>3789.85</v>
      </c>
      <c r="U232">
        <v>4</v>
      </c>
      <c r="V232">
        <f t="shared" si="40"/>
        <v>2409.1267569146016</v>
      </c>
    </row>
    <row r="233" spans="1:26" x14ac:dyDescent="0.2">
      <c r="A233" s="27">
        <v>3066.78</v>
      </c>
      <c r="B233">
        <f t="shared" si="39"/>
        <v>1497.3558464365899</v>
      </c>
      <c r="C233">
        <v>5</v>
      </c>
      <c r="K233" s="11">
        <v>2378.42</v>
      </c>
      <c r="L233">
        <f t="shared" si="41"/>
        <v>600.83311692881023</v>
      </c>
      <c r="M233">
        <v>5</v>
      </c>
      <c r="T233" s="27">
        <v>3825.6</v>
      </c>
      <c r="U233">
        <v>5</v>
      </c>
      <c r="V233">
        <f t="shared" si="40"/>
        <v>2171.4338126584639</v>
      </c>
    </row>
    <row r="234" spans="1:26" x14ac:dyDescent="0.2">
      <c r="A234" s="27">
        <v>3107.3</v>
      </c>
      <c r="B234">
        <f t="shared" si="39"/>
        <v>1314.4802504783415</v>
      </c>
      <c r="C234">
        <v>6</v>
      </c>
      <c r="K234" s="11">
        <v>2545.81</v>
      </c>
      <c r="L234">
        <f t="shared" si="41"/>
        <v>488.40979486994667</v>
      </c>
      <c r="M234">
        <v>6</v>
      </c>
      <c r="T234" s="27">
        <v>3854.41</v>
      </c>
      <c r="U234">
        <v>6</v>
      </c>
      <c r="V234">
        <f t="shared" si="40"/>
        <v>1953.5042226028238</v>
      </c>
    </row>
    <row r="235" spans="1:26" x14ac:dyDescent="0.2">
      <c r="A235" s="27">
        <v>3160.47</v>
      </c>
      <c r="B235">
        <f t="shared" si="39"/>
        <v>1158.3799521330095</v>
      </c>
      <c r="C235">
        <v>7</v>
      </c>
      <c r="K235" s="11">
        <v>2679.24</v>
      </c>
      <c r="L235">
        <f t="shared" si="41"/>
        <v>390.35797655101402</v>
      </c>
      <c r="M235">
        <v>7</v>
      </c>
      <c r="T235" s="27">
        <v>3878.32</v>
      </c>
      <c r="U235">
        <v>7</v>
      </c>
      <c r="V235">
        <f t="shared" si="40"/>
        <v>1755.1308190205925</v>
      </c>
    </row>
    <row r="236" spans="1:26" x14ac:dyDescent="0.2">
      <c r="A236" s="27">
        <v>3223.16</v>
      </c>
      <c r="B236">
        <f t="shared" si="39"/>
        <v>1023.551514467649</v>
      </c>
      <c r="C236">
        <v>8</v>
      </c>
      <c r="K236" s="11">
        <v>2785.98</v>
      </c>
      <c r="L236">
        <f t="shared" si="41"/>
        <v>308.26377814737504</v>
      </c>
      <c r="M236">
        <v>8</v>
      </c>
      <c r="T236" s="27">
        <v>3898.76</v>
      </c>
      <c r="U236">
        <v>8</v>
      </c>
      <c r="V236">
        <f t="shared" si="40"/>
        <v>1575.4396143223094</v>
      </c>
    </row>
    <row r="237" spans="1:26" x14ac:dyDescent="0.2">
      <c r="A237" s="27">
        <v>3293.25</v>
      </c>
      <c r="B237">
        <f t="shared" si="39"/>
        <v>906.11020372572864</v>
      </c>
      <c r="C237">
        <v>9</v>
      </c>
      <c r="K237" s="11">
        <v>2872.45</v>
      </c>
      <c r="L237">
        <f t="shared" si="41"/>
        <v>241.3737530019209</v>
      </c>
      <c r="M237">
        <v>9</v>
      </c>
      <c r="T237" s="27">
        <v>3916.78</v>
      </c>
      <c r="U237">
        <v>9</v>
      </c>
      <c r="V237">
        <f t="shared" si="40"/>
        <v>1413.2332470576434</v>
      </c>
    </row>
    <row r="238" spans="1:26" x14ac:dyDescent="0.2">
      <c r="A238" s="27">
        <v>3369.27</v>
      </c>
      <c r="B238">
        <f t="shared" si="39"/>
        <v>803.19429601707577</v>
      </c>
      <c r="C238">
        <v>10</v>
      </c>
      <c r="K238" s="11">
        <v>2943.91</v>
      </c>
      <c r="L238">
        <f t="shared" si="41"/>
        <v>187.86901439110721</v>
      </c>
      <c r="M238">
        <v>10</v>
      </c>
      <c r="T238" s="27">
        <v>3933.09</v>
      </c>
      <c r="U238">
        <v>10</v>
      </c>
      <c r="V238">
        <f t="shared" si="40"/>
        <v>1267.1497995963525</v>
      </c>
    </row>
    <row r="239" spans="1:26" x14ac:dyDescent="0.2">
      <c r="A239" s="27">
        <v>44843</v>
      </c>
      <c r="B239">
        <f t="shared" si="39"/>
        <v>10690.043189264656</v>
      </c>
      <c r="C239">
        <v>10</v>
      </c>
      <c r="K239" s="27">
        <v>61137.99</v>
      </c>
      <c r="L239">
        <f t="shared" si="41"/>
        <v>3901.5913948297907</v>
      </c>
      <c r="M239">
        <v>10</v>
      </c>
      <c r="T239" s="27">
        <v>77301.64</v>
      </c>
      <c r="U239">
        <v>10</v>
      </c>
      <c r="V239">
        <f t="shared" si="40"/>
        <v>24904.784186090168</v>
      </c>
    </row>
    <row r="240" spans="1:26" x14ac:dyDescent="0.2">
      <c r="A240" t="s">
        <v>323</v>
      </c>
      <c r="K240" s="1" t="s">
        <v>323</v>
      </c>
      <c r="L240" s="1" t="s">
        <v>324</v>
      </c>
      <c r="M240" s="1" t="s">
        <v>322</v>
      </c>
      <c r="T240" s="10" t="s">
        <v>323</v>
      </c>
      <c r="U240" s="10" t="s">
        <v>324</v>
      </c>
    </row>
    <row r="241" spans="1:26" x14ac:dyDescent="0.2">
      <c r="A241">
        <f>879*29.23</f>
        <v>25693.170000000002</v>
      </c>
      <c r="B241">
        <f>SUM(B229:B239)</f>
        <v>25693.000000137079</v>
      </c>
      <c r="K241">
        <f>115.5*M241</f>
        <v>9586.5</v>
      </c>
      <c r="L241">
        <f>SUM(L229:L239)</f>
        <v>9586.4999999347019</v>
      </c>
      <c r="M241" s="1">
        <v>83</v>
      </c>
      <c r="T241">
        <f>3085*T243</f>
        <v>46275</v>
      </c>
      <c r="U241">
        <f>SUM(V229:V239)</f>
        <v>46275.000000072527</v>
      </c>
    </row>
    <row r="242" spans="1:26" x14ac:dyDescent="0.2">
      <c r="T242" t="s">
        <v>322</v>
      </c>
    </row>
    <row r="243" spans="1:26" x14ac:dyDescent="0.2">
      <c r="T243">
        <v>15</v>
      </c>
    </row>
    <row r="244" spans="1:26" ht="31" x14ac:dyDescent="0.35">
      <c r="A244" s="16" t="s">
        <v>307</v>
      </c>
      <c r="K244" s="16" t="s">
        <v>301</v>
      </c>
      <c r="T244" s="29" t="s">
        <v>306</v>
      </c>
      <c r="X244" t="s">
        <v>329</v>
      </c>
      <c r="Z244" t="s">
        <v>326</v>
      </c>
    </row>
    <row r="245" spans="1:26" x14ac:dyDescent="0.2">
      <c r="A245" s="17">
        <v>323.07</v>
      </c>
      <c r="B245">
        <f t="shared" ref="B245:B255" si="42">A245/(1+$E$246)^C245</f>
        <v>263.6738757600973</v>
      </c>
      <c r="C245">
        <v>1</v>
      </c>
      <c r="E245" t="s">
        <v>325</v>
      </c>
      <c r="G245" t="s">
        <v>326</v>
      </c>
      <c r="K245" s="12">
        <v>169.54</v>
      </c>
      <c r="L245">
        <f>K245/(1+$O$246)^M245</f>
        <v>131.30889618108174</v>
      </c>
      <c r="M245">
        <v>1</v>
      </c>
      <c r="O245" t="s">
        <v>328</v>
      </c>
      <c r="Q245" t="s">
        <v>326</v>
      </c>
      <c r="T245" s="26">
        <v>10900</v>
      </c>
      <c r="U245">
        <v>1</v>
      </c>
      <c r="V245">
        <f t="shared" ref="V245:V255" si="43">T245/(1+$X$245)^U245</f>
        <v>9290.2338495477143</v>
      </c>
      <c r="X245">
        <v>0.17327509474163083</v>
      </c>
      <c r="Z245">
        <f>X245-0.0617</f>
        <v>0.11157509474163083</v>
      </c>
    </row>
    <row r="246" spans="1:26" x14ac:dyDescent="0.2">
      <c r="A246" s="17">
        <v>397.9</v>
      </c>
      <c r="B246">
        <f t="shared" si="42"/>
        <v>265.04211085689178</v>
      </c>
      <c r="C246">
        <v>2</v>
      </c>
      <c r="E246">
        <v>0.22526359150553094</v>
      </c>
      <c r="G246">
        <v>0.1051</v>
      </c>
      <c r="K246" s="12">
        <v>189.88</v>
      </c>
      <c r="L246">
        <f t="shared" ref="L246:L255" si="44">K246/(1+$O$246)^M246</f>
        <v>113.89985376712961</v>
      </c>
      <c r="M246">
        <v>2</v>
      </c>
      <c r="O246">
        <v>0.2911539501953897</v>
      </c>
      <c r="Q246" s="24">
        <f>O246-0.05566</f>
        <v>0.23549395019538971</v>
      </c>
      <c r="T246" s="27">
        <v>11284.09</v>
      </c>
      <c r="U246">
        <v>2</v>
      </c>
      <c r="V246">
        <f t="shared" si="43"/>
        <v>8197.2246520180779</v>
      </c>
    </row>
    <row r="247" spans="1:26" x14ac:dyDescent="0.2">
      <c r="A247" s="17">
        <v>429</v>
      </c>
      <c r="B247">
        <f t="shared" si="42"/>
        <v>233.22156539415238</v>
      </c>
      <c r="C247">
        <v>3</v>
      </c>
      <c r="K247" s="12">
        <v>207.12</v>
      </c>
      <c r="L247">
        <f t="shared" si="44"/>
        <v>96.225007276654651</v>
      </c>
      <c r="M247">
        <v>3</v>
      </c>
      <c r="T247" s="27">
        <v>11572.91</v>
      </c>
      <c r="U247">
        <v>3</v>
      </c>
      <c r="V247">
        <f t="shared" si="43"/>
        <v>7165.442575612793</v>
      </c>
    </row>
    <row r="248" spans="1:26" x14ac:dyDescent="0.2">
      <c r="A248" s="17">
        <v>452.02</v>
      </c>
      <c r="B248">
        <f t="shared" si="42"/>
        <v>200.55779032955252</v>
      </c>
      <c r="C248">
        <v>4</v>
      </c>
      <c r="K248" s="12">
        <v>221.7</v>
      </c>
      <c r="L248">
        <f t="shared" si="44"/>
        <v>79.772569313123199</v>
      </c>
      <c r="M248">
        <v>4</v>
      </c>
      <c r="T248" s="27">
        <v>11791.03</v>
      </c>
      <c r="U248">
        <v>4</v>
      </c>
      <c r="V248">
        <f t="shared" si="43"/>
        <v>6222.3199200866957</v>
      </c>
    </row>
    <row r="249" spans="1:26" x14ac:dyDescent="0.2">
      <c r="A249" s="17">
        <v>471.34</v>
      </c>
      <c r="B249">
        <f t="shared" si="42"/>
        <v>170.68157976961069</v>
      </c>
      <c r="C249">
        <v>5</v>
      </c>
      <c r="K249" s="12">
        <v>234.13</v>
      </c>
      <c r="L249">
        <f t="shared" si="44"/>
        <v>65.247957882667478</v>
      </c>
      <c r="M249">
        <v>5</v>
      </c>
      <c r="T249" s="27">
        <v>11957.56</v>
      </c>
      <c r="U249">
        <v>5</v>
      </c>
      <c r="V249">
        <f t="shared" si="43"/>
        <v>5378.2787691381118</v>
      </c>
    </row>
    <row r="250" spans="1:26" x14ac:dyDescent="0.2">
      <c r="A250" s="17">
        <v>487.9</v>
      </c>
      <c r="B250">
        <f t="shared" si="42"/>
        <v>144.19614363002896</v>
      </c>
      <c r="C250">
        <v>6</v>
      </c>
      <c r="K250" s="12">
        <v>244.91</v>
      </c>
      <c r="L250">
        <f t="shared" si="44"/>
        <v>52.861361989114847</v>
      </c>
      <c r="M250">
        <v>6</v>
      </c>
      <c r="T250" s="27">
        <v>12086.89</v>
      </c>
      <c r="U250">
        <v>6</v>
      </c>
      <c r="V250">
        <f t="shared" si="43"/>
        <v>4633.5671159214426</v>
      </c>
    </row>
    <row r="251" spans="1:26" x14ac:dyDescent="0.2">
      <c r="A251" s="17">
        <v>502.42</v>
      </c>
      <c r="B251">
        <f t="shared" si="42"/>
        <v>121.1881674001874</v>
      </c>
      <c r="C251">
        <v>7</v>
      </c>
      <c r="K251" s="12">
        <v>254.47</v>
      </c>
      <c r="L251">
        <f t="shared" si="44"/>
        <v>42.539305166783038</v>
      </c>
      <c r="M251">
        <v>7</v>
      </c>
      <c r="T251" s="27">
        <v>12189.65</v>
      </c>
      <c r="U251">
        <v>7</v>
      </c>
      <c r="V251">
        <f t="shared" si="43"/>
        <v>3982.834609342518</v>
      </c>
    </row>
    <row r="252" spans="1:26" x14ac:dyDescent="0.2">
      <c r="A252" s="17">
        <v>515.5</v>
      </c>
      <c r="B252">
        <f t="shared" si="42"/>
        <v>101.4827996705118</v>
      </c>
      <c r="C252">
        <v>8</v>
      </c>
      <c r="K252" s="12">
        <v>263.16000000000003</v>
      </c>
      <c r="L252">
        <f t="shared" si="44"/>
        <v>34.07184501333046</v>
      </c>
      <c r="M252">
        <v>8</v>
      </c>
      <c r="T252" s="27">
        <v>12273.52</v>
      </c>
      <c r="U252">
        <v>8</v>
      </c>
      <c r="V252">
        <f t="shared" si="43"/>
        <v>3417.9863112110534</v>
      </c>
    </row>
    <row r="253" spans="1:26" x14ac:dyDescent="0.2">
      <c r="A253" s="17">
        <v>527.57000000000005</v>
      </c>
      <c r="B253">
        <f t="shared" si="42"/>
        <v>84.764564132684399</v>
      </c>
      <c r="C253">
        <v>9</v>
      </c>
      <c r="K253" s="12">
        <v>271.24</v>
      </c>
      <c r="L253">
        <f t="shared" si="44"/>
        <v>27.198908827438345</v>
      </c>
      <c r="M253">
        <v>9</v>
      </c>
      <c r="T253" s="27">
        <v>12344.05</v>
      </c>
      <c r="U253">
        <v>9</v>
      </c>
      <c r="V253">
        <f t="shared" si="43"/>
        <v>2929.9418742249086</v>
      </c>
    </row>
    <row r="254" spans="1:26" x14ac:dyDescent="0.2">
      <c r="A254" s="17">
        <v>538.95000000000005</v>
      </c>
      <c r="B254">
        <f t="shared" si="42"/>
        <v>70.672944996005896</v>
      </c>
      <c r="C254">
        <v>10</v>
      </c>
      <c r="K254" s="12">
        <v>278.92</v>
      </c>
      <c r="L254">
        <f t="shared" si="44"/>
        <v>21.662041015559407</v>
      </c>
      <c r="M254">
        <v>10</v>
      </c>
      <c r="T254" s="27">
        <v>12405.19</v>
      </c>
      <c r="U254">
        <v>10</v>
      </c>
      <c r="V254">
        <f t="shared" si="43"/>
        <v>2509.6022839135562</v>
      </c>
    </row>
    <row r="255" spans="1:26" x14ac:dyDescent="0.2">
      <c r="A255" s="17">
        <v>6242</v>
      </c>
      <c r="B255">
        <f t="shared" si="42"/>
        <v>818.51845749154609</v>
      </c>
      <c r="C255">
        <v>10</v>
      </c>
      <c r="K255" s="10">
        <v>8654.49</v>
      </c>
      <c r="L255">
        <f t="shared" si="44"/>
        <v>672.14225350906599</v>
      </c>
      <c r="M255">
        <v>10</v>
      </c>
      <c r="T255" s="27">
        <v>212189.89</v>
      </c>
      <c r="U255">
        <v>10</v>
      </c>
      <c r="V255">
        <f t="shared" si="43"/>
        <v>42926.568038648846</v>
      </c>
    </row>
    <row r="256" spans="1:26" x14ac:dyDescent="0.2">
      <c r="A256" t="s">
        <v>323</v>
      </c>
      <c r="K256" s="1" t="s">
        <v>323</v>
      </c>
      <c r="L256" s="1" t="s">
        <v>324</v>
      </c>
      <c r="M256" s="1" t="s">
        <v>322</v>
      </c>
      <c r="T256" s="10" t="s">
        <v>323</v>
      </c>
      <c r="U256" s="10" t="s">
        <v>324</v>
      </c>
    </row>
    <row r="257" spans="1:21" x14ac:dyDescent="0.2">
      <c r="A257">
        <f>711*3.48</f>
        <v>2474.2800000000002</v>
      </c>
      <c r="B257">
        <f>SUM(B245:B255)</f>
        <v>2473.9999994312693</v>
      </c>
      <c r="K257">
        <f>190.99*M257</f>
        <v>1336.93</v>
      </c>
      <c r="L257">
        <f>SUM(L245:L255)</f>
        <v>1336.9299999419488</v>
      </c>
      <c r="M257" s="1">
        <v>7</v>
      </c>
      <c r="T257">
        <f>1086*T259</f>
        <v>96654</v>
      </c>
      <c r="U257">
        <f>SUM(V245:V255)</f>
        <v>96653.999999665713</v>
      </c>
    </row>
    <row r="258" spans="1:21" x14ac:dyDescent="0.2">
      <c r="T258" t="s">
        <v>322</v>
      </c>
    </row>
    <row r="259" spans="1:21" x14ac:dyDescent="0.2">
      <c r="T259">
        <v>89</v>
      </c>
    </row>
    <row r="260" spans="1:21" ht="31" x14ac:dyDescent="0.35">
      <c r="K260" s="16" t="s">
        <v>303</v>
      </c>
    </row>
    <row r="261" spans="1:21" x14ac:dyDescent="0.2">
      <c r="K261" s="12">
        <v>312.13</v>
      </c>
      <c r="L261">
        <f>K261/(1+$O$262)^M261</f>
        <v>282.18590676951931</v>
      </c>
      <c r="M261">
        <v>1</v>
      </c>
      <c r="O261" t="s">
        <v>328</v>
      </c>
      <c r="Q261" t="s">
        <v>326</v>
      </c>
    </row>
    <row r="262" spans="1:21" x14ac:dyDescent="0.2">
      <c r="K262" s="12">
        <v>307.58999999999997</v>
      </c>
      <c r="L262">
        <f t="shared" ref="L262:L271" si="45">K262/(1+$O$262)^M262</f>
        <v>251.40379390510162</v>
      </c>
      <c r="M262">
        <v>2</v>
      </c>
      <c r="O262">
        <v>0.10611477225522137</v>
      </c>
      <c r="Q262" s="24">
        <f>O262-0.0537135</f>
        <v>5.2401272255221371E-2</v>
      </c>
    </row>
    <row r="263" spans="1:21" x14ac:dyDescent="0.2">
      <c r="K263" s="12">
        <v>305.43</v>
      </c>
      <c r="L263">
        <f t="shared" si="45"/>
        <v>225.6893755731715</v>
      </c>
      <c r="M263">
        <v>3</v>
      </c>
    </row>
    <row r="264" spans="1:21" x14ac:dyDescent="0.2">
      <c r="K264" s="12">
        <v>304.88</v>
      </c>
      <c r="L264">
        <f t="shared" si="45"/>
        <v>203.67051715720976</v>
      </c>
      <c r="M264">
        <v>4</v>
      </c>
    </row>
    <row r="265" spans="1:21" x14ac:dyDescent="0.2">
      <c r="K265" s="12">
        <v>305.47000000000003</v>
      </c>
      <c r="L265">
        <f t="shared" si="45"/>
        <v>184.48777915102914</v>
      </c>
      <c r="M265">
        <v>5</v>
      </c>
    </row>
    <row r="266" spans="1:21" x14ac:dyDescent="0.2">
      <c r="K266" s="12">
        <v>306.83999999999997</v>
      </c>
      <c r="L266">
        <f t="shared" si="45"/>
        <v>167.53703285475981</v>
      </c>
      <c r="M266">
        <v>6</v>
      </c>
    </row>
    <row r="267" spans="1:21" x14ac:dyDescent="0.2">
      <c r="K267" s="12">
        <v>308.77</v>
      </c>
      <c r="L267">
        <f t="shared" si="45"/>
        <v>152.41711993584346</v>
      </c>
      <c r="M267">
        <v>7</v>
      </c>
    </row>
    <row r="268" spans="1:21" x14ac:dyDescent="0.2">
      <c r="K268" s="12">
        <v>311.10000000000002</v>
      </c>
      <c r="L268">
        <f t="shared" si="45"/>
        <v>138.83484248405841</v>
      </c>
      <c r="M268">
        <v>8</v>
      </c>
    </row>
    <row r="269" spans="1:21" x14ac:dyDescent="0.2">
      <c r="K269" s="12">
        <v>313.73</v>
      </c>
      <c r="L269">
        <f t="shared" si="45"/>
        <v>126.57685998885151</v>
      </c>
      <c r="M269">
        <v>9</v>
      </c>
    </row>
    <row r="270" spans="1:21" x14ac:dyDescent="0.2">
      <c r="K270" s="12">
        <v>316.57</v>
      </c>
      <c r="L270">
        <f t="shared" si="45"/>
        <v>115.46964541692225</v>
      </c>
      <c r="M270">
        <v>10</v>
      </c>
    </row>
    <row r="271" spans="1:21" x14ac:dyDescent="0.2">
      <c r="K271">
        <v>7399.89</v>
      </c>
      <c r="L271">
        <f t="shared" si="45"/>
        <v>2699.1271264624847</v>
      </c>
      <c r="M271">
        <v>10</v>
      </c>
    </row>
    <row r="272" spans="1:21" x14ac:dyDescent="0.2">
      <c r="K272" s="1" t="s">
        <v>323</v>
      </c>
      <c r="L272" s="1" t="s">
        <v>324</v>
      </c>
      <c r="M272" s="1" t="s">
        <v>322</v>
      </c>
    </row>
    <row r="273" spans="11:17" x14ac:dyDescent="0.2">
      <c r="K273">
        <f>68.9*M273</f>
        <v>4547.4000000000005</v>
      </c>
      <c r="L273">
        <f>SUM(L261:L271)</f>
        <v>4547.3999996989514</v>
      </c>
      <c r="M273" s="1">
        <v>66</v>
      </c>
    </row>
    <row r="276" spans="11:17" ht="31" x14ac:dyDescent="0.35">
      <c r="K276" s="16" t="s">
        <v>305</v>
      </c>
    </row>
    <row r="277" spans="11:17" x14ac:dyDescent="0.2">
      <c r="K277" s="11">
        <v>2109.92</v>
      </c>
      <c r="L277">
        <f>K277/(1+$O$278)^M277</f>
        <v>1851.9578483653629</v>
      </c>
      <c r="M277">
        <v>1</v>
      </c>
      <c r="O277" s="1" t="s">
        <v>328</v>
      </c>
      <c r="Q277" t="s">
        <v>326</v>
      </c>
    </row>
    <row r="278" spans="11:17" x14ac:dyDescent="0.2">
      <c r="K278" s="11">
        <v>2139.81</v>
      </c>
      <c r="L278">
        <f t="shared" ref="L278:L287" si="46">K278/(1+$O$278)^M278</f>
        <v>1648.5625521466991</v>
      </c>
      <c r="M278">
        <v>2</v>
      </c>
      <c r="O278">
        <v>0.13929158909438913</v>
      </c>
      <c r="Q278" s="24">
        <f>O278-0.06784</f>
        <v>7.1451589094389131E-2</v>
      </c>
    </row>
    <row r="279" spans="11:17" x14ac:dyDescent="0.2">
      <c r="K279" s="13">
        <v>2179</v>
      </c>
      <c r="L279">
        <f t="shared" si="46"/>
        <v>1473.5081989368425</v>
      </c>
      <c r="M279">
        <v>3</v>
      </c>
    </row>
    <row r="280" spans="11:17" x14ac:dyDescent="0.2">
      <c r="K280" s="11">
        <v>2225.2399999999998</v>
      </c>
      <c r="L280">
        <f t="shared" si="46"/>
        <v>1320.8007088064835</v>
      </c>
      <c r="M280">
        <v>4</v>
      </c>
    </row>
    <row r="281" spans="11:17" x14ac:dyDescent="0.2">
      <c r="K281" s="11">
        <v>2276.98</v>
      </c>
      <c r="L281">
        <f t="shared" si="46"/>
        <v>1186.2733121093079</v>
      </c>
      <c r="M281">
        <v>5</v>
      </c>
    </row>
    <row r="282" spans="11:17" x14ac:dyDescent="0.2">
      <c r="K282" s="11">
        <v>2333.17</v>
      </c>
      <c r="L282">
        <f t="shared" si="46"/>
        <v>1066.9327262476349</v>
      </c>
      <c r="M282">
        <v>6</v>
      </c>
    </row>
    <row r="283" spans="11:17" x14ac:dyDescent="0.2">
      <c r="K283" s="11">
        <v>2393.0700000000002</v>
      </c>
      <c r="L283">
        <f t="shared" si="46"/>
        <v>960.53050984271329</v>
      </c>
      <c r="M283">
        <v>7</v>
      </c>
    </row>
    <row r="284" spans="11:17" x14ac:dyDescent="0.2">
      <c r="K284" s="11">
        <v>2456.1799999999998</v>
      </c>
      <c r="L284">
        <f t="shared" si="46"/>
        <v>865.32860683885121</v>
      </c>
      <c r="M284">
        <v>8</v>
      </c>
    </row>
    <row r="285" spans="11:17" x14ac:dyDescent="0.2">
      <c r="K285" s="11">
        <v>2522.16</v>
      </c>
      <c r="L285">
        <f t="shared" si="46"/>
        <v>779.93536483805201</v>
      </c>
      <c r="M285">
        <v>9</v>
      </c>
    </row>
    <row r="286" spans="11:17" x14ac:dyDescent="0.2">
      <c r="K286" s="11">
        <v>2590.77</v>
      </c>
      <c r="L286">
        <f t="shared" si="46"/>
        <v>703.20175778705595</v>
      </c>
      <c r="M286">
        <v>10</v>
      </c>
    </row>
    <row r="287" spans="11:17" x14ac:dyDescent="0.2">
      <c r="K287">
        <v>66850.13</v>
      </c>
      <c r="L287">
        <f t="shared" si="46"/>
        <v>18144.848413519227</v>
      </c>
      <c r="M287">
        <v>10</v>
      </c>
    </row>
    <row r="288" spans="11:17" x14ac:dyDescent="0.2">
      <c r="K288" s="1" t="s">
        <v>323</v>
      </c>
      <c r="L288" s="1" t="s">
        <v>324</v>
      </c>
      <c r="M288" s="1" t="s">
        <v>322</v>
      </c>
    </row>
    <row r="289" spans="11:17" x14ac:dyDescent="0.2">
      <c r="K289">
        <f>32.54*M289</f>
        <v>30001.88</v>
      </c>
      <c r="L289">
        <f>SUM(L277:L287)</f>
        <v>30001.879999438228</v>
      </c>
      <c r="M289" s="1">
        <v>922</v>
      </c>
    </row>
    <row r="292" spans="11:17" ht="31" x14ac:dyDescent="0.35">
      <c r="K292" s="16" t="s">
        <v>308</v>
      </c>
    </row>
    <row r="293" spans="11:17" x14ac:dyDescent="0.2">
      <c r="K293" s="10">
        <v>174.5</v>
      </c>
      <c r="L293">
        <f>K293/(1+$O$294)^M293</f>
        <v>146.28105975943566</v>
      </c>
      <c r="M293">
        <v>1</v>
      </c>
      <c r="O293" s="1" t="s">
        <v>328</v>
      </c>
      <c r="Q293" t="s">
        <v>326</v>
      </c>
    </row>
    <row r="294" spans="11:17" x14ac:dyDescent="0.2">
      <c r="K294" s="10">
        <v>205.88</v>
      </c>
      <c r="L294">
        <f t="shared" ref="L294:L303" si="47">K294/(1+$O$294)^M294</f>
        <v>144.67699942435473</v>
      </c>
      <c r="M294">
        <v>2</v>
      </c>
      <c r="O294">
        <v>0.19290904979066584</v>
      </c>
      <c r="Q294" s="24">
        <f>O294-0.05186</f>
        <v>0.14104904979066585</v>
      </c>
    </row>
    <row r="295" spans="11:17" x14ac:dyDescent="0.2">
      <c r="K295" s="10">
        <v>235.5</v>
      </c>
      <c r="L295">
        <f t="shared" si="47"/>
        <v>138.72952892893417</v>
      </c>
      <c r="M295">
        <v>3</v>
      </c>
    </row>
    <row r="296" spans="11:17" x14ac:dyDescent="0.2">
      <c r="K296" s="10">
        <v>247.95</v>
      </c>
      <c r="L296">
        <f t="shared" si="47"/>
        <v>122.44323052857258</v>
      </c>
      <c r="M296">
        <v>4</v>
      </c>
    </row>
    <row r="297" spans="11:17" x14ac:dyDescent="0.2">
      <c r="K297" s="10">
        <v>258.17</v>
      </c>
      <c r="L297">
        <f t="shared" si="47"/>
        <v>106.87327260701267</v>
      </c>
      <c r="M297">
        <v>5</v>
      </c>
    </row>
    <row r="298" spans="11:17" x14ac:dyDescent="0.2">
      <c r="K298" s="10">
        <v>266.70999999999998</v>
      </c>
      <c r="L298">
        <f t="shared" si="47"/>
        <v>92.554022759007722</v>
      </c>
      <c r="M298">
        <v>6</v>
      </c>
    </row>
    <row r="299" spans="11:17" x14ac:dyDescent="0.2">
      <c r="K299" s="10">
        <v>274.01</v>
      </c>
      <c r="L299">
        <f t="shared" si="47"/>
        <v>79.71041672860963</v>
      </c>
      <c r="M299">
        <v>7</v>
      </c>
    </row>
    <row r="300" spans="11:17" x14ac:dyDescent="0.2">
      <c r="K300" s="10">
        <v>280.42</v>
      </c>
      <c r="L300">
        <f t="shared" si="47"/>
        <v>68.383341527753913</v>
      </c>
      <c r="M300">
        <v>8</v>
      </c>
    </row>
    <row r="301" spans="11:17" x14ac:dyDescent="0.2">
      <c r="K301" s="10">
        <v>286.2</v>
      </c>
      <c r="L301">
        <f t="shared" si="47"/>
        <v>58.506434183049969</v>
      </c>
      <c r="M301">
        <v>9</v>
      </c>
    </row>
    <row r="302" spans="11:17" x14ac:dyDescent="0.2">
      <c r="K302" s="10">
        <v>291.55</v>
      </c>
      <c r="L302">
        <f t="shared" si="47"/>
        <v>49.961988240626802</v>
      </c>
      <c r="M302">
        <v>10</v>
      </c>
    </row>
    <row r="303" spans="11:17" x14ac:dyDescent="0.2">
      <c r="K303">
        <v>7829.87</v>
      </c>
      <c r="L303">
        <f t="shared" si="47"/>
        <v>1341.7797045640082</v>
      </c>
      <c r="M303">
        <v>10</v>
      </c>
    </row>
    <row r="304" spans="11:17" x14ac:dyDescent="0.2">
      <c r="K304" s="1" t="s">
        <v>323</v>
      </c>
      <c r="L304" s="1" t="s">
        <v>324</v>
      </c>
      <c r="M304" s="1" t="s">
        <v>322</v>
      </c>
    </row>
    <row r="305" spans="11:13" x14ac:dyDescent="0.2">
      <c r="K305">
        <f>67.14*M305</f>
        <v>2349.9</v>
      </c>
      <c r="L305">
        <f>SUM(L293:L303)</f>
        <v>2349.8999992513659</v>
      </c>
      <c r="M305" s="1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D7AF-899A-4FC6-9F9F-320F92025DD0}">
  <dimension ref="A1:B45"/>
  <sheetViews>
    <sheetView zoomScale="57" workbookViewId="0">
      <selection activeCell="C53" sqref="C53"/>
    </sheetView>
  </sheetViews>
  <sheetFormatPr baseColWidth="10" defaultColWidth="8.83203125" defaultRowHeight="24" x14ac:dyDescent="0.3"/>
  <cols>
    <col min="1" max="1" width="54.83203125" style="32" customWidth="1"/>
    <col min="2" max="2" width="45.83203125" style="33" customWidth="1"/>
  </cols>
  <sheetData>
    <row r="1" spans="1:2" s="38" customFormat="1" ht="46.5" customHeight="1" x14ac:dyDescent="0.3">
      <c r="A1" s="37" t="s">
        <v>330</v>
      </c>
      <c r="B1" s="37" t="s">
        <v>327</v>
      </c>
    </row>
    <row r="2" spans="1:2" s="36" customFormat="1" x14ac:dyDescent="0.3">
      <c r="A2" s="34" t="s">
        <v>331</v>
      </c>
      <c r="B2" s="35">
        <v>7.8E-2</v>
      </c>
    </row>
    <row r="3" spans="1:2" s="36" customFormat="1" x14ac:dyDescent="0.3">
      <c r="A3" s="34" t="s">
        <v>332</v>
      </c>
      <c r="B3" s="35">
        <v>4.0300000000000002E-2</v>
      </c>
    </row>
    <row r="4" spans="1:2" s="36" customFormat="1" x14ac:dyDescent="0.3">
      <c r="A4" s="34" t="s">
        <v>333</v>
      </c>
      <c r="B4" s="35">
        <v>1.7909999999999999E-2</v>
      </c>
    </row>
    <row r="5" spans="1:2" s="36" customFormat="1" x14ac:dyDescent="0.3">
      <c r="A5" s="34" t="s">
        <v>334</v>
      </c>
      <c r="B5" s="35">
        <v>6.3899999999999998E-2</v>
      </c>
    </row>
    <row r="6" spans="1:2" s="36" customFormat="1" x14ac:dyDescent="0.3">
      <c r="A6" s="34" t="s">
        <v>335</v>
      </c>
      <c r="B6" s="35">
        <v>7.0073999999999997E-2</v>
      </c>
    </row>
    <row r="7" spans="1:2" s="36" customFormat="1" x14ac:dyDescent="0.3">
      <c r="A7" s="34" t="s">
        <v>336</v>
      </c>
      <c r="B7" s="35">
        <v>0.21940000000000001</v>
      </c>
    </row>
    <row r="8" spans="1:2" s="36" customFormat="1" x14ac:dyDescent="0.3">
      <c r="A8" s="34" t="s">
        <v>337</v>
      </c>
      <c r="B8" s="35">
        <v>0.1128</v>
      </c>
    </row>
    <row r="9" spans="1:2" s="36" customFormat="1" x14ac:dyDescent="0.3">
      <c r="A9" s="34" t="s">
        <v>338</v>
      </c>
      <c r="B9" s="35">
        <v>3.1914400000000002E-2</v>
      </c>
    </row>
    <row r="10" spans="1:2" s="36" customFormat="1" x14ac:dyDescent="0.3">
      <c r="A10" s="34" t="s">
        <v>339</v>
      </c>
      <c r="B10" s="35">
        <v>7.7200000000000005E-2</v>
      </c>
    </row>
    <row r="11" spans="1:2" s="36" customFormat="1" x14ac:dyDescent="0.3">
      <c r="A11" s="34" t="s">
        <v>340</v>
      </c>
      <c r="B11" s="35">
        <v>9.06E-2</v>
      </c>
    </row>
    <row r="12" spans="1:2" s="36" customFormat="1" x14ac:dyDescent="0.3">
      <c r="A12" s="34" t="s">
        <v>341</v>
      </c>
      <c r="B12" s="35">
        <v>4.6300000000000001E-2</v>
      </c>
    </row>
    <row r="13" spans="1:2" s="36" customFormat="1" x14ac:dyDescent="0.3">
      <c r="A13" s="34" t="s">
        <v>342</v>
      </c>
      <c r="B13" s="35">
        <v>3.3500000000000002E-2</v>
      </c>
    </row>
    <row r="14" spans="1:2" s="36" customFormat="1" x14ac:dyDescent="0.3">
      <c r="A14" s="34" t="s">
        <v>343</v>
      </c>
      <c r="B14" s="35">
        <v>0.1389986</v>
      </c>
    </row>
    <row r="15" spans="1:2" s="36" customFormat="1" x14ac:dyDescent="0.3">
      <c r="A15" s="34" t="s">
        <v>344</v>
      </c>
      <c r="B15" s="35">
        <v>8.14E-2</v>
      </c>
    </row>
    <row r="16" spans="1:2" s="36" customFormat="1" x14ac:dyDescent="0.3">
      <c r="A16" s="34" t="s">
        <v>345</v>
      </c>
      <c r="B16" s="35">
        <v>4.9500000000000002E-2</v>
      </c>
    </row>
    <row r="17" spans="1:2" s="36" customFormat="1" x14ac:dyDescent="0.3">
      <c r="A17" s="34" t="s">
        <v>346</v>
      </c>
      <c r="B17" s="35">
        <v>4.1405499999999998E-2</v>
      </c>
    </row>
    <row r="18" spans="1:2" s="36" customFormat="1" x14ac:dyDescent="0.3">
      <c r="A18" s="34" t="s">
        <v>347</v>
      </c>
      <c r="B18" s="35">
        <v>3.8199999999999998E-2</v>
      </c>
    </row>
    <row r="19" spans="1:2" s="36" customFormat="1" x14ac:dyDescent="0.3">
      <c r="A19" s="34" t="s">
        <v>348</v>
      </c>
      <c r="B19" s="35">
        <v>8.1600000000000006E-2</v>
      </c>
    </row>
    <row r="20" spans="1:2" s="36" customFormat="1" x14ac:dyDescent="0.3">
      <c r="A20" s="34" t="s">
        <v>349</v>
      </c>
      <c r="B20" s="35">
        <v>4.8884799999999999E-2</v>
      </c>
    </row>
    <row r="21" spans="1:2" s="36" customFormat="1" x14ac:dyDescent="0.3">
      <c r="A21" s="34" t="s">
        <v>350</v>
      </c>
      <c r="B21" s="35">
        <v>4.3200000000000002E-2</v>
      </c>
    </row>
    <row r="22" spans="1:2" s="36" customFormat="1" x14ac:dyDescent="0.3">
      <c r="A22" s="34" t="s">
        <v>351</v>
      </c>
      <c r="B22" s="35">
        <v>0.1313</v>
      </c>
    </row>
    <row r="23" spans="1:2" s="36" customFormat="1" x14ac:dyDescent="0.3">
      <c r="A23" s="34" t="s">
        <v>352</v>
      </c>
      <c r="B23" s="35">
        <v>8.8733999999999993E-2</v>
      </c>
    </row>
    <row r="24" spans="1:2" s="36" customFormat="1" x14ac:dyDescent="0.3">
      <c r="A24" s="34" t="s">
        <v>353</v>
      </c>
      <c r="B24" s="35">
        <v>5.8659999999999997E-2</v>
      </c>
    </row>
    <row r="25" spans="1:2" s="36" customFormat="1" x14ac:dyDescent="0.3">
      <c r="A25" s="34" t="s">
        <v>354</v>
      </c>
      <c r="B25" s="35">
        <v>5.3199999999999997E-2</v>
      </c>
    </row>
    <row r="26" spans="1:2" s="36" customFormat="1" x14ac:dyDescent="0.3">
      <c r="A26" s="34" t="s">
        <v>355</v>
      </c>
      <c r="B26" s="35">
        <v>0.10709</v>
      </c>
    </row>
    <row r="27" spans="1:2" s="36" customFormat="1" x14ac:dyDescent="0.3">
      <c r="A27" s="34" t="s">
        <v>356</v>
      </c>
      <c r="B27" s="35">
        <v>5.4899999999999997E-2</v>
      </c>
    </row>
    <row r="28" spans="1:2" s="36" customFormat="1" x14ac:dyDescent="0.3">
      <c r="A28" s="34" t="s">
        <v>357</v>
      </c>
      <c r="B28" s="35">
        <v>9.98E-2</v>
      </c>
    </row>
    <row r="29" spans="1:2" s="36" customFormat="1" x14ac:dyDescent="0.3">
      <c r="A29" s="34" t="s">
        <v>358</v>
      </c>
      <c r="B29" s="35">
        <v>4.8828400000000001E-2</v>
      </c>
    </row>
    <row r="30" spans="1:2" s="36" customFormat="1" x14ac:dyDescent="0.3">
      <c r="A30" s="34" t="s">
        <v>359</v>
      </c>
      <c r="B30" s="35">
        <v>0.1096</v>
      </c>
    </row>
    <row r="31" spans="1:2" s="36" customFormat="1" x14ac:dyDescent="0.3">
      <c r="A31" s="34" t="s">
        <v>360</v>
      </c>
      <c r="B31" s="35">
        <v>7.8299999999999995E-2</v>
      </c>
    </row>
    <row r="32" spans="1:2" s="36" customFormat="1" x14ac:dyDescent="0.3">
      <c r="A32" s="34" t="s">
        <v>361</v>
      </c>
      <c r="B32" s="35">
        <v>5.1405399999999997E-2</v>
      </c>
    </row>
    <row r="33" spans="1:2" s="36" customFormat="1" x14ac:dyDescent="0.3">
      <c r="A33" s="34" t="s">
        <v>362</v>
      </c>
      <c r="B33" s="35">
        <v>0.13639999999999999</v>
      </c>
    </row>
    <row r="34" spans="1:2" s="36" customFormat="1" x14ac:dyDescent="0.3">
      <c r="A34" s="34" t="s">
        <v>363</v>
      </c>
      <c r="B34" s="35">
        <v>0.10390000000000001</v>
      </c>
    </row>
    <row r="35" spans="1:2" s="36" customFormat="1" x14ac:dyDescent="0.3">
      <c r="A35" s="34" t="s">
        <v>364</v>
      </c>
      <c r="B35" s="35">
        <v>0.105</v>
      </c>
    </row>
    <row r="36" spans="1:2" s="36" customFormat="1" x14ac:dyDescent="0.3">
      <c r="A36" s="34" t="s">
        <v>365</v>
      </c>
      <c r="B36" s="35">
        <v>8.5400000000000004E-2</v>
      </c>
    </row>
    <row r="37" spans="1:2" s="36" customFormat="1" x14ac:dyDescent="0.3">
      <c r="A37" s="34" t="s">
        <v>366</v>
      </c>
      <c r="B37" s="35">
        <v>7.5491500000000003E-2</v>
      </c>
    </row>
    <row r="38" spans="1:2" s="36" customFormat="1" x14ac:dyDescent="0.3">
      <c r="A38" s="34" t="s">
        <v>367</v>
      </c>
      <c r="B38" s="35">
        <v>6.7400000000000002E-2</v>
      </c>
    </row>
    <row r="39" spans="1:2" s="36" customFormat="1" x14ac:dyDescent="0.3">
      <c r="A39" s="34" t="s">
        <v>368</v>
      </c>
      <c r="B39" s="35">
        <v>6.5829299999999993E-2</v>
      </c>
    </row>
    <row r="40" spans="1:2" s="36" customFormat="1" x14ac:dyDescent="0.3">
      <c r="A40" s="34" t="s">
        <v>369</v>
      </c>
      <c r="B40" s="35">
        <v>0.1051</v>
      </c>
    </row>
    <row r="41" spans="1:2" s="36" customFormat="1" x14ac:dyDescent="0.3">
      <c r="A41" s="34" t="s">
        <v>370</v>
      </c>
      <c r="B41" s="35">
        <v>0.23549999999999999</v>
      </c>
    </row>
    <row r="42" spans="1:2" s="36" customFormat="1" x14ac:dyDescent="0.3">
      <c r="A42" s="34" t="s">
        <v>371</v>
      </c>
      <c r="B42" s="35">
        <v>0.1115751</v>
      </c>
    </row>
    <row r="43" spans="1:2" s="36" customFormat="1" x14ac:dyDescent="0.3">
      <c r="A43" s="34" t="s">
        <v>372</v>
      </c>
      <c r="B43" s="35">
        <v>5.2400000000000002E-2</v>
      </c>
    </row>
    <row r="44" spans="1:2" s="36" customFormat="1" x14ac:dyDescent="0.3">
      <c r="A44" s="34" t="s">
        <v>373</v>
      </c>
      <c r="B44" s="35">
        <v>7.1499999999999994E-2</v>
      </c>
    </row>
    <row r="45" spans="1:2" s="36" customFormat="1" x14ac:dyDescent="0.3">
      <c r="A45" s="34" t="s">
        <v>374</v>
      </c>
      <c r="B45" s="35">
        <v>0.14099999999999999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EAB2-15DF-E747-B982-E37AF4F8C923}">
  <dimension ref="A1:P57"/>
  <sheetViews>
    <sheetView tabSelected="1" workbookViewId="0"/>
  </sheetViews>
  <sheetFormatPr baseColWidth="10" defaultRowHeight="15" x14ac:dyDescent="0.2"/>
  <sheetData>
    <row r="1" spans="1:16" x14ac:dyDescent="0.2">
      <c r="A1" t="s">
        <v>376</v>
      </c>
    </row>
    <row r="2" spans="1:16" x14ac:dyDescent="0.2">
      <c r="A2" t="s">
        <v>377</v>
      </c>
    </row>
    <row r="4" spans="1:16" x14ac:dyDescent="0.2">
      <c r="A4" t="s">
        <v>378</v>
      </c>
    </row>
    <row r="5" spans="1:16" x14ac:dyDescent="0.2">
      <c r="A5" t="s">
        <v>379</v>
      </c>
    </row>
    <row r="6" spans="1:16" x14ac:dyDescent="0.2">
      <c r="A6">
        <v>0</v>
      </c>
    </row>
    <row r="7" spans="1:16" x14ac:dyDescent="0.2">
      <c r="A7">
        <v>0</v>
      </c>
    </row>
    <row r="9" spans="1:16" x14ac:dyDescent="0.2">
      <c r="E9" t="s">
        <v>380</v>
      </c>
      <c r="K9" t="s">
        <v>381</v>
      </c>
    </row>
    <row r="10" spans="1:16" x14ac:dyDescent="0.2">
      <c r="A10" t="s">
        <v>382</v>
      </c>
      <c r="B10" t="s">
        <v>383</v>
      </c>
      <c r="C10" t="s">
        <v>384</v>
      </c>
      <c r="D10" t="s">
        <v>385</v>
      </c>
      <c r="E10" t="s">
        <v>386</v>
      </c>
      <c r="F10" t="s">
        <v>387</v>
      </c>
      <c r="G10" t="s">
        <v>388</v>
      </c>
      <c r="H10" t="s">
        <v>389</v>
      </c>
      <c r="I10" t="s">
        <v>390</v>
      </c>
      <c r="J10" t="s">
        <v>391</v>
      </c>
      <c r="K10" t="s">
        <v>386</v>
      </c>
      <c r="L10" t="s">
        <v>388</v>
      </c>
      <c r="M10" t="s">
        <v>389</v>
      </c>
      <c r="N10" t="s">
        <v>390</v>
      </c>
      <c r="O10" t="s">
        <v>392</v>
      </c>
      <c r="P10" t="s">
        <v>393</v>
      </c>
    </row>
    <row r="11" spans="1:16" x14ac:dyDescent="0.2">
      <c r="A11" t="s">
        <v>394</v>
      </c>
    </row>
    <row r="12" spans="1:16" x14ac:dyDescent="0.2">
      <c r="A12" t="s">
        <v>395</v>
      </c>
      <c r="H12">
        <v>100652838.22</v>
      </c>
      <c r="J12">
        <v>100652838.22</v>
      </c>
    </row>
    <row r="13" spans="1:16" x14ac:dyDescent="0.2">
      <c r="A13" t="s">
        <v>396</v>
      </c>
    </row>
    <row r="14" spans="1:16" x14ac:dyDescent="0.2">
      <c r="A14" t="s">
        <v>397</v>
      </c>
      <c r="B14" t="s">
        <v>60</v>
      </c>
      <c r="C14" t="s">
        <v>398</v>
      </c>
      <c r="D14">
        <v>30892</v>
      </c>
      <c r="E14">
        <v>49.3</v>
      </c>
      <c r="F14" t="s">
        <v>399</v>
      </c>
      <c r="G14">
        <v>0.13919999999999999</v>
      </c>
      <c r="H14">
        <v>211992.54</v>
      </c>
      <c r="J14">
        <v>211992.54</v>
      </c>
      <c r="L14">
        <v>0.13919999999999999</v>
      </c>
      <c r="P14" t="s">
        <v>400</v>
      </c>
    </row>
    <row r="15" spans="1:16" x14ac:dyDescent="0.2">
      <c r="A15" t="s">
        <v>401</v>
      </c>
      <c r="B15" t="s">
        <v>402</v>
      </c>
      <c r="C15" t="s">
        <v>403</v>
      </c>
      <c r="D15">
        <v>1395185.4</v>
      </c>
      <c r="E15">
        <v>116.45</v>
      </c>
      <c r="F15" t="s">
        <v>399</v>
      </c>
      <c r="G15">
        <v>3.1130000000000001E-2</v>
      </c>
      <c r="H15">
        <v>5058356.1100000003</v>
      </c>
      <c r="J15">
        <v>5058356.1100000003</v>
      </c>
      <c r="L15">
        <v>3.1199999999999999E-2</v>
      </c>
      <c r="P15" t="s">
        <v>404</v>
      </c>
    </row>
    <row r="16" spans="1:16" x14ac:dyDescent="0.2">
      <c r="A16" t="s">
        <v>405</v>
      </c>
      <c r="B16" t="s">
        <v>406</v>
      </c>
      <c r="C16" t="s">
        <v>407</v>
      </c>
      <c r="D16">
        <v>32935</v>
      </c>
      <c r="E16">
        <v>547</v>
      </c>
      <c r="F16" t="s">
        <v>399</v>
      </c>
      <c r="G16">
        <v>6.5500000000000003E-3</v>
      </c>
      <c r="H16">
        <v>118010.25</v>
      </c>
      <c r="J16">
        <v>118010.25</v>
      </c>
      <c r="L16">
        <v>6.5500000000000003E-3</v>
      </c>
      <c r="P16" t="s">
        <v>400</v>
      </c>
    </row>
    <row r="17" spans="1:16" x14ac:dyDescent="0.2">
      <c r="A17" t="s">
        <v>408</v>
      </c>
      <c r="B17" t="s">
        <v>62</v>
      </c>
      <c r="C17" t="s">
        <v>409</v>
      </c>
      <c r="D17">
        <v>287789</v>
      </c>
      <c r="E17">
        <v>16.600000000000001</v>
      </c>
      <c r="F17" t="s">
        <v>399</v>
      </c>
      <c r="G17">
        <v>0.13919999999999999</v>
      </c>
      <c r="H17">
        <v>664982.03</v>
      </c>
      <c r="J17">
        <v>664982.03</v>
      </c>
      <c r="L17">
        <v>0.13919999999999999</v>
      </c>
      <c r="P17" t="s">
        <v>400</v>
      </c>
    </row>
    <row r="18" spans="1:16" x14ac:dyDescent="0.2">
      <c r="A18" t="s">
        <v>410</v>
      </c>
      <c r="B18" t="s">
        <v>50</v>
      </c>
      <c r="C18" t="s">
        <v>411</v>
      </c>
      <c r="D18">
        <v>46528</v>
      </c>
      <c r="E18">
        <v>41.07</v>
      </c>
      <c r="F18" t="s">
        <v>399</v>
      </c>
      <c r="G18">
        <v>0.13919999999999999</v>
      </c>
      <c r="H18">
        <v>265990.86</v>
      </c>
      <c r="J18">
        <v>265990.86</v>
      </c>
      <c r="L18">
        <v>0.13919999999999999</v>
      </c>
      <c r="P18" t="s">
        <v>400</v>
      </c>
    </row>
    <row r="19" spans="1:16" x14ac:dyDescent="0.2">
      <c r="A19" t="s">
        <v>412</v>
      </c>
      <c r="B19" t="s">
        <v>413</v>
      </c>
      <c r="C19" t="s">
        <v>414</v>
      </c>
      <c r="D19">
        <v>10718</v>
      </c>
      <c r="E19">
        <v>4145</v>
      </c>
      <c r="F19" t="s">
        <v>399</v>
      </c>
      <c r="G19">
        <v>6.5500000000000003E-3</v>
      </c>
      <c r="H19">
        <v>291013.43</v>
      </c>
      <c r="J19">
        <v>291013.43</v>
      </c>
      <c r="L19">
        <v>6.5500000000000003E-3</v>
      </c>
      <c r="P19" t="s">
        <v>400</v>
      </c>
    </row>
    <row r="20" spans="1:16" x14ac:dyDescent="0.2">
      <c r="A20" t="s">
        <v>415</v>
      </c>
      <c r="B20" t="s">
        <v>166</v>
      </c>
      <c r="C20" t="s">
        <v>416</v>
      </c>
      <c r="D20">
        <v>59720</v>
      </c>
      <c r="E20">
        <v>291</v>
      </c>
      <c r="F20" t="s">
        <v>399</v>
      </c>
      <c r="G20">
        <v>3.1130000000000001E-2</v>
      </c>
      <c r="H20">
        <v>541066.66</v>
      </c>
      <c r="J20">
        <v>541066.66</v>
      </c>
      <c r="L20">
        <v>3.1130000000000001E-2</v>
      </c>
      <c r="P20" t="s">
        <v>400</v>
      </c>
    </row>
    <row r="21" spans="1:16" x14ac:dyDescent="0.2">
      <c r="A21" t="s">
        <v>417</v>
      </c>
      <c r="B21" t="s">
        <v>74</v>
      </c>
      <c r="C21" t="s">
        <v>418</v>
      </c>
      <c r="D21">
        <v>36081</v>
      </c>
      <c r="E21">
        <v>487</v>
      </c>
      <c r="F21" t="s">
        <v>399</v>
      </c>
      <c r="G21">
        <v>3.1130000000000001E-2</v>
      </c>
      <c r="H21">
        <v>547073.29</v>
      </c>
      <c r="J21">
        <v>547073.29</v>
      </c>
      <c r="L21">
        <v>3.1130000000000001E-2</v>
      </c>
      <c r="P21" t="s">
        <v>400</v>
      </c>
    </row>
    <row r="22" spans="1:16" x14ac:dyDescent="0.2">
      <c r="A22" t="s">
        <v>419</v>
      </c>
      <c r="B22" t="s">
        <v>420</v>
      </c>
      <c r="C22" t="s">
        <v>421</v>
      </c>
      <c r="D22">
        <v>74620</v>
      </c>
      <c r="E22">
        <v>32.54</v>
      </c>
      <c r="F22" t="s">
        <v>399</v>
      </c>
      <c r="G22">
        <v>0.13919999999999999</v>
      </c>
      <c r="H22">
        <v>337987.33</v>
      </c>
      <c r="J22">
        <v>337987.33</v>
      </c>
      <c r="L22">
        <v>0.13919999999999999</v>
      </c>
      <c r="P22" t="s">
        <v>400</v>
      </c>
    </row>
    <row r="23" spans="1:16" x14ac:dyDescent="0.2">
      <c r="A23" t="s">
        <v>422</v>
      </c>
      <c r="B23" t="s">
        <v>134</v>
      </c>
      <c r="C23" t="s">
        <v>423</v>
      </c>
      <c r="D23">
        <v>66540</v>
      </c>
      <c r="E23">
        <v>23.32</v>
      </c>
      <c r="F23" t="s">
        <v>399</v>
      </c>
      <c r="G23">
        <v>0.13919999999999999</v>
      </c>
      <c r="H23">
        <v>215992.65</v>
      </c>
      <c r="J23">
        <v>215992.65</v>
      </c>
      <c r="L23">
        <v>0.13919999999999999</v>
      </c>
      <c r="P23" t="s">
        <v>400</v>
      </c>
    </row>
    <row r="24" spans="1:16" x14ac:dyDescent="0.2">
      <c r="A24" t="s">
        <v>424</v>
      </c>
      <c r="B24" t="s">
        <v>425</v>
      </c>
      <c r="C24" t="s">
        <v>426</v>
      </c>
      <c r="D24">
        <v>48998</v>
      </c>
      <c r="E24">
        <v>1533</v>
      </c>
      <c r="F24" t="s">
        <v>399</v>
      </c>
      <c r="G24">
        <v>6.5500000000000003E-3</v>
      </c>
      <c r="H24">
        <v>492034.15</v>
      </c>
      <c r="J24">
        <v>492034.15</v>
      </c>
      <c r="L24">
        <v>6.5500000000000003E-3</v>
      </c>
      <c r="P24" t="s">
        <v>400</v>
      </c>
    </row>
    <row r="25" spans="1:16" x14ac:dyDescent="0.2">
      <c r="A25" t="s">
        <v>427</v>
      </c>
      <c r="B25" t="s">
        <v>226</v>
      </c>
      <c r="C25" t="s">
        <v>428</v>
      </c>
      <c r="D25">
        <v>127226</v>
      </c>
      <c r="E25">
        <v>1086</v>
      </c>
      <c r="F25" t="s">
        <v>399</v>
      </c>
      <c r="G25">
        <v>6.5500000000000003E-3</v>
      </c>
      <c r="H25">
        <v>905066.4</v>
      </c>
      <c r="J25">
        <v>905066.4</v>
      </c>
      <c r="L25">
        <v>6.5500000000000003E-3</v>
      </c>
      <c r="P25" t="s">
        <v>400</v>
      </c>
    </row>
    <row r="26" spans="1:16" x14ac:dyDescent="0.2">
      <c r="A26" t="s">
        <v>429</v>
      </c>
      <c r="B26" t="s">
        <v>430</v>
      </c>
      <c r="C26" t="s">
        <v>431</v>
      </c>
      <c r="D26">
        <v>8355</v>
      </c>
      <c r="E26">
        <v>2739.5</v>
      </c>
      <c r="F26" t="s">
        <v>399</v>
      </c>
      <c r="G26">
        <v>6.5500000000000003E-3</v>
      </c>
      <c r="H26">
        <v>149931.37</v>
      </c>
      <c r="J26">
        <v>149931.37</v>
      </c>
      <c r="L26">
        <v>6.5500000000000003E-3</v>
      </c>
      <c r="P26" t="s">
        <v>400</v>
      </c>
    </row>
    <row r="27" spans="1:16" x14ac:dyDescent="0.2">
      <c r="A27" t="s">
        <v>432</v>
      </c>
      <c r="B27" t="s">
        <v>172</v>
      </c>
      <c r="C27" t="s">
        <v>433</v>
      </c>
      <c r="D27">
        <v>127515</v>
      </c>
      <c r="E27">
        <v>352</v>
      </c>
      <c r="F27" t="s">
        <v>399</v>
      </c>
      <c r="G27">
        <v>6.5500000000000003E-3</v>
      </c>
      <c r="H27">
        <v>294021.21999999997</v>
      </c>
      <c r="J27">
        <v>294021.21999999997</v>
      </c>
      <c r="L27">
        <v>6.5500000000000003E-3</v>
      </c>
      <c r="P27" t="s">
        <v>400</v>
      </c>
    </row>
    <row r="28" spans="1:16" x14ac:dyDescent="0.2">
      <c r="A28" t="s">
        <v>434</v>
      </c>
      <c r="B28" t="s">
        <v>435</v>
      </c>
      <c r="C28" t="s">
        <v>436</v>
      </c>
      <c r="D28">
        <v>30484</v>
      </c>
      <c r="E28">
        <v>3085</v>
      </c>
      <c r="F28" t="s">
        <v>399</v>
      </c>
      <c r="G28">
        <v>6.5500000000000003E-3</v>
      </c>
      <c r="H28">
        <v>616030</v>
      </c>
      <c r="J28">
        <v>616030</v>
      </c>
      <c r="L28">
        <v>6.5500000000000003E-3</v>
      </c>
      <c r="P28" t="s">
        <v>400</v>
      </c>
    </row>
    <row r="29" spans="1:16" x14ac:dyDescent="0.2">
      <c r="A29" t="s">
        <v>437</v>
      </c>
      <c r="B29" t="s">
        <v>146</v>
      </c>
      <c r="C29" t="s">
        <v>354</v>
      </c>
      <c r="D29">
        <v>700</v>
      </c>
      <c r="E29">
        <v>118.96</v>
      </c>
      <c r="F29" t="s">
        <v>399</v>
      </c>
      <c r="G29">
        <v>1</v>
      </c>
      <c r="H29">
        <v>83272</v>
      </c>
      <c r="J29">
        <v>83272</v>
      </c>
      <c r="L29">
        <v>1</v>
      </c>
      <c r="P29" t="s">
        <v>400</v>
      </c>
    </row>
    <row r="30" spans="1:16" x14ac:dyDescent="0.2">
      <c r="A30" t="s">
        <v>438</v>
      </c>
      <c r="B30" t="s">
        <v>196</v>
      </c>
      <c r="C30" t="s">
        <v>439</v>
      </c>
      <c r="D30">
        <v>1082</v>
      </c>
      <c r="E30">
        <v>98.84</v>
      </c>
      <c r="F30" t="s">
        <v>399</v>
      </c>
      <c r="G30">
        <v>1</v>
      </c>
      <c r="H30">
        <v>106944.88</v>
      </c>
      <c r="J30">
        <v>106944.88</v>
      </c>
      <c r="L30">
        <v>1</v>
      </c>
      <c r="P30" t="s">
        <v>400</v>
      </c>
    </row>
    <row r="31" spans="1:16" x14ac:dyDescent="0.2">
      <c r="A31" t="s">
        <v>440</v>
      </c>
      <c r="B31" t="s">
        <v>441</v>
      </c>
      <c r="C31" t="s">
        <v>442</v>
      </c>
      <c r="D31">
        <v>64858.46</v>
      </c>
      <c r="E31">
        <v>74.3</v>
      </c>
      <c r="F31" t="s">
        <v>399</v>
      </c>
      <c r="G31">
        <v>1</v>
      </c>
      <c r="H31">
        <v>4818983.58</v>
      </c>
      <c r="J31">
        <v>4818983.58</v>
      </c>
      <c r="L31">
        <v>1</v>
      </c>
      <c r="P31" t="s">
        <v>404</v>
      </c>
    </row>
    <row r="32" spans="1:16" x14ac:dyDescent="0.2">
      <c r="A32" t="s">
        <v>443</v>
      </c>
      <c r="B32" t="s">
        <v>66</v>
      </c>
      <c r="C32" t="s">
        <v>444</v>
      </c>
      <c r="D32">
        <v>11105</v>
      </c>
      <c r="E32">
        <v>137</v>
      </c>
      <c r="F32" t="s">
        <v>399</v>
      </c>
      <c r="G32">
        <v>9.0709999999999999E-2</v>
      </c>
      <c r="H32">
        <v>138009.13</v>
      </c>
      <c r="J32">
        <v>138009.13</v>
      </c>
      <c r="L32">
        <v>9.0709999999999999E-2</v>
      </c>
      <c r="P32" t="s">
        <v>400</v>
      </c>
    </row>
    <row r="33" spans="1:16" x14ac:dyDescent="0.2">
      <c r="A33" t="s">
        <v>445</v>
      </c>
      <c r="B33" t="s">
        <v>148</v>
      </c>
      <c r="C33" t="s">
        <v>355</v>
      </c>
      <c r="D33">
        <v>1165</v>
      </c>
      <c r="E33">
        <v>89.2</v>
      </c>
      <c r="F33" t="s">
        <v>399</v>
      </c>
      <c r="G33">
        <v>1</v>
      </c>
      <c r="H33">
        <v>103918</v>
      </c>
      <c r="J33">
        <v>103918</v>
      </c>
      <c r="L33">
        <v>1</v>
      </c>
      <c r="P33" t="s">
        <v>400</v>
      </c>
    </row>
    <row r="34" spans="1:16" x14ac:dyDescent="0.2">
      <c r="A34" t="s">
        <v>446</v>
      </c>
      <c r="B34" t="s">
        <v>138</v>
      </c>
      <c r="C34" t="s">
        <v>351</v>
      </c>
      <c r="D34">
        <v>4759</v>
      </c>
      <c r="E34">
        <v>24.58</v>
      </c>
      <c r="F34" t="s">
        <v>399</v>
      </c>
      <c r="G34">
        <v>1</v>
      </c>
      <c r="H34">
        <v>116976.22</v>
      </c>
      <c r="J34">
        <v>116976.22</v>
      </c>
      <c r="L34">
        <v>1</v>
      </c>
      <c r="P34" t="s">
        <v>400</v>
      </c>
    </row>
    <row r="35" spans="1:16" x14ac:dyDescent="0.2">
      <c r="A35" t="s">
        <v>447</v>
      </c>
      <c r="B35" t="s">
        <v>448</v>
      </c>
      <c r="C35" t="s">
        <v>449</v>
      </c>
      <c r="D35">
        <v>175976.18</v>
      </c>
      <c r="E35">
        <v>85.66</v>
      </c>
      <c r="F35" t="s">
        <v>399</v>
      </c>
      <c r="G35">
        <v>1</v>
      </c>
      <c r="H35">
        <v>15074119.58</v>
      </c>
      <c r="J35">
        <v>15074119.58</v>
      </c>
      <c r="L35">
        <v>1</v>
      </c>
      <c r="P35" t="s">
        <v>404</v>
      </c>
    </row>
    <row r="36" spans="1:16" x14ac:dyDescent="0.2">
      <c r="A36" t="s">
        <v>450</v>
      </c>
      <c r="B36" t="s">
        <v>451</v>
      </c>
      <c r="C36" t="s">
        <v>452</v>
      </c>
      <c r="D36">
        <v>6689.9470000000001</v>
      </c>
      <c r="E36">
        <v>109.58</v>
      </c>
      <c r="F36" t="s">
        <v>399</v>
      </c>
      <c r="G36">
        <v>1</v>
      </c>
      <c r="H36">
        <v>733084.39</v>
      </c>
      <c r="J36">
        <v>733084.39</v>
      </c>
      <c r="L36">
        <v>1</v>
      </c>
      <c r="P36" t="s">
        <v>404</v>
      </c>
    </row>
    <row r="37" spans="1:16" x14ac:dyDescent="0.2">
      <c r="A37" t="s">
        <v>453</v>
      </c>
      <c r="B37" t="s">
        <v>454</v>
      </c>
      <c r="C37" t="s">
        <v>455</v>
      </c>
      <c r="D37">
        <v>265900.83</v>
      </c>
      <c r="E37">
        <v>52.3</v>
      </c>
      <c r="F37" t="s">
        <v>399</v>
      </c>
      <c r="G37">
        <v>1</v>
      </c>
      <c r="H37">
        <v>13906613.41</v>
      </c>
      <c r="J37">
        <v>13906613.41</v>
      </c>
      <c r="L37">
        <v>1</v>
      </c>
      <c r="P37" t="s">
        <v>404</v>
      </c>
    </row>
    <row r="38" spans="1:16" x14ac:dyDescent="0.2">
      <c r="A38" t="s">
        <v>456</v>
      </c>
      <c r="B38" t="s">
        <v>457</v>
      </c>
      <c r="C38" t="s">
        <v>458</v>
      </c>
      <c r="D38">
        <v>419404.28</v>
      </c>
      <c r="E38">
        <v>24.71</v>
      </c>
      <c r="F38" t="s">
        <v>399</v>
      </c>
      <c r="G38">
        <v>1</v>
      </c>
      <c r="H38">
        <v>10363479.76</v>
      </c>
      <c r="J38">
        <v>10363479.76</v>
      </c>
      <c r="L38">
        <v>1</v>
      </c>
      <c r="P38" t="s">
        <v>404</v>
      </c>
    </row>
    <row r="39" spans="1:16" x14ac:dyDescent="0.2">
      <c r="A39" t="s">
        <v>459</v>
      </c>
      <c r="B39" t="s">
        <v>186</v>
      </c>
      <c r="C39" t="s">
        <v>365</v>
      </c>
      <c r="D39">
        <v>4179</v>
      </c>
      <c r="E39">
        <v>45.94</v>
      </c>
      <c r="F39" t="s">
        <v>399</v>
      </c>
      <c r="G39">
        <v>1</v>
      </c>
      <c r="H39">
        <v>191983.26</v>
      </c>
      <c r="J39">
        <v>191983.26</v>
      </c>
      <c r="L39">
        <v>1</v>
      </c>
      <c r="P39" t="s">
        <v>400</v>
      </c>
    </row>
    <row r="40" spans="1:16" x14ac:dyDescent="0.2">
      <c r="A40" t="s">
        <v>460</v>
      </c>
      <c r="B40" t="s">
        <v>220</v>
      </c>
      <c r="C40" t="s">
        <v>367</v>
      </c>
      <c r="D40">
        <v>1583</v>
      </c>
      <c r="E40">
        <v>29.23</v>
      </c>
      <c r="F40" t="s">
        <v>399</v>
      </c>
      <c r="G40">
        <v>1</v>
      </c>
      <c r="H40">
        <v>46271.09</v>
      </c>
      <c r="J40">
        <v>46271.09</v>
      </c>
      <c r="L40">
        <v>1</v>
      </c>
      <c r="P40" t="s">
        <v>400</v>
      </c>
    </row>
    <row r="41" spans="1:16" x14ac:dyDescent="0.2">
      <c r="A41" t="s">
        <v>461</v>
      </c>
      <c r="B41" t="s">
        <v>88</v>
      </c>
      <c r="C41" t="s">
        <v>462</v>
      </c>
      <c r="D41">
        <v>8879</v>
      </c>
      <c r="E41">
        <v>1746</v>
      </c>
      <c r="F41" t="s">
        <v>399</v>
      </c>
      <c r="G41">
        <v>1.2897000000000001</v>
      </c>
      <c r="H41">
        <v>199938.76</v>
      </c>
      <c r="J41">
        <v>199938.76</v>
      </c>
      <c r="L41">
        <v>1.29E-2</v>
      </c>
      <c r="P41" t="s">
        <v>400</v>
      </c>
    </row>
    <row r="42" spans="1:16" x14ac:dyDescent="0.2">
      <c r="A42" t="s">
        <v>463</v>
      </c>
      <c r="B42" t="s">
        <v>52</v>
      </c>
      <c r="C42" t="s">
        <v>335</v>
      </c>
      <c r="D42">
        <v>1846</v>
      </c>
      <c r="E42">
        <v>155.47</v>
      </c>
      <c r="F42" t="s">
        <v>399</v>
      </c>
      <c r="G42">
        <v>1</v>
      </c>
      <c r="H42">
        <v>286997.62</v>
      </c>
      <c r="J42">
        <v>286997.62</v>
      </c>
      <c r="L42">
        <v>1</v>
      </c>
      <c r="P42" t="s">
        <v>400</v>
      </c>
    </row>
    <row r="43" spans="1:16" x14ac:dyDescent="0.2">
      <c r="A43" t="s">
        <v>464</v>
      </c>
      <c r="B43" t="s">
        <v>234</v>
      </c>
      <c r="C43" t="s">
        <v>465</v>
      </c>
      <c r="D43">
        <v>12391</v>
      </c>
      <c r="E43">
        <v>67.14</v>
      </c>
      <c r="F43" t="s">
        <v>399</v>
      </c>
      <c r="G43">
        <v>1.0709</v>
      </c>
      <c r="H43">
        <v>890915.7</v>
      </c>
      <c r="J43">
        <v>890915.7</v>
      </c>
      <c r="L43">
        <v>1.0709</v>
      </c>
      <c r="P43" t="s">
        <v>400</v>
      </c>
    </row>
    <row r="44" spans="1:16" x14ac:dyDescent="0.2">
      <c r="A44" t="s">
        <v>466</v>
      </c>
      <c r="B44" t="s">
        <v>467</v>
      </c>
      <c r="C44" t="s">
        <v>468</v>
      </c>
      <c r="D44">
        <v>316620</v>
      </c>
      <c r="E44">
        <v>30.96</v>
      </c>
      <c r="F44" t="s">
        <v>399</v>
      </c>
      <c r="G44">
        <v>1</v>
      </c>
      <c r="H44">
        <v>9802555.1999999993</v>
      </c>
      <c r="J44">
        <v>9802555.1999999993</v>
      </c>
      <c r="L44">
        <v>1</v>
      </c>
      <c r="P44" t="s">
        <v>404</v>
      </c>
    </row>
    <row r="45" spans="1:16" x14ac:dyDescent="0.2">
      <c r="A45" t="s">
        <v>469</v>
      </c>
      <c r="B45" t="s">
        <v>470</v>
      </c>
      <c r="C45" t="s">
        <v>364</v>
      </c>
      <c r="D45">
        <v>28514.056</v>
      </c>
      <c r="E45">
        <v>60.28</v>
      </c>
      <c r="F45" t="s">
        <v>399</v>
      </c>
      <c r="G45">
        <v>1</v>
      </c>
      <c r="H45">
        <v>1718827.3</v>
      </c>
      <c r="J45">
        <v>1718827.3</v>
      </c>
      <c r="L45">
        <v>1</v>
      </c>
      <c r="P45" t="s">
        <v>404</v>
      </c>
    </row>
    <row r="46" spans="1:16" x14ac:dyDescent="0.2">
      <c r="A46" t="s">
        <v>471</v>
      </c>
      <c r="B46" t="s">
        <v>198</v>
      </c>
      <c r="C46" t="s">
        <v>472</v>
      </c>
      <c r="D46">
        <v>5806</v>
      </c>
      <c r="E46">
        <v>45.98</v>
      </c>
      <c r="F46" t="s">
        <v>399</v>
      </c>
      <c r="G46">
        <v>1</v>
      </c>
      <c r="H46">
        <v>266959.88</v>
      </c>
      <c r="J46">
        <v>266959.88</v>
      </c>
      <c r="L46">
        <v>1</v>
      </c>
      <c r="P46" t="s">
        <v>400</v>
      </c>
    </row>
    <row r="47" spans="1:16" x14ac:dyDescent="0.2">
      <c r="A47" t="s">
        <v>473</v>
      </c>
      <c r="B47" t="s">
        <v>82</v>
      </c>
      <c r="C47" t="s">
        <v>343</v>
      </c>
      <c r="D47">
        <v>3167</v>
      </c>
      <c r="E47">
        <v>102.92</v>
      </c>
      <c r="F47" t="s">
        <v>399</v>
      </c>
      <c r="G47">
        <v>1</v>
      </c>
      <c r="H47">
        <v>325947.64</v>
      </c>
      <c r="J47">
        <v>325947.64</v>
      </c>
      <c r="L47">
        <v>1</v>
      </c>
      <c r="P47" t="s">
        <v>400</v>
      </c>
    </row>
    <row r="48" spans="1:16" x14ac:dyDescent="0.2">
      <c r="A48" t="s">
        <v>474</v>
      </c>
      <c r="B48" t="s">
        <v>106</v>
      </c>
      <c r="C48" t="s">
        <v>344</v>
      </c>
      <c r="D48">
        <v>1648</v>
      </c>
      <c r="E48">
        <v>82.49</v>
      </c>
      <c r="F48" t="s">
        <v>399</v>
      </c>
      <c r="G48">
        <v>1</v>
      </c>
      <c r="H48">
        <v>135943.51999999999</v>
      </c>
      <c r="J48">
        <v>135943.51999999999</v>
      </c>
      <c r="L48">
        <v>1</v>
      </c>
      <c r="P48" t="s">
        <v>400</v>
      </c>
    </row>
    <row r="49" spans="1:16" x14ac:dyDescent="0.2">
      <c r="A49" t="s">
        <v>475</v>
      </c>
      <c r="B49" t="s">
        <v>232</v>
      </c>
      <c r="C49" t="s">
        <v>476</v>
      </c>
      <c r="D49">
        <v>176293</v>
      </c>
      <c r="E49">
        <v>3.48</v>
      </c>
      <c r="F49" t="s">
        <v>399</v>
      </c>
      <c r="G49">
        <v>1.0709</v>
      </c>
      <c r="H49">
        <v>656996.76</v>
      </c>
      <c r="J49">
        <v>656996.76</v>
      </c>
      <c r="L49">
        <v>1.0709</v>
      </c>
      <c r="P49" t="s">
        <v>400</v>
      </c>
    </row>
    <row r="50" spans="1:16" x14ac:dyDescent="0.2">
      <c r="A50" t="s">
        <v>477</v>
      </c>
      <c r="B50" t="s">
        <v>478</v>
      </c>
      <c r="C50" t="s">
        <v>479</v>
      </c>
      <c r="D50">
        <v>3637</v>
      </c>
      <c r="E50">
        <v>40.14</v>
      </c>
      <c r="F50" t="s">
        <v>399</v>
      </c>
      <c r="G50">
        <v>1</v>
      </c>
      <c r="H50">
        <v>145989.18</v>
      </c>
      <c r="J50">
        <v>145989.18</v>
      </c>
      <c r="L50">
        <v>1</v>
      </c>
      <c r="P50" t="s">
        <v>400</v>
      </c>
    </row>
    <row r="51" spans="1:16" x14ac:dyDescent="0.2">
      <c r="A51" t="s">
        <v>480</v>
      </c>
      <c r="B51" t="s">
        <v>156</v>
      </c>
      <c r="C51" t="s">
        <v>357</v>
      </c>
      <c r="D51">
        <v>1646.56</v>
      </c>
      <c r="E51">
        <v>104.46</v>
      </c>
      <c r="F51" t="s">
        <v>399</v>
      </c>
      <c r="G51">
        <v>1</v>
      </c>
      <c r="H51">
        <v>171999.66</v>
      </c>
      <c r="J51">
        <v>171999.66</v>
      </c>
      <c r="L51">
        <v>1</v>
      </c>
      <c r="P51" t="s">
        <v>400</v>
      </c>
    </row>
    <row r="52" spans="1:16" x14ac:dyDescent="0.2">
      <c r="A52" t="s">
        <v>481</v>
      </c>
      <c r="B52" t="s">
        <v>482</v>
      </c>
      <c r="C52" t="s">
        <v>483</v>
      </c>
      <c r="D52">
        <v>107679.13800000001</v>
      </c>
      <c r="E52">
        <v>31.49</v>
      </c>
      <c r="F52" t="s">
        <v>399</v>
      </c>
      <c r="G52">
        <v>1.0709</v>
      </c>
      <c r="H52">
        <v>3631224.91</v>
      </c>
      <c r="J52">
        <v>3631224.91</v>
      </c>
      <c r="L52">
        <v>1.0867</v>
      </c>
      <c r="P52" t="s">
        <v>404</v>
      </c>
    </row>
    <row r="53" spans="1:16" x14ac:dyDescent="0.2">
      <c r="A53" t="s">
        <v>484</v>
      </c>
      <c r="B53" t="s">
        <v>485</v>
      </c>
      <c r="C53" t="s">
        <v>486</v>
      </c>
      <c r="D53">
        <v>58111.565000000002</v>
      </c>
      <c r="E53">
        <v>258.97000000000003</v>
      </c>
      <c r="F53" t="s">
        <v>399</v>
      </c>
      <c r="G53">
        <v>1</v>
      </c>
      <c r="H53">
        <v>15049151.99</v>
      </c>
      <c r="J53">
        <v>15049151.99</v>
      </c>
      <c r="L53">
        <v>1</v>
      </c>
      <c r="P53" t="s">
        <v>404</v>
      </c>
    </row>
    <row r="54" spans="1:16" x14ac:dyDescent="0.2">
      <c r="A54" t="s">
        <v>487</v>
      </c>
      <c r="B54" t="s">
        <v>46</v>
      </c>
      <c r="C54" t="s">
        <v>488</v>
      </c>
      <c r="D54">
        <v>12077</v>
      </c>
      <c r="E54">
        <v>1534</v>
      </c>
      <c r="F54" t="s">
        <v>399</v>
      </c>
      <c r="G54">
        <v>1.2897000000000001</v>
      </c>
      <c r="H54">
        <v>238931.34</v>
      </c>
      <c r="J54">
        <v>238931.34</v>
      </c>
      <c r="L54">
        <v>1.29E-2</v>
      </c>
      <c r="P54" t="s">
        <v>400</v>
      </c>
    </row>
    <row r="55" spans="1:16" x14ac:dyDescent="0.2">
      <c r="A55" t="s">
        <v>489</v>
      </c>
      <c r="B55" t="s">
        <v>132</v>
      </c>
      <c r="C55" t="s">
        <v>348</v>
      </c>
      <c r="D55">
        <v>565.49</v>
      </c>
      <c r="E55">
        <v>149.78</v>
      </c>
      <c r="F55" t="s">
        <v>399</v>
      </c>
      <c r="G55">
        <v>1</v>
      </c>
      <c r="H55">
        <v>84699.09</v>
      </c>
      <c r="J55">
        <v>84699.09</v>
      </c>
      <c r="L55">
        <v>1</v>
      </c>
      <c r="P55" t="s">
        <v>400</v>
      </c>
    </row>
    <row r="56" spans="1:16" x14ac:dyDescent="0.2">
      <c r="A56" t="s">
        <v>490</v>
      </c>
      <c r="B56" t="s">
        <v>142</v>
      </c>
      <c r="C56" t="s">
        <v>352</v>
      </c>
      <c r="D56">
        <v>1712</v>
      </c>
      <c r="E56">
        <v>90.53</v>
      </c>
      <c r="F56" t="s">
        <v>399</v>
      </c>
      <c r="G56">
        <v>1</v>
      </c>
      <c r="H56">
        <v>154987.35999999999</v>
      </c>
      <c r="J56">
        <v>154987.35999999999</v>
      </c>
      <c r="L56">
        <v>1</v>
      </c>
      <c r="P56" t="s">
        <v>400</v>
      </c>
    </row>
    <row r="57" spans="1:16" x14ac:dyDescent="0.2">
      <c r="A57" t="s">
        <v>491</v>
      </c>
      <c r="B57" t="s">
        <v>492</v>
      </c>
      <c r="C57" t="s">
        <v>493</v>
      </c>
      <c r="D57">
        <v>159829</v>
      </c>
      <c r="E57">
        <v>65.680000000000007</v>
      </c>
      <c r="F57" t="s">
        <v>399</v>
      </c>
      <c r="G57">
        <v>1</v>
      </c>
      <c r="H57">
        <v>10497568.720000001</v>
      </c>
      <c r="J57">
        <v>10497568.720000001</v>
      </c>
      <c r="L57">
        <v>1</v>
      </c>
      <c r="P57" t="s">
        <v>404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5cb192-74f3-47f1-bef9-63c3e4288f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1A5B481FF4704691C5A9880C6CDECB" ma:contentTypeVersion="9" ma:contentTypeDescription="Creare un nuovo documento." ma:contentTypeScope="" ma:versionID="4bee8683f05f37ea01423e50a982a01f">
  <xsd:schema xmlns:xsd="http://www.w3.org/2001/XMLSchema" xmlns:xs="http://www.w3.org/2001/XMLSchema" xmlns:p="http://schemas.microsoft.com/office/2006/metadata/properties" xmlns:ns3="7f5cb192-74f3-47f1-bef9-63c3e4288f43" xmlns:ns4="daaee5b0-2ae1-432c-b0c3-0672037f1729" targetNamespace="http://schemas.microsoft.com/office/2006/metadata/properties" ma:root="true" ma:fieldsID="bcafb8ab5f4d1a47287b2929078344bb" ns3:_="" ns4:_="">
    <xsd:import namespace="7f5cb192-74f3-47f1-bef9-63c3e4288f43"/>
    <xsd:import namespace="daaee5b0-2ae1-432c-b0c3-0672037f17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5cb192-74f3-47f1-bef9-63c3e4288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aee5b0-2ae1-432c-b0c3-0672037f17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9A76FF-45F8-4F21-B2EA-51357C00631F}">
  <ds:schemaRefs>
    <ds:schemaRef ds:uri="http://www.w3.org/XML/1998/namespace"/>
    <ds:schemaRef ds:uri="http://purl.org/dc/terms/"/>
    <ds:schemaRef ds:uri="daaee5b0-2ae1-432c-b0c3-0672037f1729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f5cb192-74f3-47f1-bef9-63c3e4288f43"/>
  </ds:schemaRefs>
</ds:datastoreItem>
</file>

<file path=customXml/itemProps2.xml><?xml version="1.0" encoding="utf-8"?>
<ds:datastoreItem xmlns:ds="http://schemas.openxmlformats.org/officeDocument/2006/customXml" ds:itemID="{0618D6F2-2EFC-4CF8-B45B-936815DEE3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DB15CC-E7C3-4E47-B234-BA883836A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5cb192-74f3-47f1-bef9-63c3e4288f43"/>
    <ds:schemaRef ds:uri="daaee5b0-2ae1-432c-b0c3-0672037f17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screening</vt:lpstr>
      <vt:lpstr>suggestions</vt:lpstr>
      <vt:lpstr>DCF MODELS</vt:lpstr>
      <vt:lpstr>FINAL ALPHAS</vt:lpstr>
      <vt:lpstr>PORTFOLIO POSITIONS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>Erep request id:672e0021e0080000 on NXPGR-TT-149</cp:keywords>
  <cp:lastModifiedBy>Fochi Nicola</cp:lastModifiedBy>
  <dcterms:created xsi:type="dcterms:W3CDTF">2024-11-08T12:16:53Z</dcterms:created>
  <dcterms:modified xsi:type="dcterms:W3CDTF">2024-11-12T23:26:03Z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0x010100711A5B481FF4704691C5A9880C6CDECB</vt:lpwstr>
  </property>
</Properties>
</file>