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ctrlProps/ctrlProp7.xml" ContentType="application/vnd.ms-excel.controlproperties+xml"/>
  <Override PartName="/xl/ctrlProps/ctrlProp8.xml" ContentType="application/vnd.ms-excel.controlpropertie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drawings/drawing9.xml" ContentType="application/vnd.openxmlformats-officedocument.drawing+xml"/>
  <Override PartName="/xl/ctrlProps/ctrlProp9.xml" ContentType="application/vnd.ms-excel.controlproperties+xml"/>
  <Override PartName="/xl/drawings/drawing10.xml" ContentType="application/vnd.openxmlformats-officedocument.drawing+xml"/>
  <Override PartName="/xl/drawings/drawing11.xml" ContentType="application/vnd.openxmlformats-officedocument.drawing+xml"/>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12.xml" ContentType="application/vnd.openxmlformats-officedocument.drawing+xml"/>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comments3.xml" ContentType="application/vnd.openxmlformats-officedocument.spreadsheetml.comments+xml"/>
  <Override PartName="/xl/drawings/drawing13.xml" ContentType="application/vnd.openxmlformats-officedocument.drawing+xml"/>
  <Override PartName="/xl/activeX/activeX11.xml" ContentType="application/vnd.ms-office.activeX+xml"/>
  <Override PartName="/xl/activeX/activeX11.bin" ContentType="application/vnd.ms-office.activeX"/>
  <Override PartName="/xl/comments4.xml" ContentType="application/vnd.openxmlformats-officedocument.spreadsheetml.comments+xml"/>
  <Override PartName="/xl/comments5.xml" ContentType="application/vnd.openxmlformats-officedocument.spreadsheetml.comments+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AF0B" lockStructure="1"/>
  <bookViews>
    <workbookView xWindow="-15" yWindow="-15" windowWidth="11565" windowHeight="4005" tabRatio="733" activeTab="2"/>
  </bookViews>
  <sheets>
    <sheet name="Home" sheetId="1" r:id="rId1"/>
    <sheet name="BIR" sheetId="17" state="veryHidden" r:id="rId2"/>
    <sheet name="Informasi Debitur" sheetId="18" r:id="rId3"/>
    <sheet name="Order appraisal" sheetId="5" r:id="rId4"/>
    <sheet name="Oder BI checking" sheetId="6" r:id="rId5"/>
    <sheet name="Order Trade Checking" sheetId="7" state="hidden" r:id="rId6"/>
    <sheet name="Supplier Checking" sheetId="9" r:id="rId7"/>
    <sheet name="Buyer Checking" sheetId="10" r:id="rId8"/>
    <sheet name="Random Checking" sheetId="36" state="hidden" r:id="rId9"/>
    <sheet name="Analisa Lap Keu" sheetId="21" r:id="rId10"/>
    <sheet name="Analisa Rek Koran" sheetId="38" r:id="rId11"/>
    <sheet name="Parameter" sheetId="12" state="veryHidden" r:id="rId12"/>
    <sheet name="RAC" sheetId="19" r:id="rId13"/>
    <sheet name="MKK" sheetId="11" r:id="rId14"/>
    <sheet name="Memo Review" sheetId="32" r:id="rId15"/>
    <sheet name="Pelaporan BI" sheetId="15" r:id="rId16"/>
    <sheet name="Sandi BI Existing Debitur" sheetId="30" r:id="rId17"/>
    <sheet name="Tabel Map Industry" sheetId="28" state="hidden" r:id="rId18"/>
    <sheet name="Surat Penawaran" sheetId="24" r:id="rId19"/>
    <sheet name="Surat Penawaran (2)" sheetId="33" state="hidden" r:id="rId20"/>
    <sheet name="Order Notaris" sheetId="26" r:id="rId21"/>
    <sheet name="Sheet2" sheetId="22" state="hidden" r:id="rId22"/>
    <sheet name="Database" sheetId="27" state="hidden" r:id="rId23"/>
    <sheet name="Mapping SIDLBU" sheetId="34" state="hidden" r:id="rId24"/>
    <sheet name="Value" sheetId="14" state="hidden" r:id="rId25"/>
    <sheet name="Cabang SME" sheetId="31" state="hidden"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0" hidden="1">'Analisa Rek Koran'!$AF$23:$AF$580</definedName>
    <definedName name="_xlnm._FilterDatabase" localSheetId="14" hidden="1">'Memo Review'!$AA$29:$AA$54</definedName>
    <definedName name="_xlnm._FilterDatabase" localSheetId="13" hidden="1">MKK!$P$47:$P$90</definedName>
    <definedName name="_xlnm._FilterDatabase" localSheetId="16" hidden="1">'Sandi BI Existing Debitur'!$A$7:$H$958</definedName>
    <definedName name="_xlnm._FilterDatabase" localSheetId="18" hidden="1">'Surat Penawaran'!$H$17:$H$108</definedName>
    <definedName name="_xlnm._FilterDatabase" localSheetId="17" hidden="1">'Tabel Map Industry'!$L$1:$M$246</definedName>
    <definedName name="_reg2">Value!$AZ$22:$AZ$30</definedName>
    <definedName name="_reg3">Value!$AZ$31:$AZ$36</definedName>
    <definedName name="_reg4">Value!$AZ$37:$AZ$43</definedName>
    <definedName name="_reg5">Value!$AZ$44:$AZ$51</definedName>
    <definedName name="_reg6">Value!$AZ$52:$AZ$63</definedName>
    <definedName name="_reg7">Value!$AZ$64:$AZ$68</definedName>
    <definedName name="_reg8">Value!$AZ$69:$AZ$75</definedName>
    <definedName name="_SID860">'Mapping SIDLBU'!$B$3:$B$4</definedName>
    <definedName name="_SID891">'Mapping SIDLBU'!$B$5:$B$7</definedName>
    <definedName name="_SID892">'Mapping SIDLBU'!$B$8:$B$10</definedName>
    <definedName name="_SID893">'Mapping SIDLBU'!$B$11:$B$13</definedName>
    <definedName name="_SID894">'Mapping SIDLBU'!$B$14:$B$16</definedName>
    <definedName name="_SID895">'Mapping SIDLBU'!$B$17:$B$19</definedName>
    <definedName name="_SID896">'Mapping SIDLBU'!$B$20:$B$22</definedName>
    <definedName name="_SID897">'Mapping SIDLBU'!$B$23:$B$25</definedName>
    <definedName name="_SID898">'Mapping SIDLBU'!$B$26:$B$28</definedName>
    <definedName name="_SID900">'Mapping SIDLBU'!$B$29:$B$31</definedName>
    <definedName name="_SID901">'Mapping SIDLBU'!$B$32</definedName>
    <definedName name="_SID902">'Mapping SIDLBU'!$B$33</definedName>
    <definedName name="_SID907">'Mapping SIDLBU'!$B$34</definedName>
    <definedName name="ANIMALS" localSheetId="23">'[1]Tabel Map Industry'!$D$2:$D$58</definedName>
    <definedName name="ANIMALS">'Tabel Map Industry'!$D$2:$D$58</definedName>
    <definedName name="ANIMALS_2">'Tabel Map Industry'!$M$2:$M$27</definedName>
    <definedName name="AUTOMOTIVE" localSheetId="10">'[2]Tabel Map Industry'!$D$59:$D$70</definedName>
    <definedName name="AUTOMOTIVE">'Tabel Map Industry'!$D$59:$D$70</definedName>
    <definedName name="AUTOMOTIVE_2">'Tabel Map Industry'!$M$28:$M$34</definedName>
    <definedName name="availability" localSheetId="10">[2]Value!$E$1:$E$4</definedName>
    <definedName name="availability" localSheetId="22">[3]Value!$E$1:$E$3</definedName>
    <definedName name="availability" localSheetId="23">[4]Value!$E$1:$E$3</definedName>
    <definedName name="availability" localSheetId="14">[5]Value!$E$1:$E$3</definedName>
    <definedName name="availability">Value!$E$1:$E$4</definedName>
    <definedName name="b">Value!$B$6:$B$7</definedName>
    <definedName name="bir_sekom" localSheetId="10">'[2]Informasi Debitur'!#REF!</definedName>
    <definedName name="bir_sekom" localSheetId="23">'[6]Informasi Debitur'!#REF!</definedName>
    <definedName name="bir_sekom" localSheetId="14">'[7]Informasi Debitur'!#REF!</definedName>
    <definedName name="bir_sekom" localSheetId="8">'Informasi Debitur'!#REF!</definedName>
    <definedName name="bir_sekom" localSheetId="19">'Informasi Debitur'!#REF!</definedName>
    <definedName name="bir_sekom">'Informasi Debitur'!#REF!</definedName>
    <definedName name="branch_name2" localSheetId="23">[4]Value!$BA$1:$BA$70</definedName>
    <definedName name="branch_name2" localSheetId="14">[5]Value!$AZ$1:$AZ$58</definedName>
    <definedName name="branch_name2">Value!$AZ$1:$AZ$74</definedName>
    <definedName name="BUILDING">'Tabel Map Industry'!$D$71:$D$74</definedName>
    <definedName name="BUILDING_2">'Tabel Map Industry'!$M$35:$M$38</definedName>
    <definedName name="buyer_checking" localSheetId="22">[3]Value!$O$1:$O$8</definedName>
    <definedName name="buyer_checking">Value!$O$1:$O$8</definedName>
    <definedName name="buyerchecking">Value!$O$1:$O$4</definedName>
    <definedName name="cab_sme1">'Cabang SME'!$I$13:$I$38</definedName>
    <definedName name="cab_sme2" localSheetId="10">'[2]Cabang SME'!$I$2:$I$105</definedName>
    <definedName name="cab_sme2" localSheetId="23">'[8]Cabang SME'!$I$2:$I$105</definedName>
    <definedName name="cab_sme2" localSheetId="14">'[7]Cabang SME'!$I$2:$I$105</definedName>
    <definedName name="cab_sme2">'Cabang SME'!$I$2:$I$105</definedName>
    <definedName name="cabang">Value!$AZ$1:$AZ$54</definedName>
    <definedName name="Cabang_SME">'Cabang SME'!$C$1:$C$56</definedName>
    <definedName name="cabang_sme1" localSheetId="10">'[2]Cabang SME'!$I$2:$I$106</definedName>
    <definedName name="cabang_sme1" localSheetId="23">'[8]Cabang SME'!$I$2:$I$106</definedName>
    <definedName name="cabang_sme1" localSheetId="14">'[7]Cabang SME'!$I$2:$I$106</definedName>
    <definedName name="cabang_sme1">'Cabang SME'!$I$2:$I$106</definedName>
    <definedName name="Canvassing">Database!$C$158:$C$160</definedName>
    <definedName name="carabayar" localSheetId="10">[2]Value!$K$1:$K$2</definedName>
    <definedName name="carabayar" localSheetId="22">[3]Value!$K$1:$K$2</definedName>
    <definedName name="carabayar" localSheetId="23">[4]Value!$K$1:$K$2</definedName>
    <definedName name="carabayar" localSheetId="14">[5]Value!$K$1:$K$2</definedName>
    <definedName name="carabayar">Value!$K$1:$K$2</definedName>
    <definedName name="Cat_deb" localSheetId="10">'[2]Mapping SIDLBU'!$E$15:$E$18</definedName>
    <definedName name="Cat_deb">'Mapping SIDLBU'!$E$15:$E$18</definedName>
    <definedName name="Cat_Port" localSheetId="10">'[2]Mapping SIDLBU'!#REF!</definedName>
    <definedName name="Cat_Port" localSheetId="8">'Mapping SIDLBU'!#REF!</definedName>
    <definedName name="Cat_Port">'Mapping SIDLBU'!#REF!</definedName>
    <definedName name="CHEMICAL">'Tabel Map Industry'!$D$75:$D$88</definedName>
    <definedName name="CHEMICAL_2">'Tabel Map Industry'!$M$39:$M$48</definedName>
    <definedName name="COAL">'Tabel Map Industry'!$D$89:$D$109</definedName>
    <definedName name="COAL_2">'Tabel Map Industry'!$M$49:$M$59</definedName>
    <definedName name="COMODITY">'Tabel Map Industry'!$D$110:$D$146</definedName>
    <definedName name="COMODITY_2">'Tabel Map Industry'!$M$60:$M$93</definedName>
    <definedName name="CONSTRUCTION">'Tabel Map Industry'!$D$147:$D$176</definedName>
    <definedName name="CONSTRUCTION_2">'Tabel Map Industry'!$M$94:$M$108</definedName>
    <definedName name="CONSULTING">'Tabel Map Industry'!$D$177:$D$222</definedName>
    <definedName name="CONSULTING_2">'Tabel Map Industry'!$M$109:$M$122</definedName>
    <definedName name="CONSUMABLE">'Tabel Map Industry'!$D$223:$D$228</definedName>
    <definedName name="CONSUMABLE_2">'Tabel Map Industry'!$M$123:$M$127</definedName>
    <definedName name="CRUMB">'Tabel Map Industry'!$D$229:$D$234</definedName>
    <definedName name="CRUMB_2">'Tabel Map Industry'!$M$128:$M$132</definedName>
    <definedName name="currency" localSheetId="10">[2]Value!$A$2:$A$9</definedName>
    <definedName name="currency" localSheetId="22">[3]Value!$A$2:$A$9</definedName>
    <definedName name="currency" localSheetId="23">[4]Value!$A$2:$A$9</definedName>
    <definedName name="currency" localSheetId="14">[5]Value!$A$2:$A$9</definedName>
    <definedName name="currency">Value!$A$2:$A$9</definedName>
    <definedName name="currency_1" localSheetId="10">[2]Value!$A$1:$A$9</definedName>
    <definedName name="currency_1" localSheetId="22">[3]Value!$A$1:$A$9</definedName>
    <definedName name="currency_1" localSheetId="23">[4]Value!$A$1:$A$9</definedName>
    <definedName name="currency_1" localSheetId="14">[5]Value!$A$1:$A$9</definedName>
    <definedName name="currency_2">Value!$A$1:$A$9</definedName>
    <definedName name="Dati" localSheetId="10">[2]Value!$AX$1:$AX$500</definedName>
    <definedName name="Dati" localSheetId="23">[4]Value!$AX$1:$AX$500</definedName>
    <definedName name="Dati" localSheetId="14">[5]Value!$AX$1:$AX$500</definedName>
    <definedName name="Dati">Value!$AX$1:$AX$500</definedName>
    <definedName name="debitur_perorangan">Value!$R$1:$R$4</definedName>
    <definedName name="debitur_perusahaan">Value!$R$8:$R$11</definedName>
    <definedName name="dependonpembeli" localSheetId="10">[2]Value!$X$1:$X$5</definedName>
    <definedName name="dependonpembeli" localSheetId="22">[3]Value!$X$1:$X$5</definedName>
    <definedName name="dependonpembeli" localSheetId="23">[4]Value!$X$1:$X$5</definedName>
    <definedName name="dependonpembeli" localSheetId="14">[5]Value!$X$1:$X$5</definedName>
    <definedName name="dependonpembeli">Value!$X$1:$X$5</definedName>
    <definedName name="dependonsupplier" localSheetId="10">[2]Value!$W$1:$W$5</definedName>
    <definedName name="dependonsupplier" localSheetId="22">[3]Value!$W$1:$W$5</definedName>
    <definedName name="dependonsupplier" localSheetId="23">[4]Value!$W$1:$W$5</definedName>
    <definedName name="dependonsupplier" localSheetId="14">[5]Value!$W$1:$W$5</definedName>
    <definedName name="dependonsupplier">Value!$W$1:$W$5</definedName>
    <definedName name="ditempati" localSheetId="10">[2]Value!$V$1:$V$6</definedName>
    <definedName name="ditempati" localSheetId="22">[3]Value!$V$1:$V$6</definedName>
    <definedName name="ditempati" localSheetId="23">[4]Value!$V$1:$V$6</definedName>
    <definedName name="ditempati" localSheetId="14">[5]Value!$V$1:$V$6</definedName>
    <definedName name="ditempati">Value!$V$1:$V$6</definedName>
    <definedName name="ditempatu">Value!$V$1:$V$6</definedName>
    <definedName name="dpd_3months" localSheetId="10">[2]Database!$E$156:$E$168</definedName>
    <definedName name="dpd_3months" localSheetId="23">[8]Database!$E$156:$E$168</definedName>
    <definedName name="dpd_3months" localSheetId="14">[7]Database!$E$156:$E$168</definedName>
    <definedName name="dpd_3months">Database!$E$156:$E$168</definedName>
    <definedName name="DPD_3MTH">Database!$E$159:$E$168</definedName>
    <definedName name="ELECTRICITY">'Tabel Map Industry'!$D$235:$D$257</definedName>
    <definedName name="ELECTRICITY_2">'Tabel Map Industry'!$M$133:$M$140</definedName>
    <definedName name="emosi_corp" localSheetId="10">[2]Value!$Z$1:$Z$4</definedName>
    <definedName name="emosi_corp" localSheetId="22">[3]Value!$Z$1:$Z$4</definedName>
    <definedName name="emosi_corp" localSheetId="23">[4]Value!$Z$1:$Z$4</definedName>
    <definedName name="emosi_corp" localSheetId="14">[5]Value!$Z$1:$Z$4</definedName>
    <definedName name="emosi_corp">Value!$Z$1:$Z$4</definedName>
    <definedName name="emosi_ind" localSheetId="10">[2]Value!$Y$1:$Y$4</definedName>
    <definedName name="emosi_ind" localSheetId="22">[3]Value!$Y$1:$Y$4</definedName>
    <definedName name="emosi_ind" localSheetId="23">[4]Value!$Y$1:$Y$4</definedName>
    <definedName name="emosi_ind" localSheetId="14">[5]Value!$Y$1:$Y$4</definedName>
    <definedName name="emosi_ind">Value!$Y$1:$Y$4</definedName>
    <definedName name="FABRICATED">'Tabel Map Industry'!$D$258:$D$274</definedName>
    <definedName name="FABRICATED_2">'Tabel Map Industry'!$M$141:$M$149</definedName>
    <definedName name="fasilitas" localSheetId="22">[3]Value!$B$1:$B$3</definedName>
    <definedName name="fasilitas">Value!$B$1:$B$3</definedName>
    <definedName name="fasilitas_2" localSheetId="10">[2]Value!$A$11:$A$35</definedName>
    <definedName name="fasilitas_2" localSheetId="23">[4]Value!$A$15:$A$34</definedName>
    <definedName name="fasilitas_2" localSheetId="14">[5]Value!$A$15:$A$34</definedName>
    <definedName name="fasilitas_2">Value!$A$11:$A$35</definedName>
    <definedName name="fasilitas_3" localSheetId="10">[2]Value!$A$12:$A$35</definedName>
    <definedName name="fasilitas_3" localSheetId="23">[4]Value!$A$12:$A$34</definedName>
    <definedName name="fasilitas_3" localSheetId="14">[5]Value!$A$12:$A$34</definedName>
    <definedName name="fasilitas_3">Value!$A$12:$A$35</definedName>
    <definedName name="FOOD">'Tabel Map Industry'!$D$275:$D$305</definedName>
    <definedName name="FOOD_2">'Tabel Map Industry'!$M$150:$M$162</definedName>
    <definedName name="FORESTRY">'Tabel Map Industry'!$D$306:$D$314</definedName>
    <definedName name="FORESTRY_2">'Tabel Map Industry'!$M$163:$M$169</definedName>
    <definedName name="frekuensi" localSheetId="10">[2]Value!$AE$1:$AE$4</definedName>
    <definedName name="frekuensi" localSheetId="22">[3]Value!$AE$1:$AE$4</definedName>
    <definedName name="frekuensi" localSheetId="23">[4]Value!$AE$1:$AE$4</definedName>
    <definedName name="frekuensi" localSheetId="14">[5]Value!$AE$1:$AE$4</definedName>
    <definedName name="frekuensi">Value!$AE$1:$AE$4</definedName>
    <definedName name="frekuensi_order" localSheetId="10">[2]Value!$AE$1:$AE$5</definedName>
    <definedName name="frekuensi_order" localSheetId="22">[3]Value!$AE$1:$AE$5</definedName>
    <definedName name="frekuensi_order" localSheetId="23">[4]Value!$AE$1:$AE$5</definedName>
    <definedName name="frekuensi_order" localSheetId="14">[5]Value!$AE$1:$AE$5</definedName>
    <definedName name="frekuensi_order">Value!$AE$1:$AE$5</definedName>
    <definedName name="FS" localSheetId="10">[2]Value!$L$1:$L$4</definedName>
    <definedName name="FS" localSheetId="22">[3]Value!$L$1:$L$4</definedName>
    <definedName name="FS" localSheetId="14">[5]Value!$L$1:$L$4</definedName>
    <definedName name="FS">Value!$L$1:$L$4</definedName>
    <definedName name="GARMEN">'Tabel Map Industry'!$D$315:$D$322</definedName>
    <definedName name="GARMEN_2">'Tabel Map Industry'!$M$170:$M$175</definedName>
    <definedName name="goldeb_LBU" localSheetId="22">[3]Value!$AO$2:$AO$399</definedName>
    <definedName name="goldeb_LBU" localSheetId="14">[5]Value!$AO$2:$AO$399</definedName>
    <definedName name="goldeb_LBU">Value!$AO$2:$AO$399</definedName>
    <definedName name="golkredit_SID" localSheetId="22">[3]Value!$AK$2:$AK$11</definedName>
    <definedName name="golkredit_SID" localSheetId="14">[5]Value!$AK$2:$AK$11</definedName>
    <definedName name="golkredit_SID">Value!$AK$2:$AK$11</definedName>
    <definedName name="golongandeb_SID" localSheetId="22">[3]Value!$AH$2:$AH$113</definedName>
    <definedName name="golongandeb_SID" localSheetId="14">[5]Value!$AH$2:$AH$103</definedName>
    <definedName name="golongandeb_SID">Value!$AH$2:$AH$103</definedName>
    <definedName name="guarantor" localSheetId="10">[2]Value!$F$1:$F$2</definedName>
    <definedName name="guarantor" localSheetId="22">[3]Value!$F$1:$F$2</definedName>
    <definedName name="guarantor" localSheetId="23">[4]Value!$F$1:$F$2</definedName>
    <definedName name="guarantor" localSheetId="14">[5]Value!$F$1:$F$2</definedName>
    <definedName name="guarantor">Value!$F$1:$F$2</definedName>
    <definedName name="HOME">'Tabel Map Industry'!$D$323:$D$330</definedName>
    <definedName name="HOME_2">'Tabel Map Industry'!$M$176:$M$180</definedName>
    <definedName name="HOSPITAL">'Tabel Map Industry'!$D$331:$D$336</definedName>
    <definedName name="HOSPITAL_2">'Tabel Map Industry'!$M$181:$M$183</definedName>
    <definedName name="HOTEL">'Tabel Map Industry'!$D$337:$D$339</definedName>
    <definedName name="HOTEL_2">'Tabel Map Industry'!$M$184:$M$185</definedName>
    <definedName name="hubdgnbank_SID" localSheetId="22">[3]Value!$AJ$2:$AJ$16</definedName>
    <definedName name="hubdgnbank_SID" localSheetId="14">[5]Value!$AJ$2:$AJ$16</definedName>
    <definedName name="hubdgnbank_SID">Value!$AJ$2:$AJ$16</definedName>
    <definedName name="industri_group">'Tabel Map Industry'!$J$2:$J$29</definedName>
    <definedName name="Industry_Group" localSheetId="10">'[2]Tabel Map Industry'!$J$2:$J$31</definedName>
    <definedName name="Industry_Group" localSheetId="23">'[4]Tabel Map Industry'!$J$2:$J$31</definedName>
    <definedName name="Industry_Group" localSheetId="14">'[7]Tabel Map Industry'!$J$2:$J$29</definedName>
    <definedName name="Industry_Group">'Tabel Map Industry'!$J$2:$J$31</definedName>
    <definedName name="jabatan">Value!$D$4:$D$13</definedName>
    <definedName name="jabatan1">Value!$AY$2:$AY$26</definedName>
    <definedName name="jaminan" localSheetId="10">[2]Value!$C$1:$C$15</definedName>
    <definedName name="jaminan" localSheetId="22">[3]Value!$C$1:$C$13</definedName>
    <definedName name="jaminan" localSheetId="23">[4]Value!$C$1:$C$16</definedName>
    <definedName name="jaminan" localSheetId="14">[5]Value!$C$1:$C$13</definedName>
    <definedName name="jaminan">Value!$C$1:$C$15</definedName>
    <definedName name="jenis_guarantor" localSheetId="10">[2]Value!$F$4:$F$5</definedName>
    <definedName name="jenis_guarantor">Value!$F$4:$F$5</definedName>
    <definedName name="Jenkre" localSheetId="10">'[2]Mapping SIDLBU'!#REF!</definedName>
    <definedName name="Jenkre" localSheetId="8">'Mapping SIDLBU'!#REF!</definedName>
    <definedName name="Jenkre">'Mapping SIDLBU'!#REF!</definedName>
    <definedName name="jenkre_LBU" localSheetId="10">[2]Value!$AR$2:$AR$11</definedName>
    <definedName name="jenkre_LBU" localSheetId="22">[3]Value!$AR$2:$AR$11</definedName>
    <definedName name="jenkre_LBU" localSheetId="23">[1]Value!$AR$2:$AR$11</definedName>
    <definedName name="jenkre_LBU" localSheetId="14">[5]Value!$AR$2:$AR$11</definedName>
    <definedName name="jenkre_LBU">Value!$AR$2:$AR$11</definedName>
    <definedName name="kat_portLBU">'Pelaporan BI'!$F$16</definedName>
    <definedName name="katdeb_LBU" localSheetId="22">[3]Value!$AP$2:$AP$11</definedName>
    <definedName name="katdeb_LBU" localSheetId="14">[5]Value!$AP$2:$AP$11</definedName>
    <definedName name="katdeb_LBU">Value!$AP$2:$AP$11</definedName>
    <definedName name="katpeng_lbu" localSheetId="10">[2]Value!$AT$2:$AT$6</definedName>
    <definedName name="katpeng_lbu" localSheetId="22">[3]Value!$AT$2:$AT$6</definedName>
    <definedName name="katpeng_lbu" localSheetId="23">[1]Value!$AT$2:$AT$6</definedName>
    <definedName name="katpeng_lbu" localSheetId="14">[5]Value!$AT$2:$AT$6</definedName>
    <definedName name="katpeng_lbu">Value!$AT$2:$AT$6</definedName>
    <definedName name="katport_LBU" localSheetId="22">[3]Value!$AQ$2:$AQ$18</definedName>
    <definedName name="katport_LBU" localSheetId="14">[5]Value!$AQ$2:$AQ$18</definedName>
    <definedName name="katport_LBU">Value!$AQ$2:$AQ$17</definedName>
    <definedName name="ketepatan" localSheetId="22">[3]Value!$K$5:$K$8</definedName>
    <definedName name="ketepatan">Value!$K$5:$K$8</definedName>
    <definedName name="Ketepatan_bayar" localSheetId="10">'[2]Supplier Checking'!$B$185:$B$192</definedName>
    <definedName name="Ketepatan_bayar">'Supplier Checking'!$B$185:$B$192</definedName>
    <definedName name="kolektabilitas" localSheetId="10">[2]Value!$J$1:$J$5</definedName>
    <definedName name="kolektabilitas" localSheetId="22">[3]Value!$J$1:$J$5</definedName>
    <definedName name="kolektabilitas" localSheetId="23">[4]Value!$J$1:$J$5</definedName>
    <definedName name="kolektabilitas" localSheetId="14">[5]Value!$J$1:$J$5</definedName>
    <definedName name="kolektabilitas">Value!$J$1:$J$5</definedName>
    <definedName name="LEATHER">'Tabel Map Industry'!$D$340:$D$346</definedName>
    <definedName name="LEATHER_2">'Tabel Map Industry'!$M$186:$M$190</definedName>
    <definedName name="legal" localSheetId="10">[2]Value!$AC$1:$AC$11</definedName>
    <definedName name="legal" localSheetId="22">[3]Value!$AC$1:$AC$11</definedName>
    <definedName name="legal" localSheetId="23">[4]Value!$AC$1:$AC$11</definedName>
    <definedName name="legal" localSheetId="14">[5]Value!$AC$1:$AC$11</definedName>
    <definedName name="legal">Value!$AC$1:$AC$11</definedName>
    <definedName name="lokasi_lbu" localSheetId="10">[2]Value!$AV$2:$AV$500</definedName>
    <definedName name="lokasi_lbu" localSheetId="22">[3]Value!$AV$2:$AV$500</definedName>
    <definedName name="lokasi_lbu" localSheetId="23">[4]Value!$AV$2:$AV$500</definedName>
    <definedName name="lokasi_lbu" localSheetId="14">[5]Value!$AV$2:$AV$500</definedName>
    <definedName name="lokasi_lbu">Value!$AV$2:$AV$500</definedName>
    <definedName name="lokasi_SID" localSheetId="10">[2]Value!$AM$2:$AM$501</definedName>
    <definedName name="lokasi_SID" localSheetId="22">[3]Value!$AM$2:$AM$501</definedName>
    <definedName name="lokasi_SID" localSheetId="23">[4]Value!$AM$2:$AM$501</definedName>
    <definedName name="lokasi_SID" localSheetId="14">[5]Value!$AM$2:$AM$501</definedName>
    <definedName name="lokasi_SID">Value!$AM$2:$AM$501</definedName>
    <definedName name="mata_uang">Parameter!$A:$A</definedName>
    <definedName name="number" localSheetId="10">[2]Value!$AD$1:$AD$31</definedName>
    <definedName name="number" localSheetId="22">[3]Value!$AD$1:$AD$31</definedName>
    <definedName name="number" localSheetId="23">[4]Value!$AD$1:$AD$31</definedName>
    <definedName name="number" localSheetId="14">[5]Value!$AD$1:$AD$31</definedName>
    <definedName name="number">Value!$AD$1:$AD$31</definedName>
    <definedName name="OIL" localSheetId="23">'[4]Tabel Map Industry'!$D$347:$D$355</definedName>
    <definedName name="OIL">'Tabel Map Industry'!$D$347:$D$355</definedName>
    <definedName name="OIL_2">'Tabel Map Industry'!$M$191:$M$196</definedName>
    <definedName name="OTHERS" localSheetId="14">'[7]Tabel Map Industry'!$D$359:$D$383</definedName>
    <definedName name="OTHERS">'Tabel Map Industry'!$D$356:$D$381</definedName>
    <definedName name="OTHERS_2">'Tabel Map Industry'!$M$197:$M$205</definedName>
    <definedName name="pejabat2" localSheetId="10">[2]Value!$AY$1:$AY$24</definedName>
    <definedName name="pejabat2" localSheetId="23">[4]Value!$AY$1:$AY$24</definedName>
    <definedName name="pejabat2" localSheetId="14">[5]Value!$AY$1:$AY$24</definedName>
    <definedName name="pejabat2">Value!$AY$1:$AY$24</definedName>
    <definedName name="pendiri_corp" localSheetId="10">[2]Value!$T$1:$T$4</definedName>
    <definedName name="pendiri_corp" localSheetId="22">[3]Value!$T$1:$T$4</definedName>
    <definedName name="pendiri_corp" localSheetId="23">[4]Value!$T$1:$T$4</definedName>
    <definedName name="pendiri_corp" localSheetId="14">[5]Value!$T$1:$T$4</definedName>
    <definedName name="pendiri_corp">Value!$T$1:$T$4</definedName>
    <definedName name="pendiri_ind" localSheetId="10">[2]Value!$S$1:$S$4</definedName>
    <definedName name="pendiri_ind" localSheetId="22">[3]Value!$S$1:$S$4</definedName>
    <definedName name="pendiri_ind" localSheetId="23">[4]Value!$S$1:$S$4</definedName>
    <definedName name="pendiri_ind" localSheetId="14">[5]Value!$S$1:$S$4</definedName>
    <definedName name="pendiri_ind">Value!$S$1:$S$4</definedName>
    <definedName name="pengikatan" localSheetId="10">[2]Value!$I$1:$I$2</definedName>
    <definedName name="pengikatan" localSheetId="22">[3]Value!$I$1:$I$3</definedName>
    <definedName name="pengikatan" localSheetId="23">[4]Value!$I$1:$I$3</definedName>
    <definedName name="pengikatan" localSheetId="14">[5]Value!$I$1:$I$3</definedName>
    <definedName name="pengikatan">Value!$I$1:$I$2</definedName>
    <definedName name="pengikatan_1" localSheetId="10">[2]Value!$I$1:$I$5</definedName>
    <definedName name="pengikatan_1" localSheetId="23">[4]Value!$I$1:$I$5</definedName>
    <definedName name="pengikatan_1" localSheetId="14">[5]Value!$I$1:$I$4</definedName>
    <definedName name="pengikatan_1">Value!$I$1:$I$6</definedName>
    <definedName name="pengurus">Value!$AW$1:$AW$24</definedName>
    <definedName name="penilai">Value!$D$1:$D$2</definedName>
    <definedName name="PLANTATION">'Tabel Map Industry'!$D$382:$D$394</definedName>
    <definedName name="PLANTATION_2">'Tabel Map Industry'!$M$206:$M$216</definedName>
    <definedName name="PLASTIC">'Tabel Map Industry'!$D$395:$D$400</definedName>
    <definedName name="PLASTIC_2">'Tabel Map Industry'!$M$217:$M$220</definedName>
    <definedName name="_xlnm.Print_Area" localSheetId="9">'Analisa Lap Keu'!$A$1:$P$174</definedName>
    <definedName name="_xlnm.Print_Area" localSheetId="10">'Analisa Rek Koran'!$A$1:$S$595</definedName>
    <definedName name="_xlnm.Print_Area" localSheetId="7">'Buyer Checking'!$B$2:$J$159</definedName>
    <definedName name="_xlnm.Print_Area" localSheetId="0">Home!$A$1:$D$38</definedName>
    <definedName name="_xlnm.Print_Area" localSheetId="2">'Informasi Debitur'!$A$2:$Q$346</definedName>
    <definedName name="_xlnm.Print_Area" localSheetId="14">'Memo Review'!$A$1:$I$266</definedName>
    <definedName name="_xlnm.Print_Area" localSheetId="13">MKK!$A$2:$O$206</definedName>
    <definedName name="_xlnm.Print_Area" localSheetId="4">'Oder BI checking'!$B$3:$J$39</definedName>
    <definedName name="_xlnm.Print_Area" localSheetId="3">'Order appraisal'!$B$2:$J$49</definedName>
    <definedName name="_xlnm.Print_Area" localSheetId="20">'Order Notaris'!$A$1:$E$47</definedName>
    <definedName name="_xlnm.Print_Area" localSheetId="5">'Order Trade Checking'!$B$2:$M$43</definedName>
    <definedName name="_xlnm.Print_Area" localSheetId="15">'Pelaporan BI'!$A$2:$J$96</definedName>
    <definedName name="_xlnm.Print_Area" localSheetId="12">RAC!$A$2:$I$115</definedName>
    <definedName name="_xlnm.Print_Area" localSheetId="8">'Random Checking'!$B$2:$J$61</definedName>
    <definedName name="_xlnm.Print_Area" localSheetId="6">'Supplier Checking'!$B$1:$J$160</definedName>
    <definedName name="_xlnm.Print_Area" localSheetId="18">'Surat Penawaran'!$A$2:$G$260</definedName>
    <definedName name="_xlnm.Print_Area" localSheetId="19">'Surat Penawaran (2)'!$A$2:$G$177</definedName>
    <definedName name="_xlnm.Print_Titles" localSheetId="7">'Buyer Checking'!$2:$9</definedName>
    <definedName name="_xlnm.Print_Titles" localSheetId="2">'Informasi Debitur'!$2:$2</definedName>
    <definedName name="_xlnm.Print_Titles" localSheetId="13">MKK!$2:$4</definedName>
    <definedName name="_xlnm.Print_Titles" localSheetId="4">'Oder BI checking'!$3:$4</definedName>
    <definedName name="_xlnm.Print_Titles" localSheetId="3">'Order appraisal'!$3:$4</definedName>
    <definedName name="_xlnm.Print_Titles" localSheetId="8">'Random Checking'!$2:$9</definedName>
    <definedName name="_xlnm.Print_Titles" localSheetId="6">'Supplier Checking'!$1:$9</definedName>
    <definedName name="PRINTING">'Tabel Map Industry'!$D$401:$D$408</definedName>
    <definedName name="PRINTING_2">'Tabel Map Industry'!$M$221:$M$225</definedName>
    <definedName name="prod_mkk" localSheetId="10">[2]MKK!$A$34:$A$40</definedName>
    <definedName name="prod_mkk" localSheetId="23">[8]MKK!$A$34:$A$40</definedName>
    <definedName name="prod_mkk">MKK!$A$34:$A$40</definedName>
    <definedName name="PROPERTIES">'Tabel Map Industry'!$D$409:$D$425</definedName>
    <definedName name="PROPERTIES_2">'Tabel Map Industry'!$M$226:$M$229</definedName>
    <definedName name="purpose" localSheetId="10">[2]Value!$U$1:$U$3</definedName>
    <definedName name="purpose" localSheetId="23">[4]Value!$U$1:$U$3</definedName>
    <definedName name="purpose" localSheetId="14">[5]Value!$U$1:$U$3</definedName>
    <definedName name="purpose">Value!$U$1:$U$3</definedName>
    <definedName name="purpose_1" localSheetId="22">[3]Value!$U$1:$U$4</definedName>
    <definedName name="purpose_1">Value!$U$1:$U$4</definedName>
    <definedName name="Referral">Database!$B$158:$B$172</definedName>
    <definedName name="reg1a">Value!$AZ$1:$AZ$10</definedName>
    <definedName name="reg1b">Value!$AZ$11:$AZ$21</definedName>
    <definedName name="region_name" localSheetId="10">[2]Value!$BA$1:$BA$9</definedName>
    <definedName name="region_name">Value!$BA$1:$BA$9</definedName>
    <definedName name="rekomendasi" localSheetId="10">[2]Value!$H$1:$H$5</definedName>
    <definedName name="rekomendasi" localSheetId="22">[3]Value!$H$1:$H$5</definedName>
    <definedName name="rekomendasi" localSheetId="23">[4]Value!$H$1:$H$5</definedName>
    <definedName name="rekomendasi" localSheetId="14">[5]Value!$H$1:$H$5</definedName>
    <definedName name="rekomendasi">Value!$H$1:$H$5</definedName>
    <definedName name="Rel_debbank" localSheetId="10">'[2]Mapping SIDLBU'!$E$2:$E$4</definedName>
    <definedName name="Rel_debbank">'Mapping SIDLBU'!$E$2:$E$4</definedName>
    <definedName name="Relationship">Database!$A$158:$A$164</definedName>
    <definedName name="RENTAL">'Tabel Map Industry'!$D$426:$D$433</definedName>
    <definedName name="RENTAL_2">'Tabel Map Industry'!$M$230</definedName>
    <definedName name="riwayat_1" localSheetId="10">[2]Value!$AA$1:$AA$4</definedName>
    <definedName name="riwayat_1" localSheetId="22">[3]Value!$AA$1:$AA$4</definedName>
    <definedName name="riwayat_1" localSheetId="23">[4]Value!$AA$1:$AA$4</definedName>
    <definedName name="riwayat_1" localSheetId="14">[5]Value!$AA$1:$AA$4</definedName>
    <definedName name="riwayat_1">Value!$AA$1:$AA$4</definedName>
    <definedName name="riwayat_2" localSheetId="10">[2]Value!$AB$1:$AB$5</definedName>
    <definedName name="riwayat_2" localSheetId="22">[3]Value!$AB$1:$AB$5</definedName>
    <definedName name="riwayat_2" localSheetId="23">[4]Value!$AB$1:$AB$5</definedName>
    <definedName name="riwayat_2" localSheetId="14">[5]Value!$AB$1:$AB$5</definedName>
    <definedName name="riwayat_2">Value!$AB$1:$AB$5</definedName>
    <definedName name="sekeko_lbu" localSheetId="22">[3]Value!$AU$2:$AU$466</definedName>
    <definedName name="sekeko_lbu" localSheetId="14">[5]Value!$AU$2:$AU$466</definedName>
    <definedName name="sekeko_lbu">Value!$AU$2:$AU$466</definedName>
    <definedName name="sektoreko_SID" localSheetId="22">[3]Value!$AI$2:$AI$238</definedName>
    <definedName name="sektoreko_SID" localSheetId="14">[5]Value!$AI$2:$AI$238</definedName>
    <definedName name="sektoreko_SID">Value!$AI$2:$AI$238</definedName>
    <definedName name="SID" localSheetId="10">'[2]Mapping SIDLBU'!$A$37:$A$49</definedName>
    <definedName name="SID">'Mapping SIDLBU'!$A$37:$A$49</definedName>
    <definedName name="sifatkre_LBU">'Mapping SIDLBU'!$H$2:$H$4</definedName>
    <definedName name="sifatkre_LBU2">'Mapping SIDLBU'!$H$2:$H$4</definedName>
    <definedName name="sifatkre_SID" localSheetId="10">'[2]Mapping SIDLBU'!$G$2:$G$4</definedName>
    <definedName name="sifatkre_SID">'Mapping SIDLBU'!$G$2:$G$4</definedName>
    <definedName name="Sifatkredit_SID" localSheetId="10">[2]Value!$AF$1:$AF$16</definedName>
    <definedName name="Sifatkredit_SID" localSheetId="22">[3]Value!$AF$1:$AF$17</definedName>
    <definedName name="Sifatkredit_SID" localSheetId="14">[5]Value!$AF$1:$AF$16</definedName>
    <definedName name="Sifatkredit_SID">Value!$AF$1:$AF$16</definedName>
    <definedName name="sifkre_lbu" localSheetId="10">[2]Value!$AS$2:$AS$5</definedName>
    <definedName name="sifkre_lbu" localSheetId="22">[3]Value!$AS$2:$AS$5</definedName>
    <definedName name="sifkre_lbu" localSheetId="14">[5]Value!$AS$2:$AS$5</definedName>
    <definedName name="sifkre_lbu">Value!$AS$2:$AS$5</definedName>
    <definedName name="SPBU">'Tabel Map Industry'!$D$434:$D$436</definedName>
    <definedName name="SPBU_2">'Tabel Map Industry'!$M$231:$M$232</definedName>
    <definedName name="Stat_Deb" localSheetId="10">'[2]Mapping SIDLBU'!$E$7:$E$12</definedName>
    <definedName name="Stat_Deb">'Mapping SIDLBU'!$E$7:$E$12</definedName>
    <definedName name="status">Value!$R$1:$R$4</definedName>
    <definedName name="statusdeb_SID" localSheetId="22">[3]Value!$AG$2:$AG$35</definedName>
    <definedName name="statusdeb_SID" localSheetId="14">[5]Value!$AG$2:$AG$32</definedName>
    <definedName name="statusdeb_SID">Value!$AG$2:$AG$32</definedName>
    <definedName name="Strategi_bisnis" localSheetId="10">[2]Database!$A$176:$A$179</definedName>
    <definedName name="strategi_bisnis" localSheetId="23">[4]Database!$A$176:$A$180</definedName>
    <definedName name="Strategi_bisnis">Database!$A$176:$A$179</definedName>
    <definedName name="supplier_checking" localSheetId="22">[3]Value!$P$1:$P$8</definedName>
    <definedName name="supplier_checking">Value!$P$1:$P$8</definedName>
    <definedName name="supplierchecking">Value!$P$1:$P$4</definedName>
    <definedName name="TELECOM">'Tabel Map Industry'!$D$437:$D$440</definedName>
    <definedName name="TELECOM_2">'Tabel Map Industry'!$M$233:$M$234</definedName>
    <definedName name="tipe" localSheetId="22">[3]Value!$B$6:$B$7</definedName>
    <definedName name="tipe" localSheetId="23">[4]Value!$B$6:$B$7</definedName>
    <definedName name="tipe" localSheetId="14">[5]Value!$B$6:$B$7</definedName>
    <definedName name="tipe">Value!$B$6:$B$7</definedName>
    <definedName name="tipe_1" localSheetId="10">[2]Value!$B$6:$B$8</definedName>
    <definedName name="tipe_1" localSheetId="22">[3]Value!$B$6:$B$8</definedName>
    <definedName name="tipe_1" localSheetId="23">[4]Value!$B$6:$B$8</definedName>
    <definedName name="tipe_1" localSheetId="14">[5]Value!$B$6:$B$8</definedName>
    <definedName name="tipe_1">Value!$B$6:$B$10</definedName>
    <definedName name="tolakan">Value!$M$1:$M$4</definedName>
    <definedName name="tolakan_1" localSheetId="10">[2]Value!$M$1:$M$6</definedName>
    <definedName name="tolakan_1" localSheetId="22">[3]Value!$M$1:$M$6</definedName>
    <definedName name="tolakan_1" localSheetId="23">[4]Value!$M$1:$M$6</definedName>
    <definedName name="tolakan_1" localSheetId="14">[5]Value!$M$1:$M$6</definedName>
    <definedName name="tolakan_2">Value!$M$1:$M$6</definedName>
    <definedName name="TRANSPORT">'Tabel Map Industry'!$D$441:$D$456</definedName>
    <definedName name="TRANSPORT_2">'Tabel Map Industry'!$M$235:$M$241</definedName>
    <definedName name="tujuan" localSheetId="10">[2]Value!$G$1:$G$7</definedName>
    <definedName name="tujuan" localSheetId="22">[3]Value!$G$1:$G$6</definedName>
    <definedName name="tujuan" localSheetId="23">[4]Value!$G$1:$G$6</definedName>
    <definedName name="tujuan" localSheetId="14">[5]Value!$G$1:$G$6</definedName>
    <definedName name="tujuan">Value!$G$1:$G$7</definedName>
    <definedName name="typeuse_SID" localSheetId="22">[3]Value!$AL$2:$AL$44</definedName>
    <definedName name="typeuse_SID" localSheetId="14">[5]Value!$AL$2:$AL$42</definedName>
    <definedName name="typeuse_SID">Value!$AL$2:$AL$42</definedName>
    <definedName name="valuta_SID" localSheetId="10">[2]Value!$AN$2:$AN$212</definedName>
    <definedName name="valuta_SID" localSheetId="22">[3]Value!$AN$2:$AN$212</definedName>
    <definedName name="valuta_SID" localSheetId="23">[4]Value!$AN$2:$AN$212</definedName>
    <definedName name="valuta_SID" localSheetId="14">[5]Value!$AN$2:$AN$212</definedName>
    <definedName name="valuta_SID">Value!$AN$2:$AN$212</definedName>
    <definedName name="WOOD">'Tabel Map Industry'!$D$457:$D$464</definedName>
    <definedName name="WOOD_2">'Tabel Map Industry'!$M$242:$M$246</definedName>
  </definedNames>
  <calcPr calcId="145621"/>
</workbook>
</file>

<file path=xl/calcChain.xml><?xml version="1.0" encoding="utf-8"?>
<calcChain xmlns="http://schemas.openxmlformats.org/spreadsheetml/2006/main">
  <c r="O52" i="21" l="1"/>
  <c r="C38" i="15" l="1"/>
  <c r="J96" i="11"/>
  <c r="I52" i="21"/>
  <c r="G86" i="21" l="1"/>
  <c r="H86" i="21" s="1"/>
  <c r="O79" i="21"/>
  <c r="E64" i="19" s="1"/>
  <c r="BC31" i="27" s="1"/>
  <c r="G160" i="18"/>
  <c r="F160" i="18"/>
  <c r="AB160" i="18" s="1"/>
  <c r="G158" i="18"/>
  <c r="E39" i="27" s="1"/>
  <c r="G157" i="18"/>
  <c r="G156" i="18"/>
  <c r="G155" i="18"/>
  <c r="G154" i="18"/>
  <c r="E35" i="27" s="1"/>
  <c r="G33" i="21"/>
  <c r="G35" i="21"/>
  <c r="P158" i="18"/>
  <c r="P159" i="18"/>
  <c r="AD159" i="18" s="1"/>
  <c r="C23" i="5"/>
  <c r="B23" i="5"/>
  <c r="F248" i="18"/>
  <c r="C6" i="9"/>
  <c r="C7" i="10"/>
  <c r="P157" i="18"/>
  <c r="P156" i="18"/>
  <c r="C81" i="9"/>
  <c r="C29" i="9"/>
  <c r="I60" i="21"/>
  <c r="O60" i="21" s="1"/>
  <c r="I45" i="21"/>
  <c r="P165" i="18"/>
  <c r="AD165" i="18" s="1"/>
  <c r="P164" i="18"/>
  <c r="AD164" i="18" s="1"/>
  <c r="P163" i="18"/>
  <c r="P162" i="18"/>
  <c r="P161" i="18"/>
  <c r="C129" i="10"/>
  <c r="C118" i="10"/>
  <c r="C101" i="9"/>
  <c r="C91" i="9"/>
  <c r="C40" i="10"/>
  <c r="C29" i="7"/>
  <c r="C121" i="10" s="1"/>
  <c r="C65" i="9"/>
  <c r="C103" i="10"/>
  <c r="C92" i="10"/>
  <c r="C77" i="10"/>
  <c r="C66" i="10"/>
  <c r="C51" i="10"/>
  <c r="F165" i="10" s="1"/>
  <c r="C25" i="10"/>
  <c r="C14" i="10"/>
  <c r="C75" i="9"/>
  <c r="C49" i="9"/>
  <c r="C39" i="9"/>
  <c r="C23" i="9"/>
  <c r="C13" i="9"/>
  <c r="H53" i="27"/>
  <c r="I73" i="21"/>
  <c r="O73" i="21" s="1"/>
  <c r="G11" i="21"/>
  <c r="C72" i="27"/>
  <c r="E11" i="21"/>
  <c r="D96" i="11"/>
  <c r="F86" i="21"/>
  <c r="D86" i="21"/>
  <c r="F68" i="21"/>
  <c r="H68" i="21"/>
  <c r="H74" i="21"/>
  <c r="F74" i="21"/>
  <c r="F73" i="21"/>
  <c r="D74" i="21"/>
  <c r="D75" i="21"/>
  <c r="D73" i="21"/>
  <c r="AB155" i="18"/>
  <c r="AB156" i="18"/>
  <c r="AB157" i="18"/>
  <c r="AB158" i="18"/>
  <c r="AB159" i="18"/>
  <c r="AB161" i="18"/>
  <c r="AB162" i="18"/>
  <c r="AB163" i="18"/>
  <c r="AB164" i="18"/>
  <c r="AB165" i="18"/>
  <c r="AB166" i="18"/>
  <c r="AB167" i="18"/>
  <c r="AB168" i="18"/>
  <c r="AB154" i="18"/>
  <c r="AE155" i="18"/>
  <c r="AF155" i="18"/>
  <c r="AE156" i="18"/>
  <c r="AF156" i="18"/>
  <c r="AE157" i="18"/>
  <c r="AF157" i="18"/>
  <c r="AE158" i="18"/>
  <c r="AF158" i="18"/>
  <c r="AE159" i="18"/>
  <c r="AF159" i="18"/>
  <c r="AE160" i="18"/>
  <c r="AF160" i="18"/>
  <c r="AE161" i="18"/>
  <c r="AF161" i="18"/>
  <c r="AE162" i="18"/>
  <c r="AF162" i="18"/>
  <c r="AE163" i="18"/>
  <c r="AF163" i="18"/>
  <c r="AE164" i="18"/>
  <c r="AF164" i="18"/>
  <c r="AE165" i="18"/>
  <c r="AF165" i="18"/>
  <c r="AF169" i="18" s="1"/>
  <c r="AE166" i="18"/>
  <c r="AF166" i="18"/>
  <c r="AE167" i="18"/>
  <c r="AF167" i="18"/>
  <c r="AE168" i="18"/>
  <c r="AF168" i="18"/>
  <c r="AF154" i="18"/>
  <c r="AE154" i="18"/>
  <c r="AE101" i="18"/>
  <c r="P146" i="9"/>
  <c r="O147" i="9"/>
  <c r="G66" i="27"/>
  <c r="CJ770" i="22"/>
  <c r="CI770" i="22"/>
  <c r="CH770" i="22"/>
  <c r="CG770" i="22"/>
  <c r="CJ728" i="22"/>
  <c r="CI728" i="22"/>
  <c r="CH728" i="22"/>
  <c r="CG728" i="22"/>
  <c r="I59" i="21"/>
  <c r="O59" i="21" s="1"/>
  <c r="I58" i="21"/>
  <c r="O58" i="21" s="1"/>
  <c r="I57" i="21"/>
  <c r="O57" i="21" s="1"/>
  <c r="O55" i="21"/>
  <c r="I53" i="21"/>
  <c r="O53" i="21" s="1"/>
  <c r="I49" i="21"/>
  <c r="I48" i="21"/>
  <c r="O46" i="21"/>
  <c r="E65" i="19" s="1"/>
  <c r="BD31" i="27" s="1"/>
  <c r="I41" i="21"/>
  <c r="O41" i="21" s="1"/>
  <c r="I40" i="21"/>
  <c r="O40" i="21"/>
  <c r="F101" i="18"/>
  <c r="G101" i="18" s="1"/>
  <c r="AD101" i="18" s="1"/>
  <c r="F102" i="18"/>
  <c r="G102" i="18" s="1"/>
  <c r="F103" i="18"/>
  <c r="G103" i="18"/>
  <c r="AD103" i="18" s="1"/>
  <c r="F104" i="18"/>
  <c r="G104" i="18" s="1"/>
  <c r="AD104" i="18" s="1"/>
  <c r="I38" i="21"/>
  <c r="O38" i="21" s="1"/>
  <c r="I37" i="21"/>
  <c r="O37" i="21" s="1"/>
  <c r="I36" i="21"/>
  <c r="O36" i="21" s="1"/>
  <c r="I35" i="21"/>
  <c r="O35" i="21" s="1"/>
  <c r="I34" i="21"/>
  <c r="O34" i="21" s="1"/>
  <c r="I33" i="21"/>
  <c r="O33" i="21" s="1"/>
  <c r="I32" i="21"/>
  <c r="O32" i="21" s="1"/>
  <c r="I29" i="21"/>
  <c r="O29" i="21" s="1"/>
  <c r="I28" i="21"/>
  <c r="O28" i="21" s="1"/>
  <c r="I25" i="21"/>
  <c r="O25" i="21" s="1"/>
  <c r="L29" i="19"/>
  <c r="D28" i="19"/>
  <c r="F28" i="19" s="1"/>
  <c r="K28" i="19" s="1"/>
  <c r="C28" i="19"/>
  <c r="E28" i="19" s="1"/>
  <c r="J28" i="19" s="1"/>
  <c r="K283" i="38"/>
  <c r="K323" i="38"/>
  <c r="F19" i="38"/>
  <c r="C66" i="27" s="1"/>
  <c r="F18" i="38"/>
  <c r="B66" i="27" s="1"/>
  <c r="H14" i="38"/>
  <c r="H13" i="38"/>
  <c r="H12" i="38"/>
  <c r="H11" i="38"/>
  <c r="H10" i="38"/>
  <c r="H9" i="38"/>
  <c r="K563" i="38"/>
  <c r="R573" i="38"/>
  <c r="Y573" i="38" s="1"/>
  <c r="R572" i="38"/>
  <c r="R571" i="38"/>
  <c r="Y571" i="38" s="1"/>
  <c r="R570" i="38"/>
  <c r="O573" i="38"/>
  <c r="X573" i="38" s="1"/>
  <c r="O572" i="38"/>
  <c r="X572" i="38"/>
  <c r="O571" i="38"/>
  <c r="O570" i="38"/>
  <c r="L573" i="38"/>
  <c r="W573" i="38"/>
  <c r="L572" i="38"/>
  <c r="W572" i="38" s="1"/>
  <c r="L571" i="38"/>
  <c r="L570" i="38"/>
  <c r="I573" i="38"/>
  <c r="V573" i="38" s="1"/>
  <c r="I572" i="38"/>
  <c r="V572" i="38" s="1"/>
  <c r="I571" i="38"/>
  <c r="V571" i="38" s="1"/>
  <c r="I570" i="38"/>
  <c r="F573" i="38"/>
  <c r="U573" i="38" s="1"/>
  <c r="F572" i="38"/>
  <c r="U572" i="38"/>
  <c r="F574" i="38" s="1"/>
  <c r="F571" i="38"/>
  <c r="U571" i="38" s="1"/>
  <c r="F570" i="38"/>
  <c r="U570" i="38" s="1"/>
  <c r="C573" i="38"/>
  <c r="T573" i="38" s="1"/>
  <c r="C572" i="38"/>
  <c r="C571" i="38"/>
  <c r="C570" i="38"/>
  <c r="T570" i="38" s="1"/>
  <c r="R553" i="38"/>
  <c r="Y553" i="38" s="1"/>
  <c r="R552" i="38"/>
  <c r="R551" i="38"/>
  <c r="Y551" i="38"/>
  <c r="R550" i="38"/>
  <c r="Y550" i="38" s="1"/>
  <c r="O553" i="38"/>
  <c r="X553" i="38" s="1"/>
  <c r="O552" i="38"/>
  <c r="O551" i="38"/>
  <c r="O550" i="38"/>
  <c r="L553" i="38"/>
  <c r="W553" i="38" s="1"/>
  <c r="L552" i="38"/>
  <c r="W552" i="38"/>
  <c r="L551" i="38"/>
  <c r="W551" i="38" s="1"/>
  <c r="L550" i="38"/>
  <c r="W550" i="38" s="1"/>
  <c r="W554" i="38" s="1"/>
  <c r="I553" i="38"/>
  <c r="V553" i="38" s="1"/>
  <c r="I552" i="38"/>
  <c r="V552" i="38" s="1"/>
  <c r="I551" i="38"/>
  <c r="V551" i="38" s="1"/>
  <c r="I550" i="38"/>
  <c r="V550" i="38" s="1"/>
  <c r="V554" i="38" s="1"/>
  <c r="F553" i="38"/>
  <c r="U553" i="38" s="1"/>
  <c r="F552" i="38"/>
  <c r="F551" i="38"/>
  <c r="U551" i="38" s="1"/>
  <c r="F550" i="38"/>
  <c r="U550" i="38" s="1"/>
  <c r="C553" i="38"/>
  <c r="T553" i="38" s="1"/>
  <c r="C552" i="38"/>
  <c r="C551" i="38"/>
  <c r="T551" i="38" s="1"/>
  <c r="C550" i="38"/>
  <c r="T550" i="38" s="1"/>
  <c r="T554" i="38" s="1"/>
  <c r="K543" i="38"/>
  <c r="O532" i="38"/>
  <c r="R533" i="38"/>
  <c r="Y533" i="38" s="1"/>
  <c r="R532" i="38"/>
  <c r="R531" i="38"/>
  <c r="Y531" i="38" s="1"/>
  <c r="R530" i="38"/>
  <c r="O533" i="38"/>
  <c r="X533" i="38" s="1"/>
  <c r="O531" i="38"/>
  <c r="O530" i="38"/>
  <c r="L533" i="38"/>
  <c r="L532" i="38"/>
  <c r="W532" i="38" s="1"/>
  <c r="L531" i="38"/>
  <c r="L530" i="38"/>
  <c r="I533" i="38"/>
  <c r="V533" i="38" s="1"/>
  <c r="I532" i="38"/>
  <c r="V532" i="38" s="1"/>
  <c r="I531" i="38"/>
  <c r="V531" i="38" s="1"/>
  <c r="I530" i="38"/>
  <c r="V530" i="38"/>
  <c r="F533" i="38"/>
  <c r="U533" i="38" s="1"/>
  <c r="F532" i="38"/>
  <c r="F531" i="38"/>
  <c r="U531" i="38" s="1"/>
  <c r="F530" i="38"/>
  <c r="C533" i="38"/>
  <c r="T533" i="38" s="1"/>
  <c r="C532" i="38"/>
  <c r="T532" i="38" s="1"/>
  <c r="C531" i="38"/>
  <c r="T531" i="38" s="1"/>
  <c r="C530" i="38"/>
  <c r="T530" i="38" s="1"/>
  <c r="K523" i="38"/>
  <c r="R513" i="38"/>
  <c r="Y513" i="38" s="1"/>
  <c r="R512" i="38"/>
  <c r="R511" i="38"/>
  <c r="Y511" i="38"/>
  <c r="R510" i="38"/>
  <c r="O513" i="38"/>
  <c r="X513" i="38" s="1"/>
  <c r="O512" i="38"/>
  <c r="X512" i="38" s="1"/>
  <c r="O511" i="38"/>
  <c r="X511" i="38" s="1"/>
  <c r="O510" i="38"/>
  <c r="L513" i="38"/>
  <c r="L512" i="38"/>
  <c r="W512" i="38" s="1"/>
  <c r="L511" i="38"/>
  <c r="W511" i="38" s="1"/>
  <c r="L510" i="38"/>
  <c r="W510" i="38" s="1"/>
  <c r="I513" i="38"/>
  <c r="V513" i="38" s="1"/>
  <c r="I512" i="38"/>
  <c r="V512" i="38" s="1"/>
  <c r="I511" i="38"/>
  <c r="V511" i="38" s="1"/>
  <c r="I510" i="38"/>
  <c r="V510" i="38" s="1"/>
  <c r="F513" i="38"/>
  <c r="U513" i="38" s="1"/>
  <c r="F512" i="38"/>
  <c r="U512" i="38" s="1"/>
  <c r="F511" i="38"/>
  <c r="U511" i="38" s="1"/>
  <c r="F510" i="38"/>
  <c r="U510" i="38" s="1"/>
  <c r="U514" i="38" s="1"/>
  <c r="C513" i="38"/>
  <c r="C512" i="38"/>
  <c r="T512" i="38"/>
  <c r="C511" i="38"/>
  <c r="C510" i="38"/>
  <c r="K503" i="38"/>
  <c r="F490" i="38"/>
  <c r="U490" i="38" s="1"/>
  <c r="R493" i="38"/>
  <c r="Y493" i="38" s="1"/>
  <c r="Y494" i="38" s="1"/>
  <c r="R492" i="38"/>
  <c r="Y492" i="38" s="1"/>
  <c r="R491" i="38"/>
  <c r="Y491" i="38" s="1"/>
  <c r="R490" i="38"/>
  <c r="Y490" i="38" s="1"/>
  <c r="O493" i="38"/>
  <c r="X493" i="38" s="1"/>
  <c r="O492" i="38"/>
  <c r="O491" i="38"/>
  <c r="X491" i="38" s="1"/>
  <c r="O490" i="38"/>
  <c r="X490" i="38" s="1"/>
  <c r="L493" i="38"/>
  <c r="W493" i="38" s="1"/>
  <c r="L492" i="38"/>
  <c r="W492" i="38" s="1"/>
  <c r="L491" i="38"/>
  <c r="W491" i="38" s="1"/>
  <c r="L490" i="38"/>
  <c r="I493" i="38"/>
  <c r="V493" i="38" s="1"/>
  <c r="I492" i="38"/>
  <c r="I491" i="38"/>
  <c r="V491" i="38" s="1"/>
  <c r="I490" i="38"/>
  <c r="V490" i="38" s="1"/>
  <c r="F493" i="38"/>
  <c r="U493" i="38" s="1"/>
  <c r="F492" i="38"/>
  <c r="U492" i="38" s="1"/>
  <c r="F491" i="38"/>
  <c r="C493" i="38"/>
  <c r="T493" i="38" s="1"/>
  <c r="C492" i="38"/>
  <c r="T492" i="38" s="1"/>
  <c r="C491" i="38"/>
  <c r="T491" i="38" s="1"/>
  <c r="C490" i="38"/>
  <c r="T490" i="38" s="1"/>
  <c r="K483" i="38"/>
  <c r="R473" i="38"/>
  <c r="R472" i="38"/>
  <c r="Y472" i="38" s="1"/>
  <c r="R471" i="38"/>
  <c r="Y471" i="38" s="1"/>
  <c r="R470" i="38"/>
  <c r="O473" i="38"/>
  <c r="X473" i="38" s="1"/>
  <c r="O472" i="38"/>
  <c r="X472" i="38" s="1"/>
  <c r="O471" i="38"/>
  <c r="X471" i="38" s="1"/>
  <c r="O470" i="38"/>
  <c r="L473" i="38"/>
  <c r="L472" i="38"/>
  <c r="L471" i="38"/>
  <c r="W471" i="38" s="1"/>
  <c r="L470" i="38"/>
  <c r="W470" i="38" s="1"/>
  <c r="I473" i="38"/>
  <c r="V473" i="38" s="1"/>
  <c r="I472" i="38"/>
  <c r="V472" i="38" s="1"/>
  <c r="I471" i="38"/>
  <c r="I470" i="38"/>
  <c r="V470" i="38" s="1"/>
  <c r="F473" i="38"/>
  <c r="U473" i="38" s="1"/>
  <c r="F472" i="38"/>
  <c r="U472" i="38" s="1"/>
  <c r="F471" i="38"/>
  <c r="F470" i="38"/>
  <c r="U470" i="38" s="1"/>
  <c r="C473" i="38"/>
  <c r="C472" i="38"/>
  <c r="T472" i="38" s="1"/>
  <c r="C471" i="38"/>
  <c r="T471" i="38" s="1"/>
  <c r="C470" i="38"/>
  <c r="K463" i="38"/>
  <c r="R453" i="38"/>
  <c r="Y453" i="38" s="1"/>
  <c r="R452" i="38"/>
  <c r="Y452" i="38" s="1"/>
  <c r="R451" i="38"/>
  <c r="Y451" i="38" s="1"/>
  <c r="R450" i="38"/>
  <c r="O453" i="38"/>
  <c r="X453" i="38" s="1"/>
  <c r="O452" i="38"/>
  <c r="O451" i="38"/>
  <c r="X451" i="38" s="1"/>
  <c r="O450" i="38"/>
  <c r="X450" i="38" s="1"/>
  <c r="L453" i="38"/>
  <c r="W453" i="38" s="1"/>
  <c r="L452" i="38"/>
  <c r="W452" i="38" s="1"/>
  <c r="L451" i="38"/>
  <c r="L450" i="38"/>
  <c r="I453" i="38"/>
  <c r="V453" i="38" s="1"/>
  <c r="I452" i="38"/>
  <c r="I451" i="38"/>
  <c r="V451" i="38" s="1"/>
  <c r="I450" i="38"/>
  <c r="V450" i="38" s="1"/>
  <c r="F453" i="38"/>
  <c r="U453" i="38" s="1"/>
  <c r="U454" i="38" s="1"/>
  <c r="F452" i="38"/>
  <c r="U452" i="38" s="1"/>
  <c r="F451" i="38"/>
  <c r="F450" i="38"/>
  <c r="C453" i="38"/>
  <c r="T453" i="38" s="1"/>
  <c r="C452" i="38"/>
  <c r="T452" i="38" s="1"/>
  <c r="C451" i="38"/>
  <c r="T451" i="38" s="1"/>
  <c r="C450" i="38"/>
  <c r="T450" i="38" s="1"/>
  <c r="K443" i="38"/>
  <c r="F430" i="38"/>
  <c r="R433" i="38"/>
  <c r="Y433" i="38" s="1"/>
  <c r="R432" i="38"/>
  <c r="Y432" i="38" s="1"/>
  <c r="R431" i="38"/>
  <c r="Y431" i="38" s="1"/>
  <c r="R430" i="38"/>
  <c r="O433" i="38"/>
  <c r="O432" i="38"/>
  <c r="X432" i="38" s="1"/>
  <c r="O431" i="38"/>
  <c r="X431" i="38" s="1"/>
  <c r="O430" i="38"/>
  <c r="L433" i="38"/>
  <c r="W433" i="38"/>
  <c r="L432" i="38"/>
  <c r="W432" i="38" s="1"/>
  <c r="L434" i="38" s="1"/>
  <c r="L431" i="38"/>
  <c r="W431" i="38" s="1"/>
  <c r="L430" i="38"/>
  <c r="W430" i="38" s="1"/>
  <c r="I433" i="38"/>
  <c r="V433" i="38" s="1"/>
  <c r="I432" i="38"/>
  <c r="I431" i="38"/>
  <c r="V431" i="38" s="1"/>
  <c r="I430" i="38"/>
  <c r="F433" i="38"/>
  <c r="U433" i="38" s="1"/>
  <c r="F432" i="38"/>
  <c r="U432" i="38" s="1"/>
  <c r="F431" i="38"/>
  <c r="C433" i="38"/>
  <c r="T433" i="38" s="1"/>
  <c r="C432" i="38"/>
  <c r="T432" i="38" s="1"/>
  <c r="C431" i="38"/>
  <c r="C430" i="38"/>
  <c r="T430" i="38" s="1"/>
  <c r="K423" i="38"/>
  <c r="C411" i="38"/>
  <c r="T411" i="38" s="1"/>
  <c r="R413" i="38"/>
  <c r="Y413" i="38" s="1"/>
  <c r="R412" i="38"/>
  <c r="Y412" i="38" s="1"/>
  <c r="R411" i="38"/>
  <c r="Y411" i="38"/>
  <c r="R410" i="38"/>
  <c r="O413" i="38"/>
  <c r="O412" i="38"/>
  <c r="X412" i="38"/>
  <c r="O411" i="38"/>
  <c r="O410" i="38"/>
  <c r="X410" i="38" s="1"/>
  <c r="L413" i="38"/>
  <c r="W413" i="38" s="1"/>
  <c r="L412" i="38"/>
  <c r="W412" i="38" s="1"/>
  <c r="L411" i="38"/>
  <c r="W411" i="38" s="1"/>
  <c r="L410" i="38"/>
  <c r="W410" i="38" s="1"/>
  <c r="I413" i="38"/>
  <c r="I412" i="38"/>
  <c r="I411" i="38"/>
  <c r="V411" i="38" s="1"/>
  <c r="I410" i="38"/>
  <c r="V410" i="38" s="1"/>
  <c r="F413" i="38"/>
  <c r="U413" i="38" s="1"/>
  <c r="F412" i="38"/>
  <c r="U412" i="38" s="1"/>
  <c r="F411" i="38"/>
  <c r="F410" i="38"/>
  <c r="C413" i="38"/>
  <c r="C412" i="38"/>
  <c r="T412" i="38" s="1"/>
  <c r="C410" i="38"/>
  <c r="K403" i="38"/>
  <c r="Y390" i="38"/>
  <c r="X391" i="38"/>
  <c r="X394" i="38" s="1"/>
  <c r="W391" i="38"/>
  <c r="V390" i="38"/>
  <c r="U391" i="38"/>
  <c r="T391" i="38"/>
  <c r="T390" i="38"/>
  <c r="K383" i="38"/>
  <c r="K363" i="38"/>
  <c r="Y373" i="38"/>
  <c r="Y372" i="38"/>
  <c r="Y371" i="38"/>
  <c r="X373" i="38"/>
  <c r="X372" i="38"/>
  <c r="X374" i="38" s="1"/>
  <c r="X371" i="38"/>
  <c r="X370" i="38"/>
  <c r="W373" i="38"/>
  <c r="W372" i="38"/>
  <c r="L374" i="38" s="1"/>
  <c r="W371" i="38"/>
  <c r="V373" i="38"/>
  <c r="V372" i="38"/>
  <c r="V371" i="38"/>
  <c r="V370" i="38"/>
  <c r="U373" i="38"/>
  <c r="U372" i="38"/>
  <c r="U371" i="38"/>
  <c r="U374" i="38" s="1"/>
  <c r="U370" i="38"/>
  <c r="T373" i="38"/>
  <c r="T372" i="38"/>
  <c r="T371" i="38"/>
  <c r="T374" i="38" s="1"/>
  <c r="T370" i="38"/>
  <c r="Y353" i="38"/>
  <c r="Y352" i="38"/>
  <c r="Y351" i="38"/>
  <c r="R354" i="38" s="1"/>
  <c r="Y350" i="38"/>
  <c r="X353" i="38"/>
  <c r="X352" i="38"/>
  <c r="X351" i="38"/>
  <c r="X354" i="38" s="1"/>
  <c r="W353" i="38"/>
  <c r="W352" i="38"/>
  <c r="W351" i="38"/>
  <c r="V353" i="38"/>
  <c r="V352" i="38"/>
  <c r="U353" i="38"/>
  <c r="U352" i="38"/>
  <c r="U351" i="38"/>
  <c r="T353" i="38"/>
  <c r="T352" i="38"/>
  <c r="T351" i="38"/>
  <c r="T350" i="38"/>
  <c r="C354" i="38" s="1"/>
  <c r="K343" i="38"/>
  <c r="L338" i="38"/>
  <c r="Y332" i="38"/>
  <c r="X332" i="38"/>
  <c r="X330" i="38"/>
  <c r="W333" i="38"/>
  <c r="W332" i="38"/>
  <c r="V333" i="38"/>
  <c r="V332" i="38"/>
  <c r="V330" i="38"/>
  <c r="U330" i="38"/>
  <c r="T330" i="38"/>
  <c r="R578" i="38"/>
  <c r="O578" i="38"/>
  <c r="L578" i="38"/>
  <c r="I578" i="38"/>
  <c r="F578" i="38"/>
  <c r="C578" i="38"/>
  <c r="B568" i="38"/>
  <c r="R558" i="38"/>
  <c r="O558" i="38"/>
  <c r="L558" i="38"/>
  <c r="I558" i="38"/>
  <c r="F558" i="38"/>
  <c r="C558" i="38"/>
  <c r="B548" i="38"/>
  <c r="R538" i="38"/>
  <c r="O538" i="38"/>
  <c r="L538" i="38"/>
  <c r="I538" i="38"/>
  <c r="F538" i="38"/>
  <c r="C538" i="38"/>
  <c r="K524" i="38" s="1"/>
  <c r="W533" i="38"/>
  <c r="X532" i="38"/>
  <c r="X530" i="38"/>
  <c r="U530" i="38"/>
  <c r="B528" i="38"/>
  <c r="R518" i="38"/>
  <c r="O518" i="38"/>
  <c r="L518" i="38"/>
  <c r="I518" i="38"/>
  <c r="F518" i="38"/>
  <c r="C518" i="38"/>
  <c r="W513" i="38"/>
  <c r="Y512" i="38"/>
  <c r="T510" i="38"/>
  <c r="B508" i="38"/>
  <c r="R498" i="38"/>
  <c r="O498" i="38"/>
  <c r="L498" i="38"/>
  <c r="I498" i="38"/>
  <c r="F498" i="38"/>
  <c r="C498" i="38"/>
  <c r="V492" i="38"/>
  <c r="B488" i="38"/>
  <c r="R478" i="38"/>
  <c r="O478" i="38"/>
  <c r="L478" i="38"/>
  <c r="I478" i="38"/>
  <c r="F478" i="38"/>
  <c r="C478" i="38"/>
  <c r="Y473" i="38"/>
  <c r="W473" i="38"/>
  <c r="T473" i="38"/>
  <c r="W472" i="38"/>
  <c r="V471" i="38"/>
  <c r="T470" i="38"/>
  <c r="B468" i="38"/>
  <c r="R458" i="38"/>
  <c r="O458" i="38"/>
  <c r="L458" i="38"/>
  <c r="I458" i="38"/>
  <c r="F458" i="38"/>
  <c r="C458" i="38"/>
  <c r="K444" i="38" s="1"/>
  <c r="K445" i="38" s="1"/>
  <c r="B448" i="38"/>
  <c r="R438" i="38"/>
  <c r="O438" i="38"/>
  <c r="L438" i="38"/>
  <c r="I438" i="38"/>
  <c r="F438" i="38"/>
  <c r="C438" i="38"/>
  <c r="U431" i="38"/>
  <c r="B428" i="38"/>
  <c r="R418" i="38"/>
  <c r="O418" i="38"/>
  <c r="L418" i="38"/>
  <c r="I418" i="38"/>
  <c r="K404" i="38" s="1"/>
  <c r="K405" i="38" s="1"/>
  <c r="F418" i="38"/>
  <c r="C418" i="38"/>
  <c r="X413" i="38"/>
  <c r="V413" i="38"/>
  <c r="T413" i="38"/>
  <c r="Y410" i="38"/>
  <c r="B408" i="38"/>
  <c r="R398" i="38"/>
  <c r="O398" i="38"/>
  <c r="L398" i="38"/>
  <c r="I398" i="38"/>
  <c r="K384" i="38" s="1"/>
  <c r="K385" i="38" s="1"/>
  <c r="F398" i="38"/>
  <c r="C398" i="38"/>
  <c r="Y393" i="38"/>
  <c r="X393" i="38"/>
  <c r="W393" i="38"/>
  <c r="V393" i="38"/>
  <c r="U393" i="38"/>
  <c r="T393" i="38"/>
  <c r="Y392" i="38"/>
  <c r="X392" i="38"/>
  <c r="W392" i="38"/>
  <c r="V392" i="38"/>
  <c r="U392" i="38"/>
  <c r="T392" i="38"/>
  <c r="V391" i="38"/>
  <c r="X390" i="38"/>
  <c r="U390" i="38"/>
  <c r="B388" i="38"/>
  <c r="R378" i="38"/>
  <c r="O378" i="38"/>
  <c r="L378" i="38"/>
  <c r="I378" i="38"/>
  <c r="K364" i="38" s="1"/>
  <c r="K365" i="38" s="1"/>
  <c r="F378" i="38"/>
  <c r="C378" i="38"/>
  <c r="B368" i="38"/>
  <c r="R358" i="38"/>
  <c r="O358" i="38"/>
  <c r="L358" i="38"/>
  <c r="I358" i="38"/>
  <c r="F358" i="38"/>
  <c r="C358" i="38"/>
  <c r="B348" i="38"/>
  <c r="R338" i="38"/>
  <c r="O338" i="38"/>
  <c r="I338" i="38"/>
  <c r="F338" i="38"/>
  <c r="C338" i="38"/>
  <c r="B328" i="38"/>
  <c r="D306" i="38"/>
  <c r="K303" i="38"/>
  <c r="C318" i="38"/>
  <c r="Y312" i="38"/>
  <c r="Y572" i="38"/>
  <c r="Y310" i="38"/>
  <c r="X312" i="38"/>
  <c r="X571" i="38"/>
  <c r="X310" i="38"/>
  <c r="W312" i="38"/>
  <c r="V311" i="38"/>
  <c r="V310" i="38"/>
  <c r="V314" i="38" s="1"/>
  <c r="U311" i="38"/>
  <c r="U310" i="38"/>
  <c r="T312" i="38"/>
  <c r="T571" i="38"/>
  <c r="T310" i="38"/>
  <c r="R318" i="38"/>
  <c r="O318" i="38"/>
  <c r="L318" i="38"/>
  <c r="K304" i="38" s="1"/>
  <c r="K305" i="38" s="1"/>
  <c r="I318" i="38"/>
  <c r="F318" i="38"/>
  <c r="B308" i="38"/>
  <c r="U290" i="38"/>
  <c r="C298" i="38"/>
  <c r="B288" i="38"/>
  <c r="Y293" i="38"/>
  <c r="Y292" i="38"/>
  <c r="Y291" i="38"/>
  <c r="X293" i="38"/>
  <c r="X292" i="38"/>
  <c r="X291" i="38"/>
  <c r="W293" i="38"/>
  <c r="W292" i="38"/>
  <c r="W291" i="38"/>
  <c r="W294" i="38" s="1"/>
  <c r="V293" i="38"/>
  <c r="V292" i="38"/>
  <c r="V291" i="38"/>
  <c r="V290" i="38"/>
  <c r="U293" i="38"/>
  <c r="U292" i="38"/>
  <c r="U291" i="38"/>
  <c r="T293" i="38"/>
  <c r="T292" i="38"/>
  <c r="T294" i="38" s="1"/>
  <c r="T291" i="38"/>
  <c r="T290" i="38"/>
  <c r="R298" i="38"/>
  <c r="O298" i="38"/>
  <c r="L298" i="38"/>
  <c r="I298" i="38"/>
  <c r="F298" i="38"/>
  <c r="C3" i="38"/>
  <c r="C2" i="38"/>
  <c r="D566" i="38"/>
  <c r="R579" i="38" s="1"/>
  <c r="D565" i="38"/>
  <c r="D564" i="38"/>
  <c r="D563" i="38"/>
  <c r="D546" i="38"/>
  <c r="I559" i="38" s="1"/>
  <c r="D545" i="38"/>
  <c r="D544" i="38"/>
  <c r="D543" i="38"/>
  <c r="D526" i="38"/>
  <c r="L539" i="38" s="1"/>
  <c r="D525" i="38"/>
  <c r="D524" i="38"/>
  <c r="D523" i="38"/>
  <c r="D506" i="38"/>
  <c r="C519" i="38" s="1"/>
  <c r="D505" i="38"/>
  <c r="D504" i="38"/>
  <c r="D503" i="38"/>
  <c r="D486" i="38"/>
  <c r="D485" i="38"/>
  <c r="D484" i="38"/>
  <c r="D483" i="38"/>
  <c r="D466" i="38"/>
  <c r="C479" i="38" s="1"/>
  <c r="D465" i="38"/>
  <c r="D464" i="38"/>
  <c r="D463" i="38"/>
  <c r="D446" i="38"/>
  <c r="D445" i="38"/>
  <c r="D444" i="38"/>
  <c r="D443" i="38"/>
  <c r="D426" i="38"/>
  <c r="D425" i="38"/>
  <c r="D424" i="38"/>
  <c r="D423" i="38"/>
  <c r="D406" i="38"/>
  <c r="D405" i="38"/>
  <c r="D404" i="38"/>
  <c r="D403" i="38"/>
  <c r="D386" i="38"/>
  <c r="D385" i="38"/>
  <c r="D384" i="38"/>
  <c r="D383" i="38"/>
  <c r="D366" i="38"/>
  <c r="D365" i="38"/>
  <c r="D364" i="38"/>
  <c r="D363" i="38"/>
  <c r="D346" i="38"/>
  <c r="D345" i="38"/>
  <c r="D344" i="38"/>
  <c r="D343" i="38"/>
  <c r="D326" i="38"/>
  <c r="D325" i="38"/>
  <c r="D324" i="38"/>
  <c r="D323" i="38"/>
  <c r="D305" i="38"/>
  <c r="D304" i="38"/>
  <c r="D303" i="38"/>
  <c r="D286" i="38"/>
  <c r="R299" i="38" s="1"/>
  <c r="D285" i="38"/>
  <c r="D284" i="38"/>
  <c r="D283" i="38"/>
  <c r="R276" i="38"/>
  <c r="O276" i="38"/>
  <c r="L276" i="38"/>
  <c r="I276" i="38"/>
  <c r="M267" i="38" s="1"/>
  <c r="F276" i="38"/>
  <c r="C276" i="38"/>
  <c r="R275" i="38"/>
  <c r="O275" i="38"/>
  <c r="L275" i="38"/>
  <c r="I275" i="38"/>
  <c r="F275" i="38"/>
  <c r="C275" i="38"/>
  <c r="S274" i="38"/>
  <c r="P274" i="38"/>
  <c r="M274" i="38"/>
  <c r="J274" i="38"/>
  <c r="G274" i="38"/>
  <c r="D274" i="38"/>
  <c r="S273" i="38"/>
  <c r="P273" i="38"/>
  <c r="M273" i="38"/>
  <c r="J273" i="38"/>
  <c r="G273" i="38"/>
  <c r="D273" i="38"/>
  <c r="S272" i="38"/>
  <c r="P272" i="38"/>
  <c r="M272" i="38"/>
  <c r="L277" i="38" s="1"/>
  <c r="J272" i="38"/>
  <c r="G272" i="38"/>
  <c r="D272" i="38"/>
  <c r="S271" i="38"/>
  <c r="R277" i="38" s="1"/>
  <c r="P271" i="38"/>
  <c r="O277" i="38" s="1"/>
  <c r="M271" i="38"/>
  <c r="J271" i="38"/>
  <c r="G271" i="38"/>
  <c r="F277" i="38" s="1"/>
  <c r="D271" i="38"/>
  <c r="C277" i="38" s="1"/>
  <c r="B269" i="38"/>
  <c r="R259" i="38"/>
  <c r="O259" i="38"/>
  <c r="L259" i="38"/>
  <c r="I259" i="38"/>
  <c r="F259" i="38"/>
  <c r="C259" i="38"/>
  <c r="R258" i="38"/>
  <c r="O258" i="38"/>
  <c r="L258" i="38"/>
  <c r="I258" i="38"/>
  <c r="F258" i="38"/>
  <c r="C258" i="38"/>
  <c r="S257" i="38"/>
  <c r="P257" i="38"/>
  <c r="M257" i="38"/>
  <c r="J257" i="38"/>
  <c r="G257" i="38"/>
  <c r="D257" i="38"/>
  <c r="S256" i="38"/>
  <c r="P256" i="38"/>
  <c r="M256" i="38"/>
  <c r="J256" i="38"/>
  <c r="G256" i="38"/>
  <c r="D256" i="38"/>
  <c r="S255" i="38"/>
  <c r="P255" i="38"/>
  <c r="M255" i="38"/>
  <c r="L260" i="38" s="1"/>
  <c r="J255" i="38"/>
  <c r="G255" i="38"/>
  <c r="D255" i="38"/>
  <c r="C260" i="38" s="1"/>
  <c r="S254" i="38"/>
  <c r="R260" i="38" s="1"/>
  <c r="P254" i="38"/>
  <c r="M254" i="38"/>
  <c r="J254" i="38"/>
  <c r="I260" i="38" s="1"/>
  <c r="G254" i="38"/>
  <c r="F260" i="38" s="1"/>
  <c r="D254" i="38"/>
  <c r="B252" i="38"/>
  <c r="R242" i="38"/>
  <c r="O242" i="38"/>
  <c r="L242" i="38"/>
  <c r="I242" i="38"/>
  <c r="F242" i="38"/>
  <c r="C242" i="38"/>
  <c r="R241" i="38"/>
  <c r="O241" i="38"/>
  <c r="L241" i="38"/>
  <c r="I241" i="38"/>
  <c r="F241" i="38"/>
  <c r="C241" i="38"/>
  <c r="S240" i="38"/>
  <c r="P240" i="38"/>
  <c r="M240" i="38"/>
  <c r="J240" i="38"/>
  <c r="G240" i="38"/>
  <c r="D240" i="38"/>
  <c r="S239" i="38"/>
  <c r="P239" i="38"/>
  <c r="M239" i="38"/>
  <c r="J239" i="38"/>
  <c r="G239" i="38"/>
  <c r="D239" i="38"/>
  <c r="S238" i="38"/>
  <c r="R243" i="38" s="1"/>
  <c r="P238" i="38"/>
  <c r="M238" i="38"/>
  <c r="J238" i="38"/>
  <c r="G238" i="38"/>
  <c r="F243" i="38" s="1"/>
  <c r="D238" i="38"/>
  <c r="S237" i="38"/>
  <c r="P237" i="38"/>
  <c r="M237" i="38"/>
  <c r="J237" i="38"/>
  <c r="G237" i="38"/>
  <c r="D237" i="38"/>
  <c r="B235" i="38"/>
  <c r="R225" i="38"/>
  <c r="O225" i="38"/>
  <c r="L225" i="38"/>
  <c r="I225" i="38"/>
  <c r="F225" i="38"/>
  <c r="C225" i="38"/>
  <c r="R224" i="38"/>
  <c r="O224" i="38"/>
  <c r="L224" i="38"/>
  <c r="I224" i="38"/>
  <c r="F224" i="38"/>
  <c r="C224" i="38"/>
  <c r="S223" i="38"/>
  <c r="P223" i="38"/>
  <c r="M223" i="38"/>
  <c r="J223" i="38"/>
  <c r="G223" i="38"/>
  <c r="D223" i="38"/>
  <c r="S222" i="38"/>
  <c r="P222" i="38"/>
  <c r="M222" i="38"/>
  <c r="J222" i="38"/>
  <c r="G222" i="38"/>
  <c r="D222" i="38"/>
  <c r="S221" i="38"/>
  <c r="P221" i="38"/>
  <c r="M221" i="38"/>
  <c r="J221" i="38"/>
  <c r="I226" i="38" s="1"/>
  <c r="G221" i="38"/>
  <c r="F226" i="38" s="1"/>
  <c r="D221" i="38"/>
  <c r="S220" i="38"/>
  <c r="P220" i="38"/>
  <c r="O226" i="38" s="1"/>
  <c r="M220" i="38"/>
  <c r="L226" i="38" s="1"/>
  <c r="J220" i="38"/>
  <c r="G220" i="38"/>
  <c r="D220" i="38"/>
  <c r="C226" i="38"/>
  <c r="B218" i="38"/>
  <c r="R208" i="38"/>
  <c r="O208" i="38"/>
  <c r="L208" i="38"/>
  <c r="M198" i="38" s="1"/>
  <c r="I208" i="38"/>
  <c r="F208" i="38"/>
  <c r="C208" i="38"/>
  <c r="R207" i="38"/>
  <c r="O207" i="38"/>
  <c r="L207" i="38"/>
  <c r="I207" i="38"/>
  <c r="F207" i="38"/>
  <c r="C207" i="38"/>
  <c r="S206" i="38"/>
  <c r="P206" i="38"/>
  <c r="M206" i="38"/>
  <c r="J206" i="38"/>
  <c r="G206" i="38"/>
  <c r="D206" i="38"/>
  <c r="S205" i="38"/>
  <c r="P205" i="38"/>
  <c r="M205" i="38"/>
  <c r="J205" i="38"/>
  <c r="G205" i="38"/>
  <c r="D205" i="38"/>
  <c r="S204" i="38"/>
  <c r="P204" i="38"/>
  <c r="O209" i="38" s="1"/>
  <c r="M204" i="38"/>
  <c r="L209" i="38" s="1"/>
  <c r="J204" i="38"/>
  <c r="G204" i="38"/>
  <c r="D204" i="38"/>
  <c r="C209" i="38" s="1"/>
  <c r="S203" i="38"/>
  <c r="R209" i="38" s="1"/>
  <c r="P203" i="38"/>
  <c r="M203" i="38"/>
  <c r="J203" i="38"/>
  <c r="I209" i="38" s="1"/>
  <c r="G203" i="38"/>
  <c r="D203" i="38"/>
  <c r="B201" i="38"/>
  <c r="R191" i="38"/>
  <c r="O191" i="38"/>
  <c r="L191" i="38"/>
  <c r="I191" i="38"/>
  <c r="F191" i="38"/>
  <c r="U451" i="38"/>
  <c r="C191" i="38"/>
  <c r="R190" i="38"/>
  <c r="O190" i="38"/>
  <c r="L190" i="38"/>
  <c r="I190" i="38"/>
  <c r="F190" i="38"/>
  <c r="C190" i="38"/>
  <c r="S189" i="38"/>
  <c r="P189" i="38"/>
  <c r="M189" i="38"/>
  <c r="J189" i="38"/>
  <c r="G189" i="38"/>
  <c r="D189" i="38"/>
  <c r="S188" i="38"/>
  <c r="P188" i="38"/>
  <c r="M188" i="38"/>
  <c r="J188" i="38"/>
  <c r="G188" i="38"/>
  <c r="D188" i="38"/>
  <c r="S187" i="38"/>
  <c r="P187" i="38"/>
  <c r="M187" i="38"/>
  <c r="J187" i="38"/>
  <c r="G187" i="38"/>
  <c r="F192" i="38" s="1"/>
  <c r="D187" i="38"/>
  <c r="S186" i="38"/>
  <c r="P186" i="38"/>
  <c r="O192" i="38" s="1"/>
  <c r="M186" i="38"/>
  <c r="L192" i="38" s="1"/>
  <c r="J186" i="38"/>
  <c r="G186" i="38"/>
  <c r="D186" i="38"/>
  <c r="B184" i="38"/>
  <c r="R174" i="38"/>
  <c r="O174" i="38"/>
  <c r="L174" i="38"/>
  <c r="I174" i="38"/>
  <c r="M164" i="38" s="1"/>
  <c r="F174" i="38"/>
  <c r="C174" i="38"/>
  <c r="R173" i="38"/>
  <c r="O173" i="38"/>
  <c r="X433" i="38"/>
  <c r="L173" i="38"/>
  <c r="I173" i="38"/>
  <c r="F173" i="38"/>
  <c r="C173" i="38"/>
  <c r="S172" i="38"/>
  <c r="P172" i="38"/>
  <c r="M172" i="38"/>
  <c r="J172" i="38"/>
  <c r="G172" i="38"/>
  <c r="D172" i="38"/>
  <c r="S171" i="38"/>
  <c r="P171" i="38"/>
  <c r="M171" i="38"/>
  <c r="J171" i="38"/>
  <c r="G171" i="38"/>
  <c r="D171" i="38"/>
  <c r="S170" i="38"/>
  <c r="P170" i="38"/>
  <c r="M170" i="38"/>
  <c r="L175" i="38" s="1"/>
  <c r="J170" i="38"/>
  <c r="G170" i="38"/>
  <c r="D170" i="38"/>
  <c r="S169" i="38"/>
  <c r="P169" i="38"/>
  <c r="M169" i="38"/>
  <c r="J169" i="38"/>
  <c r="I175" i="38" s="1"/>
  <c r="G169" i="38"/>
  <c r="F175" i="38" s="1"/>
  <c r="D169" i="38"/>
  <c r="B167" i="38"/>
  <c r="R157" i="38"/>
  <c r="O157" i="38"/>
  <c r="L157" i="38"/>
  <c r="I157" i="38"/>
  <c r="F157" i="38"/>
  <c r="C157" i="38"/>
  <c r="M147" i="38" s="1"/>
  <c r="R156" i="38"/>
  <c r="O156" i="38"/>
  <c r="L156" i="38"/>
  <c r="I156" i="38"/>
  <c r="F156" i="38"/>
  <c r="C156" i="38"/>
  <c r="S155" i="38"/>
  <c r="P155" i="38"/>
  <c r="M155" i="38"/>
  <c r="J155" i="38"/>
  <c r="G155" i="38"/>
  <c r="D155" i="38"/>
  <c r="S154" i="38"/>
  <c r="P154" i="38"/>
  <c r="M154" i="38"/>
  <c r="J154" i="38"/>
  <c r="G154" i="38"/>
  <c r="D154" i="38"/>
  <c r="S153" i="38"/>
  <c r="P153" i="38"/>
  <c r="O158" i="38" s="1"/>
  <c r="M153" i="38"/>
  <c r="J153" i="38"/>
  <c r="G153" i="38"/>
  <c r="D153" i="38"/>
  <c r="C158" i="38" s="1"/>
  <c r="S152" i="38"/>
  <c r="P152" i="38"/>
  <c r="M152" i="38"/>
  <c r="L158" i="38" s="1"/>
  <c r="J152" i="38"/>
  <c r="I158" i="38" s="1"/>
  <c r="G152" i="38"/>
  <c r="D152" i="38"/>
  <c r="B150" i="38"/>
  <c r="R140" i="38"/>
  <c r="O140" i="38"/>
  <c r="L140" i="38"/>
  <c r="I140" i="38"/>
  <c r="F140" i="38"/>
  <c r="M131" i="38" s="1"/>
  <c r="C140" i="38"/>
  <c r="R139" i="38"/>
  <c r="O139" i="38"/>
  <c r="L139" i="38"/>
  <c r="I139" i="38"/>
  <c r="F139" i="38"/>
  <c r="C139" i="38"/>
  <c r="S138" i="38"/>
  <c r="P138" i="38"/>
  <c r="M138" i="38"/>
  <c r="J138" i="38"/>
  <c r="G138" i="38"/>
  <c r="D138" i="38"/>
  <c r="S137" i="38"/>
  <c r="P137" i="38"/>
  <c r="M137" i="38"/>
  <c r="J137" i="38"/>
  <c r="G137" i="38"/>
  <c r="D137" i="38"/>
  <c r="S136" i="38"/>
  <c r="P136" i="38"/>
  <c r="M136" i="38"/>
  <c r="J136" i="38"/>
  <c r="G136" i="38"/>
  <c r="F141" i="38" s="1"/>
  <c r="D136" i="38"/>
  <c r="S135" i="38"/>
  <c r="P135" i="38"/>
  <c r="M135" i="38"/>
  <c r="J135" i="38"/>
  <c r="G135" i="38"/>
  <c r="D135" i="38"/>
  <c r="C141" i="38" s="1"/>
  <c r="B133" i="38"/>
  <c r="R123" i="38"/>
  <c r="O123" i="38"/>
  <c r="L123" i="38"/>
  <c r="I123" i="38"/>
  <c r="F123" i="38"/>
  <c r="C123" i="38"/>
  <c r="R122" i="38"/>
  <c r="O122" i="38"/>
  <c r="L122" i="38"/>
  <c r="I122" i="38"/>
  <c r="F122" i="38"/>
  <c r="C122" i="38"/>
  <c r="S121" i="38"/>
  <c r="P121" i="38"/>
  <c r="M121" i="38"/>
  <c r="J121" i="38"/>
  <c r="G121" i="38"/>
  <c r="D121" i="38"/>
  <c r="S120" i="38"/>
  <c r="P120" i="38"/>
  <c r="M120" i="38"/>
  <c r="J120" i="38"/>
  <c r="G120" i="38"/>
  <c r="D120" i="38"/>
  <c r="S119" i="38"/>
  <c r="P119" i="38"/>
  <c r="M119" i="38"/>
  <c r="L124" i="38" s="1"/>
  <c r="J119" i="38"/>
  <c r="G119" i="38"/>
  <c r="D119" i="38"/>
  <c r="S118" i="38"/>
  <c r="R124" i="38" s="1"/>
  <c r="P118" i="38"/>
  <c r="M118" i="38"/>
  <c r="J118" i="38"/>
  <c r="G118" i="38"/>
  <c r="F124" i="38" s="1"/>
  <c r="D118" i="38"/>
  <c r="C124" i="38" s="1"/>
  <c r="B116" i="38"/>
  <c r="R106" i="38"/>
  <c r="O106" i="38"/>
  <c r="L106" i="38"/>
  <c r="I106" i="38"/>
  <c r="F106" i="38"/>
  <c r="C106" i="38"/>
  <c r="R105" i="38"/>
  <c r="O105" i="38"/>
  <c r="L105" i="38"/>
  <c r="I105" i="38"/>
  <c r="F105" i="38"/>
  <c r="C105" i="38"/>
  <c r="S104" i="38"/>
  <c r="P104" i="38"/>
  <c r="M104" i="38"/>
  <c r="J104" i="38"/>
  <c r="G104" i="38"/>
  <c r="D104" i="38"/>
  <c r="S103" i="38"/>
  <c r="P103" i="38"/>
  <c r="M103" i="38"/>
  <c r="J103" i="38"/>
  <c r="G103" i="38"/>
  <c r="D103" i="38"/>
  <c r="S102" i="38"/>
  <c r="P102" i="38"/>
  <c r="M102" i="38"/>
  <c r="J102" i="38"/>
  <c r="G102" i="38"/>
  <c r="D102" i="38"/>
  <c r="C107" i="38" s="1"/>
  <c r="S101" i="38"/>
  <c r="P101" i="38"/>
  <c r="M101" i="38"/>
  <c r="J101" i="38"/>
  <c r="I107" i="38" s="1"/>
  <c r="G101" i="38"/>
  <c r="D101" i="38"/>
  <c r="B99" i="38"/>
  <c r="R89" i="38"/>
  <c r="O89" i="38"/>
  <c r="L89" i="38"/>
  <c r="I89" i="38"/>
  <c r="F89" i="38"/>
  <c r="C89" i="38"/>
  <c r="M80" i="38" s="1"/>
  <c r="R88" i="38"/>
  <c r="O88" i="38"/>
  <c r="L88" i="38"/>
  <c r="I88" i="38"/>
  <c r="F88" i="38"/>
  <c r="C88" i="38"/>
  <c r="S87" i="38"/>
  <c r="P87" i="38"/>
  <c r="M87" i="38"/>
  <c r="J87" i="38"/>
  <c r="G87" i="38"/>
  <c r="D87" i="38"/>
  <c r="S86" i="38"/>
  <c r="P86" i="38"/>
  <c r="M86" i="38"/>
  <c r="J86" i="38"/>
  <c r="G86" i="38"/>
  <c r="D86" i="38"/>
  <c r="S85" i="38"/>
  <c r="P85" i="38"/>
  <c r="M85" i="38"/>
  <c r="J85" i="38"/>
  <c r="G85" i="38"/>
  <c r="D85" i="38"/>
  <c r="S84" i="38"/>
  <c r="P84" i="38"/>
  <c r="M84" i="38"/>
  <c r="L90" i="38" s="1"/>
  <c r="J84" i="38"/>
  <c r="I90" i="38" s="1"/>
  <c r="G84" i="38"/>
  <c r="D84" i="38"/>
  <c r="B82" i="38"/>
  <c r="R72" i="38"/>
  <c r="O72" i="38"/>
  <c r="L72" i="38"/>
  <c r="I72" i="38"/>
  <c r="F72" i="38"/>
  <c r="M63" i="38" s="1"/>
  <c r="C72" i="38"/>
  <c r="R71" i="38"/>
  <c r="O71" i="38"/>
  <c r="L71" i="38"/>
  <c r="I71" i="38"/>
  <c r="F71" i="38"/>
  <c r="C71" i="38"/>
  <c r="S70" i="38"/>
  <c r="P70" i="38"/>
  <c r="M70" i="38"/>
  <c r="J70" i="38"/>
  <c r="G70" i="38"/>
  <c r="D70" i="38"/>
  <c r="S69" i="38"/>
  <c r="P69" i="38"/>
  <c r="M69" i="38"/>
  <c r="J69" i="38"/>
  <c r="G69" i="38"/>
  <c r="D69" i="38"/>
  <c r="S68" i="38"/>
  <c r="R73" i="38" s="1"/>
  <c r="P68" i="38"/>
  <c r="M68" i="38"/>
  <c r="J68" i="38"/>
  <c r="G68" i="38"/>
  <c r="F73" i="38" s="1"/>
  <c r="D68" i="38"/>
  <c r="S67" i="38"/>
  <c r="P67" i="38"/>
  <c r="M67" i="38"/>
  <c r="J67" i="38"/>
  <c r="G67" i="38"/>
  <c r="D67" i="38"/>
  <c r="B65" i="38"/>
  <c r="R55" i="38"/>
  <c r="O55" i="38"/>
  <c r="L55" i="38"/>
  <c r="I55" i="38"/>
  <c r="M46" i="38" s="1"/>
  <c r="F55" i="38"/>
  <c r="C55" i="38"/>
  <c r="R54" i="38"/>
  <c r="O54" i="38"/>
  <c r="L54" i="38"/>
  <c r="I54" i="38"/>
  <c r="F54" i="38"/>
  <c r="C54" i="38"/>
  <c r="S53" i="38"/>
  <c r="P53" i="38"/>
  <c r="M53" i="38"/>
  <c r="J53" i="38"/>
  <c r="G53" i="38"/>
  <c r="D53" i="38"/>
  <c r="S52" i="38"/>
  <c r="P52" i="38"/>
  <c r="M52" i="38"/>
  <c r="J52" i="38"/>
  <c r="G52" i="38"/>
  <c r="D52" i="38"/>
  <c r="S51" i="38"/>
  <c r="P51" i="38"/>
  <c r="M51" i="38"/>
  <c r="L56" i="38" s="1"/>
  <c r="J51" i="38"/>
  <c r="I56" i="38" s="1"/>
  <c r="G51" i="38"/>
  <c r="D51" i="38"/>
  <c r="S50" i="38"/>
  <c r="R56" i="38" s="1"/>
  <c r="P50" i="38"/>
  <c r="O56" i="38" s="1"/>
  <c r="M50" i="38"/>
  <c r="J50" i="38"/>
  <c r="G50" i="38"/>
  <c r="F56" i="38" s="1"/>
  <c r="D50" i="38"/>
  <c r="B48" i="38"/>
  <c r="R38" i="38"/>
  <c r="O38" i="38"/>
  <c r="L38" i="38"/>
  <c r="M29" i="38" s="1"/>
  <c r="I38" i="38"/>
  <c r="F38" i="38"/>
  <c r="C38" i="38"/>
  <c r="R37" i="38"/>
  <c r="O37" i="38"/>
  <c r="L37" i="38"/>
  <c r="I37" i="38"/>
  <c r="F37" i="38"/>
  <c r="C37" i="38"/>
  <c r="S36" i="38"/>
  <c r="P36" i="38"/>
  <c r="M36" i="38"/>
  <c r="J36" i="38"/>
  <c r="G36" i="38"/>
  <c r="D36" i="38"/>
  <c r="S35" i="38"/>
  <c r="P35" i="38"/>
  <c r="M35" i="38"/>
  <c r="J35" i="38"/>
  <c r="G35" i="38"/>
  <c r="D35" i="38"/>
  <c r="S34" i="38"/>
  <c r="P34" i="38"/>
  <c r="O39" i="38" s="1"/>
  <c r="M34" i="38"/>
  <c r="L39" i="38" s="1"/>
  <c r="J34" i="38"/>
  <c r="G34" i="38"/>
  <c r="D34" i="38"/>
  <c r="C39" i="38" s="1"/>
  <c r="S33" i="38"/>
  <c r="R39" i="38" s="1"/>
  <c r="P33" i="38"/>
  <c r="M33" i="38"/>
  <c r="J33" i="38"/>
  <c r="I39" i="38" s="1"/>
  <c r="G33" i="38"/>
  <c r="D33" i="38"/>
  <c r="AC31" i="38"/>
  <c r="AD31" i="38" s="1"/>
  <c r="AA31" i="38"/>
  <c r="AA49" i="38" s="1"/>
  <c r="Z31" i="38"/>
  <c r="Z49" i="38" s="1"/>
  <c r="Y31" i="38"/>
  <c r="Y49" i="38" s="1"/>
  <c r="X31" i="38"/>
  <c r="X49" i="38" s="1"/>
  <c r="W31" i="38"/>
  <c r="W49" i="38" s="1"/>
  <c r="V31" i="38"/>
  <c r="E31" i="38"/>
  <c r="E508" i="38" s="1"/>
  <c r="AC30" i="38"/>
  <c r="AD30" i="38" s="1"/>
  <c r="AA30" i="38"/>
  <c r="AA48" i="38" s="1"/>
  <c r="Z30" i="38"/>
  <c r="Z48" i="38" s="1"/>
  <c r="Y30" i="38"/>
  <c r="Y48" i="38" s="1"/>
  <c r="X30" i="38"/>
  <c r="X48" i="38" s="1"/>
  <c r="W30" i="38"/>
  <c r="W48" i="38" s="1"/>
  <c r="V30" i="38"/>
  <c r="V48" i="38" s="1"/>
  <c r="AB48" i="38" s="1"/>
  <c r="AC29" i="38"/>
  <c r="AD29" i="38" s="1"/>
  <c r="AA29" i="38"/>
  <c r="AA47" i="38" s="1"/>
  <c r="Z29" i="38"/>
  <c r="Z47" i="38" s="1"/>
  <c r="Y29" i="38"/>
  <c r="Y47" i="38" s="1"/>
  <c r="X29" i="38"/>
  <c r="W29" i="38"/>
  <c r="W47" i="38" s="1"/>
  <c r="V29" i="38"/>
  <c r="AC28" i="38"/>
  <c r="AD28" i="38" s="1"/>
  <c r="AA28" i="38"/>
  <c r="AA46" i="38" s="1"/>
  <c r="Z28" i="38"/>
  <c r="Z46" i="38" s="1"/>
  <c r="Y28" i="38"/>
  <c r="Y46" i="38" s="1"/>
  <c r="X28" i="38"/>
  <c r="W28" i="38"/>
  <c r="V28" i="38"/>
  <c r="AC27" i="38"/>
  <c r="AD27" i="38" s="1"/>
  <c r="AA27" i="38"/>
  <c r="AA45" i="38" s="1"/>
  <c r="Z27" i="38"/>
  <c r="Z45" i="38" s="1"/>
  <c r="Y27" i="38"/>
  <c r="Y45" i="38" s="1"/>
  <c r="X27" i="38"/>
  <c r="X45" i="38" s="1"/>
  <c r="W27" i="38"/>
  <c r="V27" i="38"/>
  <c r="V45" i="38" s="1"/>
  <c r="AC26" i="38"/>
  <c r="AD26" i="38" s="1"/>
  <c r="AA26" i="38"/>
  <c r="AA44" i="38" s="1"/>
  <c r="Z26" i="38"/>
  <c r="Z44" i="38" s="1"/>
  <c r="Y26" i="38"/>
  <c r="Y44" i="38" s="1"/>
  <c r="X26" i="38"/>
  <c r="X44" i="38" s="1"/>
  <c r="W26" i="38"/>
  <c r="W44" i="38" s="1"/>
  <c r="V26" i="38"/>
  <c r="V44" i="38" s="1"/>
  <c r="AC25" i="38"/>
  <c r="AD25" i="38" s="1"/>
  <c r="AA25" i="38"/>
  <c r="AA43" i="38"/>
  <c r="Z25" i="38"/>
  <c r="Z43" i="38" s="1"/>
  <c r="Y25" i="38"/>
  <c r="Y43" i="38" s="1"/>
  <c r="X25" i="38"/>
  <c r="X43" i="38" s="1"/>
  <c r="W25" i="38"/>
  <c r="W43" i="38" s="1"/>
  <c r="V25" i="38"/>
  <c r="V43" i="38" s="1"/>
  <c r="AC24" i="38"/>
  <c r="AD24" i="38" s="1"/>
  <c r="AA24" i="38"/>
  <c r="AA42" i="38" s="1"/>
  <c r="Z24" i="38"/>
  <c r="Z42" i="38"/>
  <c r="Y24" i="38"/>
  <c r="Y42" i="38" s="1"/>
  <c r="X24" i="38"/>
  <c r="X42" i="38" s="1"/>
  <c r="W24" i="38"/>
  <c r="W42" i="38" s="1"/>
  <c r="V24" i="38"/>
  <c r="V42" i="38" s="1"/>
  <c r="AB42" i="38" s="1"/>
  <c r="AB24" i="38" s="1"/>
  <c r="AC23" i="38"/>
  <c r="AD23" i="38" s="1"/>
  <c r="AA23" i="38"/>
  <c r="AA41" i="38" s="1"/>
  <c r="Z23" i="38"/>
  <c r="Z41" i="38" s="1"/>
  <c r="Y23" i="38"/>
  <c r="Y41" i="38" s="1"/>
  <c r="X23" i="38"/>
  <c r="X41" i="38" s="1"/>
  <c r="W23" i="38"/>
  <c r="W41" i="38" s="1"/>
  <c r="V23" i="38"/>
  <c r="V41" i="38" s="1"/>
  <c r="AC22" i="38"/>
  <c r="AD22" i="38" s="1"/>
  <c r="AA22" i="38"/>
  <c r="AA40" i="38" s="1"/>
  <c r="Z22" i="38"/>
  <c r="Z40" i="38" s="1"/>
  <c r="Y22" i="38"/>
  <c r="Y40" i="38" s="1"/>
  <c r="X22" i="38"/>
  <c r="X40" i="38"/>
  <c r="W22" i="38"/>
  <c r="W40" i="38" s="1"/>
  <c r="V22" i="38"/>
  <c r="V40" i="38" s="1"/>
  <c r="AB40" i="38" s="1"/>
  <c r="AB22" i="38" s="1"/>
  <c r="AC21" i="38"/>
  <c r="AD21" i="38" s="1"/>
  <c r="AA21" i="38"/>
  <c r="AA39" i="38" s="1"/>
  <c r="Z21" i="38"/>
  <c r="Z39" i="38" s="1"/>
  <c r="Y21" i="38"/>
  <c r="Y39" i="38" s="1"/>
  <c r="X21" i="38"/>
  <c r="X39" i="38" s="1"/>
  <c r="W21" i="38"/>
  <c r="W39" i="38"/>
  <c r="V21" i="38"/>
  <c r="V39" i="38" s="1"/>
  <c r="AC20" i="38"/>
  <c r="AD20" i="38" s="1"/>
  <c r="AA20" i="38"/>
  <c r="AA38" i="38" s="1"/>
  <c r="Z20" i="38"/>
  <c r="Z38" i="38" s="1"/>
  <c r="Y20" i="38"/>
  <c r="Y38" i="38" s="1"/>
  <c r="X20" i="38"/>
  <c r="X38" i="38" s="1"/>
  <c r="W20" i="38"/>
  <c r="W38" i="38" s="1"/>
  <c r="V20" i="38"/>
  <c r="V38" i="38"/>
  <c r="AB38" i="38" s="1"/>
  <c r="AB20" i="38" s="1"/>
  <c r="AC19" i="38"/>
  <c r="AD19" i="38" s="1"/>
  <c r="AA19" i="38"/>
  <c r="AA37" i="38" s="1"/>
  <c r="Z19" i="38"/>
  <c r="Z37" i="38" s="1"/>
  <c r="Y19" i="38"/>
  <c r="Y37" i="38" s="1"/>
  <c r="X19" i="38"/>
  <c r="X37" i="38" s="1"/>
  <c r="W19" i="38"/>
  <c r="W37" i="38" s="1"/>
  <c r="V19" i="38"/>
  <c r="V37" i="38" s="1"/>
  <c r="AC18" i="38"/>
  <c r="AD18" i="38" s="1"/>
  <c r="AA18" i="38"/>
  <c r="AA36" i="38" s="1"/>
  <c r="Z18" i="38"/>
  <c r="Z36" i="38" s="1"/>
  <c r="Y18" i="38"/>
  <c r="Y36" i="38" s="1"/>
  <c r="X18" i="38"/>
  <c r="X36" i="38" s="1"/>
  <c r="AB36" i="38" s="1"/>
  <c r="AB18" i="38" s="1"/>
  <c r="W18" i="38"/>
  <c r="W36" i="38" s="1"/>
  <c r="V18" i="38"/>
  <c r="V36" i="38"/>
  <c r="AC17" i="38"/>
  <c r="AA17" i="38"/>
  <c r="AA35" i="38" s="1"/>
  <c r="Z17" i="38"/>
  <c r="Z35" i="38"/>
  <c r="Y17" i="38"/>
  <c r="Y35" i="38" s="1"/>
  <c r="AB35" i="38" s="1"/>
  <c r="AB17" i="38" s="1"/>
  <c r="X17" i="38"/>
  <c r="X35" i="38" s="1"/>
  <c r="W17" i="38"/>
  <c r="W35" i="38" s="1"/>
  <c r="V17" i="38"/>
  <c r="V35" i="38" s="1"/>
  <c r="D9" i="38"/>
  <c r="CF750" i="22"/>
  <c r="CL750" i="22" s="1"/>
  <c r="CF705" i="22"/>
  <c r="R181" i="18"/>
  <c r="CF773" i="22" s="1"/>
  <c r="CL773" i="22" s="1"/>
  <c r="R180" i="18"/>
  <c r="R179" i="18"/>
  <c r="R178" i="18"/>
  <c r="CF748" i="22"/>
  <c r="CL748" i="22" s="1"/>
  <c r="CF703" i="22"/>
  <c r="CM703" i="22" s="1"/>
  <c r="CF754" i="22"/>
  <c r="CL754" i="22" s="1"/>
  <c r="CF710" i="22"/>
  <c r="CM710" i="22" s="1"/>
  <c r="I230" i="18"/>
  <c r="H105" i="11" s="1"/>
  <c r="G62" i="27" s="1"/>
  <c r="P168" i="18"/>
  <c r="J49" i="27"/>
  <c r="AD168" i="18"/>
  <c r="P167" i="18"/>
  <c r="J48" i="27" s="1"/>
  <c r="P166" i="18"/>
  <c r="AD166" i="18" s="1"/>
  <c r="J45" i="27"/>
  <c r="AD163" i="18"/>
  <c r="J44" i="27"/>
  <c r="AD162" i="18"/>
  <c r="AD161" i="18"/>
  <c r="P160" i="18"/>
  <c r="AD160" i="18" s="1"/>
  <c r="J37" i="27"/>
  <c r="P155" i="18"/>
  <c r="J36" i="27" s="1"/>
  <c r="P154" i="18"/>
  <c r="C559" i="38"/>
  <c r="O519" i="38"/>
  <c r="I439" i="38"/>
  <c r="W331" i="38"/>
  <c r="V331" i="38"/>
  <c r="X331" i="38"/>
  <c r="O379" i="38"/>
  <c r="U331" i="38"/>
  <c r="C339" i="38"/>
  <c r="T552" i="38"/>
  <c r="U332" i="38"/>
  <c r="F334" i="38" s="1"/>
  <c r="X552" i="38"/>
  <c r="Y331" i="38"/>
  <c r="T332" i="38"/>
  <c r="T331" i="38"/>
  <c r="Y311" i="38"/>
  <c r="U450" i="38"/>
  <c r="E368" i="38"/>
  <c r="E408" i="38"/>
  <c r="E348" i="38"/>
  <c r="E388" i="38"/>
  <c r="W390" i="38"/>
  <c r="E428" i="38"/>
  <c r="E468" i="38"/>
  <c r="E528" i="38"/>
  <c r="W530" i="38"/>
  <c r="U552" i="38"/>
  <c r="Y552" i="38"/>
  <c r="E568" i="38"/>
  <c r="E488" i="38"/>
  <c r="E548" i="38"/>
  <c r="U410" i="38"/>
  <c r="Y530" i="38"/>
  <c r="W450" i="38"/>
  <c r="W370" i="38"/>
  <c r="Y330" i="38"/>
  <c r="W330" i="38"/>
  <c r="X311" i="38"/>
  <c r="W311" i="38"/>
  <c r="V312" i="38"/>
  <c r="R319" i="38"/>
  <c r="U312" i="38"/>
  <c r="T311" i="38"/>
  <c r="E308" i="38"/>
  <c r="D10" i="38"/>
  <c r="E288" i="38"/>
  <c r="W313" i="38"/>
  <c r="U350" i="38"/>
  <c r="E252" i="38"/>
  <c r="Y290" i="38"/>
  <c r="E82" i="38"/>
  <c r="W290" i="38"/>
  <c r="V313" i="38"/>
  <c r="E116" i="38"/>
  <c r="E150" i="38"/>
  <c r="E218" i="38"/>
  <c r="T333" i="38"/>
  <c r="X333" i="38"/>
  <c r="U333" i="38"/>
  <c r="Y333" i="38"/>
  <c r="U313" i="38"/>
  <c r="Y313" i="38"/>
  <c r="T313" i="38"/>
  <c r="X313" i="38"/>
  <c r="X47" i="38"/>
  <c r="E48" i="38"/>
  <c r="E65" i="38"/>
  <c r="E99" i="38"/>
  <c r="E133" i="38"/>
  <c r="E167" i="38"/>
  <c r="E201" i="38"/>
  <c r="E235" i="38"/>
  <c r="E269" i="38"/>
  <c r="I40" i="11"/>
  <c r="J40" i="11"/>
  <c r="K13" i="27" s="1"/>
  <c r="K40" i="11"/>
  <c r="K39" i="11"/>
  <c r="K38" i="11"/>
  <c r="K37" i="11"/>
  <c r="K36" i="11"/>
  <c r="K35" i="11"/>
  <c r="I229" i="18"/>
  <c r="H104" i="11" s="1"/>
  <c r="G61" i="27" s="1"/>
  <c r="I228" i="18"/>
  <c r="H103" i="11" s="1"/>
  <c r="G60" i="27" s="1"/>
  <c r="I227" i="18"/>
  <c r="H102" i="11" s="1"/>
  <c r="G59" i="27" s="1"/>
  <c r="I226" i="18"/>
  <c r="H101" i="11" s="1"/>
  <c r="G58" i="27" s="1"/>
  <c r="I225" i="18"/>
  <c r="H100" i="11"/>
  <c r="G57" i="27" s="1"/>
  <c r="I224" i="18"/>
  <c r="H99" i="11" s="1"/>
  <c r="G56" i="27" s="1"/>
  <c r="I223" i="18"/>
  <c r="H98" i="11" s="1"/>
  <c r="G55" i="27" s="1"/>
  <c r="H97" i="11"/>
  <c r="G54" i="27" s="1"/>
  <c r="H96" i="11"/>
  <c r="G53" i="27" s="1"/>
  <c r="E91" i="19"/>
  <c r="K104" i="11"/>
  <c r="K61" i="27" s="1"/>
  <c r="I104" i="11"/>
  <c r="H61" i="27" s="1"/>
  <c r="O103" i="11"/>
  <c r="R228" i="18"/>
  <c r="J103" i="11"/>
  <c r="J60" i="27" s="1"/>
  <c r="D90" i="19"/>
  <c r="O102" i="11"/>
  <c r="K102" i="11"/>
  <c r="K59" i="27" s="1"/>
  <c r="I102" i="11"/>
  <c r="H59" i="27"/>
  <c r="G102" i="11"/>
  <c r="F151" i="24" s="1"/>
  <c r="D89" i="19"/>
  <c r="O101" i="11"/>
  <c r="I101" i="11"/>
  <c r="H58" i="27" s="1"/>
  <c r="G101" i="11"/>
  <c r="F58" i="27" s="1"/>
  <c r="D88" i="19"/>
  <c r="I100" i="11"/>
  <c r="H57" i="27" s="1"/>
  <c r="D100" i="11"/>
  <c r="F162" i="32" s="1"/>
  <c r="D87" i="19"/>
  <c r="O99" i="11"/>
  <c r="E86" i="19"/>
  <c r="K99" i="11"/>
  <c r="K56" i="27" s="1"/>
  <c r="I99" i="11"/>
  <c r="H56" i="27" s="1"/>
  <c r="D86" i="19"/>
  <c r="P86" i="19" s="1"/>
  <c r="C99" i="11"/>
  <c r="F134" i="24" s="1"/>
  <c r="O98" i="11"/>
  <c r="M98" i="11"/>
  <c r="K98" i="11"/>
  <c r="K55" i="27" s="1"/>
  <c r="G98" i="11"/>
  <c r="F127" i="24" s="1"/>
  <c r="D98" i="11"/>
  <c r="F85" i="19" s="1"/>
  <c r="W160" i="32"/>
  <c r="E84" i="19"/>
  <c r="R222" i="18"/>
  <c r="G97" i="11"/>
  <c r="D97" i="11"/>
  <c r="C54" i="27" s="1"/>
  <c r="D84" i="19"/>
  <c r="Q84" i="19" s="1"/>
  <c r="W159" i="32"/>
  <c r="O96" i="11"/>
  <c r="M96" i="11"/>
  <c r="K96" i="11"/>
  <c r="K53" i="27" s="1"/>
  <c r="G96" i="11"/>
  <c r="F115" i="24" s="1"/>
  <c r="D83" i="19"/>
  <c r="Q83" i="19" s="1"/>
  <c r="F84" i="33"/>
  <c r="M105" i="11"/>
  <c r="R230" i="18"/>
  <c r="I105" i="11"/>
  <c r="H62" i="27" s="1"/>
  <c r="G105" i="11"/>
  <c r="F62" i="27" s="1"/>
  <c r="F105" i="11"/>
  <c r="E62" i="27" s="1"/>
  <c r="D92" i="19"/>
  <c r="Q92" i="19" s="1"/>
  <c r="O104" i="11"/>
  <c r="G104" i="11"/>
  <c r="F61" i="27"/>
  <c r="E104" i="11"/>
  <c r="D61" i="27" s="1"/>
  <c r="D104" i="11"/>
  <c r="F166" i="32"/>
  <c r="D91" i="19"/>
  <c r="P91" i="19" s="1"/>
  <c r="C104" i="11"/>
  <c r="B61" i="27"/>
  <c r="E90" i="19"/>
  <c r="I103" i="11"/>
  <c r="H60" i="27" s="1"/>
  <c r="D103" i="11"/>
  <c r="F165" i="32" s="1"/>
  <c r="E89" i="19"/>
  <c r="E88" i="19"/>
  <c r="K101" i="11"/>
  <c r="K58" i="27" s="1"/>
  <c r="D101" i="11"/>
  <c r="F88" i="19" s="1"/>
  <c r="R88" i="19" s="1"/>
  <c r="M100" i="11"/>
  <c r="R225" i="18"/>
  <c r="G100" i="11"/>
  <c r="F57" i="27" s="1"/>
  <c r="I98" i="11"/>
  <c r="H55" i="27"/>
  <c r="D85" i="19"/>
  <c r="P85" i="19" s="1"/>
  <c r="I97" i="11"/>
  <c r="H54" i="27" s="1"/>
  <c r="E83" i="19"/>
  <c r="C98" i="11"/>
  <c r="B55" i="27" s="1"/>
  <c r="C100" i="11"/>
  <c r="B57" i="27" s="1"/>
  <c r="C102" i="11"/>
  <c r="E97" i="11"/>
  <c r="F88" i="33" s="1"/>
  <c r="E98" i="11"/>
  <c r="F126" i="24" s="1"/>
  <c r="E101" i="11"/>
  <c r="D58" i="27" s="1"/>
  <c r="F97" i="11"/>
  <c r="E54" i="27"/>
  <c r="F98" i="11"/>
  <c r="E55" i="27" s="1"/>
  <c r="F101" i="11"/>
  <c r="E58" i="27" s="1"/>
  <c r="N61" i="27"/>
  <c r="F104" i="11"/>
  <c r="E61" i="27" s="1"/>
  <c r="G103" i="11"/>
  <c r="F60" i="27" s="1"/>
  <c r="D102" i="11"/>
  <c r="F164" i="32" s="1"/>
  <c r="E85" i="19"/>
  <c r="Q168" i="18"/>
  <c r="Q167" i="18"/>
  <c r="Q166" i="18"/>
  <c r="Q165" i="18"/>
  <c r="Q164" i="18"/>
  <c r="Q163" i="18"/>
  <c r="Q162" i="18"/>
  <c r="Q161" i="18"/>
  <c r="Q160" i="18"/>
  <c r="Q159" i="18"/>
  <c r="Q158" i="18"/>
  <c r="Q157" i="18"/>
  <c r="Q156" i="18"/>
  <c r="Q155" i="18"/>
  <c r="Q154" i="18"/>
  <c r="M40" i="11"/>
  <c r="M39" i="11"/>
  <c r="M38" i="11"/>
  <c r="M37" i="11"/>
  <c r="M36" i="11"/>
  <c r="M35" i="11"/>
  <c r="M34" i="11"/>
  <c r="A70" i="27"/>
  <c r="E13" i="19"/>
  <c r="J13" i="19" s="1"/>
  <c r="I11" i="21"/>
  <c r="C73" i="27" s="1"/>
  <c r="I36" i="27"/>
  <c r="I37" i="27"/>
  <c r="I38" i="27"/>
  <c r="I39" i="27"/>
  <c r="I40" i="27"/>
  <c r="I41" i="27"/>
  <c r="I42" i="27"/>
  <c r="I43" i="27"/>
  <c r="I44" i="27"/>
  <c r="I45" i="27"/>
  <c r="I46" i="27"/>
  <c r="I47" i="27"/>
  <c r="I48" i="27"/>
  <c r="I49" i="27"/>
  <c r="I35" i="27"/>
  <c r="P31" i="27"/>
  <c r="M31" i="27"/>
  <c r="J31" i="27"/>
  <c r="E87" i="19"/>
  <c r="O26" i="19"/>
  <c r="O31" i="19"/>
  <c r="CG769" i="22"/>
  <c r="D29" i="18"/>
  <c r="D28" i="18"/>
  <c r="O91" i="18"/>
  <c r="O93" i="18"/>
  <c r="A25" i="11"/>
  <c r="A26" i="11"/>
  <c r="A27" i="11"/>
  <c r="A24" i="11"/>
  <c r="A23" i="11"/>
  <c r="O97" i="11"/>
  <c r="O100" i="11"/>
  <c r="O105" i="11"/>
  <c r="N97" i="11"/>
  <c r="N98" i="11"/>
  <c r="N99" i="11"/>
  <c r="N100" i="11"/>
  <c r="N101" i="11"/>
  <c r="N102" i="11"/>
  <c r="N103" i="11"/>
  <c r="N104" i="11"/>
  <c r="N105" i="11"/>
  <c r="N96" i="11"/>
  <c r="L97" i="11"/>
  <c r="L54" i="27" s="1"/>
  <c r="L98" i="11"/>
  <c r="L55" i="27" s="1"/>
  <c r="L99" i="11"/>
  <c r="L56" i="27" s="1"/>
  <c r="L100" i="11"/>
  <c r="L57" i="27"/>
  <c r="L101" i="11"/>
  <c r="L58" i="27" s="1"/>
  <c r="L102" i="11"/>
  <c r="L59" i="27" s="1"/>
  <c r="L103" i="11"/>
  <c r="L60" i="27" s="1"/>
  <c r="L104" i="11"/>
  <c r="L61" i="27" s="1"/>
  <c r="L105" i="11"/>
  <c r="L62" i="27" s="1"/>
  <c r="L96" i="11"/>
  <c r="L53" i="27" s="1"/>
  <c r="P193" i="11"/>
  <c r="C105" i="11"/>
  <c r="B62" i="27" s="1"/>
  <c r="C103" i="11"/>
  <c r="F126" i="33" s="1"/>
  <c r="C101" i="11"/>
  <c r="C97" i="11"/>
  <c r="F122" i="24" s="1"/>
  <c r="A65" i="21"/>
  <c r="R101" i="18"/>
  <c r="U101" i="18"/>
  <c r="W155" i="18"/>
  <c r="X155" i="18" s="1"/>
  <c r="W156" i="18"/>
  <c r="X156" i="18"/>
  <c r="H38" i="27"/>
  <c r="S158" i="18"/>
  <c r="U158" i="18" s="1"/>
  <c r="H40" i="27"/>
  <c r="W160" i="18"/>
  <c r="X160" i="18" s="1"/>
  <c r="W161" i="18"/>
  <c r="X161" i="18"/>
  <c r="W162" i="18"/>
  <c r="X162" i="18" s="1"/>
  <c r="H44" i="27"/>
  <c r="H45" i="27"/>
  <c r="H46" i="27"/>
  <c r="H47" i="27"/>
  <c r="H48" i="27"/>
  <c r="H49" i="27"/>
  <c r="S154" i="18"/>
  <c r="U154" i="18" s="1"/>
  <c r="W159" i="18"/>
  <c r="X159" i="18"/>
  <c r="K2" i="31"/>
  <c r="K3" i="31"/>
  <c r="K4" i="31"/>
  <c r="K5" i="31"/>
  <c r="K6" i="31"/>
  <c r="K7" i="31"/>
  <c r="K8" i="31"/>
  <c r="K9" i="31"/>
  <c r="K13" i="31"/>
  <c r="K14" i="31"/>
  <c r="K15" i="31"/>
  <c r="K16" i="31"/>
  <c r="K17" i="31"/>
  <c r="K18" i="31"/>
  <c r="K19" i="31"/>
  <c r="K20" i="31"/>
  <c r="K21" i="31"/>
  <c r="K22" i="31"/>
  <c r="K23" i="31"/>
  <c r="K24" i="31"/>
  <c r="K25" i="31"/>
  <c r="K26" i="31"/>
  <c r="K27" i="31"/>
  <c r="K28" i="31"/>
  <c r="K29" i="31"/>
  <c r="K30" i="31"/>
  <c r="K31" i="31"/>
  <c r="K32" i="31"/>
  <c r="K33" i="31"/>
  <c r="K34" i="31"/>
  <c r="K35" i="31"/>
  <c r="CF704" i="22"/>
  <c r="CM704" i="22" s="1"/>
  <c r="CF706" i="22"/>
  <c r="CM706" i="22" s="1"/>
  <c r="CN706" i="22" s="1"/>
  <c r="CF707" i="22"/>
  <c r="CL707" i="22" s="1"/>
  <c r="CF708" i="22"/>
  <c r="CM708" i="22" s="1"/>
  <c r="CF709" i="22"/>
  <c r="CL709" i="22" s="1"/>
  <c r="CF715" i="22"/>
  <c r="CM715" i="22" s="1"/>
  <c r="CF716" i="22"/>
  <c r="CL716" i="22" s="1"/>
  <c r="CF717" i="22"/>
  <c r="CM717" i="22" s="1"/>
  <c r="CF718" i="22"/>
  <c r="CM718" i="22" s="1"/>
  <c r="CF719" i="22"/>
  <c r="CL719" i="22" s="1"/>
  <c r="CF720" i="22"/>
  <c r="CM720" i="22" s="1"/>
  <c r="CF729" i="22"/>
  <c r="CL729" i="22" s="1"/>
  <c r="CG730" i="22"/>
  <c r="CH730" i="22"/>
  <c r="CI730" i="22"/>
  <c r="CJ730" i="22"/>
  <c r="CK730" i="22" s="1"/>
  <c r="CF735" i="22"/>
  <c r="CM735" i="22" s="1"/>
  <c r="CG736" i="22"/>
  <c r="CH736" i="22"/>
  <c r="CI736" i="22"/>
  <c r="CJ736" i="22"/>
  <c r="CK778" i="22" s="1"/>
  <c r="CF741" i="22"/>
  <c r="CM741" i="22" s="1"/>
  <c r="CN741" i="22" s="1"/>
  <c r="CF749" i="22"/>
  <c r="CL749" i="22" s="1"/>
  <c r="CF751" i="22"/>
  <c r="CL751" i="22"/>
  <c r="CF752" i="22"/>
  <c r="CL752" i="22" s="1"/>
  <c r="CF753" i="22"/>
  <c r="CL753" i="22" s="1"/>
  <c r="CF759" i="22"/>
  <c r="CL759" i="22" s="1"/>
  <c r="CF760" i="22"/>
  <c r="CL760" i="22" s="1"/>
  <c r="CF761" i="22"/>
  <c r="CL761" i="22" s="1"/>
  <c r="CF762" i="22"/>
  <c r="CL762" i="22" s="1"/>
  <c r="CF763" i="22"/>
  <c r="CL763" i="22" s="1"/>
  <c r="CF771" i="22"/>
  <c r="CL771" i="22" s="1"/>
  <c r="CG772" i="22"/>
  <c r="CH772" i="22"/>
  <c r="CI772" i="22"/>
  <c r="CJ772" i="22"/>
  <c r="CF777" i="22"/>
  <c r="CL777" i="22" s="1"/>
  <c r="CG778" i="22"/>
  <c r="CH778" i="22"/>
  <c r="CI778" i="22"/>
  <c r="CJ778" i="22"/>
  <c r="CF783" i="22"/>
  <c r="CL783" i="22" s="1"/>
  <c r="CF784" i="22"/>
  <c r="CL784" i="22" s="1"/>
  <c r="A3" i="27"/>
  <c r="B3" i="27"/>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AF3" i="27"/>
  <c r="AG3" i="27"/>
  <c r="AH3" i="27"/>
  <c r="AI3" i="27"/>
  <c r="AJ3" i="27"/>
  <c r="AK3" i="27"/>
  <c r="AL3" i="27"/>
  <c r="AM3" i="27"/>
  <c r="AN3" i="27"/>
  <c r="AO3" i="27"/>
  <c r="AP3" i="27"/>
  <c r="AQ3" i="27"/>
  <c r="AR3" i="27"/>
  <c r="AS3" i="27"/>
  <c r="AT3" i="27"/>
  <c r="AU3" i="27"/>
  <c r="AV3" i="27"/>
  <c r="AW3" i="27"/>
  <c r="AX3" i="27"/>
  <c r="AY3" i="27"/>
  <c r="AZ3" i="27"/>
  <c r="BA3" i="27"/>
  <c r="BB3" i="27"/>
  <c r="BC3" i="27"/>
  <c r="BD3" i="27"/>
  <c r="BE3" i="27"/>
  <c r="BF3" i="27"/>
  <c r="BG3" i="27"/>
  <c r="BH3" i="27"/>
  <c r="A17" i="27"/>
  <c r="B17" i="27"/>
  <c r="C17" i="27"/>
  <c r="D17" i="27"/>
  <c r="E17" i="27"/>
  <c r="F17" i="27"/>
  <c r="G17" i="27"/>
  <c r="H17" i="27"/>
  <c r="I17" i="27"/>
  <c r="J17" i="27"/>
  <c r="A18" i="27"/>
  <c r="B18" i="27"/>
  <c r="C18" i="27"/>
  <c r="D18" i="27"/>
  <c r="E18" i="27"/>
  <c r="F18" i="27"/>
  <c r="G18" i="27"/>
  <c r="H18" i="27"/>
  <c r="I18" i="27"/>
  <c r="J18" i="27"/>
  <c r="A19" i="27"/>
  <c r="B19" i="27"/>
  <c r="C19" i="27"/>
  <c r="D19" i="27"/>
  <c r="E19" i="27"/>
  <c r="F19" i="27"/>
  <c r="G19" i="27"/>
  <c r="H19" i="27"/>
  <c r="I19" i="27"/>
  <c r="J19" i="27"/>
  <c r="A20" i="27"/>
  <c r="B20" i="27"/>
  <c r="C20" i="27"/>
  <c r="D20" i="27"/>
  <c r="E20" i="27"/>
  <c r="F20" i="27"/>
  <c r="G20" i="27"/>
  <c r="H20" i="27"/>
  <c r="I20" i="27"/>
  <c r="J20" i="27"/>
  <c r="A21" i="27"/>
  <c r="B21" i="27"/>
  <c r="C21" i="27"/>
  <c r="D21" i="27"/>
  <c r="E21" i="27"/>
  <c r="F21" i="27"/>
  <c r="G21" i="27"/>
  <c r="H21" i="27"/>
  <c r="I21" i="27"/>
  <c r="J21" i="27"/>
  <c r="A22" i="27"/>
  <c r="B22" i="27"/>
  <c r="C22" i="27"/>
  <c r="D22" i="27"/>
  <c r="E22" i="27"/>
  <c r="F22" i="27"/>
  <c r="G22" i="27"/>
  <c r="H22" i="27"/>
  <c r="I22" i="27"/>
  <c r="J22" i="27"/>
  <c r="A23" i="27"/>
  <c r="B23" i="27"/>
  <c r="C23" i="27"/>
  <c r="D23" i="27"/>
  <c r="E23" i="27"/>
  <c r="F23" i="27"/>
  <c r="G23" i="27"/>
  <c r="H23" i="27"/>
  <c r="I23" i="27"/>
  <c r="J23" i="27"/>
  <c r="A24" i="27"/>
  <c r="B24" i="27"/>
  <c r="C24" i="27"/>
  <c r="D24" i="27"/>
  <c r="E24" i="27"/>
  <c r="F24" i="27"/>
  <c r="G24" i="27"/>
  <c r="H24" i="27"/>
  <c r="I24" i="27"/>
  <c r="J24" i="27"/>
  <c r="A25" i="27"/>
  <c r="B25" i="27"/>
  <c r="C25" i="27"/>
  <c r="D25" i="27"/>
  <c r="E25" i="27"/>
  <c r="F25" i="27"/>
  <c r="G25" i="27"/>
  <c r="H25" i="27"/>
  <c r="I25" i="27"/>
  <c r="J25" i="27"/>
  <c r="A26" i="27"/>
  <c r="B26" i="27"/>
  <c r="C26" i="27"/>
  <c r="D26" i="27"/>
  <c r="E26" i="27"/>
  <c r="F26" i="27"/>
  <c r="G26" i="27"/>
  <c r="H26" i="27"/>
  <c r="I26" i="27"/>
  <c r="J26" i="27"/>
  <c r="A27" i="27"/>
  <c r="B27" i="27"/>
  <c r="C27" i="27"/>
  <c r="D27" i="27"/>
  <c r="E27" i="27"/>
  <c r="F27" i="27"/>
  <c r="G27" i="27"/>
  <c r="H27" i="27"/>
  <c r="I27" i="27"/>
  <c r="J27" i="27"/>
  <c r="A31" i="27"/>
  <c r="B31" i="27"/>
  <c r="C31" i="27"/>
  <c r="D31" i="27"/>
  <c r="G31" i="27"/>
  <c r="W31" i="27"/>
  <c r="A35" i="27"/>
  <c r="B35" i="27"/>
  <c r="C35" i="27"/>
  <c r="D35" i="27"/>
  <c r="F35" i="27"/>
  <c r="G35" i="27"/>
  <c r="A36" i="27"/>
  <c r="B36" i="27"/>
  <c r="C36" i="27"/>
  <c r="D36" i="27"/>
  <c r="E36" i="27"/>
  <c r="F36" i="27"/>
  <c r="G36" i="27"/>
  <c r="A37" i="27"/>
  <c r="B37" i="27"/>
  <c r="C37" i="27"/>
  <c r="D37" i="27"/>
  <c r="E37" i="27"/>
  <c r="F37" i="27"/>
  <c r="G37" i="27"/>
  <c r="A38" i="27"/>
  <c r="B38" i="27"/>
  <c r="C38" i="27"/>
  <c r="D38" i="27"/>
  <c r="E38" i="27"/>
  <c r="F38" i="27"/>
  <c r="G38" i="27"/>
  <c r="A39" i="27"/>
  <c r="B39" i="27"/>
  <c r="C39" i="27"/>
  <c r="D39" i="27"/>
  <c r="F39" i="27"/>
  <c r="G39" i="27"/>
  <c r="H39" i="27"/>
  <c r="A40" i="27"/>
  <c r="B40" i="27"/>
  <c r="C40" i="27"/>
  <c r="D40" i="27"/>
  <c r="E40" i="27"/>
  <c r="F40" i="27"/>
  <c r="G40" i="27"/>
  <c r="A41" i="27"/>
  <c r="B41" i="27"/>
  <c r="C41" i="27"/>
  <c r="D41" i="27"/>
  <c r="E41" i="27"/>
  <c r="F41" i="27"/>
  <c r="G41" i="27"/>
  <c r="A42" i="27"/>
  <c r="B42" i="27"/>
  <c r="C42" i="27"/>
  <c r="D42" i="27"/>
  <c r="E42" i="27"/>
  <c r="F42" i="27"/>
  <c r="G42" i="27"/>
  <c r="A43" i="27"/>
  <c r="B43" i="27"/>
  <c r="C43" i="27"/>
  <c r="D43" i="27"/>
  <c r="E43" i="27"/>
  <c r="F43" i="27"/>
  <c r="G43" i="27"/>
  <c r="A44" i="27"/>
  <c r="B44" i="27"/>
  <c r="C44" i="27"/>
  <c r="D44" i="27"/>
  <c r="E44" i="27"/>
  <c r="F44" i="27"/>
  <c r="G44" i="27"/>
  <c r="A45" i="27"/>
  <c r="B45" i="27"/>
  <c r="C45" i="27"/>
  <c r="D45" i="27"/>
  <c r="E45" i="27"/>
  <c r="F45" i="27"/>
  <c r="G45" i="27"/>
  <c r="A46" i="27"/>
  <c r="B46" i="27"/>
  <c r="C46" i="27"/>
  <c r="D46" i="27"/>
  <c r="E46" i="27"/>
  <c r="F46" i="27"/>
  <c r="G46" i="27"/>
  <c r="A47" i="27"/>
  <c r="B47" i="27"/>
  <c r="C47" i="27"/>
  <c r="D47" i="27"/>
  <c r="E47" i="27"/>
  <c r="F47" i="27"/>
  <c r="G47" i="27"/>
  <c r="A48" i="27"/>
  <c r="B48" i="27"/>
  <c r="C48" i="27"/>
  <c r="D48" i="27"/>
  <c r="E48" i="27"/>
  <c r="F48" i="27"/>
  <c r="G48" i="27"/>
  <c r="A49" i="27"/>
  <c r="B49" i="27"/>
  <c r="C49" i="27"/>
  <c r="D49" i="27"/>
  <c r="E49" i="27"/>
  <c r="F49" i="27"/>
  <c r="G49" i="27"/>
  <c r="N53" i="27"/>
  <c r="N54" i="27"/>
  <c r="N57" i="27"/>
  <c r="N62" i="27"/>
  <c r="B70" i="27"/>
  <c r="C70" i="27"/>
  <c r="A71" i="27"/>
  <c r="B71" i="27"/>
  <c r="C71" i="27"/>
  <c r="A72" i="27"/>
  <c r="B72" i="27"/>
  <c r="A73" i="27"/>
  <c r="B73" i="27"/>
  <c r="J77" i="27"/>
  <c r="A81" i="27"/>
  <c r="B81" i="27"/>
  <c r="C81" i="27"/>
  <c r="D81" i="27"/>
  <c r="I81" i="27"/>
  <c r="J81" i="27"/>
  <c r="D96" i="27"/>
  <c r="E96" i="27"/>
  <c r="D97" i="27"/>
  <c r="E97" i="27"/>
  <c r="D98" i="27"/>
  <c r="E98" i="27"/>
  <c r="D102" i="27"/>
  <c r="E102" i="27"/>
  <c r="D103" i="27"/>
  <c r="E103" i="27"/>
  <c r="D104" i="27"/>
  <c r="E104" i="27"/>
  <c r="D105" i="27"/>
  <c r="E105" i="27"/>
  <c r="D106" i="27"/>
  <c r="E106" i="27"/>
  <c r="D107" i="27"/>
  <c r="E107" i="27"/>
  <c r="D108" i="27"/>
  <c r="E108" i="27"/>
  <c r="D109" i="27"/>
  <c r="E109" i="27"/>
  <c r="D110" i="27"/>
  <c r="E110" i="27"/>
  <c r="D111" i="27"/>
  <c r="E111" i="27"/>
  <c r="A115" i="27"/>
  <c r="B115" i="27"/>
  <c r="C115" i="27"/>
  <c r="E115" i="27"/>
  <c r="F115" i="27"/>
  <c r="G115" i="27"/>
  <c r="I115" i="27"/>
  <c r="B119" i="27"/>
  <c r="E119" i="27"/>
  <c r="F119" i="27"/>
  <c r="H119" i="27"/>
  <c r="I119" i="27"/>
  <c r="J119" i="27"/>
  <c r="K119" i="27"/>
  <c r="L119" i="27"/>
  <c r="O119" i="27"/>
  <c r="P119" i="27"/>
  <c r="Q119" i="27"/>
  <c r="R119" i="27"/>
  <c r="B120" i="27"/>
  <c r="I120" i="27"/>
  <c r="P120" i="27"/>
  <c r="R120" i="27"/>
  <c r="B121" i="27"/>
  <c r="I121" i="27"/>
  <c r="P121" i="27"/>
  <c r="R121" i="27"/>
  <c r="B122" i="27"/>
  <c r="I122" i="27"/>
  <c r="P122" i="27"/>
  <c r="R122" i="27"/>
  <c r="B123" i="27"/>
  <c r="I123" i="27"/>
  <c r="P123" i="27"/>
  <c r="R123" i="27"/>
  <c r="B124" i="27"/>
  <c r="I124" i="27"/>
  <c r="P124" i="27"/>
  <c r="R124" i="27"/>
  <c r="B125" i="27"/>
  <c r="I125" i="27"/>
  <c r="P125" i="27"/>
  <c r="R125" i="27"/>
  <c r="A128" i="27"/>
  <c r="B128" i="27"/>
  <c r="A132" i="27"/>
  <c r="B132" i="27"/>
  <c r="C132" i="27"/>
  <c r="D132" i="27"/>
  <c r="E132" i="27"/>
  <c r="I132" i="27"/>
  <c r="J132" i="27"/>
  <c r="K132" i="27"/>
  <c r="L132" i="27"/>
  <c r="A133" i="27"/>
  <c r="B133" i="27"/>
  <c r="C133" i="27"/>
  <c r="D133" i="27"/>
  <c r="E133" i="27"/>
  <c r="I133" i="27"/>
  <c r="J133" i="27"/>
  <c r="K133" i="27"/>
  <c r="L133" i="27"/>
  <c r="A134" i="27"/>
  <c r="B134" i="27"/>
  <c r="C134" i="27"/>
  <c r="D134" i="27"/>
  <c r="E134" i="27"/>
  <c r="I134" i="27"/>
  <c r="J134" i="27"/>
  <c r="K134" i="27"/>
  <c r="L134" i="27"/>
  <c r="A135" i="27"/>
  <c r="B135" i="27"/>
  <c r="C135" i="27"/>
  <c r="D135" i="27"/>
  <c r="E135" i="27"/>
  <c r="I135" i="27"/>
  <c r="J135" i="27"/>
  <c r="K135" i="27"/>
  <c r="L135" i="27"/>
  <c r="A136" i="27"/>
  <c r="B136" i="27"/>
  <c r="C136" i="27"/>
  <c r="D136" i="27"/>
  <c r="E136" i="27"/>
  <c r="I136" i="27"/>
  <c r="J136" i="27"/>
  <c r="K136" i="27"/>
  <c r="L136" i="27"/>
  <c r="A137" i="27"/>
  <c r="B137" i="27"/>
  <c r="C137" i="27"/>
  <c r="D137" i="27"/>
  <c r="E137" i="27"/>
  <c r="I137" i="27"/>
  <c r="J137" i="27"/>
  <c r="K137" i="27"/>
  <c r="L137" i="27"/>
  <c r="A138" i="27"/>
  <c r="B138" i="27"/>
  <c r="C138" i="27"/>
  <c r="D138" i="27"/>
  <c r="E138" i="27"/>
  <c r="I138" i="27"/>
  <c r="J138" i="27"/>
  <c r="K138" i="27"/>
  <c r="L138" i="27"/>
  <c r="A141" i="27"/>
  <c r="B141" i="27"/>
  <c r="A144" i="27"/>
  <c r="B144" i="27"/>
  <c r="C144" i="27"/>
  <c r="D144" i="27"/>
  <c r="E144" i="27"/>
  <c r="I144" i="27"/>
  <c r="J144" i="27"/>
  <c r="K144" i="27"/>
  <c r="L144" i="27"/>
  <c r="N144" i="27"/>
  <c r="A145" i="27"/>
  <c r="B145" i="27"/>
  <c r="C145" i="27"/>
  <c r="D145" i="27"/>
  <c r="E145" i="27"/>
  <c r="I145" i="27"/>
  <c r="J145" i="27"/>
  <c r="K145" i="27"/>
  <c r="L145" i="27"/>
  <c r="N145" i="27"/>
  <c r="A146" i="27"/>
  <c r="B146" i="27"/>
  <c r="C146" i="27"/>
  <c r="D146" i="27"/>
  <c r="E146" i="27"/>
  <c r="I146" i="27"/>
  <c r="J146" i="27"/>
  <c r="K146" i="27"/>
  <c r="L146" i="27"/>
  <c r="N146" i="27"/>
  <c r="A147" i="27"/>
  <c r="B147" i="27"/>
  <c r="C147" i="27"/>
  <c r="D147" i="27"/>
  <c r="E147" i="27"/>
  <c r="I147" i="27"/>
  <c r="J147" i="27"/>
  <c r="K147" i="27"/>
  <c r="L147" i="27"/>
  <c r="N147" i="27"/>
  <c r="A148" i="27"/>
  <c r="B148" i="27"/>
  <c r="C148" i="27"/>
  <c r="D148" i="27"/>
  <c r="E148" i="27"/>
  <c r="I148" i="27"/>
  <c r="J148" i="27"/>
  <c r="K148" i="27"/>
  <c r="L148" i="27"/>
  <c r="N148" i="27"/>
  <c r="A149" i="27"/>
  <c r="B149" i="27"/>
  <c r="C149" i="27"/>
  <c r="D149" i="27"/>
  <c r="E149" i="27"/>
  <c r="I149" i="27"/>
  <c r="J149" i="27"/>
  <c r="K149" i="27"/>
  <c r="L149" i="27"/>
  <c r="N149" i="27"/>
  <c r="A150" i="27"/>
  <c r="B150" i="27"/>
  <c r="C150" i="27"/>
  <c r="D150" i="27"/>
  <c r="E150" i="27"/>
  <c r="I150" i="27"/>
  <c r="J150" i="27"/>
  <c r="K150" i="27"/>
  <c r="L150" i="27"/>
  <c r="N150" i="27"/>
  <c r="A156" i="27"/>
  <c r="B156" i="27"/>
  <c r="C156" i="27"/>
  <c r="D16" i="26"/>
  <c r="A19" i="26"/>
  <c r="A7" i="33"/>
  <c r="A9" i="33"/>
  <c r="A10" i="33"/>
  <c r="F20" i="33"/>
  <c r="F22" i="33"/>
  <c r="F29" i="33"/>
  <c r="F31" i="33"/>
  <c r="F38" i="33"/>
  <c r="F40" i="33"/>
  <c r="F47" i="33"/>
  <c r="F49" i="33"/>
  <c r="F56" i="33"/>
  <c r="F58" i="33"/>
  <c r="F65" i="33"/>
  <c r="F67" i="33"/>
  <c r="F74" i="33"/>
  <c r="F76" i="33"/>
  <c r="D148" i="33"/>
  <c r="D149" i="33"/>
  <c r="D150" i="33"/>
  <c r="D153" i="33"/>
  <c r="D154" i="33"/>
  <c r="D155" i="33"/>
  <c r="D156" i="33"/>
  <c r="D157" i="33"/>
  <c r="D158" i="33"/>
  <c r="D159" i="33"/>
  <c r="D160" i="33"/>
  <c r="D161" i="33"/>
  <c r="D162" i="33"/>
  <c r="A7" i="24"/>
  <c r="A9" i="24"/>
  <c r="A14" i="24" s="1"/>
  <c r="A10" i="24"/>
  <c r="F22" i="24"/>
  <c r="F24" i="24"/>
  <c r="F35" i="24"/>
  <c r="F37" i="24"/>
  <c r="F48" i="24"/>
  <c r="F50" i="24"/>
  <c r="F61" i="24"/>
  <c r="F63" i="24"/>
  <c r="F74" i="24"/>
  <c r="F76" i="24"/>
  <c r="F87" i="24"/>
  <c r="F89" i="24"/>
  <c r="F101" i="24"/>
  <c r="F103" i="24"/>
  <c r="C180" i="24"/>
  <c r="C181" i="24"/>
  <c r="C182" i="24"/>
  <c r="D182" i="24"/>
  <c r="J182" i="24" s="1"/>
  <c r="C183" i="24"/>
  <c r="D183" i="24"/>
  <c r="C184" i="24"/>
  <c r="C185" i="24"/>
  <c r="C186" i="24"/>
  <c r="D186" i="24"/>
  <c r="C187" i="24"/>
  <c r="D187" i="24"/>
  <c r="C188" i="24"/>
  <c r="D188" i="24"/>
  <c r="C189" i="24"/>
  <c r="D189" i="24"/>
  <c r="C190" i="24"/>
  <c r="D190" i="24"/>
  <c r="C191" i="24"/>
  <c r="D191" i="24"/>
  <c r="C192" i="24"/>
  <c r="D192" i="24"/>
  <c r="C193" i="24"/>
  <c r="D193" i="24"/>
  <c r="C194" i="24"/>
  <c r="D194" i="24"/>
  <c r="C195" i="24"/>
  <c r="D195" i="24"/>
  <c r="C196" i="24"/>
  <c r="C197" i="24"/>
  <c r="C200" i="24"/>
  <c r="C201" i="24"/>
  <c r="C202" i="24"/>
  <c r="C203" i="24"/>
  <c r="C204" i="24"/>
  <c r="C205" i="24"/>
  <c r="C206" i="24"/>
  <c r="C207" i="24"/>
  <c r="C208" i="24"/>
  <c r="C209" i="24"/>
  <c r="C212" i="24"/>
  <c r="C213" i="24"/>
  <c r="C214" i="24"/>
  <c r="C215" i="24"/>
  <c r="C216" i="24"/>
  <c r="C217" i="24"/>
  <c r="C218" i="24"/>
  <c r="C219" i="24"/>
  <c r="C231" i="24"/>
  <c r="I2" i="28"/>
  <c r="I3" i="28"/>
  <c r="I4" i="28"/>
  <c r="I5" i="28"/>
  <c r="I6" i="28"/>
  <c r="I7" i="28"/>
  <c r="I8" i="28"/>
  <c r="I9" i="28"/>
  <c r="I10" i="28"/>
  <c r="I11" i="28"/>
  <c r="I12" i="28"/>
  <c r="I13" i="28"/>
  <c r="I14" i="28"/>
  <c r="I15" i="28"/>
  <c r="I16" i="28"/>
  <c r="I17" i="28"/>
  <c r="I18" i="28"/>
  <c r="I19" i="28"/>
  <c r="I20" i="28"/>
  <c r="I21" i="28"/>
  <c r="I22" i="28"/>
  <c r="I23" i="28"/>
  <c r="I24" i="28"/>
  <c r="I25" i="28"/>
  <c r="I26" i="28"/>
  <c r="I27" i="28"/>
  <c r="I28" i="28"/>
  <c r="I29" i="28"/>
  <c r="I30" i="28"/>
  <c r="I31" i="28"/>
  <c r="I32" i="28"/>
  <c r="I33" i="28"/>
  <c r="I34" i="28"/>
  <c r="I35" i="28"/>
  <c r="I36" i="28"/>
  <c r="I37" i="28"/>
  <c r="I38" i="28"/>
  <c r="I39" i="28"/>
  <c r="I40" i="28"/>
  <c r="I41" i="28"/>
  <c r="I42" i="28"/>
  <c r="I43" i="28"/>
  <c r="I44" i="28"/>
  <c r="I45" i="28"/>
  <c r="I46" i="28"/>
  <c r="I47" i="28"/>
  <c r="I48" i="28"/>
  <c r="I49" i="28"/>
  <c r="I50" i="28"/>
  <c r="I51" i="28"/>
  <c r="I52" i="28"/>
  <c r="I53" i="28"/>
  <c r="I54" i="28"/>
  <c r="I55" i="28"/>
  <c r="I56" i="28"/>
  <c r="I57" i="28"/>
  <c r="I58" i="28"/>
  <c r="I59" i="28"/>
  <c r="I60" i="28"/>
  <c r="I61" i="28"/>
  <c r="I62" i="28"/>
  <c r="I63" i="28"/>
  <c r="I64" i="28"/>
  <c r="I65" i="28"/>
  <c r="I66" i="28"/>
  <c r="I67" i="28"/>
  <c r="I68" i="28"/>
  <c r="I69" i="28"/>
  <c r="I70" i="28"/>
  <c r="I71" i="28"/>
  <c r="I72" i="28"/>
  <c r="I73" i="28"/>
  <c r="I74" i="28"/>
  <c r="I75" i="28"/>
  <c r="I76" i="28"/>
  <c r="I77" i="28"/>
  <c r="I78" i="28"/>
  <c r="I79" i="28"/>
  <c r="I80" i="28"/>
  <c r="I81" i="28"/>
  <c r="I82" i="28"/>
  <c r="I83" i="28"/>
  <c r="I84" i="28"/>
  <c r="I85" i="28"/>
  <c r="I86" i="28"/>
  <c r="I87" i="28"/>
  <c r="I88" i="28"/>
  <c r="I89" i="28"/>
  <c r="I90" i="28"/>
  <c r="I91" i="28"/>
  <c r="I92" i="28"/>
  <c r="I93" i="28"/>
  <c r="I94" i="28"/>
  <c r="I95" i="28"/>
  <c r="I96" i="28"/>
  <c r="I97" i="28"/>
  <c r="I98" i="28"/>
  <c r="I99" i="28"/>
  <c r="I100" i="28"/>
  <c r="I101" i="28"/>
  <c r="I102" i="28"/>
  <c r="I103" i="28"/>
  <c r="I104" i="28"/>
  <c r="I105" i="28"/>
  <c r="I106" i="28"/>
  <c r="I107" i="28"/>
  <c r="I108" i="28"/>
  <c r="I109" i="28"/>
  <c r="I110" i="28"/>
  <c r="I111" i="28"/>
  <c r="I112" i="28"/>
  <c r="I113" i="28"/>
  <c r="I114" i="28"/>
  <c r="I115" i="28"/>
  <c r="I116" i="28"/>
  <c r="I117" i="28"/>
  <c r="I118" i="28"/>
  <c r="I119" i="28"/>
  <c r="I120" i="28"/>
  <c r="I121" i="28"/>
  <c r="I122" i="28"/>
  <c r="I123" i="28"/>
  <c r="I124" i="28"/>
  <c r="I125" i="28"/>
  <c r="I126" i="28"/>
  <c r="I127" i="28"/>
  <c r="I128" i="28"/>
  <c r="I129" i="28"/>
  <c r="I130" i="28"/>
  <c r="I131" i="28"/>
  <c r="I132" i="28"/>
  <c r="I133" i="28"/>
  <c r="I134" i="28"/>
  <c r="I135" i="28"/>
  <c r="I136" i="28"/>
  <c r="I137" i="28"/>
  <c r="I138" i="28"/>
  <c r="I139" i="28"/>
  <c r="I140" i="28"/>
  <c r="I141" i="28"/>
  <c r="I142" i="28"/>
  <c r="I143" i="28"/>
  <c r="I144" i="28"/>
  <c r="I145" i="28"/>
  <c r="I146" i="28"/>
  <c r="I147" i="28"/>
  <c r="I148" i="28"/>
  <c r="I149" i="28"/>
  <c r="I150" i="28"/>
  <c r="I151" i="28"/>
  <c r="I152" i="28"/>
  <c r="I153" i="28"/>
  <c r="I154" i="28"/>
  <c r="I155" i="28"/>
  <c r="I156" i="28"/>
  <c r="I157" i="28"/>
  <c r="I158" i="28"/>
  <c r="I159" i="28"/>
  <c r="I160" i="28"/>
  <c r="I161" i="28"/>
  <c r="I162" i="28"/>
  <c r="I163" i="28"/>
  <c r="I164" i="28"/>
  <c r="I165" i="28"/>
  <c r="I166" i="28"/>
  <c r="I167" i="28"/>
  <c r="I168" i="28"/>
  <c r="I169" i="28"/>
  <c r="I170" i="28"/>
  <c r="I171" i="28"/>
  <c r="I172" i="28"/>
  <c r="I173" i="28"/>
  <c r="I174" i="28"/>
  <c r="I175" i="28"/>
  <c r="I176" i="28"/>
  <c r="I177" i="28"/>
  <c r="I178" i="28"/>
  <c r="I179" i="28"/>
  <c r="I180" i="28"/>
  <c r="I181" i="28"/>
  <c r="I182" i="28"/>
  <c r="I183" i="28"/>
  <c r="I184" i="28"/>
  <c r="I185" i="28"/>
  <c r="I186" i="28"/>
  <c r="I187" i="28"/>
  <c r="I188" i="28"/>
  <c r="I189" i="28"/>
  <c r="I190" i="28"/>
  <c r="I191" i="28"/>
  <c r="I192" i="28"/>
  <c r="I193" i="28"/>
  <c r="I194" i="28"/>
  <c r="I195" i="28"/>
  <c r="I196" i="28"/>
  <c r="I197" i="28"/>
  <c r="I198" i="28"/>
  <c r="I199" i="28"/>
  <c r="I200" i="28"/>
  <c r="I201" i="28"/>
  <c r="I202" i="28"/>
  <c r="I203" i="28"/>
  <c r="I204" i="28"/>
  <c r="I205" i="28"/>
  <c r="I206" i="28"/>
  <c r="I207" i="28"/>
  <c r="I208" i="28"/>
  <c r="I209" i="28"/>
  <c r="I210" i="28"/>
  <c r="I211" i="28"/>
  <c r="I212" i="28"/>
  <c r="I213" i="28"/>
  <c r="I214" i="28"/>
  <c r="I215" i="28"/>
  <c r="I216" i="28"/>
  <c r="I217" i="28"/>
  <c r="I218" i="28"/>
  <c r="I219" i="28"/>
  <c r="I220" i="28"/>
  <c r="I221" i="28"/>
  <c r="I222" i="28"/>
  <c r="I223" i="28"/>
  <c r="I224" i="28"/>
  <c r="I225" i="28"/>
  <c r="I226" i="28"/>
  <c r="I227" i="28"/>
  <c r="I228" i="28"/>
  <c r="I229" i="28"/>
  <c r="I230" i="28"/>
  <c r="I231" i="28"/>
  <c r="I232" i="28"/>
  <c r="I233" i="28"/>
  <c r="I234" i="28"/>
  <c r="I235" i="28"/>
  <c r="I236" i="28"/>
  <c r="I237" i="28"/>
  <c r="I238" i="28"/>
  <c r="I239" i="28"/>
  <c r="I240" i="28"/>
  <c r="I241" i="28"/>
  <c r="I242" i="28"/>
  <c r="I243" i="28"/>
  <c r="I244" i="28"/>
  <c r="I245" i="28"/>
  <c r="I246" i="28"/>
  <c r="I247" i="28"/>
  <c r="I248" i="28"/>
  <c r="I249" i="28"/>
  <c r="I250" i="28"/>
  <c r="I251" i="28"/>
  <c r="I252" i="28"/>
  <c r="I253" i="28"/>
  <c r="I254" i="28"/>
  <c r="I255" i="28"/>
  <c r="I256" i="28"/>
  <c r="I257" i="28"/>
  <c r="I258" i="28"/>
  <c r="I259" i="28"/>
  <c r="I260" i="28"/>
  <c r="I261" i="28"/>
  <c r="I262" i="28"/>
  <c r="I263" i="28"/>
  <c r="I264" i="28"/>
  <c r="I265" i="28"/>
  <c r="I266" i="28"/>
  <c r="I267" i="28"/>
  <c r="I268" i="28"/>
  <c r="I269" i="28"/>
  <c r="I270" i="28"/>
  <c r="I271" i="28"/>
  <c r="I272" i="28"/>
  <c r="I273" i="28"/>
  <c r="I274" i="28"/>
  <c r="I275" i="28"/>
  <c r="I276" i="28"/>
  <c r="I277" i="28"/>
  <c r="I278" i="28"/>
  <c r="I279" i="28"/>
  <c r="I280" i="28"/>
  <c r="I281" i="28"/>
  <c r="I282" i="28"/>
  <c r="I283" i="28"/>
  <c r="I284" i="28"/>
  <c r="I285" i="28"/>
  <c r="I286" i="28"/>
  <c r="I287" i="28"/>
  <c r="I288" i="28"/>
  <c r="I289" i="28"/>
  <c r="I290" i="28"/>
  <c r="I291" i="28"/>
  <c r="I292" i="28"/>
  <c r="I293" i="28"/>
  <c r="I294" i="28"/>
  <c r="I295" i="28"/>
  <c r="I296" i="28"/>
  <c r="I297" i="28"/>
  <c r="I298" i="28"/>
  <c r="I299" i="28"/>
  <c r="I300" i="28"/>
  <c r="I301" i="28"/>
  <c r="I302" i="28"/>
  <c r="I303" i="28"/>
  <c r="I304" i="28"/>
  <c r="I305" i="28"/>
  <c r="I306" i="28"/>
  <c r="I307" i="28"/>
  <c r="I308" i="28"/>
  <c r="I309" i="28"/>
  <c r="I310" i="28"/>
  <c r="I311" i="28"/>
  <c r="I312" i="28"/>
  <c r="I313" i="28"/>
  <c r="I314" i="28"/>
  <c r="I315" i="28"/>
  <c r="I316" i="28"/>
  <c r="I317" i="28"/>
  <c r="I318" i="28"/>
  <c r="I319" i="28"/>
  <c r="I320" i="28"/>
  <c r="I321" i="28"/>
  <c r="I322" i="28"/>
  <c r="I323" i="28"/>
  <c r="I324" i="28"/>
  <c r="I325" i="28"/>
  <c r="I326" i="28"/>
  <c r="I327" i="28"/>
  <c r="I328" i="28"/>
  <c r="I329" i="28"/>
  <c r="I330" i="28"/>
  <c r="I331" i="28"/>
  <c r="I332" i="28"/>
  <c r="I333" i="28"/>
  <c r="I334" i="28"/>
  <c r="I335" i="28"/>
  <c r="I336" i="28"/>
  <c r="I337" i="28"/>
  <c r="I338" i="28"/>
  <c r="I339" i="28"/>
  <c r="I340" i="28"/>
  <c r="I341" i="28"/>
  <c r="I342" i="28"/>
  <c r="I343" i="28"/>
  <c r="I344" i="28"/>
  <c r="I345" i="28"/>
  <c r="I346" i="28"/>
  <c r="I347" i="28"/>
  <c r="I348" i="28"/>
  <c r="I349" i="28"/>
  <c r="I350" i="28"/>
  <c r="I351" i="28"/>
  <c r="I352" i="28"/>
  <c r="I353" i="28"/>
  <c r="I354" i="28"/>
  <c r="I355" i="28"/>
  <c r="I356" i="28"/>
  <c r="I357" i="28"/>
  <c r="I358" i="28"/>
  <c r="I359" i="28"/>
  <c r="I360" i="28"/>
  <c r="I361" i="28"/>
  <c r="I362" i="28"/>
  <c r="I363" i="28"/>
  <c r="I364" i="28"/>
  <c r="I365" i="28"/>
  <c r="I366" i="28"/>
  <c r="I367" i="28"/>
  <c r="I368" i="28"/>
  <c r="I369" i="28"/>
  <c r="I370" i="28"/>
  <c r="I371" i="28"/>
  <c r="I372" i="28"/>
  <c r="I373" i="28"/>
  <c r="I374" i="28"/>
  <c r="I375" i="28"/>
  <c r="I376" i="28"/>
  <c r="I377" i="28"/>
  <c r="I378" i="28"/>
  <c r="I379" i="28"/>
  <c r="I380" i="28"/>
  <c r="I381" i="28"/>
  <c r="I382" i="28"/>
  <c r="I383" i="28"/>
  <c r="I384" i="28"/>
  <c r="I385" i="28"/>
  <c r="I386" i="28"/>
  <c r="I387" i="28"/>
  <c r="I388" i="28"/>
  <c r="I389" i="28"/>
  <c r="I390" i="28"/>
  <c r="I391" i="28"/>
  <c r="I392" i="28"/>
  <c r="I393" i="28"/>
  <c r="I394" i="28"/>
  <c r="I395" i="28"/>
  <c r="I396" i="28"/>
  <c r="I397" i="28"/>
  <c r="I398" i="28"/>
  <c r="I399" i="28"/>
  <c r="I400" i="28"/>
  <c r="I401" i="28"/>
  <c r="I402" i="28"/>
  <c r="I403" i="28"/>
  <c r="I404" i="28"/>
  <c r="I405" i="28"/>
  <c r="I406" i="28"/>
  <c r="I407" i="28"/>
  <c r="I408" i="28"/>
  <c r="I409" i="28"/>
  <c r="I410" i="28"/>
  <c r="I411" i="28"/>
  <c r="I412" i="28"/>
  <c r="I413" i="28"/>
  <c r="I414" i="28"/>
  <c r="I415" i="28"/>
  <c r="I416" i="28"/>
  <c r="I417" i="28"/>
  <c r="I418" i="28"/>
  <c r="I419" i="28"/>
  <c r="I420" i="28"/>
  <c r="I421" i="28"/>
  <c r="I422" i="28"/>
  <c r="I423" i="28"/>
  <c r="I424" i="28"/>
  <c r="I425" i="28"/>
  <c r="I426" i="28"/>
  <c r="I427" i="28"/>
  <c r="I428" i="28"/>
  <c r="I429" i="28"/>
  <c r="I430" i="28"/>
  <c r="I431" i="28"/>
  <c r="I432" i="28"/>
  <c r="I433" i="28"/>
  <c r="I434" i="28"/>
  <c r="I435" i="28"/>
  <c r="I436" i="28"/>
  <c r="I437" i="28"/>
  <c r="I438" i="28"/>
  <c r="I439" i="28"/>
  <c r="I440" i="28"/>
  <c r="I441" i="28"/>
  <c r="I442" i="28"/>
  <c r="I443" i="28"/>
  <c r="I444" i="28"/>
  <c r="I445" i="28"/>
  <c r="I446" i="28"/>
  <c r="I447" i="28"/>
  <c r="I448" i="28"/>
  <c r="I449" i="28"/>
  <c r="I450" i="28"/>
  <c r="I451" i="28"/>
  <c r="I452" i="28"/>
  <c r="I453" i="28"/>
  <c r="I454" i="28"/>
  <c r="I455" i="28"/>
  <c r="I456" i="28"/>
  <c r="I457" i="28"/>
  <c r="I458" i="28"/>
  <c r="I459" i="28"/>
  <c r="I460" i="28"/>
  <c r="I461" i="28"/>
  <c r="I462" i="28"/>
  <c r="I463" i="28"/>
  <c r="I464" i="28"/>
  <c r="E8" i="30"/>
  <c r="F8" i="30"/>
  <c r="G8" i="30"/>
  <c r="H8" i="30"/>
  <c r="E9" i="30"/>
  <c r="F9" i="30"/>
  <c r="G9" i="30"/>
  <c r="H9" i="30"/>
  <c r="E10" i="30"/>
  <c r="F10" i="30"/>
  <c r="G10" i="30"/>
  <c r="H10" i="30"/>
  <c r="E11" i="30"/>
  <c r="F11" i="30"/>
  <c r="G11" i="30"/>
  <c r="H11" i="30"/>
  <c r="E12" i="30"/>
  <c r="F12" i="30"/>
  <c r="G12" i="30"/>
  <c r="H12" i="30"/>
  <c r="E13" i="30"/>
  <c r="F13" i="30"/>
  <c r="G13" i="30"/>
  <c r="H13" i="30"/>
  <c r="E14" i="30"/>
  <c r="F14" i="30"/>
  <c r="G14" i="30"/>
  <c r="H14" i="30"/>
  <c r="E15" i="30"/>
  <c r="F15" i="30"/>
  <c r="G15" i="30"/>
  <c r="H15" i="30"/>
  <c r="E16" i="30"/>
  <c r="F16" i="30"/>
  <c r="G16" i="30"/>
  <c r="H16" i="30"/>
  <c r="E17" i="30"/>
  <c r="F17" i="30"/>
  <c r="G17" i="30"/>
  <c r="H17" i="30"/>
  <c r="E18" i="30"/>
  <c r="F18" i="30"/>
  <c r="G18" i="30"/>
  <c r="H18" i="30"/>
  <c r="E19" i="30"/>
  <c r="C19" i="30" s="1"/>
  <c r="F19" i="30"/>
  <c r="B19" i="30" s="1"/>
  <c r="G19" i="30"/>
  <c r="H19" i="30"/>
  <c r="E20" i="30"/>
  <c r="C20" i="30" s="1"/>
  <c r="F20" i="30"/>
  <c r="B20" i="30" s="1"/>
  <c r="G20" i="30"/>
  <c r="H20" i="30"/>
  <c r="E21" i="30"/>
  <c r="C21" i="30" s="1"/>
  <c r="F21" i="30"/>
  <c r="B21" i="30" s="1"/>
  <c r="G21" i="30"/>
  <c r="H21" i="30"/>
  <c r="E22" i="30"/>
  <c r="C22" i="30" s="1"/>
  <c r="F22" i="30"/>
  <c r="B22" i="30" s="1"/>
  <c r="G22" i="30"/>
  <c r="H22" i="30"/>
  <c r="E23" i="30"/>
  <c r="C23" i="30" s="1"/>
  <c r="F23" i="30"/>
  <c r="B23" i="30" s="1"/>
  <c r="G23" i="30"/>
  <c r="H23" i="30"/>
  <c r="E24" i="30"/>
  <c r="F24" i="30"/>
  <c r="G24" i="30"/>
  <c r="H24" i="30"/>
  <c r="E25" i="30"/>
  <c r="F25" i="30"/>
  <c r="G25" i="30"/>
  <c r="H25" i="30"/>
  <c r="E26" i="30"/>
  <c r="F26" i="30"/>
  <c r="G26" i="30"/>
  <c r="H26" i="30"/>
  <c r="E27" i="30"/>
  <c r="F27" i="30"/>
  <c r="G27" i="30"/>
  <c r="H27" i="30"/>
  <c r="E28" i="30"/>
  <c r="F28" i="30"/>
  <c r="G28" i="30"/>
  <c r="H28" i="30"/>
  <c r="E29" i="30"/>
  <c r="F29" i="30"/>
  <c r="G29" i="30"/>
  <c r="H29" i="30"/>
  <c r="E30" i="30"/>
  <c r="F30" i="30"/>
  <c r="G30" i="30"/>
  <c r="H30" i="30"/>
  <c r="E31" i="30"/>
  <c r="F31" i="30"/>
  <c r="G31" i="30"/>
  <c r="H31" i="30"/>
  <c r="E32" i="30"/>
  <c r="F32" i="30"/>
  <c r="G32" i="30"/>
  <c r="H32" i="30"/>
  <c r="E33" i="30"/>
  <c r="F33" i="30"/>
  <c r="G33" i="30"/>
  <c r="H33" i="30"/>
  <c r="E34" i="30"/>
  <c r="F34" i="30"/>
  <c r="G34" i="30"/>
  <c r="H34" i="30"/>
  <c r="E35" i="30"/>
  <c r="F35" i="30"/>
  <c r="G35" i="30"/>
  <c r="H35" i="30"/>
  <c r="E36" i="30"/>
  <c r="F36" i="30"/>
  <c r="G36" i="30"/>
  <c r="H36" i="30"/>
  <c r="E37" i="30"/>
  <c r="F37" i="30"/>
  <c r="G37" i="30"/>
  <c r="H37" i="30"/>
  <c r="E38" i="30"/>
  <c r="F38" i="30"/>
  <c r="G38" i="30"/>
  <c r="H38" i="30"/>
  <c r="E39" i="30"/>
  <c r="F39" i="30"/>
  <c r="G39" i="30"/>
  <c r="H39" i="30"/>
  <c r="E40" i="30"/>
  <c r="F40" i="30"/>
  <c r="G40" i="30"/>
  <c r="H40" i="30"/>
  <c r="E41" i="30"/>
  <c r="F41" i="30"/>
  <c r="G41" i="30"/>
  <c r="H41" i="30"/>
  <c r="E42" i="30"/>
  <c r="F42" i="30"/>
  <c r="G42" i="30"/>
  <c r="H42" i="30"/>
  <c r="E43" i="30"/>
  <c r="F43" i="30"/>
  <c r="G43" i="30"/>
  <c r="H43" i="30"/>
  <c r="E44" i="30"/>
  <c r="F44" i="30"/>
  <c r="G44" i="30"/>
  <c r="H44" i="30"/>
  <c r="E45" i="30"/>
  <c r="F45" i="30"/>
  <c r="G45" i="30"/>
  <c r="H45" i="30"/>
  <c r="E46" i="30"/>
  <c r="F46" i="30"/>
  <c r="G46" i="30"/>
  <c r="H46" i="30"/>
  <c r="E47" i="30"/>
  <c r="F47" i="30"/>
  <c r="G47" i="30"/>
  <c r="H47" i="30"/>
  <c r="E48" i="30"/>
  <c r="F48" i="30"/>
  <c r="G48" i="30"/>
  <c r="H48" i="30"/>
  <c r="E49" i="30"/>
  <c r="F49" i="30"/>
  <c r="G49" i="30"/>
  <c r="H49" i="30"/>
  <c r="E50" i="30"/>
  <c r="F50" i="30"/>
  <c r="G50" i="30"/>
  <c r="H50" i="30"/>
  <c r="E51" i="30"/>
  <c r="F51" i="30"/>
  <c r="G51" i="30"/>
  <c r="H51" i="30"/>
  <c r="E52" i="30"/>
  <c r="F52" i="30"/>
  <c r="G52" i="30"/>
  <c r="H52" i="30"/>
  <c r="E53" i="30"/>
  <c r="F53" i="30"/>
  <c r="G53" i="30"/>
  <c r="H53" i="30"/>
  <c r="E54" i="30"/>
  <c r="F54" i="30"/>
  <c r="G54" i="30"/>
  <c r="H54" i="30"/>
  <c r="E55" i="30"/>
  <c r="F55" i="30"/>
  <c r="G55" i="30"/>
  <c r="H55" i="30"/>
  <c r="E56" i="30"/>
  <c r="F56" i="30"/>
  <c r="G56" i="30"/>
  <c r="H56" i="30"/>
  <c r="E57" i="30"/>
  <c r="F57" i="30"/>
  <c r="G57" i="30"/>
  <c r="H57" i="30"/>
  <c r="E58" i="30"/>
  <c r="F58" i="30"/>
  <c r="G58" i="30"/>
  <c r="H58" i="30"/>
  <c r="E59" i="30"/>
  <c r="F59" i="30"/>
  <c r="G59" i="30"/>
  <c r="H59" i="30"/>
  <c r="E60" i="30"/>
  <c r="F60" i="30"/>
  <c r="G60" i="30"/>
  <c r="H60" i="30"/>
  <c r="E61" i="30"/>
  <c r="C61" i="30" s="1"/>
  <c r="F61" i="30"/>
  <c r="B61" i="30" s="1"/>
  <c r="G61" i="30"/>
  <c r="H61" i="30"/>
  <c r="E62" i="30"/>
  <c r="C62" i="30" s="1"/>
  <c r="F62" i="30"/>
  <c r="B62" i="30" s="1"/>
  <c r="G62" i="30"/>
  <c r="H62" i="30"/>
  <c r="E63" i="30"/>
  <c r="C63" i="30" s="1"/>
  <c r="F63" i="30"/>
  <c r="B63" i="30" s="1"/>
  <c r="G63" i="30"/>
  <c r="H63" i="30"/>
  <c r="E64" i="30"/>
  <c r="C64" i="30" s="1"/>
  <c r="F64" i="30"/>
  <c r="B64" i="30" s="1"/>
  <c r="G64" i="30"/>
  <c r="H64" i="30"/>
  <c r="E65" i="30"/>
  <c r="C65" i="30" s="1"/>
  <c r="F65" i="30"/>
  <c r="B65" i="30" s="1"/>
  <c r="G65" i="30"/>
  <c r="H65" i="30"/>
  <c r="E66" i="30"/>
  <c r="F66" i="30"/>
  <c r="G66" i="30"/>
  <c r="H66" i="30"/>
  <c r="E67" i="30"/>
  <c r="F67" i="30"/>
  <c r="G67" i="30"/>
  <c r="H67" i="30"/>
  <c r="E68" i="30"/>
  <c r="F68" i="30"/>
  <c r="G68" i="30"/>
  <c r="H68" i="30"/>
  <c r="E69" i="30"/>
  <c r="F69" i="30"/>
  <c r="G69" i="30"/>
  <c r="H69" i="30"/>
  <c r="E70" i="30"/>
  <c r="F70" i="30"/>
  <c r="G70" i="30"/>
  <c r="H70" i="30"/>
  <c r="E71" i="30"/>
  <c r="F71" i="30"/>
  <c r="G71" i="30"/>
  <c r="H71" i="30"/>
  <c r="E72" i="30"/>
  <c r="F72" i="30"/>
  <c r="G72" i="30"/>
  <c r="H72" i="30"/>
  <c r="E73" i="30"/>
  <c r="F73" i="30"/>
  <c r="G73" i="30"/>
  <c r="H73" i="30"/>
  <c r="E74" i="30"/>
  <c r="F74" i="30"/>
  <c r="G74" i="30"/>
  <c r="H74" i="30"/>
  <c r="E75" i="30"/>
  <c r="F75" i="30"/>
  <c r="G75" i="30"/>
  <c r="H75" i="30"/>
  <c r="E76" i="30"/>
  <c r="F76" i="30"/>
  <c r="G76" i="30"/>
  <c r="H76" i="30"/>
  <c r="E77" i="30"/>
  <c r="F77" i="30"/>
  <c r="G77" i="30"/>
  <c r="H77" i="30"/>
  <c r="E78" i="30"/>
  <c r="F78" i="30"/>
  <c r="G78" i="30"/>
  <c r="H78" i="30"/>
  <c r="E79" i="30"/>
  <c r="F79" i="30"/>
  <c r="G79" i="30"/>
  <c r="H79" i="30"/>
  <c r="E80" i="30"/>
  <c r="F80" i="30"/>
  <c r="G80" i="30"/>
  <c r="H80" i="30"/>
  <c r="E81" i="30"/>
  <c r="F81" i="30"/>
  <c r="G81" i="30"/>
  <c r="H81" i="30"/>
  <c r="E82" i="30"/>
  <c r="F82" i="30"/>
  <c r="G82" i="30"/>
  <c r="H82" i="30"/>
  <c r="E83" i="30"/>
  <c r="F83" i="30"/>
  <c r="G83" i="30"/>
  <c r="H83" i="30"/>
  <c r="E84" i="30"/>
  <c r="F84" i="30"/>
  <c r="G84" i="30"/>
  <c r="H84" i="30"/>
  <c r="E85" i="30"/>
  <c r="F85" i="30"/>
  <c r="G85" i="30"/>
  <c r="H85" i="30"/>
  <c r="E86" i="30"/>
  <c r="F86" i="30"/>
  <c r="G86" i="30"/>
  <c r="H86" i="30"/>
  <c r="E87" i="30"/>
  <c r="F87" i="30"/>
  <c r="G87" i="30"/>
  <c r="H87" i="30"/>
  <c r="E88" i="30"/>
  <c r="F88" i="30"/>
  <c r="G88" i="30"/>
  <c r="H88" i="30"/>
  <c r="E89" i="30"/>
  <c r="F89" i="30"/>
  <c r="G89" i="30"/>
  <c r="H89" i="30"/>
  <c r="E90" i="30"/>
  <c r="F90" i="30"/>
  <c r="G90" i="30"/>
  <c r="H90" i="30"/>
  <c r="E91" i="30"/>
  <c r="F91" i="30"/>
  <c r="G91" i="30"/>
  <c r="H91" i="30"/>
  <c r="E92" i="30"/>
  <c r="F92" i="30"/>
  <c r="G92" i="30"/>
  <c r="H92" i="30"/>
  <c r="E93" i="30"/>
  <c r="F93" i="30"/>
  <c r="G93" i="30"/>
  <c r="H93" i="30"/>
  <c r="E94" i="30"/>
  <c r="F94" i="30"/>
  <c r="G94" i="30"/>
  <c r="H94" i="30"/>
  <c r="E95" i="30"/>
  <c r="F95" i="30"/>
  <c r="G95" i="30"/>
  <c r="H95" i="30"/>
  <c r="E96" i="30"/>
  <c r="F96" i="30"/>
  <c r="G96" i="30"/>
  <c r="H96" i="30"/>
  <c r="E97" i="30"/>
  <c r="F97" i="30"/>
  <c r="G97" i="30"/>
  <c r="H97" i="30"/>
  <c r="E98" i="30"/>
  <c r="F98" i="30"/>
  <c r="G98" i="30"/>
  <c r="H98" i="30"/>
  <c r="E99" i="30"/>
  <c r="F99" i="30"/>
  <c r="G99" i="30"/>
  <c r="H99" i="30"/>
  <c r="E100" i="30"/>
  <c r="F100" i="30"/>
  <c r="G100" i="30"/>
  <c r="H100" i="30"/>
  <c r="E101" i="30"/>
  <c r="F101" i="30"/>
  <c r="G101" i="30"/>
  <c r="H101" i="30"/>
  <c r="E102" i="30"/>
  <c r="F102" i="30"/>
  <c r="G102" i="30"/>
  <c r="H102" i="30"/>
  <c r="E103" i="30"/>
  <c r="F103" i="30"/>
  <c r="G103" i="30"/>
  <c r="H103" i="30"/>
  <c r="E104" i="30"/>
  <c r="F104" i="30"/>
  <c r="G104" i="30"/>
  <c r="H104" i="30"/>
  <c r="E105" i="30"/>
  <c r="F105" i="30"/>
  <c r="G105" i="30"/>
  <c r="H105" i="30"/>
  <c r="E106" i="30"/>
  <c r="F106" i="30"/>
  <c r="G106" i="30"/>
  <c r="H106" i="30"/>
  <c r="E107" i="30"/>
  <c r="F107" i="30"/>
  <c r="G107" i="30"/>
  <c r="H107" i="30"/>
  <c r="E108" i="30"/>
  <c r="F108" i="30"/>
  <c r="G108" i="30"/>
  <c r="H108" i="30"/>
  <c r="E109" i="30"/>
  <c r="F109" i="30"/>
  <c r="G109" i="30"/>
  <c r="H109" i="30"/>
  <c r="E110" i="30"/>
  <c r="F110" i="30"/>
  <c r="G110" i="30"/>
  <c r="H110" i="30"/>
  <c r="E111" i="30"/>
  <c r="F111" i="30"/>
  <c r="G111" i="30"/>
  <c r="H111" i="30"/>
  <c r="E112" i="30"/>
  <c r="F112" i="30"/>
  <c r="G112" i="30"/>
  <c r="H112" i="30"/>
  <c r="E113" i="30"/>
  <c r="F113" i="30"/>
  <c r="G113" i="30"/>
  <c r="H113" i="30"/>
  <c r="E114" i="30"/>
  <c r="F114" i="30"/>
  <c r="G114" i="30"/>
  <c r="H114" i="30"/>
  <c r="E115" i="30"/>
  <c r="F115" i="30"/>
  <c r="G115" i="30"/>
  <c r="H115" i="30"/>
  <c r="E116" i="30"/>
  <c r="F116" i="30"/>
  <c r="G116" i="30"/>
  <c r="H116" i="30"/>
  <c r="E117" i="30"/>
  <c r="F117" i="30"/>
  <c r="G117" i="30"/>
  <c r="H117" i="30"/>
  <c r="E118" i="30"/>
  <c r="F118" i="30"/>
  <c r="G118" i="30"/>
  <c r="H118" i="30"/>
  <c r="E119" i="30"/>
  <c r="F119" i="30"/>
  <c r="G119" i="30"/>
  <c r="H119" i="30"/>
  <c r="E120" i="30"/>
  <c r="F120" i="30"/>
  <c r="G120" i="30"/>
  <c r="H120" i="30"/>
  <c r="E121" i="30"/>
  <c r="F121" i="30"/>
  <c r="G121" i="30"/>
  <c r="H121" i="30"/>
  <c r="E122" i="30"/>
  <c r="F122" i="30"/>
  <c r="G122" i="30"/>
  <c r="H122" i="30"/>
  <c r="E123" i="30"/>
  <c r="F123" i="30"/>
  <c r="G123" i="30"/>
  <c r="H123" i="30"/>
  <c r="E124" i="30"/>
  <c r="F124" i="30"/>
  <c r="G124" i="30"/>
  <c r="H124" i="30"/>
  <c r="E125" i="30"/>
  <c r="F125" i="30"/>
  <c r="G125" i="30"/>
  <c r="H125" i="30"/>
  <c r="E126" i="30"/>
  <c r="F126" i="30"/>
  <c r="G126" i="30"/>
  <c r="H126" i="30"/>
  <c r="E127" i="30"/>
  <c r="F127" i="30"/>
  <c r="G127" i="30"/>
  <c r="H127" i="30"/>
  <c r="E128" i="30"/>
  <c r="F128" i="30"/>
  <c r="G128" i="30"/>
  <c r="H128" i="30"/>
  <c r="E129" i="30"/>
  <c r="F129" i="30"/>
  <c r="G129" i="30"/>
  <c r="H129" i="30"/>
  <c r="E130" i="30"/>
  <c r="F130" i="30"/>
  <c r="G130" i="30"/>
  <c r="H130" i="30"/>
  <c r="E131" i="30"/>
  <c r="F131" i="30"/>
  <c r="G131" i="30"/>
  <c r="H131" i="30"/>
  <c r="E132" i="30"/>
  <c r="F132" i="30"/>
  <c r="G132" i="30"/>
  <c r="H132" i="30"/>
  <c r="E133" i="30"/>
  <c r="F133" i="30"/>
  <c r="G133" i="30"/>
  <c r="H133" i="30"/>
  <c r="E134" i="30"/>
  <c r="F134" i="30"/>
  <c r="G134" i="30"/>
  <c r="H134" i="30"/>
  <c r="E135" i="30"/>
  <c r="F135" i="30"/>
  <c r="G135" i="30"/>
  <c r="H135" i="30"/>
  <c r="E136" i="30"/>
  <c r="F136" i="30"/>
  <c r="G136" i="30"/>
  <c r="H136" i="30"/>
  <c r="E137" i="30"/>
  <c r="F137" i="30"/>
  <c r="G137" i="30"/>
  <c r="H137" i="30"/>
  <c r="E138" i="30"/>
  <c r="F138" i="30"/>
  <c r="G138" i="30"/>
  <c r="H138" i="30"/>
  <c r="E139" i="30"/>
  <c r="F139" i="30"/>
  <c r="G139" i="30"/>
  <c r="H139" i="30"/>
  <c r="E140" i="30"/>
  <c r="F140" i="30"/>
  <c r="G140" i="30"/>
  <c r="H140" i="30"/>
  <c r="E141" i="30"/>
  <c r="C141" i="30" s="1"/>
  <c r="F141" i="30"/>
  <c r="B141" i="30" s="1"/>
  <c r="G141" i="30"/>
  <c r="H141" i="30"/>
  <c r="E142" i="30"/>
  <c r="C142" i="30" s="1"/>
  <c r="F142" i="30"/>
  <c r="B142" i="30" s="1"/>
  <c r="G142" i="30"/>
  <c r="H142" i="30"/>
  <c r="E143" i="30"/>
  <c r="F143" i="30"/>
  <c r="G143" i="30"/>
  <c r="H143" i="30"/>
  <c r="E144" i="30"/>
  <c r="F144" i="30"/>
  <c r="G144" i="30"/>
  <c r="H144" i="30"/>
  <c r="E145" i="30"/>
  <c r="F145" i="30"/>
  <c r="G145" i="30"/>
  <c r="H145" i="30"/>
  <c r="E146" i="30"/>
  <c r="F146" i="30"/>
  <c r="G146" i="30"/>
  <c r="H146" i="30"/>
  <c r="E147" i="30"/>
  <c r="F147" i="30"/>
  <c r="G147" i="30"/>
  <c r="H147" i="30"/>
  <c r="E148" i="30"/>
  <c r="F148" i="30"/>
  <c r="G148" i="30"/>
  <c r="H148" i="30"/>
  <c r="E149" i="30"/>
  <c r="F149" i="30"/>
  <c r="G149" i="30"/>
  <c r="H149" i="30"/>
  <c r="E150" i="30"/>
  <c r="F150" i="30"/>
  <c r="G150" i="30"/>
  <c r="H150" i="30"/>
  <c r="E151" i="30"/>
  <c r="F151" i="30"/>
  <c r="G151" i="30"/>
  <c r="H151" i="30"/>
  <c r="E152" i="30"/>
  <c r="F152" i="30"/>
  <c r="G152" i="30"/>
  <c r="H152" i="30"/>
  <c r="E153" i="30"/>
  <c r="F153" i="30"/>
  <c r="G153" i="30"/>
  <c r="H153" i="30"/>
  <c r="E154" i="30"/>
  <c r="F154" i="30"/>
  <c r="G154" i="30"/>
  <c r="H154" i="30"/>
  <c r="E155" i="30"/>
  <c r="F155" i="30"/>
  <c r="G155" i="30"/>
  <c r="H155" i="30"/>
  <c r="E156" i="30"/>
  <c r="F156" i="30"/>
  <c r="G156" i="30"/>
  <c r="H156" i="30"/>
  <c r="E157" i="30"/>
  <c r="F157" i="30"/>
  <c r="G157" i="30"/>
  <c r="H157" i="30"/>
  <c r="E158" i="30"/>
  <c r="F158" i="30"/>
  <c r="G158" i="30"/>
  <c r="H158" i="30"/>
  <c r="E159" i="30"/>
  <c r="F159" i="30"/>
  <c r="G159" i="30"/>
  <c r="H159" i="30"/>
  <c r="E160" i="30"/>
  <c r="F160" i="30"/>
  <c r="G160" i="30"/>
  <c r="H160" i="30"/>
  <c r="E161" i="30"/>
  <c r="F161" i="30"/>
  <c r="G161" i="30"/>
  <c r="H161" i="30"/>
  <c r="E162" i="30"/>
  <c r="F162" i="30"/>
  <c r="G162" i="30"/>
  <c r="H162" i="30"/>
  <c r="E163" i="30"/>
  <c r="F163" i="30"/>
  <c r="G163" i="30"/>
  <c r="H163" i="30"/>
  <c r="E164" i="30"/>
  <c r="F164" i="30"/>
  <c r="G164" i="30"/>
  <c r="H164" i="30"/>
  <c r="E165" i="30"/>
  <c r="F165" i="30"/>
  <c r="G165" i="30"/>
  <c r="H165" i="30"/>
  <c r="E166" i="30"/>
  <c r="F166" i="30"/>
  <c r="G166" i="30"/>
  <c r="H166" i="30"/>
  <c r="E167" i="30"/>
  <c r="C167" i="30" s="1"/>
  <c r="F167" i="30"/>
  <c r="B167" i="30" s="1"/>
  <c r="G167" i="30"/>
  <c r="H167" i="30"/>
  <c r="E168" i="30"/>
  <c r="C168" i="30" s="1"/>
  <c r="F168" i="30"/>
  <c r="B168" i="30" s="1"/>
  <c r="G168" i="30"/>
  <c r="H168" i="30"/>
  <c r="E169" i="30"/>
  <c r="C169" i="30" s="1"/>
  <c r="F169" i="30"/>
  <c r="B169" i="30" s="1"/>
  <c r="G169" i="30"/>
  <c r="H169" i="30"/>
  <c r="E170" i="30"/>
  <c r="C170" i="30" s="1"/>
  <c r="F170" i="30"/>
  <c r="B170" i="30" s="1"/>
  <c r="G170" i="30"/>
  <c r="H170" i="30"/>
  <c r="E171" i="30"/>
  <c r="C171" i="30" s="1"/>
  <c r="F171" i="30"/>
  <c r="B171" i="30" s="1"/>
  <c r="G171" i="30"/>
  <c r="H171" i="30"/>
  <c r="E172" i="30"/>
  <c r="F172" i="30"/>
  <c r="G172" i="30"/>
  <c r="H172" i="30"/>
  <c r="E173" i="30"/>
  <c r="F173" i="30"/>
  <c r="G173" i="30"/>
  <c r="H173" i="30"/>
  <c r="E174" i="30"/>
  <c r="C174" i="30" s="1"/>
  <c r="F174" i="30"/>
  <c r="B174" i="30" s="1"/>
  <c r="G174" i="30"/>
  <c r="H174" i="30"/>
  <c r="E175" i="30"/>
  <c r="F175" i="30"/>
  <c r="G175" i="30"/>
  <c r="H175" i="30"/>
  <c r="E176" i="30"/>
  <c r="F176" i="30"/>
  <c r="G176" i="30"/>
  <c r="H176" i="30"/>
  <c r="E177" i="30"/>
  <c r="F177" i="30"/>
  <c r="G177" i="30"/>
  <c r="H177" i="30"/>
  <c r="E178" i="30"/>
  <c r="F178" i="30"/>
  <c r="G178" i="30"/>
  <c r="H178" i="30"/>
  <c r="E179" i="30"/>
  <c r="F179" i="30"/>
  <c r="G179" i="30"/>
  <c r="H179" i="30"/>
  <c r="E180" i="30"/>
  <c r="F180" i="30"/>
  <c r="G180" i="30"/>
  <c r="H180" i="30"/>
  <c r="E181" i="30"/>
  <c r="F181" i="30"/>
  <c r="G181" i="30"/>
  <c r="H181" i="30"/>
  <c r="E182" i="30"/>
  <c r="F182" i="30"/>
  <c r="G182" i="30"/>
  <c r="H182" i="30"/>
  <c r="E183" i="30"/>
  <c r="F183" i="30"/>
  <c r="G183" i="30"/>
  <c r="H183" i="30"/>
  <c r="E184" i="30"/>
  <c r="F184" i="30"/>
  <c r="G184" i="30"/>
  <c r="H184" i="30"/>
  <c r="E185" i="30"/>
  <c r="F185" i="30"/>
  <c r="G185" i="30"/>
  <c r="H185" i="30"/>
  <c r="E186" i="30"/>
  <c r="F186" i="30"/>
  <c r="G186" i="30"/>
  <c r="H186" i="30"/>
  <c r="E187" i="30"/>
  <c r="F187" i="30"/>
  <c r="G187" i="30"/>
  <c r="H187" i="30"/>
  <c r="E188" i="30"/>
  <c r="F188" i="30"/>
  <c r="G188" i="30"/>
  <c r="H188" i="30"/>
  <c r="E189" i="30"/>
  <c r="F189" i="30"/>
  <c r="G189" i="30"/>
  <c r="H189" i="30"/>
  <c r="E190" i="30"/>
  <c r="F190" i="30"/>
  <c r="G190" i="30"/>
  <c r="H190" i="30"/>
  <c r="E191" i="30"/>
  <c r="F191" i="30"/>
  <c r="G191" i="30"/>
  <c r="H191" i="30"/>
  <c r="E192" i="30"/>
  <c r="F192" i="30"/>
  <c r="G192" i="30"/>
  <c r="H192" i="30"/>
  <c r="E193" i="30"/>
  <c r="F193" i="30"/>
  <c r="G193" i="30"/>
  <c r="H193" i="30"/>
  <c r="E194" i="30"/>
  <c r="F194" i="30"/>
  <c r="G194" i="30"/>
  <c r="H194" i="30"/>
  <c r="E195" i="30"/>
  <c r="C195" i="30" s="1"/>
  <c r="F195" i="30"/>
  <c r="B195" i="30" s="1"/>
  <c r="G195" i="30"/>
  <c r="H195" i="30"/>
  <c r="E196" i="30"/>
  <c r="C196" i="30" s="1"/>
  <c r="F196" i="30"/>
  <c r="B196" i="30" s="1"/>
  <c r="G196" i="30"/>
  <c r="H196" i="30"/>
  <c r="E197" i="30"/>
  <c r="C197" i="30" s="1"/>
  <c r="F197" i="30"/>
  <c r="B197" i="30" s="1"/>
  <c r="G197" i="30"/>
  <c r="H197" i="30"/>
  <c r="E198" i="30"/>
  <c r="C198" i="30" s="1"/>
  <c r="F198" i="30"/>
  <c r="B198" i="30" s="1"/>
  <c r="G198" i="30"/>
  <c r="H198" i="30"/>
  <c r="E199" i="30"/>
  <c r="F199" i="30"/>
  <c r="G199" i="30"/>
  <c r="H199" i="30"/>
  <c r="E200" i="30"/>
  <c r="F200" i="30"/>
  <c r="G200" i="30"/>
  <c r="H200" i="30"/>
  <c r="E201" i="30"/>
  <c r="F201" i="30"/>
  <c r="G201" i="30"/>
  <c r="H201" i="30"/>
  <c r="E202" i="30"/>
  <c r="F202" i="30"/>
  <c r="G202" i="30"/>
  <c r="H202" i="30"/>
  <c r="E203" i="30"/>
  <c r="F203" i="30"/>
  <c r="G203" i="30"/>
  <c r="H203" i="30"/>
  <c r="E204" i="30"/>
  <c r="F204" i="30"/>
  <c r="G204" i="30"/>
  <c r="H204" i="30"/>
  <c r="E205" i="30"/>
  <c r="F205" i="30"/>
  <c r="G205" i="30"/>
  <c r="H205" i="30"/>
  <c r="E206" i="30"/>
  <c r="F206" i="30"/>
  <c r="G206" i="30"/>
  <c r="H206" i="30"/>
  <c r="E207" i="30"/>
  <c r="F207" i="30"/>
  <c r="G207" i="30"/>
  <c r="H207" i="30"/>
  <c r="E208" i="30"/>
  <c r="F208" i="30"/>
  <c r="G208" i="30"/>
  <c r="H208" i="30"/>
  <c r="E209" i="30"/>
  <c r="F209" i="30"/>
  <c r="G209" i="30"/>
  <c r="H209" i="30"/>
  <c r="E210" i="30"/>
  <c r="F210" i="30"/>
  <c r="G210" i="30"/>
  <c r="H210" i="30"/>
  <c r="E211" i="30"/>
  <c r="F211" i="30"/>
  <c r="G211" i="30"/>
  <c r="H211" i="30"/>
  <c r="E212" i="30"/>
  <c r="F212" i="30"/>
  <c r="G212" i="30"/>
  <c r="H212" i="30"/>
  <c r="E213" i="30"/>
  <c r="F213" i="30"/>
  <c r="G213" i="30"/>
  <c r="H213" i="30"/>
  <c r="E214" i="30"/>
  <c r="F214" i="30"/>
  <c r="G214" i="30"/>
  <c r="H214" i="30"/>
  <c r="E215" i="30"/>
  <c r="F215" i="30"/>
  <c r="G215" i="30"/>
  <c r="H215" i="30"/>
  <c r="E216" i="30"/>
  <c r="F216" i="30"/>
  <c r="G216" i="30"/>
  <c r="H216" i="30"/>
  <c r="E217" i="30"/>
  <c r="F217" i="30"/>
  <c r="G217" i="30"/>
  <c r="H217" i="30"/>
  <c r="E218" i="30"/>
  <c r="F218" i="30"/>
  <c r="G218" i="30"/>
  <c r="H218" i="30"/>
  <c r="E219" i="30"/>
  <c r="F219" i="30"/>
  <c r="G219" i="30"/>
  <c r="H219" i="30"/>
  <c r="E220" i="30"/>
  <c r="F220" i="30"/>
  <c r="G220" i="30"/>
  <c r="H220" i="30"/>
  <c r="E221" i="30"/>
  <c r="F221" i="30"/>
  <c r="G221" i="30"/>
  <c r="H221" i="30"/>
  <c r="E222" i="30"/>
  <c r="F222" i="30"/>
  <c r="G222" i="30"/>
  <c r="H222" i="30"/>
  <c r="E223" i="30"/>
  <c r="F223" i="30"/>
  <c r="G223" i="30"/>
  <c r="H223" i="30"/>
  <c r="E224" i="30"/>
  <c r="C224" i="30" s="1"/>
  <c r="F224" i="30"/>
  <c r="B224" i="30" s="1"/>
  <c r="G224" i="30"/>
  <c r="H224" i="30"/>
  <c r="E225" i="30"/>
  <c r="C225" i="30" s="1"/>
  <c r="F225" i="30"/>
  <c r="B225" i="30" s="1"/>
  <c r="G225" i="30"/>
  <c r="H225" i="30"/>
  <c r="E226" i="30"/>
  <c r="C226" i="30" s="1"/>
  <c r="F226" i="30"/>
  <c r="B226" i="30" s="1"/>
  <c r="G226" i="30"/>
  <c r="H226" i="30"/>
  <c r="E227" i="30"/>
  <c r="C227" i="30" s="1"/>
  <c r="F227" i="30"/>
  <c r="B227" i="30" s="1"/>
  <c r="G227" i="30"/>
  <c r="H227" i="30"/>
  <c r="E228" i="30"/>
  <c r="C228" i="30" s="1"/>
  <c r="F228" i="30"/>
  <c r="B228" i="30" s="1"/>
  <c r="G228" i="30"/>
  <c r="H228" i="30"/>
  <c r="E229" i="30"/>
  <c r="C229" i="30" s="1"/>
  <c r="F229" i="30"/>
  <c r="B229" i="30" s="1"/>
  <c r="G229" i="30"/>
  <c r="H229" i="30"/>
  <c r="E230" i="30"/>
  <c r="C230" i="30" s="1"/>
  <c r="F230" i="30"/>
  <c r="B230" i="30" s="1"/>
  <c r="G230" i="30"/>
  <c r="H230" i="30"/>
  <c r="E231" i="30"/>
  <c r="C231" i="30" s="1"/>
  <c r="F231" i="30"/>
  <c r="B231" i="30" s="1"/>
  <c r="G231" i="30"/>
  <c r="H231" i="30"/>
  <c r="E232" i="30"/>
  <c r="F232" i="30"/>
  <c r="G232" i="30"/>
  <c r="H232" i="30"/>
  <c r="E233" i="30"/>
  <c r="F233" i="30"/>
  <c r="G233" i="30"/>
  <c r="H233" i="30"/>
  <c r="E234" i="30"/>
  <c r="F234" i="30"/>
  <c r="G234" i="30"/>
  <c r="H234" i="30"/>
  <c r="E235" i="30"/>
  <c r="F235" i="30"/>
  <c r="G235" i="30"/>
  <c r="H235" i="30"/>
  <c r="E236" i="30"/>
  <c r="F236" i="30"/>
  <c r="G236" i="30"/>
  <c r="H236" i="30"/>
  <c r="E237" i="30"/>
  <c r="F237" i="30"/>
  <c r="G237" i="30"/>
  <c r="H237" i="30"/>
  <c r="E238" i="30"/>
  <c r="F238" i="30"/>
  <c r="G238" i="30"/>
  <c r="H238" i="30"/>
  <c r="E239" i="30"/>
  <c r="F239" i="30"/>
  <c r="G239" i="30"/>
  <c r="H239" i="30"/>
  <c r="E240" i="30"/>
  <c r="F240" i="30"/>
  <c r="G240" i="30"/>
  <c r="H240" i="30"/>
  <c r="E241" i="30"/>
  <c r="F241" i="30"/>
  <c r="G241" i="30"/>
  <c r="H241" i="30"/>
  <c r="E242" i="30"/>
  <c r="F242" i="30"/>
  <c r="G242" i="30"/>
  <c r="H242" i="30"/>
  <c r="E243" i="30"/>
  <c r="F243" i="30"/>
  <c r="G243" i="30"/>
  <c r="H243" i="30"/>
  <c r="E244" i="30"/>
  <c r="F244" i="30"/>
  <c r="G244" i="30"/>
  <c r="H244" i="30"/>
  <c r="E245" i="30"/>
  <c r="F245" i="30"/>
  <c r="G245" i="30"/>
  <c r="H245" i="30"/>
  <c r="E246" i="30"/>
  <c r="F246" i="30"/>
  <c r="G246" i="30"/>
  <c r="H246" i="30"/>
  <c r="E247" i="30"/>
  <c r="F247" i="30"/>
  <c r="G247" i="30"/>
  <c r="H247" i="30"/>
  <c r="E248" i="30"/>
  <c r="F248" i="30"/>
  <c r="G248" i="30"/>
  <c r="H248" i="30"/>
  <c r="E249" i="30"/>
  <c r="F249" i="30"/>
  <c r="G249" i="30"/>
  <c r="H249" i="30"/>
  <c r="E250" i="30"/>
  <c r="F250" i="30"/>
  <c r="G250" i="30"/>
  <c r="H250" i="30"/>
  <c r="E251" i="30"/>
  <c r="F251" i="30"/>
  <c r="G251" i="30"/>
  <c r="H251" i="30"/>
  <c r="E252" i="30"/>
  <c r="F252" i="30"/>
  <c r="G252" i="30"/>
  <c r="H252" i="30"/>
  <c r="E253" i="30"/>
  <c r="F253" i="30"/>
  <c r="G253" i="30"/>
  <c r="H253" i="30"/>
  <c r="E254" i="30"/>
  <c r="C254" i="30" s="1"/>
  <c r="F254" i="30"/>
  <c r="B254" i="30" s="1"/>
  <c r="G254" i="30"/>
  <c r="H254" i="30"/>
  <c r="E255" i="30"/>
  <c r="C255" i="30" s="1"/>
  <c r="F255" i="30"/>
  <c r="B255" i="30" s="1"/>
  <c r="G255" i="30"/>
  <c r="H255" i="30"/>
  <c r="E256" i="30"/>
  <c r="C256" i="30" s="1"/>
  <c r="F256" i="30"/>
  <c r="B256" i="30" s="1"/>
  <c r="G256" i="30"/>
  <c r="H256" i="30"/>
  <c r="E257" i="30"/>
  <c r="F257" i="30"/>
  <c r="G257" i="30"/>
  <c r="H257" i="30"/>
  <c r="E258" i="30"/>
  <c r="F258" i="30"/>
  <c r="G258" i="30"/>
  <c r="H258" i="30"/>
  <c r="E259" i="30"/>
  <c r="F259" i="30"/>
  <c r="G259" i="30"/>
  <c r="H259" i="30"/>
  <c r="E260" i="30"/>
  <c r="F260" i="30"/>
  <c r="G260" i="30"/>
  <c r="H260" i="30"/>
  <c r="E261" i="30"/>
  <c r="F261" i="30"/>
  <c r="G261" i="30"/>
  <c r="H261" i="30"/>
  <c r="E262" i="30"/>
  <c r="F262" i="30"/>
  <c r="G262" i="30"/>
  <c r="H262" i="30"/>
  <c r="E263" i="30"/>
  <c r="F263" i="30"/>
  <c r="G263" i="30"/>
  <c r="H263" i="30"/>
  <c r="E264" i="30"/>
  <c r="F264" i="30"/>
  <c r="G264" i="30"/>
  <c r="H264" i="30"/>
  <c r="E265" i="30"/>
  <c r="F265" i="30"/>
  <c r="G265" i="30"/>
  <c r="H265" i="30"/>
  <c r="E266" i="30"/>
  <c r="C266" i="30" s="1"/>
  <c r="F266" i="30"/>
  <c r="B266" i="30" s="1"/>
  <c r="G266" i="30"/>
  <c r="H266" i="30"/>
  <c r="E267" i="30"/>
  <c r="F267" i="30"/>
  <c r="G267" i="30"/>
  <c r="H267" i="30"/>
  <c r="E268" i="30"/>
  <c r="F268" i="30"/>
  <c r="G268" i="30"/>
  <c r="H268" i="30"/>
  <c r="E269" i="30"/>
  <c r="F269" i="30"/>
  <c r="G269" i="30"/>
  <c r="H269" i="30"/>
  <c r="E270" i="30"/>
  <c r="F270" i="30"/>
  <c r="G270" i="30"/>
  <c r="H270" i="30"/>
  <c r="E271" i="30"/>
  <c r="C271" i="30" s="1"/>
  <c r="F271" i="30"/>
  <c r="B271" i="30" s="1"/>
  <c r="G271" i="30"/>
  <c r="H271" i="30"/>
  <c r="E272" i="30"/>
  <c r="F272" i="30"/>
  <c r="G272" i="30"/>
  <c r="H272" i="30"/>
  <c r="E273" i="30"/>
  <c r="F273" i="30"/>
  <c r="G273" i="30"/>
  <c r="H273" i="30"/>
  <c r="E274" i="30"/>
  <c r="F274" i="30"/>
  <c r="G274" i="30"/>
  <c r="H274" i="30"/>
  <c r="E275" i="30"/>
  <c r="F275" i="30"/>
  <c r="G275" i="30"/>
  <c r="H275" i="30"/>
  <c r="E276" i="30"/>
  <c r="F276" i="30"/>
  <c r="G276" i="30"/>
  <c r="H276" i="30"/>
  <c r="E277" i="30"/>
  <c r="F277" i="30"/>
  <c r="G277" i="30"/>
  <c r="H277" i="30"/>
  <c r="E278" i="30"/>
  <c r="F278" i="30"/>
  <c r="G278" i="30"/>
  <c r="H278" i="30"/>
  <c r="E279" i="30"/>
  <c r="F279" i="30"/>
  <c r="G279" i="30"/>
  <c r="H279" i="30"/>
  <c r="E280" i="30"/>
  <c r="F280" i="30"/>
  <c r="G280" i="30"/>
  <c r="H280" i="30"/>
  <c r="E281" i="30"/>
  <c r="F281" i="30"/>
  <c r="G281" i="30"/>
  <c r="H281" i="30"/>
  <c r="E282" i="30"/>
  <c r="F282" i="30"/>
  <c r="G282" i="30"/>
  <c r="H282" i="30"/>
  <c r="E283" i="30"/>
  <c r="F283" i="30"/>
  <c r="G283" i="30"/>
  <c r="H283" i="30"/>
  <c r="E284" i="30"/>
  <c r="F284" i="30"/>
  <c r="G284" i="30"/>
  <c r="H284" i="30"/>
  <c r="E285" i="30"/>
  <c r="F285" i="30"/>
  <c r="G285" i="30"/>
  <c r="H285" i="30"/>
  <c r="E286" i="30"/>
  <c r="F286" i="30"/>
  <c r="G286" i="30"/>
  <c r="H286" i="30"/>
  <c r="E287" i="30"/>
  <c r="F287" i="30"/>
  <c r="G287" i="30"/>
  <c r="H287" i="30"/>
  <c r="E288" i="30"/>
  <c r="F288" i="30"/>
  <c r="G288" i="30"/>
  <c r="H288" i="30"/>
  <c r="E289" i="30"/>
  <c r="F289" i="30"/>
  <c r="G289" i="30"/>
  <c r="H289" i="30"/>
  <c r="E290" i="30"/>
  <c r="F290" i="30"/>
  <c r="G290" i="30"/>
  <c r="H290" i="30"/>
  <c r="E291" i="30"/>
  <c r="F291" i="30"/>
  <c r="G291" i="30"/>
  <c r="H291" i="30"/>
  <c r="E292" i="30"/>
  <c r="F292" i="30"/>
  <c r="G292" i="30"/>
  <c r="H292" i="30"/>
  <c r="E293" i="30"/>
  <c r="F293" i="30"/>
  <c r="G293" i="30"/>
  <c r="H293" i="30"/>
  <c r="E294" i="30"/>
  <c r="F294" i="30"/>
  <c r="G294" i="30"/>
  <c r="H294" i="30"/>
  <c r="E295" i="30"/>
  <c r="F295" i="30"/>
  <c r="G295" i="30"/>
  <c r="H295" i="30"/>
  <c r="E296" i="30"/>
  <c r="F296" i="30"/>
  <c r="G296" i="30"/>
  <c r="H296" i="30"/>
  <c r="E297" i="30"/>
  <c r="F297" i="30"/>
  <c r="G297" i="30"/>
  <c r="H297" i="30"/>
  <c r="E298" i="30"/>
  <c r="F298" i="30"/>
  <c r="G298" i="30"/>
  <c r="H298" i="30"/>
  <c r="E299" i="30"/>
  <c r="F299" i="30"/>
  <c r="G299" i="30"/>
  <c r="H299" i="30"/>
  <c r="E300" i="30"/>
  <c r="C300" i="30" s="1"/>
  <c r="F300" i="30"/>
  <c r="B300" i="30" s="1"/>
  <c r="G300" i="30"/>
  <c r="H300" i="30"/>
  <c r="E301" i="30"/>
  <c r="C301" i="30" s="1"/>
  <c r="F301" i="30"/>
  <c r="B301" i="30" s="1"/>
  <c r="G301" i="30"/>
  <c r="H301" i="30"/>
  <c r="E302" i="30"/>
  <c r="C302" i="30" s="1"/>
  <c r="F302" i="30"/>
  <c r="B302" i="30" s="1"/>
  <c r="G302" i="30"/>
  <c r="H302" i="30"/>
  <c r="E303" i="30"/>
  <c r="F303" i="30"/>
  <c r="G303" i="30"/>
  <c r="H303" i="30"/>
  <c r="E304" i="30"/>
  <c r="F304" i="30"/>
  <c r="G304" i="30"/>
  <c r="H304" i="30"/>
  <c r="E305" i="30"/>
  <c r="F305" i="30"/>
  <c r="G305" i="30"/>
  <c r="H305" i="30"/>
  <c r="E306" i="30"/>
  <c r="F306" i="30"/>
  <c r="G306" i="30"/>
  <c r="H306" i="30"/>
  <c r="E307" i="30"/>
  <c r="F307" i="30"/>
  <c r="G307" i="30"/>
  <c r="H307" i="30"/>
  <c r="E308" i="30"/>
  <c r="F308" i="30"/>
  <c r="G308" i="30"/>
  <c r="H308" i="30"/>
  <c r="E309" i="30"/>
  <c r="F309" i="30"/>
  <c r="G309" i="30"/>
  <c r="H309" i="30"/>
  <c r="E310" i="30"/>
  <c r="F310" i="30"/>
  <c r="G310" i="30"/>
  <c r="H310" i="30"/>
  <c r="E311" i="30"/>
  <c r="F311" i="30"/>
  <c r="G311" i="30"/>
  <c r="H311" i="30"/>
  <c r="E312" i="30"/>
  <c r="F312" i="30"/>
  <c r="G312" i="30"/>
  <c r="H312" i="30"/>
  <c r="E313" i="30"/>
  <c r="F313" i="30"/>
  <c r="G313" i="30"/>
  <c r="H313" i="30"/>
  <c r="E314" i="30"/>
  <c r="F314" i="30"/>
  <c r="G314" i="30"/>
  <c r="H314" i="30"/>
  <c r="E315" i="30"/>
  <c r="F315" i="30"/>
  <c r="G315" i="30"/>
  <c r="H315" i="30"/>
  <c r="E316" i="30"/>
  <c r="F316" i="30"/>
  <c r="G316" i="30"/>
  <c r="H316" i="30"/>
  <c r="E317" i="30"/>
  <c r="F317" i="30"/>
  <c r="G317" i="30"/>
  <c r="H317" i="30"/>
  <c r="E318" i="30"/>
  <c r="F318" i="30"/>
  <c r="G318" i="30"/>
  <c r="H318" i="30"/>
  <c r="E319" i="30"/>
  <c r="F319" i="30"/>
  <c r="G319" i="30"/>
  <c r="H319" i="30"/>
  <c r="E320" i="30"/>
  <c r="F320" i="30"/>
  <c r="G320" i="30"/>
  <c r="H320" i="30"/>
  <c r="E321" i="30"/>
  <c r="C321" i="30" s="1"/>
  <c r="F321" i="30"/>
  <c r="B321" i="30" s="1"/>
  <c r="G321" i="30"/>
  <c r="H321" i="30"/>
  <c r="E322" i="30"/>
  <c r="C322" i="30" s="1"/>
  <c r="F322" i="30"/>
  <c r="B322" i="30" s="1"/>
  <c r="G322" i="30"/>
  <c r="H322" i="30"/>
  <c r="E323" i="30"/>
  <c r="C323" i="30" s="1"/>
  <c r="F323" i="30"/>
  <c r="B323" i="30" s="1"/>
  <c r="G323" i="30"/>
  <c r="H323" i="30"/>
  <c r="E324" i="30"/>
  <c r="C324" i="30" s="1"/>
  <c r="F324" i="30"/>
  <c r="B324" i="30" s="1"/>
  <c r="G324" i="30"/>
  <c r="H324" i="30"/>
  <c r="E325" i="30"/>
  <c r="C325" i="30" s="1"/>
  <c r="F325" i="30"/>
  <c r="B325" i="30" s="1"/>
  <c r="G325" i="30"/>
  <c r="H325" i="30"/>
  <c r="E326" i="30"/>
  <c r="F326" i="30"/>
  <c r="G326" i="30"/>
  <c r="H326" i="30"/>
  <c r="E327" i="30"/>
  <c r="F327" i="30"/>
  <c r="G327" i="30"/>
  <c r="H327" i="30"/>
  <c r="E328" i="30"/>
  <c r="F328" i="30"/>
  <c r="G328" i="30"/>
  <c r="H328" i="30"/>
  <c r="E329" i="30"/>
  <c r="F329" i="30"/>
  <c r="G329" i="30"/>
  <c r="H329" i="30"/>
  <c r="E330" i="30"/>
  <c r="F330" i="30"/>
  <c r="G330" i="30"/>
  <c r="H330" i="30"/>
  <c r="E331" i="30"/>
  <c r="F331" i="30"/>
  <c r="G331" i="30"/>
  <c r="H331" i="30"/>
  <c r="E332" i="30"/>
  <c r="F332" i="30"/>
  <c r="G332" i="30"/>
  <c r="H332" i="30"/>
  <c r="E333" i="30"/>
  <c r="F333" i="30"/>
  <c r="G333" i="30"/>
  <c r="H333" i="30"/>
  <c r="E334" i="30"/>
  <c r="F334" i="30"/>
  <c r="G334" i="30"/>
  <c r="H334" i="30"/>
  <c r="E335" i="30"/>
  <c r="F335" i="30"/>
  <c r="G335" i="30"/>
  <c r="H335" i="30"/>
  <c r="E336" i="30"/>
  <c r="F336" i="30"/>
  <c r="G336" i="30"/>
  <c r="H336" i="30"/>
  <c r="E337" i="30"/>
  <c r="F337" i="30"/>
  <c r="G337" i="30"/>
  <c r="H337" i="30"/>
  <c r="E338" i="30"/>
  <c r="F338" i="30"/>
  <c r="G338" i="30"/>
  <c r="H338" i="30"/>
  <c r="E339" i="30"/>
  <c r="F339" i="30"/>
  <c r="G339" i="30"/>
  <c r="H339" i="30"/>
  <c r="E340" i="30"/>
  <c r="F340" i="30"/>
  <c r="G340" i="30"/>
  <c r="H340" i="30"/>
  <c r="E341" i="30"/>
  <c r="F341" i="30"/>
  <c r="G341" i="30"/>
  <c r="H341" i="30"/>
  <c r="E342" i="30"/>
  <c r="F342" i="30"/>
  <c r="G342" i="30"/>
  <c r="H342" i="30"/>
  <c r="E343" i="30"/>
  <c r="F343" i="30"/>
  <c r="G343" i="30"/>
  <c r="H343" i="30"/>
  <c r="E344" i="30"/>
  <c r="F344" i="30"/>
  <c r="G344" i="30"/>
  <c r="H344" i="30"/>
  <c r="E345" i="30"/>
  <c r="F345" i="30"/>
  <c r="G345" i="30"/>
  <c r="H345" i="30"/>
  <c r="E346" i="30"/>
  <c r="F346" i="30"/>
  <c r="G346" i="30"/>
  <c r="H346" i="30"/>
  <c r="E347" i="30"/>
  <c r="F347" i="30"/>
  <c r="G347" i="30"/>
  <c r="H347" i="30"/>
  <c r="E348" i="30"/>
  <c r="F348" i="30"/>
  <c r="G348" i="30"/>
  <c r="H348" i="30"/>
  <c r="E349" i="30"/>
  <c r="F349" i="30"/>
  <c r="G349" i="30"/>
  <c r="H349" i="30"/>
  <c r="E350" i="30"/>
  <c r="F350" i="30"/>
  <c r="G350" i="30"/>
  <c r="H350" i="30"/>
  <c r="E351" i="30"/>
  <c r="F351" i="30"/>
  <c r="G351" i="30"/>
  <c r="H351" i="30"/>
  <c r="E352" i="30"/>
  <c r="F352" i="30"/>
  <c r="G352" i="30"/>
  <c r="H352" i="30"/>
  <c r="E353" i="30"/>
  <c r="F353" i="30"/>
  <c r="G353" i="30"/>
  <c r="H353" i="30"/>
  <c r="E354" i="30"/>
  <c r="F354" i="30"/>
  <c r="G354" i="30"/>
  <c r="H354" i="30"/>
  <c r="E355" i="30"/>
  <c r="F355" i="30"/>
  <c r="G355" i="30"/>
  <c r="H355" i="30"/>
  <c r="E356" i="30"/>
  <c r="F356" i="30"/>
  <c r="G356" i="30"/>
  <c r="H356" i="30"/>
  <c r="E357" i="30"/>
  <c r="C357" i="30" s="1"/>
  <c r="F357" i="30"/>
  <c r="B357" i="30" s="1"/>
  <c r="G357" i="30"/>
  <c r="H357" i="30"/>
  <c r="E358" i="30"/>
  <c r="C358" i="30" s="1"/>
  <c r="F358" i="30"/>
  <c r="B358" i="30" s="1"/>
  <c r="G358" i="30"/>
  <c r="H358" i="30"/>
  <c r="E359" i="30"/>
  <c r="C359" i="30" s="1"/>
  <c r="F359" i="30"/>
  <c r="B359" i="30" s="1"/>
  <c r="G359" i="30"/>
  <c r="H359" i="30"/>
  <c r="E360" i="30"/>
  <c r="C360" i="30" s="1"/>
  <c r="F360" i="30"/>
  <c r="B360" i="30" s="1"/>
  <c r="G360" i="30"/>
  <c r="H360" i="30"/>
  <c r="E361" i="30"/>
  <c r="F361" i="30"/>
  <c r="G361" i="30"/>
  <c r="H361" i="30"/>
  <c r="E362" i="30"/>
  <c r="F362" i="30"/>
  <c r="G362" i="30"/>
  <c r="H362" i="30"/>
  <c r="E363" i="30"/>
  <c r="F363" i="30"/>
  <c r="G363" i="30"/>
  <c r="H363" i="30"/>
  <c r="E364" i="30"/>
  <c r="F364" i="30"/>
  <c r="G364" i="30"/>
  <c r="H364" i="30"/>
  <c r="E365" i="30"/>
  <c r="F365" i="30"/>
  <c r="G365" i="30"/>
  <c r="H365" i="30"/>
  <c r="E366" i="30"/>
  <c r="F366" i="30"/>
  <c r="G366" i="30"/>
  <c r="H366" i="30"/>
  <c r="E367" i="30"/>
  <c r="F367" i="30"/>
  <c r="G367" i="30"/>
  <c r="H367" i="30"/>
  <c r="E368" i="30"/>
  <c r="F368" i="30"/>
  <c r="G368" i="30"/>
  <c r="H368" i="30"/>
  <c r="E369" i="30"/>
  <c r="F369" i="30"/>
  <c r="G369" i="30"/>
  <c r="H369" i="30"/>
  <c r="E370" i="30"/>
  <c r="F370" i="30"/>
  <c r="G370" i="30"/>
  <c r="H370" i="30"/>
  <c r="E371" i="30"/>
  <c r="F371" i="30"/>
  <c r="G371" i="30"/>
  <c r="H371" i="30"/>
  <c r="E372" i="30"/>
  <c r="F372" i="30"/>
  <c r="G372" i="30"/>
  <c r="H372" i="30"/>
  <c r="E373" i="30"/>
  <c r="F373" i="30"/>
  <c r="G373" i="30"/>
  <c r="H373" i="30"/>
  <c r="E374" i="30"/>
  <c r="F374" i="30"/>
  <c r="G374" i="30"/>
  <c r="H374" i="30"/>
  <c r="E375" i="30"/>
  <c r="F375" i="30"/>
  <c r="G375" i="30"/>
  <c r="H375" i="30"/>
  <c r="E376" i="30"/>
  <c r="F376" i="30"/>
  <c r="G376" i="30"/>
  <c r="H376" i="30"/>
  <c r="E377" i="30"/>
  <c r="F377" i="30"/>
  <c r="G377" i="30"/>
  <c r="H377" i="30"/>
  <c r="E378" i="30"/>
  <c r="F378" i="30"/>
  <c r="G378" i="30"/>
  <c r="H378" i="30"/>
  <c r="E379" i="30"/>
  <c r="F379" i="30"/>
  <c r="G379" i="30"/>
  <c r="H379" i="30"/>
  <c r="E380" i="30"/>
  <c r="F380" i="30"/>
  <c r="G380" i="30"/>
  <c r="H380" i="30"/>
  <c r="E381" i="30"/>
  <c r="F381" i="30"/>
  <c r="G381" i="30"/>
  <c r="H381" i="30"/>
  <c r="E382" i="30"/>
  <c r="F382" i="30"/>
  <c r="G382" i="30"/>
  <c r="H382" i="30"/>
  <c r="E383" i="30"/>
  <c r="F383" i="30"/>
  <c r="G383" i="30"/>
  <c r="H383" i="30"/>
  <c r="E384" i="30"/>
  <c r="F384" i="30"/>
  <c r="G384" i="30"/>
  <c r="H384" i="30"/>
  <c r="E385" i="30"/>
  <c r="F385" i="30"/>
  <c r="G385" i="30"/>
  <c r="H385" i="30"/>
  <c r="E386" i="30"/>
  <c r="F386" i="30"/>
  <c r="G386" i="30"/>
  <c r="H386" i="30"/>
  <c r="E387" i="30"/>
  <c r="F387" i="30"/>
  <c r="G387" i="30"/>
  <c r="H387" i="30"/>
  <c r="E388" i="30"/>
  <c r="F388" i="30"/>
  <c r="G388" i="30"/>
  <c r="H388" i="30"/>
  <c r="E389" i="30"/>
  <c r="F389" i="30"/>
  <c r="G389" i="30"/>
  <c r="H389" i="30"/>
  <c r="E390" i="30"/>
  <c r="F390" i="30"/>
  <c r="G390" i="30"/>
  <c r="H390" i="30"/>
  <c r="E391" i="30"/>
  <c r="F391" i="30"/>
  <c r="G391" i="30"/>
  <c r="H391" i="30"/>
  <c r="E392" i="30"/>
  <c r="F392" i="30"/>
  <c r="G392" i="30"/>
  <c r="H392" i="30"/>
  <c r="E393" i="30"/>
  <c r="F393" i="30"/>
  <c r="G393" i="30"/>
  <c r="H393" i="30"/>
  <c r="E394" i="30"/>
  <c r="F394" i="30"/>
  <c r="G394" i="30"/>
  <c r="H394" i="30"/>
  <c r="E395" i="30"/>
  <c r="F395" i="30"/>
  <c r="G395" i="30"/>
  <c r="H395" i="30"/>
  <c r="E396" i="30"/>
  <c r="F396" i="30"/>
  <c r="G396" i="30"/>
  <c r="H396" i="30"/>
  <c r="E397" i="30"/>
  <c r="F397" i="30"/>
  <c r="G397" i="30"/>
  <c r="H397" i="30"/>
  <c r="E398" i="30"/>
  <c r="F398" i="30"/>
  <c r="G398" i="30"/>
  <c r="H398" i="30"/>
  <c r="E399" i="30"/>
  <c r="F399" i="30"/>
  <c r="G399" i="30"/>
  <c r="H399" i="30"/>
  <c r="E400" i="30"/>
  <c r="F400" i="30"/>
  <c r="G400" i="30"/>
  <c r="H400" i="30"/>
  <c r="E401" i="30"/>
  <c r="F401" i="30"/>
  <c r="G401" i="30"/>
  <c r="H401" i="30"/>
  <c r="E402" i="30"/>
  <c r="F402" i="30"/>
  <c r="G402" i="30"/>
  <c r="H402" i="30"/>
  <c r="E403" i="30"/>
  <c r="F403" i="30"/>
  <c r="G403" i="30"/>
  <c r="H403" i="30"/>
  <c r="E404" i="30"/>
  <c r="F404" i="30"/>
  <c r="G404" i="30"/>
  <c r="H404" i="30"/>
  <c r="E405" i="30"/>
  <c r="F405" i="30"/>
  <c r="G405" i="30"/>
  <c r="H405" i="30"/>
  <c r="E406" i="30"/>
  <c r="F406" i="30"/>
  <c r="G406" i="30"/>
  <c r="H406" i="30"/>
  <c r="E407" i="30"/>
  <c r="F407" i="30"/>
  <c r="G407" i="30"/>
  <c r="H407" i="30"/>
  <c r="E408" i="30"/>
  <c r="F408" i="30"/>
  <c r="G408" i="30"/>
  <c r="H408" i="30"/>
  <c r="E409" i="30"/>
  <c r="F409" i="30"/>
  <c r="G409" i="30"/>
  <c r="H409" i="30"/>
  <c r="E410" i="30"/>
  <c r="F410" i="30"/>
  <c r="G410" i="30"/>
  <c r="H410" i="30"/>
  <c r="E411" i="30"/>
  <c r="C411" i="30" s="1"/>
  <c r="F411" i="30"/>
  <c r="B411" i="30" s="1"/>
  <c r="G411" i="30"/>
  <c r="H411" i="30"/>
  <c r="E412" i="30"/>
  <c r="C412" i="30" s="1"/>
  <c r="F412" i="30"/>
  <c r="B412" i="30" s="1"/>
  <c r="G412" i="30"/>
  <c r="H412" i="30"/>
  <c r="E413" i="30"/>
  <c r="F413" i="30"/>
  <c r="G413" i="30"/>
  <c r="H413" i="30"/>
  <c r="E414" i="30"/>
  <c r="F414" i="30"/>
  <c r="G414" i="30"/>
  <c r="H414" i="30"/>
  <c r="E415" i="30"/>
  <c r="F415" i="30"/>
  <c r="G415" i="30"/>
  <c r="H415" i="30"/>
  <c r="E416" i="30"/>
  <c r="F416" i="30"/>
  <c r="G416" i="30"/>
  <c r="H416" i="30"/>
  <c r="E417" i="30"/>
  <c r="F417" i="30"/>
  <c r="G417" i="30"/>
  <c r="H417" i="30"/>
  <c r="E418" i="30"/>
  <c r="F418" i="30"/>
  <c r="G418" i="30"/>
  <c r="H418" i="30"/>
  <c r="E419" i="30"/>
  <c r="F419" i="30"/>
  <c r="G419" i="30"/>
  <c r="H419" i="30"/>
  <c r="E420" i="30"/>
  <c r="F420" i="30"/>
  <c r="G420" i="30"/>
  <c r="H420" i="30"/>
  <c r="E421" i="30"/>
  <c r="F421" i="30"/>
  <c r="G421" i="30"/>
  <c r="H421" i="30"/>
  <c r="E422" i="30"/>
  <c r="F422" i="30"/>
  <c r="G422" i="30"/>
  <c r="H422" i="30"/>
  <c r="E423" i="30"/>
  <c r="F423" i="30"/>
  <c r="G423" i="30"/>
  <c r="H423" i="30"/>
  <c r="E424" i="30"/>
  <c r="F424" i="30"/>
  <c r="G424" i="30"/>
  <c r="H424" i="30"/>
  <c r="E425" i="30"/>
  <c r="F425" i="30"/>
  <c r="G425" i="30"/>
  <c r="H425" i="30"/>
  <c r="E426" i="30"/>
  <c r="F426" i="30"/>
  <c r="G426" i="30"/>
  <c r="H426" i="30"/>
  <c r="E427" i="30"/>
  <c r="F427" i="30"/>
  <c r="G427" i="30"/>
  <c r="H427" i="30"/>
  <c r="E428" i="30"/>
  <c r="F428" i="30"/>
  <c r="G428" i="30"/>
  <c r="H428" i="30"/>
  <c r="E429" i="30"/>
  <c r="F429" i="30"/>
  <c r="G429" i="30"/>
  <c r="H429" i="30"/>
  <c r="E430" i="30"/>
  <c r="F430" i="30"/>
  <c r="G430" i="30"/>
  <c r="H430" i="30"/>
  <c r="E431" i="30"/>
  <c r="F431" i="30"/>
  <c r="G431" i="30"/>
  <c r="H431" i="30"/>
  <c r="E432" i="30"/>
  <c r="F432" i="30"/>
  <c r="G432" i="30"/>
  <c r="H432" i="30"/>
  <c r="E433" i="30"/>
  <c r="F433" i="30"/>
  <c r="G433" i="30"/>
  <c r="H433" i="30"/>
  <c r="E434" i="30"/>
  <c r="F434" i="30"/>
  <c r="G434" i="30"/>
  <c r="H434" i="30"/>
  <c r="E435" i="30"/>
  <c r="F435" i="30"/>
  <c r="G435" i="30"/>
  <c r="H435" i="30"/>
  <c r="E436" i="30"/>
  <c r="F436" i="30"/>
  <c r="G436" i="30"/>
  <c r="H436" i="30"/>
  <c r="E437" i="30"/>
  <c r="F437" i="30"/>
  <c r="G437" i="30"/>
  <c r="H437" i="30"/>
  <c r="E438" i="30"/>
  <c r="F438" i="30"/>
  <c r="G438" i="30"/>
  <c r="H438" i="30"/>
  <c r="E439" i="30"/>
  <c r="F439" i="30"/>
  <c r="G439" i="30"/>
  <c r="H439" i="30"/>
  <c r="E440" i="30"/>
  <c r="F440" i="30"/>
  <c r="G440" i="30"/>
  <c r="H440" i="30"/>
  <c r="E441" i="30"/>
  <c r="F441" i="30"/>
  <c r="G441" i="30"/>
  <c r="H441" i="30"/>
  <c r="E442" i="30"/>
  <c r="F442" i="30"/>
  <c r="G442" i="30"/>
  <c r="H442" i="30"/>
  <c r="E443" i="30"/>
  <c r="F443" i="30"/>
  <c r="G443" i="30"/>
  <c r="H443" i="30"/>
  <c r="E444" i="30"/>
  <c r="F444" i="30"/>
  <c r="G444" i="30"/>
  <c r="H444" i="30"/>
  <c r="E445" i="30"/>
  <c r="F445" i="30"/>
  <c r="G445" i="30"/>
  <c r="H445" i="30"/>
  <c r="E446" i="30"/>
  <c r="F446" i="30"/>
  <c r="G446" i="30"/>
  <c r="H446" i="30"/>
  <c r="E447" i="30"/>
  <c r="F447" i="30"/>
  <c r="G447" i="30"/>
  <c r="H447" i="30"/>
  <c r="E448" i="30"/>
  <c r="F448" i="30"/>
  <c r="G448" i="30"/>
  <c r="H448" i="30"/>
  <c r="E449" i="30"/>
  <c r="F449" i="30"/>
  <c r="G449" i="30"/>
  <c r="H449" i="30"/>
  <c r="E450" i="30"/>
  <c r="F450" i="30"/>
  <c r="G450" i="30"/>
  <c r="H450" i="30"/>
  <c r="E451" i="30"/>
  <c r="F451" i="30"/>
  <c r="G451" i="30"/>
  <c r="H451" i="30"/>
  <c r="E452" i="30"/>
  <c r="F452" i="30"/>
  <c r="G452" i="30"/>
  <c r="H452" i="30"/>
  <c r="E453" i="30"/>
  <c r="F453" i="30"/>
  <c r="G453" i="30"/>
  <c r="H453" i="30"/>
  <c r="E454" i="30"/>
  <c r="F454" i="30"/>
  <c r="G454" i="30"/>
  <c r="H454" i="30"/>
  <c r="E455" i="30"/>
  <c r="F455" i="30"/>
  <c r="G455" i="30"/>
  <c r="H455" i="30"/>
  <c r="E456" i="30"/>
  <c r="F456" i="30"/>
  <c r="G456" i="30"/>
  <c r="H456" i="30"/>
  <c r="E457" i="30"/>
  <c r="F457" i="30"/>
  <c r="G457" i="30"/>
  <c r="H457" i="30"/>
  <c r="E458" i="30"/>
  <c r="F458" i="30"/>
  <c r="G458" i="30"/>
  <c r="H458" i="30"/>
  <c r="E459" i="30"/>
  <c r="F459" i="30"/>
  <c r="G459" i="30"/>
  <c r="H459" i="30"/>
  <c r="E460" i="30"/>
  <c r="F460" i="30"/>
  <c r="G460" i="30"/>
  <c r="H460" i="30"/>
  <c r="E461" i="30"/>
  <c r="F461" i="30"/>
  <c r="G461" i="30"/>
  <c r="H461" i="30"/>
  <c r="E462" i="30"/>
  <c r="F462" i="30"/>
  <c r="G462" i="30"/>
  <c r="H462" i="30"/>
  <c r="E463" i="30"/>
  <c r="F463" i="30"/>
  <c r="G463" i="30"/>
  <c r="H463" i="30"/>
  <c r="E464" i="30"/>
  <c r="F464" i="30"/>
  <c r="G464" i="30"/>
  <c r="H464" i="30"/>
  <c r="E465" i="30"/>
  <c r="F465" i="30"/>
  <c r="G465" i="30"/>
  <c r="H465" i="30"/>
  <c r="E466" i="30"/>
  <c r="C466" i="30" s="1"/>
  <c r="F466" i="30"/>
  <c r="B466" i="30" s="1"/>
  <c r="G466" i="30"/>
  <c r="H466" i="30"/>
  <c r="E467" i="30"/>
  <c r="C467" i="30" s="1"/>
  <c r="F467" i="30"/>
  <c r="B467" i="30" s="1"/>
  <c r="G467" i="30"/>
  <c r="H467" i="30"/>
  <c r="E468" i="30"/>
  <c r="F468" i="30"/>
  <c r="G468" i="30"/>
  <c r="H468" i="30"/>
  <c r="E469" i="30"/>
  <c r="F469" i="30"/>
  <c r="G469" i="30"/>
  <c r="H469" i="30"/>
  <c r="E470" i="30"/>
  <c r="F470" i="30"/>
  <c r="G470" i="30"/>
  <c r="H470" i="30"/>
  <c r="E471" i="30"/>
  <c r="F471" i="30"/>
  <c r="G471" i="30"/>
  <c r="H471" i="30"/>
  <c r="E472" i="30"/>
  <c r="F472" i="30"/>
  <c r="G472" i="30"/>
  <c r="H472" i="30"/>
  <c r="E473" i="30"/>
  <c r="F473" i="30"/>
  <c r="G473" i="30"/>
  <c r="H473" i="30"/>
  <c r="E474" i="30"/>
  <c r="C474" i="30" s="1"/>
  <c r="F474" i="30"/>
  <c r="B474" i="30" s="1"/>
  <c r="G474" i="30"/>
  <c r="H474" i="30"/>
  <c r="E475" i="30"/>
  <c r="F475" i="30"/>
  <c r="G475" i="30"/>
  <c r="H475" i="30"/>
  <c r="E476" i="30"/>
  <c r="F476" i="30"/>
  <c r="G476" i="30"/>
  <c r="H476" i="30"/>
  <c r="E477" i="30"/>
  <c r="F477" i="30"/>
  <c r="G477" i="30"/>
  <c r="H477" i="30"/>
  <c r="E478" i="30"/>
  <c r="F478" i="30"/>
  <c r="G478" i="30"/>
  <c r="H478" i="30"/>
  <c r="E479" i="30"/>
  <c r="F479" i="30"/>
  <c r="G479" i="30"/>
  <c r="H479" i="30"/>
  <c r="E480" i="30"/>
  <c r="F480" i="30"/>
  <c r="G480" i="30"/>
  <c r="H480" i="30"/>
  <c r="E481" i="30"/>
  <c r="C481" i="30" s="1"/>
  <c r="F481" i="30"/>
  <c r="B481" i="30" s="1"/>
  <c r="G481" i="30"/>
  <c r="H481" i="30"/>
  <c r="E482" i="30"/>
  <c r="F482" i="30"/>
  <c r="G482" i="30"/>
  <c r="H482" i="30"/>
  <c r="E483" i="30"/>
  <c r="F483" i="30"/>
  <c r="G483" i="30"/>
  <c r="H483" i="30"/>
  <c r="E484" i="30"/>
  <c r="F484" i="30"/>
  <c r="G484" i="30"/>
  <c r="H484" i="30"/>
  <c r="E485" i="30"/>
  <c r="F485" i="30"/>
  <c r="G485" i="30"/>
  <c r="H485" i="30"/>
  <c r="E486" i="30"/>
  <c r="F486" i="30"/>
  <c r="G486" i="30"/>
  <c r="H486" i="30"/>
  <c r="E487" i="30"/>
  <c r="F487" i="30"/>
  <c r="G487" i="30"/>
  <c r="H487" i="30"/>
  <c r="E488" i="30"/>
  <c r="F488" i="30"/>
  <c r="G488" i="30"/>
  <c r="H488" i="30"/>
  <c r="E489" i="30"/>
  <c r="F489" i="30"/>
  <c r="G489" i="30"/>
  <c r="H489" i="30"/>
  <c r="E490" i="30"/>
  <c r="F490" i="30"/>
  <c r="G490" i="30"/>
  <c r="H490" i="30"/>
  <c r="E491" i="30"/>
  <c r="F491" i="30"/>
  <c r="G491" i="30"/>
  <c r="H491" i="30"/>
  <c r="E492" i="30"/>
  <c r="F492" i="30"/>
  <c r="G492" i="30"/>
  <c r="H492" i="30"/>
  <c r="E493" i="30"/>
  <c r="F493" i="30"/>
  <c r="G493" i="30"/>
  <c r="H493" i="30"/>
  <c r="E494" i="30"/>
  <c r="F494" i="30"/>
  <c r="G494" i="30"/>
  <c r="H494" i="30"/>
  <c r="E495" i="30"/>
  <c r="F495" i="30"/>
  <c r="G495" i="30"/>
  <c r="H495" i="30"/>
  <c r="E496" i="30"/>
  <c r="F496" i="30"/>
  <c r="G496" i="30"/>
  <c r="H496" i="30"/>
  <c r="E497" i="30"/>
  <c r="F497" i="30"/>
  <c r="G497" i="30"/>
  <c r="H497" i="30"/>
  <c r="E498" i="30"/>
  <c r="F498" i="30"/>
  <c r="G498" i="30"/>
  <c r="H498" i="30"/>
  <c r="E499" i="30"/>
  <c r="F499" i="30"/>
  <c r="G499" i="30"/>
  <c r="H499" i="30"/>
  <c r="E500" i="30"/>
  <c r="F500" i="30"/>
  <c r="G500" i="30"/>
  <c r="H500" i="30"/>
  <c r="E501" i="30"/>
  <c r="F501" i="30"/>
  <c r="G501" i="30"/>
  <c r="H501" i="30"/>
  <c r="E502" i="30"/>
  <c r="F502" i="30"/>
  <c r="G502" i="30"/>
  <c r="H502" i="30"/>
  <c r="E503" i="30"/>
  <c r="F503" i="30"/>
  <c r="G503" i="30"/>
  <c r="H503" i="30"/>
  <c r="E504" i="30"/>
  <c r="F504" i="30"/>
  <c r="G504" i="30"/>
  <c r="H504" i="30"/>
  <c r="E505" i="30"/>
  <c r="F505" i="30"/>
  <c r="G505" i="30"/>
  <c r="H505" i="30"/>
  <c r="E506" i="30"/>
  <c r="F506" i="30"/>
  <c r="G506" i="30"/>
  <c r="H506" i="30"/>
  <c r="E507" i="30"/>
  <c r="F507" i="30"/>
  <c r="G507" i="30"/>
  <c r="H507" i="30"/>
  <c r="E508" i="30"/>
  <c r="F508" i="30"/>
  <c r="G508" i="30"/>
  <c r="H508" i="30"/>
  <c r="E509" i="30"/>
  <c r="F509" i="30"/>
  <c r="G509" i="30"/>
  <c r="H509" i="30"/>
  <c r="E510" i="30"/>
  <c r="F510" i="30"/>
  <c r="G510" i="30"/>
  <c r="H510" i="30"/>
  <c r="E511" i="30"/>
  <c r="F511" i="30"/>
  <c r="G511" i="30"/>
  <c r="H511" i="30"/>
  <c r="E512" i="30"/>
  <c r="F512" i="30"/>
  <c r="G512" i="30"/>
  <c r="H512" i="30"/>
  <c r="E513" i="30"/>
  <c r="F513" i="30"/>
  <c r="G513" i="30"/>
  <c r="H513" i="30"/>
  <c r="E514" i="30"/>
  <c r="F514" i="30"/>
  <c r="G514" i="30"/>
  <c r="H514" i="30"/>
  <c r="E515" i="30"/>
  <c r="F515" i="30"/>
  <c r="G515" i="30"/>
  <c r="H515" i="30"/>
  <c r="E516" i="30"/>
  <c r="F516" i="30"/>
  <c r="G516" i="30"/>
  <c r="H516" i="30"/>
  <c r="E517" i="30"/>
  <c r="F517" i="30"/>
  <c r="G517" i="30"/>
  <c r="H517" i="30"/>
  <c r="E518" i="30"/>
  <c r="F518" i="30"/>
  <c r="G518" i="30"/>
  <c r="H518" i="30"/>
  <c r="E519" i="30"/>
  <c r="C519" i="30" s="1"/>
  <c r="F519" i="30"/>
  <c r="B519" i="30" s="1"/>
  <c r="G519" i="30"/>
  <c r="H519" i="30"/>
  <c r="E520" i="30"/>
  <c r="C520" i="30" s="1"/>
  <c r="F520" i="30"/>
  <c r="B520" i="30" s="1"/>
  <c r="G520" i="30"/>
  <c r="H520" i="30"/>
  <c r="E521" i="30"/>
  <c r="C521" i="30" s="1"/>
  <c r="F521" i="30"/>
  <c r="B521" i="30" s="1"/>
  <c r="G521" i="30"/>
  <c r="H521" i="30"/>
  <c r="E522" i="30"/>
  <c r="C522" i="30" s="1"/>
  <c r="F522" i="30"/>
  <c r="B522" i="30" s="1"/>
  <c r="G522" i="30"/>
  <c r="H522" i="30"/>
  <c r="E523" i="30"/>
  <c r="F523" i="30"/>
  <c r="G523" i="30"/>
  <c r="H523" i="30"/>
  <c r="E524" i="30"/>
  <c r="F524" i="30"/>
  <c r="G524" i="30"/>
  <c r="H524" i="30"/>
  <c r="E525" i="30"/>
  <c r="F525" i="30"/>
  <c r="G525" i="30"/>
  <c r="H525" i="30"/>
  <c r="E526" i="30"/>
  <c r="F526" i="30"/>
  <c r="G526" i="30"/>
  <c r="H526" i="30"/>
  <c r="E527" i="30"/>
  <c r="F527" i="30"/>
  <c r="G527" i="30"/>
  <c r="H527" i="30"/>
  <c r="E528" i="30"/>
  <c r="F528" i="30"/>
  <c r="G528" i="30"/>
  <c r="H528" i="30"/>
  <c r="E529" i="30"/>
  <c r="F529" i="30"/>
  <c r="G529" i="30"/>
  <c r="H529" i="30"/>
  <c r="E530" i="30"/>
  <c r="F530" i="30"/>
  <c r="G530" i="30"/>
  <c r="H530" i="30"/>
  <c r="E531" i="30"/>
  <c r="F531" i="30"/>
  <c r="G531" i="30"/>
  <c r="H531" i="30"/>
  <c r="E532" i="30"/>
  <c r="F532" i="30"/>
  <c r="G532" i="30"/>
  <c r="H532" i="30"/>
  <c r="E533" i="30"/>
  <c r="F533" i="30"/>
  <c r="G533" i="30"/>
  <c r="H533" i="30"/>
  <c r="E534" i="30"/>
  <c r="F534" i="30"/>
  <c r="G534" i="30"/>
  <c r="H534" i="30"/>
  <c r="E535" i="30"/>
  <c r="F535" i="30"/>
  <c r="G535" i="30"/>
  <c r="H535" i="30"/>
  <c r="E536" i="30"/>
  <c r="F536" i="30"/>
  <c r="G536" i="30"/>
  <c r="H536" i="30"/>
  <c r="E537" i="30"/>
  <c r="F537" i="30"/>
  <c r="G537" i="30"/>
  <c r="H537" i="30"/>
  <c r="E538" i="30"/>
  <c r="F538" i="30"/>
  <c r="G538" i="30"/>
  <c r="H538" i="30"/>
  <c r="E539" i="30"/>
  <c r="F539" i="30"/>
  <c r="G539" i="30"/>
  <c r="H539" i="30"/>
  <c r="E540" i="30"/>
  <c r="F540" i="30"/>
  <c r="G540" i="30"/>
  <c r="H540" i="30"/>
  <c r="E541" i="30"/>
  <c r="F541" i="30"/>
  <c r="G541" i="30"/>
  <c r="H541" i="30"/>
  <c r="E542" i="30"/>
  <c r="F542" i="30"/>
  <c r="G542" i="30"/>
  <c r="H542" i="30"/>
  <c r="E543" i="30"/>
  <c r="F543" i="30"/>
  <c r="G543" i="30"/>
  <c r="H543" i="30"/>
  <c r="E544" i="30"/>
  <c r="F544" i="30"/>
  <c r="G544" i="30"/>
  <c r="H544" i="30"/>
  <c r="E545" i="30"/>
  <c r="F545" i="30"/>
  <c r="G545" i="30"/>
  <c r="H545" i="30"/>
  <c r="E546" i="30"/>
  <c r="F546" i="30"/>
  <c r="G546" i="30"/>
  <c r="H546" i="30"/>
  <c r="E547" i="30"/>
  <c r="F547" i="30"/>
  <c r="G547" i="30"/>
  <c r="H547" i="30"/>
  <c r="E548" i="30"/>
  <c r="F548" i="30"/>
  <c r="G548" i="30"/>
  <c r="H548" i="30"/>
  <c r="E549" i="30"/>
  <c r="C549" i="30" s="1"/>
  <c r="F549" i="30"/>
  <c r="B549" i="30" s="1"/>
  <c r="G549" i="30"/>
  <c r="H549" i="30"/>
  <c r="E550" i="30"/>
  <c r="C550" i="30" s="1"/>
  <c r="F550" i="30"/>
  <c r="B550" i="30" s="1"/>
  <c r="G550" i="30"/>
  <c r="H550" i="30"/>
  <c r="E551" i="30"/>
  <c r="C551" i="30" s="1"/>
  <c r="F551" i="30"/>
  <c r="B551" i="30" s="1"/>
  <c r="G551" i="30"/>
  <c r="H551" i="30"/>
  <c r="E552" i="30"/>
  <c r="F552" i="30"/>
  <c r="G552" i="30"/>
  <c r="H552" i="30"/>
  <c r="E553" i="30"/>
  <c r="F553" i="30"/>
  <c r="G553" i="30"/>
  <c r="H553" i="30"/>
  <c r="E554" i="30"/>
  <c r="F554" i="30"/>
  <c r="G554" i="30"/>
  <c r="H554" i="30"/>
  <c r="E555" i="30"/>
  <c r="F555" i="30"/>
  <c r="G555" i="30"/>
  <c r="H555" i="30"/>
  <c r="E556" i="30"/>
  <c r="F556" i="30"/>
  <c r="G556" i="30"/>
  <c r="H556" i="30"/>
  <c r="E557" i="30"/>
  <c r="F557" i="30"/>
  <c r="G557" i="30"/>
  <c r="H557" i="30"/>
  <c r="E558" i="30"/>
  <c r="F558" i="30"/>
  <c r="G558" i="30"/>
  <c r="H558" i="30"/>
  <c r="E559" i="30"/>
  <c r="F559" i="30"/>
  <c r="G559" i="30"/>
  <c r="H559" i="30"/>
  <c r="E560" i="30"/>
  <c r="F560" i="30"/>
  <c r="G560" i="30"/>
  <c r="H560" i="30"/>
  <c r="E561" i="30"/>
  <c r="F561" i="30"/>
  <c r="G561" i="30"/>
  <c r="H561" i="30"/>
  <c r="E562" i="30"/>
  <c r="C562" i="30" s="1"/>
  <c r="F562" i="30"/>
  <c r="B562" i="30" s="1"/>
  <c r="G562" i="30"/>
  <c r="H562" i="30"/>
  <c r="E563" i="30"/>
  <c r="F563" i="30"/>
  <c r="G563" i="30"/>
  <c r="H563" i="30"/>
  <c r="E564" i="30"/>
  <c r="F564" i="30"/>
  <c r="G564" i="30"/>
  <c r="H564" i="30"/>
  <c r="E565" i="30"/>
  <c r="F565" i="30"/>
  <c r="G565" i="30"/>
  <c r="H565" i="30"/>
  <c r="E566" i="30"/>
  <c r="F566" i="30"/>
  <c r="G566" i="30"/>
  <c r="H566" i="30"/>
  <c r="E567" i="30"/>
  <c r="F567" i="30"/>
  <c r="G567" i="30"/>
  <c r="H567" i="30"/>
  <c r="E568" i="30"/>
  <c r="F568" i="30"/>
  <c r="G568" i="30"/>
  <c r="H568" i="30"/>
  <c r="E569" i="30"/>
  <c r="F569" i="30"/>
  <c r="G569" i="30"/>
  <c r="H569" i="30"/>
  <c r="E570" i="30"/>
  <c r="F570" i="30"/>
  <c r="G570" i="30"/>
  <c r="H570" i="30"/>
  <c r="E571" i="30"/>
  <c r="C571" i="30" s="1"/>
  <c r="F571" i="30"/>
  <c r="B571" i="30" s="1"/>
  <c r="G571" i="30"/>
  <c r="H571" i="30"/>
  <c r="E572" i="30"/>
  <c r="F572" i="30"/>
  <c r="G572" i="30"/>
  <c r="H572" i="30"/>
  <c r="E573" i="30"/>
  <c r="F573" i="30"/>
  <c r="G573" i="30"/>
  <c r="H573" i="30"/>
  <c r="E574" i="30"/>
  <c r="F574" i="30"/>
  <c r="G574" i="30"/>
  <c r="H574" i="30"/>
  <c r="E575" i="30"/>
  <c r="F575" i="30"/>
  <c r="G575" i="30"/>
  <c r="H575" i="30"/>
  <c r="E576" i="30"/>
  <c r="F576" i="30"/>
  <c r="G576" i="30"/>
  <c r="H576" i="30"/>
  <c r="E577" i="30"/>
  <c r="F577" i="30"/>
  <c r="G577" i="30"/>
  <c r="H577" i="30"/>
  <c r="E578" i="30"/>
  <c r="F578" i="30"/>
  <c r="G578" i="30"/>
  <c r="H578" i="30"/>
  <c r="E579" i="30"/>
  <c r="F579" i="30"/>
  <c r="G579" i="30"/>
  <c r="H579" i="30"/>
  <c r="E580" i="30"/>
  <c r="F580" i="30"/>
  <c r="G580" i="30"/>
  <c r="H580" i="30"/>
  <c r="E581" i="30"/>
  <c r="F581" i="30"/>
  <c r="G581" i="30"/>
  <c r="H581" i="30"/>
  <c r="E582" i="30"/>
  <c r="F582" i="30"/>
  <c r="G582" i="30"/>
  <c r="H582" i="30"/>
  <c r="E583" i="30"/>
  <c r="C583" i="30" s="1"/>
  <c r="F583" i="30"/>
  <c r="B583" i="30" s="1"/>
  <c r="G583" i="30"/>
  <c r="H583" i="30"/>
  <c r="E584" i="30"/>
  <c r="C584" i="30" s="1"/>
  <c r="F584" i="30"/>
  <c r="B584" i="30" s="1"/>
  <c r="G584" i="30"/>
  <c r="H584" i="30"/>
  <c r="E585" i="30"/>
  <c r="F585" i="30"/>
  <c r="G585" i="30"/>
  <c r="H585" i="30"/>
  <c r="E586" i="30"/>
  <c r="F586" i="30"/>
  <c r="G586" i="30"/>
  <c r="H586" i="30"/>
  <c r="E587" i="30"/>
  <c r="F587" i="30"/>
  <c r="G587" i="30"/>
  <c r="H587" i="30"/>
  <c r="E588" i="30"/>
  <c r="F588" i="30"/>
  <c r="G588" i="30"/>
  <c r="H588" i="30"/>
  <c r="E589" i="30"/>
  <c r="F589" i="30"/>
  <c r="G589" i="30"/>
  <c r="H589" i="30"/>
  <c r="E590" i="30"/>
  <c r="F590" i="30"/>
  <c r="G590" i="30"/>
  <c r="H590" i="30"/>
  <c r="E591" i="30"/>
  <c r="F591" i="30"/>
  <c r="G591" i="30"/>
  <c r="H591" i="30"/>
  <c r="E592" i="30"/>
  <c r="F592" i="30"/>
  <c r="G592" i="30"/>
  <c r="H592" i="30"/>
  <c r="E593" i="30"/>
  <c r="C593" i="30" s="1"/>
  <c r="F593" i="30"/>
  <c r="B593" i="30" s="1"/>
  <c r="G593" i="30"/>
  <c r="H593" i="30"/>
  <c r="E594" i="30"/>
  <c r="C594" i="30" s="1"/>
  <c r="F594" i="30"/>
  <c r="B594" i="30" s="1"/>
  <c r="G594" i="30"/>
  <c r="H594" i="30"/>
  <c r="E595" i="30"/>
  <c r="C595" i="30" s="1"/>
  <c r="F595" i="30"/>
  <c r="B595" i="30" s="1"/>
  <c r="G595" i="30"/>
  <c r="H595" i="30"/>
  <c r="E596" i="30"/>
  <c r="C596" i="30" s="1"/>
  <c r="F596" i="30"/>
  <c r="B596" i="30" s="1"/>
  <c r="G596" i="30"/>
  <c r="H596" i="30"/>
  <c r="E597" i="30"/>
  <c r="C597" i="30" s="1"/>
  <c r="F597" i="30"/>
  <c r="B597" i="30" s="1"/>
  <c r="G597" i="30"/>
  <c r="H597" i="30"/>
  <c r="E598" i="30"/>
  <c r="C598" i="30" s="1"/>
  <c r="F598" i="30"/>
  <c r="B598" i="30" s="1"/>
  <c r="G598" i="30"/>
  <c r="H598" i="30"/>
  <c r="E599" i="30"/>
  <c r="C599" i="30" s="1"/>
  <c r="F599" i="30"/>
  <c r="B599" i="30" s="1"/>
  <c r="G599" i="30"/>
  <c r="H599" i="30"/>
  <c r="E600" i="30"/>
  <c r="C600" i="30" s="1"/>
  <c r="F600" i="30"/>
  <c r="B600" i="30" s="1"/>
  <c r="G600" i="30"/>
  <c r="H600" i="30"/>
  <c r="E601" i="30"/>
  <c r="C601" i="30" s="1"/>
  <c r="F601" i="30"/>
  <c r="B601" i="30" s="1"/>
  <c r="G601" i="30"/>
  <c r="H601" i="30"/>
  <c r="E602" i="30"/>
  <c r="C602" i="30" s="1"/>
  <c r="F602" i="30"/>
  <c r="B602" i="30" s="1"/>
  <c r="G602" i="30"/>
  <c r="H602" i="30"/>
  <c r="E603" i="30"/>
  <c r="C603" i="30" s="1"/>
  <c r="F603" i="30"/>
  <c r="B603" i="30" s="1"/>
  <c r="G603" i="30"/>
  <c r="H603" i="30"/>
  <c r="E604" i="30"/>
  <c r="C604" i="30" s="1"/>
  <c r="F604" i="30"/>
  <c r="B604" i="30" s="1"/>
  <c r="G604" i="30"/>
  <c r="H604" i="30"/>
  <c r="E605" i="30"/>
  <c r="C605" i="30" s="1"/>
  <c r="F605" i="30"/>
  <c r="B605" i="30" s="1"/>
  <c r="G605" i="30"/>
  <c r="H605" i="30"/>
  <c r="E606" i="30"/>
  <c r="C606" i="30" s="1"/>
  <c r="F606" i="30"/>
  <c r="B606" i="30" s="1"/>
  <c r="G606" i="30"/>
  <c r="H606" i="30"/>
  <c r="E607" i="30"/>
  <c r="C607" i="30" s="1"/>
  <c r="F607" i="30"/>
  <c r="B607" i="30" s="1"/>
  <c r="G607" i="30"/>
  <c r="H607" i="30"/>
  <c r="E608" i="30"/>
  <c r="C608" i="30" s="1"/>
  <c r="F608" i="30"/>
  <c r="B608" i="30" s="1"/>
  <c r="G608" i="30"/>
  <c r="H608" i="30"/>
  <c r="E609" i="30"/>
  <c r="C609" i="30" s="1"/>
  <c r="F609" i="30"/>
  <c r="B609" i="30" s="1"/>
  <c r="G609" i="30"/>
  <c r="H609" i="30"/>
  <c r="E610" i="30"/>
  <c r="C610" i="30" s="1"/>
  <c r="F610" i="30"/>
  <c r="B610" i="30" s="1"/>
  <c r="G610" i="30"/>
  <c r="H610" i="30"/>
  <c r="E611" i="30"/>
  <c r="C611" i="30" s="1"/>
  <c r="F611" i="30"/>
  <c r="B611" i="30" s="1"/>
  <c r="G611" i="30"/>
  <c r="H611" i="30"/>
  <c r="E612" i="30"/>
  <c r="C612" i="30" s="1"/>
  <c r="F612" i="30"/>
  <c r="B612" i="30" s="1"/>
  <c r="G612" i="30"/>
  <c r="H612" i="30"/>
  <c r="E613" i="30"/>
  <c r="C613" i="30" s="1"/>
  <c r="F613" i="30"/>
  <c r="B613" i="30" s="1"/>
  <c r="G613" i="30"/>
  <c r="H613" i="30"/>
  <c r="E614" i="30"/>
  <c r="C614" i="30" s="1"/>
  <c r="F614" i="30"/>
  <c r="B614" i="30" s="1"/>
  <c r="G614" i="30"/>
  <c r="H614" i="30"/>
  <c r="E615" i="30"/>
  <c r="C615" i="30" s="1"/>
  <c r="F615" i="30"/>
  <c r="B615" i="30" s="1"/>
  <c r="G615" i="30"/>
  <c r="H615" i="30"/>
  <c r="E616" i="30"/>
  <c r="C616" i="30" s="1"/>
  <c r="F616" i="30"/>
  <c r="B616" i="30" s="1"/>
  <c r="G616" i="30"/>
  <c r="H616" i="30"/>
  <c r="E617" i="30"/>
  <c r="C617" i="30" s="1"/>
  <c r="F617" i="30"/>
  <c r="B617" i="30" s="1"/>
  <c r="G617" i="30"/>
  <c r="H617" i="30"/>
  <c r="E618" i="30"/>
  <c r="C618" i="30" s="1"/>
  <c r="F618" i="30"/>
  <c r="B618" i="30" s="1"/>
  <c r="G618" i="30"/>
  <c r="H618" i="30"/>
  <c r="E619" i="30"/>
  <c r="C619" i="30" s="1"/>
  <c r="F619" i="30"/>
  <c r="B619" i="30" s="1"/>
  <c r="G619" i="30"/>
  <c r="H619" i="30"/>
  <c r="E620" i="30"/>
  <c r="C620" i="30" s="1"/>
  <c r="F620" i="30"/>
  <c r="B620" i="30" s="1"/>
  <c r="G620" i="30"/>
  <c r="H620" i="30"/>
  <c r="E621" i="30"/>
  <c r="C621" i="30" s="1"/>
  <c r="F621" i="30"/>
  <c r="B621" i="30" s="1"/>
  <c r="G621" i="30"/>
  <c r="H621" i="30"/>
  <c r="E622" i="30"/>
  <c r="C622" i="30" s="1"/>
  <c r="F622" i="30"/>
  <c r="B622" i="30" s="1"/>
  <c r="G622" i="30"/>
  <c r="H622" i="30"/>
  <c r="E623" i="30"/>
  <c r="C623" i="30" s="1"/>
  <c r="F623" i="30"/>
  <c r="B623" i="30" s="1"/>
  <c r="G623" i="30"/>
  <c r="H623" i="30"/>
  <c r="E624" i="30"/>
  <c r="C624" i="30" s="1"/>
  <c r="F624" i="30"/>
  <c r="B624" i="30" s="1"/>
  <c r="G624" i="30"/>
  <c r="H624" i="30"/>
  <c r="E625" i="30"/>
  <c r="C625" i="30" s="1"/>
  <c r="F625" i="30"/>
  <c r="B625" i="30" s="1"/>
  <c r="G625" i="30"/>
  <c r="H625" i="30"/>
  <c r="E626" i="30"/>
  <c r="C626" i="30" s="1"/>
  <c r="F626" i="30"/>
  <c r="B626" i="30" s="1"/>
  <c r="G626" i="30"/>
  <c r="H626" i="30"/>
  <c r="E627" i="30"/>
  <c r="C627" i="30" s="1"/>
  <c r="F627" i="30"/>
  <c r="B627" i="30" s="1"/>
  <c r="G627" i="30"/>
  <c r="H627" i="30"/>
  <c r="E628" i="30"/>
  <c r="C628" i="30" s="1"/>
  <c r="F628" i="30"/>
  <c r="B628" i="30" s="1"/>
  <c r="G628" i="30"/>
  <c r="H628" i="30"/>
  <c r="E629" i="30"/>
  <c r="C629" i="30" s="1"/>
  <c r="F629" i="30"/>
  <c r="B629" i="30" s="1"/>
  <c r="G629" i="30"/>
  <c r="H629" i="30"/>
  <c r="E630" i="30"/>
  <c r="C630" i="30" s="1"/>
  <c r="F630" i="30"/>
  <c r="B630" i="30" s="1"/>
  <c r="G630" i="30"/>
  <c r="H630" i="30"/>
  <c r="E631" i="30"/>
  <c r="C631" i="30" s="1"/>
  <c r="F631" i="30"/>
  <c r="B631" i="30" s="1"/>
  <c r="G631" i="30"/>
  <c r="H631" i="30"/>
  <c r="E632" i="30"/>
  <c r="C632" i="30" s="1"/>
  <c r="F632" i="30"/>
  <c r="B632" i="30" s="1"/>
  <c r="G632" i="30"/>
  <c r="H632" i="30"/>
  <c r="E633" i="30"/>
  <c r="C633" i="30" s="1"/>
  <c r="F633" i="30"/>
  <c r="B633" i="30" s="1"/>
  <c r="G633" i="30"/>
  <c r="H633" i="30"/>
  <c r="E634" i="30"/>
  <c r="C634" i="30" s="1"/>
  <c r="F634" i="30"/>
  <c r="B634" i="30" s="1"/>
  <c r="G634" i="30"/>
  <c r="H634" i="30"/>
  <c r="E635" i="30"/>
  <c r="C635" i="30" s="1"/>
  <c r="F635" i="30"/>
  <c r="B635" i="30" s="1"/>
  <c r="G635" i="30"/>
  <c r="H635" i="30"/>
  <c r="E636" i="30"/>
  <c r="C636" i="30" s="1"/>
  <c r="F636" i="30"/>
  <c r="B636" i="30" s="1"/>
  <c r="G636" i="30"/>
  <c r="H636" i="30"/>
  <c r="E637" i="30"/>
  <c r="C637" i="30" s="1"/>
  <c r="F637" i="30"/>
  <c r="B637" i="30" s="1"/>
  <c r="G637" i="30"/>
  <c r="H637" i="30"/>
  <c r="E638" i="30"/>
  <c r="C638" i="30" s="1"/>
  <c r="F638" i="30"/>
  <c r="B638" i="30" s="1"/>
  <c r="G638" i="30"/>
  <c r="H638" i="30"/>
  <c r="E639" i="30"/>
  <c r="C639" i="30" s="1"/>
  <c r="F639" i="30"/>
  <c r="B639" i="30" s="1"/>
  <c r="G639" i="30"/>
  <c r="H639" i="30"/>
  <c r="E640" i="30"/>
  <c r="C640" i="30" s="1"/>
  <c r="F640" i="30"/>
  <c r="B640" i="30" s="1"/>
  <c r="G640" i="30"/>
  <c r="H640" i="30"/>
  <c r="E641" i="30"/>
  <c r="C641" i="30" s="1"/>
  <c r="F641" i="30"/>
  <c r="B641" i="30" s="1"/>
  <c r="G641" i="30"/>
  <c r="H641" i="30"/>
  <c r="E642" i="30"/>
  <c r="C642" i="30" s="1"/>
  <c r="F642" i="30"/>
  <c r="B642" i="30" s="1"/>
  <c r="G642" i="30"/>
  <c r="H642" i="30"/>
  <c r="E643" i="30"/>
  <c r="C643" i="30" s="1"/>
  <c r="F643" i="30"/>
  <c r="B643" i="30" s="1"/>
  <c r="G643" i="30"/>
  <c r="H643" i="30"/>
  <c r="E644" i="30"/>
  <c r="C644" i="30" s="1"/>
  <c r="F644" i="30"/>
  <c r="B644" i="30" s="1"/>
  <c r="G644" i="30"/>
  <c r="H644" i="30"/>
  <c r="E645" i="30"/>
  <c r="C645" i="30" s="1"/>
  <c r="F645" i="30"/>
  <c r="B645" i="30" s="1"/>
  <c r="G645" i="30"/>
  <c r="H645" i="30"/>
  <c r="E646" i="30"/>
  <c r="C646" i="30" s="1"/>
  <c r="F646" i="30"/>
  <c r="B646" i="30" s="1"/>
  <c r="G646" i="30"/>
  <c r="H646" i="30"/>
  <c r="E647" i="30"/>
  <c r="C647" i="30" s="1"/>
  <c r="F647" i="30"/>
  <c r="B647" i="30" s="1"/>
  <c r="G647" i="30"/>
  <c r="H647" i="30"/>
  <c r="E648" i="30"/>
  <c r="C648" i="30" s="1"/>
  <c r="F648" i="30"/>
  <c r="B648" i="30" s="1"/>
  <c r="G648" i="30"/>
  <c r="H648" i="30"/>
  <c r="E649" i="30"/>
  <c r="C649" i="30" s="1"/>
  <c r="F649" i="30"/>
  <c r="B649" i="30" s="1"/>
  <c r="G649" i="30"/>
  <c r="H649" i="30"/>
  <c r="E650" i="30"/>
  <c r="C650" i="30" s="1"/>
  <c r="F650" i="30"/>
  <c r="B650" i="30" s="1"/>
  <c r="G650" i="30"/>
  <c r="H650" i="30"/>
  <c r="E651" i="30"/>
  <c r="C651" i="30" s="1"/>
  <c r="F651" i="30"/>
  <c r="B651" i="30" s="1"/>
  <c r="G651" i="30"/>
  <c r="H651" i="30"/>
  <c r="E652" i="30"/>
  <c r="C652" i="30" s="1"/>
  <c r="F652" i="30"/>
  <c r="B652" i="30" s="1"/>
  <c r="G652" i="30"/>
  <c r="H652" i="30"/>
  <c r="E653" i="30"/>
  <c r="C653" i="30" s="1"/>
  <c r="F653" i="30"/>
  <c r="B653" i="30" s="1"/>
  <c r="G653" i="30"/>
  <c r="H653" i="30"/>
  <c r="E654" i="30"/>
  <c r="C654" i="30" s="1"/>
  <c r="F654" i="30"/>
  <c r="B654" i="30" s="1"/>
  <c r="G654" i="30"/>
  <c r="H654" i="30"/>
  <c r="E655" i="30"/>
  <c r="C655" i="30" s="1"/>
  <c r="F655" i="30"/>
  <c r="B655" i="30" s="1"/>
  <c r="G655" i="30"/>
  <c r="H655" i="30"/>
  <c r="E656" i="30"/>
  <c r="C656" i="30" s="1"/>
  <c r="F656" i="30"/>
  <c r="B656" i="30" s="1"/>
  <c r="G656" i="30"/>
  <c r="H656" i="30"/>
  <c r="E657" i="30"/>
  <c r="C657" i="30" s="1"/>
  <c r="F657" i="30"/>
  <c r="B657" i="30" s="1"/>
  <c r="G657" i="30"/>
  <c r="H657" i="30"/>
  <c r="E658" i="30"/>
  <c r="C658" i="30" s="1"/>
  <c r="F658" i="30"/>
  <c r="B658" i="30" s="1"/>
  <c r="G658" i="30"/>
  <c r="H658" i="30"/>
  <c r="E659" i="30"/>
  <c r="C659" i="30" s="1"/>
  <c r="F659" i="30"/>
  <c r="B659" i="30" s="1"/>
  <c r="G659" i="30"/>
  <c r="H659" i="30"/>
  <c r="E660" i="30"/>
  <c r="C660" i="30" s="1"/>
  <c r="F660" i="30"/>
  <c r="B660" i="30" s="1"/>
  <c r="G660" i="30"/>
  <c r="H660" i="30"/>
  <c r="E661" i="30"/>
  <c r="C661" i="30" s="1"/>
  <c r="F661" i="30"/>
  <c r="B661" i="30" s="1"/>
  <c r="G661" i="30"/>
  <c r="H661" i="30"/>
  <c r="E662" i="30"/>
  <c r="C662" i="30" s="1"/>
  <c r="F662" i="30"/>
  <c r="B662" i="30" s="1"/>
  <c r="G662" i="30"/>
  <c r="H662" i="30"/>
  <c r="E663" i="30"/>
  <c r="C663" i="30" s="1"/>
  <c r="F663" i="30"/>
  <c r="B663" i="30" s="1"/>
  <c r="G663" i="30"/>
  <c r="H663" i="30"/>
  <c r="E664" i="30"/>
  <c r="C664" i="30" s="1"/>
  <c r="F664" i="30"/>
  <c r="B664" i="30" s="1"/>
  <c r="G664" i="30"/>
  <c r="H664" i="30"/>
  <c r="E665" i="30"/>
  <c r="C665" i="30" s="1"/>
  <c r="F665" i="30"/>
  <c r="B665" i="30" s="1"/>
  <c r="G665" i="30"/>
  <c r="H665" i="30"/>
  <c r="E666" i="30"/>
  <c r="C666" i="30" s="1"/>
  <c r="F666" i="30"/>
  <c r="B666" i="30" s="1"/>
  <c r="G666" i="30"/>
  <c r="H666" i="30"/>
  <c r="E667" i="30"/>
  <c r="C667" i="30" s="1"/>
  <c r="F667" i="30"/>
  <c r="B667" i="30" s="1"/>
  <c r="G667" i="30"/>
  <c r="H667" i="30"/>
  <c r="E668" i="30"/>
  <c r="C668" i="30" s="1"/>
  <c r="F668" i="30"/>
  <c r="B668" i="30" s="1"/>
  <c r="G668" i="30"/>
  <c r="H668" i="30"/>
  <c r="E669" i="30"/>
  <c r="C669" i="30" s="1"/>
  <c r="F669" i="30"/>
  <c r="B669" i="30" s="1"/>
  <c r="G669" i="30"/>
  <c r="H669" i="30"/>
  <c r="E670" i="30"/>
  <c r="C670" i="30" s="1"/>
  <c r="F670" i="30"/>
  <c r="B670" i="30" s="1"/>
  <c r="G670" i="30"/>
  <c r="H670" i="30"/>
  <c r="E671" i="30"/>
  <c r="C671" i="30" s="1"/>
  <c r="F671" i="30"/>
  <c r="B671" i="30" s="1"/>
  <c r="G671" i="30"/>
  <c r="H671" i="30"/>
  <c r="E672" i="30"/>
  <c r="C672" i="30" s="1"/>
  <c r="F672" i="30"/>
  <c r="B672" i="30" s="1"/>
  <c r="G672" i="30"/>
  <c r="H672" i="30"/>
  <c r="E673" i="30"/>
  <c r="C673" i="30" s="1"/>
  <c r="F673" i="30"/>
  <c r="B673" i="30" s="1"/>
  <c r="G673" i="30"/>
  <c r="H673" i="30"/>
  <c r="E674" i="30"/>
  <c r="C674" i="30" s="1"/>
  <c r="F674" i="30"/>
  <c r="B674" i="30" s="1"/>
  <c r="G674" i="30"/>
  <c r="H674" i="30"/>
  <c r="E675" i="30"/>
  <c r="C675" i="30" s="1"/>
  <c r="F675" i="30"/>
  <c r="B675" i="30" s="1"/>
  <c r="G675" i="30"/>
  <c r="H675" i="30"/>
  <c r="E676" i="30"/>
  <c r="C676" i="30" s="1"/>
  <c r="F676" i="30"/>
  <c r="B676" i="30" s="1"/>
  <c r="G676" i="30"/>
  <c r="H676" i="30"/>
  <c r="E677" i="30"/>
  <c r="C677" i="30" s="1"/>
  <c r="F677" i="30"/>
  <c r="B677" i="30" s="1"/>
  <c r="G677" i="30"/>
  <c r="H677" i="30"/>
  <c r="E678" i="30"/>
  <c r="C678" i="30" s="1"/>
  <c r="F678" i="30"/>
  <c r="B678" i="30" s="1"/>
  <c r="G678" i="30"/>
  <c r="H678" i="30"/>
  <c r="E679" i="30"/>
  <c r="C679" i="30" s="1"/>
  <c r="F679" i="30"/>
  <c r="B679" i="30" s="1"/>
  <c r="G679" i="30"/>
  <c r="H679" i="30"/>
  <c r="E680" i="30"/>
  <c r="C680" i="30" s="1"/>
  <c r="F680" i="30"/>
  <c r="B680" i="30" s="1"/>
  <c r="G680" i="30"/>
  <c r="H680" i="30"/>
  <c r="E681" i="30"/>
  <c r="C681" i="30" s="1"/>
  <c r="F681" i="30"/>
  <c r="B681" i="30" s="1"/>
  <c r="G681" i="30"/>
  <c r="H681" i="30"/>
  <c r="E682" i="30"/>
  <c r="C682" i="30" s="1"/>
  <c r="F682" i="30"/>
  <c r="B682" i="30" s="1"/>
  <c r="G682" i="30"/>
  <c r="H682" i="30"/>
  <c r="E683" i="30"/>
  <c r="C683" i="30" s="1"/>
  <c r="F683" i="30"/>
  <c r="B683" i="30" s="1"/>
  <c r="G683" i="30"/>
  <c r="H683" i="30"/>
  <c r="E684" i="30"/>
  <c r="C684" i="30" s="1"/>
  <c r="F684" i="30"/>
  <c r="B684" i="30" s="1"/>
  <c r="G684" i="30"/>
  <c r="H684" i="30"/>
  <c r="E685" i="30"/>
  <c r="C685" i="30" s="1"/>
  <c r="F685" i="30"/>
  <c r="B685" i="30" s="1"/>
  <c r="G685" i="30"/>
  <c r="H685" i="30"/>
  <c r="E686" i="30"/>
  <c r="C686" i="30" s="1"/>
  <c r="F686" i="30"/>
  <c r="B686" i="30" s="1"/>
  <c r="G686" i="30"/>
  <c r="H686" i="30"/>
  <c r="E687" i="30"/>
  <c r="C687" i="30" s="1"/>
  <c r="F687" i="30"/>
  <c r="B687" i="30" s="1"/>
  <c r="G687" i="30"/>
  <c r="H687" i="30"/>
  <c r="E688" i="30"/>
  <c r="C688" i="30" s="1"/>
  <c r="F688" i="30"/>
  <c r="B688" i="30" s="1"/>
  <c r="G688" i="30"/>
  <c r="H688" i="30"/>
  <c r="E689" i="30"/>
  <c r="C689" i="30" s="1"/>
  <c r="F689" i="30"/>
  <c r="B689" i="30" s="1"/>
  <c r="G689" i="30"/>
  <c r="H689" i="30"/>
  <c r="E690" i="30"/>
  <c r="C690" i="30" s="1"/>
  <c r="F690" i="30"/>
  <c r="B690" i="30" s="1"/>
  <c r="G690" i="30"/>
  <c r="H690" i="30"/>
  <c r="E691" i="30"/>
  <c r="C691" i="30" s="1"/>
  <c r="F691" i="30"/>
  <c r="B691" i="30" s="1"/>
  <c r="G691" i="30"/>
  <c r="H691" i="30"/>
  <c r="E692" i="30"/>
  <c r="C692" i="30" s="1"/>
  <c r="F692" i="30"/>
  <c r="B692" i="30" s="1"/>
  <c r="G692" i="30"/>
  <c r="H692" i="30"/>
  <c r="E693" i="30"/>
  <c r="C693" i="30" s="1"/>
  <c r="F693" i="30"/>
  <c r="B693" i="30" s="1"/>
  <c r="G693" i="30"/>
  <c r="H693" i="30"/>
  <c r="E694" i="30"/>
  <c r="C694" i="30" s="1"/>
  <c r="F694" i="30"/>
  <c r="B694" i="30" s="1"/>
  <c r="G694" i="30"/>
  <c r="H694" i="30"/>
  <c r="E695" i="30"/>
  <c r="C695" i="30" s="1"/>
  <c r="F695" i="30"/>
  <c r="B695" i="30" s="1"/>
  <c r="G695" i="30"/>
  <c r="H695" i="30"/>
  <c r="E696" i="30"/>
  <c r="C696" i="30" s="1"/>
  <c r="F696" i="30"/>
  <c r="B696" i="30" s="1"/>
  <c r="G696" i="30"/>
  <c r="H696" i="30"/>
  <c r="E697" i="30"/>
  <c r="C697" i="30" s="1"/>
  <c r="F697" i="30"/>
  <c r="B697" i="30" s="1"/>
  <c r="G697" i="30"/>
  <c r="H697" i="30"/>
  <c r="E698" i="30"/>
  <c r="C698" i="30" s="1"/>
  <c r="F698" i="30"/>
  <c r="B698" i="30" s="1"/>
  <c r="G698" i="30"/>
  <c r="H698" i="30"/>
  <c r="E699" i="30"/>
  <c r="C699" i="30" s="1"/>
  <c r="F699" i="30"/>
  <c r="B699" i="30" s="1"/>
  <c r="G699" i="30"/>
  <c r="H699" i="30"/>
  <c r="E700" i="30"/>
  <c r="C700" i="30" s="1"/>
  <c r="F700" i="30"/>
  <c r="B700" i="30" s="1"/>
  <c r="G700" i="30"/>
  <c r="H700" i="30"/>
  <c r="E701" i="30"/>
  <c r="C701" i="30" s="1"/>
  <c r="F701" i="30"/>
  <c r="B701" i="30" s="1"/>
  <c r="G701" i="30"/>
  <c r="H701" i="30"/>
  <c r="E702" i="30"/>
  <c r="C702" i="30" s="1"/>
  <c r="F702" i="30"/>
  <c r="B702" i="30" s="1"/>
  <c r="G702" i="30"/>
  <c r="H702" i="30"/>
  <c r="E703" i="30"/>
  <c r="C703" i="30" s="1"/>
  <c r="F703" i="30"/>
  <c r="B703" i="30" s="1"/>
  <c r="G703" i="30"/>
  <c r="H703" i="30"/>
  <c r="E704" i="30"/>
  <c r="C704" i="30" s="1"/>
  <c r="F704" i="30"/>
  <c r="B704" i="30" s="1"/>
  <c r="G704" i="30"/>
  <c r="H704" i="30"/>
  <c r="E705" i="30"/>
  <c r="C705" i="30" s="1"/>
  <c r="F705" i="30"/>
  <c r="B705" i="30" s="1"/>
  <c r="G705" i="30"/>
  <c r="H705" i="30"/>
  <c r="E706" i="30"/>
  <c r="C706" i="30" s="1"/>
  <c r="F706" i="30"/>
  <c r="B706" i="30" s="1"/>
  <c r="G706" i="30"/>
  <c r="H706" i="30"/>
  <c r="E707" i="30"/>
  <c r="C707" i="30" s="1"/>
  <c r="F707" i="30"/>
  <c r="B707" i="30" s="1"/>
  <c r="G707" i="30"/>
  <c r="H707" i="30"/>
  <c r="E708" i="30"/>
  <c r="C708" i="30" s="1"/>
  <c r="F708" i="30"/>
  <c r="B708" i="30" s="1"/>
  <c r="G708" i="30"/>
  <c r="H708" i="30"/>
  <c r="E709" i="30"/>
  <c r="C709" i="30" s="1"/>
  <c r="F709" i="30"/>
  <c r="B709" i="30" s="1"/>
  <c r="G709" i="30"/>
  <c r="H709" i="30"/>
  <c r="E710" i="30"/>
  <c r="C710" i="30" s="1"/>
  <c r="F710" i="30"/>
  <c r="B710" i="30" s="1"/>
  <c r="G710" i="30"/>
  <c r="H710" i="30"/>
  <c r="E711" i="30"/>
  <c r="C711" i="30" s="1"/>
  <c r="F711" i="30"/>
  <c r="B711" i="30" s="1"/>
  <c r="G711" i="30"/>
  <c r="H711" i="30"/>
  <c r="E712" i="30"/>
  <c r="C712" i="30" s="1"/>
  <c r="F712" i="30"/>
  <c r="B712" i="30" s="1"/>
  <c r="G712" i="30"/>
  <c r="H712" i="30"/>
  <c r="E713" i="30"/>
  <c r="C713" i="30" s="1"/>
  <c r="F713" i="30"/>
  <c r="B713" i="30" s="1"/>
  <c r="G713" i="30"/>
  <c r="H713" i="30"/>
  <c r="E714" i="30"/>
  <c r="C714" i="30" s="1"/>
  <c r="F714" i="30"/>
  <c r="B714" i="30" s="1"/>
  <c r="G714" i="30"/>
  <c r="H714" i="30"/>
  <c r="E715" i="30"/>
  <c r="C715" i="30" s="1"/>
  <c r="F715" i="30"/>
  <c r="B715" i="30" s="1"/>
  <c r="G715" i="30"/>
  <c r="H715" i="30"/>
  <c r="E716" i="30"/>
  <c r="C716" i="30" s="1"/>
  <c r="F716" i="30"/>
  <c r="B716" i="30" s="1"/>
  <c r="G716" i="30"/>
  <c r="H716" i="30"/>
  <c r="E717" i="30"/>
  <c r="C717" i="30" s="1"/>
  <c r="F717" i="30"/>
  <c r="B717" i="30" s="1"/>
  <c r="G717" i="30"/>
  <c r="H717" i="30"/>
  <c r="E718" i="30"/>
  <c r="C718" i="30" s="1"/>
  <c r="F718" i="30"/>
  <c r="B718" i="30" s="1"/>
  <c r="G718" i="30"/>
  <c r="H718" i="30"/>
  <c r="E719" i="30"/>
  <c r="C719" i="30" s="1"/>
  <c r="F719" i="30"/>
  <c r="B719" i="30" s="1"/>
  <c r="G719" i="30"/>
  <c r="H719" i="30"/>
  <c r="E720" i="30"/>
  <c r="C720" i="30" s="1"/>
  <c r="F720" i="30"/>
  <c r="B720" i="30" s="1"/>
  <c r="G720" i="30"/>
  <c r="H720" i="30"/>
  <c r="E721" i="30"/>
  <c r="C721" i="30" s="1"/>
  <c r="F721" i="30"/>
  <c r="B721" i="30" s="1"/>
  <c r="G721" i="30"/>
  <c r="H721" i="30"/>
  <c r="E722" i="30"/>
  <c r="C722" i="30" s="1"/>
  <c r="F722" i="30"/>
  <c r="B722" i="30" s="1"/>
  <c r="G722" i="30"/>
  <c r="H722" i="30"/>
  <c r="E723" i="30"/>
  <c r="C723" i="30" s="1"/>
  <c r="F723" i="30"/>
  <c r="B723" i="30" s="1"/>
  <c r="G723" i="30"/>
  <c r="H723" i="30"/>
  <c r="E724" i="30"/>
  <c r="C724" i="30" s="1"/>
  <c r="F724" i="30"/>
  <c r="B724" i="30" s="1"/>
  <c r="G724" i="30"/>
  <c r="H724" i="30"/>
  <c r="E725" i="30"/>
  <c r="C725" i="30" s="1"/>
  <c r="F725" i="30"/>
  <c r="B725" i="30" s="1"/>
  <c r="G725" i="30"/>
  <c r="H725" i="30"/>
  <c r="E726" i="30"/>
  <c r="C726" i="30" s="1"/>
  <c r="F726" i="30"/>
  <c r="B726" i="30" s="1"/>
  <c r="G726" i="30"/>
  <c r="H726" i="30"/>
  <c r="E727" i="30"/>
  <c r="C727" i="30" s="1"/>
  <c r="F727" i="30"/>
  <c r="B727" i="30" s="1"/>
  <c r="G727" i="30"/>
  <c r="H727" i="30"/>
  <c r="E728" i="30"/>
  <c r="C728" i="30" s="1"/>
  <c r="F728" i="30"/>
  <c r="B728" i="30" s="1"/>
  <c r="G728" i="30"/>
  <c r="H728" i="30"/>
  <c r="E729" i="30"/>
  <c r="C729" i="30" s="1"/>
  <c r="F729" i="30"/>
  <c r="B729" i="30" s="1"/>
  <c r="G729" i="30"/>
  <c r="H729" i="30"/>
  <c r="E730" i="30"/>
  <c r="C730" i="30" s="1"/>
  <c r="F730" i="30"/>
  <c r="B730" i="30" s="1"/>
  <c r="G730" i="30"/>
  <c r="H730" i="30"/>
  <c r="E731" i="30"/>
  <c r="C731" i="30" s="1"/>
  <c r="F731" i="30"/>
  <c r="B731" i="30" s="1"/>
  <c r="G731" i="30"/>
  <c r="H731" i="30"/>
  <c r="E732" i="30"/>
  <c r="C732" i="30" s="1"/>
  <c r="F732" i="30"/>
  <c r="B732" i="30" s="1"/>
  <c r="G732" i="30"/>
  <c r="H732" i="30"/>
  <c r="E733" i="30"/>
  <c r="C733" i="30" s="1"/>
  <c r="F733" i="30"/>
  <c r="B733" i="30" s="1"/>
  <c r="G733" i="30"/>
  <c r="H733" i="30"/>
  <c r="E734" i="30"/>
  <c r="C734" i="30" s="1"/>
  <c r="F734" i="30"/>
  <c r="B734" i="30" s="1"/>
  <c r="G734" i="30"/>
  <c r="H734" i="30"/>
  <c r="E735" i="30"/>
  <c r="C735" i="30" s="1"/>
  <c r="F735" i="30"/>
  <c r="B735" i="30" s="1"/>
  <c r="G735" i="30"/>
  <c r="H735" i="30"/>
  <c r="E736" i="30"/>
  <c r="C736" i="30" s="1"/>
  <c r="F736" i="30"/>
  <c r="B736" i="30" s="1"/>
  <c r="G736" i="30"/>
  <c r="H736" i="30"/>
  <c r="E737" i="30"/>
  <c r="C737" i="30" s="1"/>
  <c r="F737" i="30"/>
  <c r="B737" i="30" s="1"/>
  <c r="G737" i="30"/>
  <c r="H737" i="30"/>
  <c r="E738" i="30"/>
  <c r="C738" i="30" s="1"/>
  <c r="F738" i="30"/>
  <c r="B738" i="30" s="1"/>
  <c r="G738" i="30"/>
  <c r="H738" i="30"/>
  <c r="E739" i="30"/>
  <c r="C739" i="30" s="1"/>
  <c r="F739" i="30"/>
  <c r="B739" i="30" s="1"/>
  <c r="G739" i="30"/>
  <c r="H739" i="30"/>
  <c r="E740" i="30"/>
  <c r="C740" i="30" s="1"/>
  <c r="F740" i="30"/>
  <c r="B740" i="30" s="1"/>
  <c r="G740" i="30"/>
  <c r="H740" i="30"/>
  <c r="E741" i="30"/>
  <c r="C741" i="30" s="1"/>
  <c r="F741" i="30"/>
  <c r="B741" i="30" s="1"/>
  <c r="G741" i="30"/>
  <c r="H741" i="30"/>
  <c r="E742" i="30"/>
  <c r="C742" i="30" s="1"/>
  <c r="F742" i="30"/>
  <c r="B742" i="30" s="1"/>
  <c r="G742" i="30"/>
  <c r="H742" i="30"/>
  <c r="E743" i="30"/>
  <c r="C743" i="30" s="1"/>
  <c r="F743" i="30"/>
  <c r="B743" i="30" s="1"/>
  <c r="G743" i="30"/>
  <c r="H743" i="30"/>
  <c r="E744" i="30"/>
  <c r="C744" i="30" s="1"/>
  <c r="F744" i="30"/>
  <c r="B744" i="30" s="1"/>
  <c r="G744" i="30"/>
  <c r="H744" i="30"/>
  <c r="E745" i="30"/>
  <c r="C745" i="30" s="1"/>
  <c r="F745" i="30"/>
  <c r="B745" i="30" s="1"/>
  <c r="G745" i="30"/>
  <c r="H745" i="30"/>
  <c r="E746" i="30"/>
  <c r="C746" i="30" s="1"/>
  <c r="F746" i="30"/>
  <c r="B746" i="30" s="1"/>
  <c r="G746" i="30"/>
  <c r="H746" i="30"/>
  <c r="E747" i="30"/>
  <c r="C747" i="30" s="1"/>
  <c r="F747" i="30"/>
  <c r="B747" i="30" s="1"/>
  <c r="G747" i="30"/>
  <c r="H747" i="30"/>
  <c r="E748" i="30"/>
  <c r="C748" i="30" s="1"/>
  <c r="F748" i="30"/>
  <c r="B748" i="30" s="1"/>
  <c r="G748" i="30"/>
  <c r="H748" i="30"/>
  <c r="E749" i="30"/>
  <c r="C749" i="30" s="1"/>
  <c r="F749" i="30"/>
  <c r="B749" i="30" s="1"/>
  <c r="G749" i="30"/>
  <c r="H749" i="30"/>
  <c r="E750" i="30"/>
  <c r="C750" i="30" s="1"/>
  <c r="F750" i="30"/>
  <c r="B750" i="30" s="1"/>
  <c r="G750" i="30"/>
  <c r="H750" i="30"/>
  <c r="E751" i="30"/>
  <c r="C751" i="30" s="1"/>
  <c r="F751" i="30"/>
  <c r="B751" i="30" s="1"/>
  <c r="G751" i="30"/>
  <c r="H751" i="30"/>
  <c r="E752" i="30"/>
  <c r="C752" i="30" s="1"/>
  <c r="F752" i="30"/>
  <c r="B752" i="30" s="1"/>
  <c r="G752" i="30"/>
  <c r="H752" i="30"/>
  <c r="E753" i="30"/>
  <c r="C753" i="30" s="1"/>
  <c r="F753" i="30"/>
  <c r="B753" i="30" s="1"/>
  <c r="G753" i="30"/>
  <c r="H753" i="30"/>
  <c r="E754" i="30"/>
  <c r="C754" i="30" s="1"/>
  <c r="F754" i="30"/>
  <c r="B754" i="30" s="1"/>
  <c r="G754" i="30"/>
  <c r="H754" i="30"/>
  <c r="E755" i="30"/>
  <c r="C755" i="30" s="1"/>
  <c r="F755" i="30"/>
  <c r="B755" i="30" s="1"/>
  <c r="G755" i="30"/>
  <c r="H755" i="30"/>
  <c r="E756" i="30"/>
  <c r="C756" i="30" s="1"/>
  <c r="F756" i="30"/>
  <c r="B756" i="30" s="1"/>
  <c r="G756" i="30"/>
  <c r="H756" i="30"/>
  <c r="E757" i="30"/>
  <c r="C757" i="30" s="1"/>
  <c r="F757" i="30"/>
  <c r="B757" i="30" s="1"/>
  <c r="G757" i="30"/>
  <c r="H757" i="30"/>
  <c r="E758" i="30"/>
  <c r="C758" i="30" s="1"/>
  <c r="F758" i="30"/>
  <c r="B758" i="30" s="1"/>
  <c r="G758" i="30"/>
  <c r="H758" i="30"/>
  <c r="E759" i="30"/>
  <c r="C759" i="30" s="1"/>
  <c r="F759" i="30"/>
  <c r="B759" i="30" s="1"/>
  <c r="G759" i="30"/>
  <c r="H759" i="30"/>
  <c r="E760" i="30"/>
  <c r="C760" i="30" s="1"/>
  <c r="F760" i="30"/>
  <c r="B760" i="30" s="1"/>
  <c r="G760" i="30"/>
  <c r="H760" i="30"/>
  <c r="E761" i="30"/>
  <c r="C761" i="30" s="1"/>
  <c r="F761" i="30"/>
  <c r="B761" i="30" s="1"/>
  <c r="G761" i="30"/>
  <c r="H761" i="30"/>
  <c r="E762" i="30"/>
  <c r="C762" i="30" s="1"/>
  <c r="F762" i="30"/>
  <c r="B762" i="30" s="1"/>
  <c r="G762" i="30"/>
  <c r="H762" i="30"/>
  <c r="E763" i="30"/>
  <c r="C763" i="30" s="1"/>
  <c r="F763" i="30"/>
  <c r="B763" i="30" s="1"/>
  <c r="G763" i="30"/>
  <c r="H763" i="30"/>
  <c r="E764" i="30"/>
  <c r="C764" i="30" s="1"/>
  <c r="F764" i="30"/>
  <c r="B764" i="30" s="1"/>
  <c r="G764" i="30"/>
  <c r="H764" i="30"/>
  <c r="E765" i="30"/>
  <c r="C765" i="30" s="1"/>
  <c r="F765" i="30"/>
  <c r="B765" i="30" s="1"/>
  <c r="G765" i="30"/>
  <c r="H765" i="30"/>
  <c r="E766" i="30"/>
  <c r="C766" i="30" s="1"/>
  <c r="F766" i="30"/>
  <c r="B766" i="30" s="1"/>
  <c r="G766" i="30"/>
  <c r="H766" i="30"/>
  <c r="E767" i="30"/>
  <c r="C767" i="30" s="1"/>
  <c r="F767" i="30"/>
  <c r="B767" i="30" s="1"/>
  <c r="G767" i="30"/>
  <c r="H767" i="30"/>
  <c r="E768" i="30"/>
  <c r="C768" i="30" s="1"/>
  <c r="F768" i="30"/>
  <c r="B768" i="30" s="1"/>
  <c r="G768" i="30"/>
  <c r="H768" i="30"/>
  <c r="E769" i="30"/>
  <c r="C769" i="30" s="1"/>
  <c r="F769" i="30"/>
  <c r="B769" i="30" s="1"/>
  <c r="G769" i="30"/>
  <c r="H769" i="30"/>
  <c r="E770" i="30"/>
  <c r="C770" i="30" s="1"/>
  <c r="F770" i="30"/>
  <c r="B770" i="30" s="1"/>
  <c r="G770" i="30"/>
  <c r="H770" i="30"/>
  <c r="E771" i="30"/>
  <c r="C771" i="30" s="1"/>
  <c r="F771" i="30"/>
  <c r="B771" i="30" s="1"/>
  <c r="G771" i="30"/>
  <c r="H771" i="30"/>
  <c r="E772" i="30"/>
  <c r="C772" i="30" s="1"/>
  <c r="F772" i="30"/>
  <c r="B772" i="30" s="1"/>
  <c r="G772" i="30"/>
  <c r="H772" i="30"/>
  <c r="E773" i="30"/>
  <c r="C773" i="30" s="1"/>
  <c r="F773" i="30"/>
  <c r="B773" i="30" s="1"/>
  <c r="G773" i="30"/>
  <c r="H773" i="30"/>
  <c r="E774" i="30"/>
  <c r="C774" i="30" s="1"/>
  <c r="F774" i="30"/>
  <c r="B774" i="30" s="1"/>
  <c r="G774" i="30"/>
  <c r="H774" i="30"/>
  <c r="E775" i="30"/>
  <c r="C775" i="30" s="1"/>
  <c r="F775" i="30"/>
  <c r="B775" i="30" s="1"/>
  <c r="G775" i="30"/>
  <c r="H775" i="30"/>
  <c r="E776" i="30"/>
  <c r="C776" i="30" s="1"/>
  <c r="F776" i="30"/>
  <c r="B776" i="30" s="1"/>
  <c r="G776" i="30"/>
  <c r="H776" i="30"/>
  <c r="E777" i="30"/>
  <c r="C777" i="30" s="1"/>
  <c r="F777" i="30"/>
  <c r="B777" i="30" s="1"/>
  <c r="G777" i="30"/>
  <c r="H777" i="30"/>
  <c r="E778" i="30"/>
  <c r="C778" i="30" s="1"/>
  <c r="F778" i="30"/>
  <c r="B778" i="30" s="1"/>
  <c r="G778" i="30"/>
  <c r="H778" i="30"/>
  <c r="E779" i="30"/>
  <c r="C779" i="30" s="1"/>
  <c r="F779" i="30"/>
  <c r="B779" i="30" s="1"/>
  <c r="G779" i="30"/>
  <c r="H779" i="30"/>
  <c r="E780" i="30"/>
  <c r="C780" i="30" s="1"/>
  <c r="F780" i="30"/>
  <c r="B780" i="30" s="1"/>
  <c r="G780" i="30"/>
  <c r="H780" i="30"/>
  <c r="E781" i="30"/>
  <c r="C781" i="30" s="1"/>
  <c r="F781" i="30"/>
  <c r="B781" i="30" s="1"/>
  <c r="G781" i="30"/>
  <c r="H781" i="30"/>
  <c r="E782" i="30"/>
  <c r="C782" i="30" s="1"/>
  <c r="F782" i="30"/>
  <c r="B782" i="30" s="1"/>
  <c r="G782" i="30"/>
  <c r="H782" i="30"/>
  <c r="E783" i="30"/>
  <c r="C783" i="30" s="1"/>
  <c r="F783" i="30"/>
  <c r="B783" i="30" s="1"/>
  <c r="G783" i="30"/>
  <c r="H783" i="30"/>
  <c r="E784" i="30"/>
  <c r="C784" i="30" s="1"/>
  <c r="F784" i="30"/>
  <c r="B784" i="30" s="1"/>
  <c r="G784" i="30"/>
  <c r="H784" i="30"/>
  <c r="E785" i="30"/>
  <c r="C785" i="30" s="1"/>
  <c r="F785" i="30"/>
  <c r="B785" i="30" s="1"/>
  <c r="G785" i="30"/>
  <c r="H785" i="30"/>
  <c r="E786" i="30"/>
  <c r="C786" i="30" s="1"/>
  <c r="F786" i="30"/>
  <c r="B786" i="30" s="1"/>
  <c r="G786" i="30"/>
  <c r="H786" i="30"/>
  <c r="E787" i="30"/>
  <c r="C787" i="30" s="1"/>
  <c r="F787" i="30"/>
  <c r="B787" i="30" s="1"/>
  <c r="G787" i="30"/>
  <c r="H787" i="30"/>
  <c r="E788" i="30"/>
  <c r="C788" i="30" s="1"/>
  <c r="F788" i="30"/>
  <c r="B788" i="30" s="1"/>
  <c r="G788" i="30"/>
  <c r="H788" i="30"/>
  <c r="E789" i="30"/>
  <c r="C789" i="30" s="1"/>
  <c r="F789" i="30"/>
  <c r="B789" i="30" s="1"/>
  <c r="G789" i="30"/>
  <c r="H789" i="30"/>
  <c r="E790" i="30"/>
  <c r="C790" i="30" s="1"/>
  <c r="F790" i="30"/>
  <c r="B790" i="30" s="1"/>
  <c r="G790" i="30"/>
  <c r="H790" i="30"/>
  <c r="E791" i="30"/>
  <c r="C791" i="30" s="1"/>
  <c r="F791" i="30"/>
  <c r="B791" i="30" s="1"/>
  <c r="G791" i="30"/>
  <c r="H791" i="30"/>
  <c r="E792" i="30"/>
  <c r="C792" i="30" s="1"/>
  <c r="F792" i="30"/>
  <c r="B792" i="30" s="1"/>
  <c r="G792" i="30"/>
  <c r="H792" i="30"/>
  <c r="E793" i="30"/>
  <c r="C793" i="30" s="1"/>
  <c r="F793" i="30"/>
  <c r="B793" i="30" s="1"/>
  <c r="G793" i="30"/>
  <c r="H793" i="30"/>
  <c r="E794" i="30"/>
  <c r="C794" i="30" s="1"/>
  <c r="F794" i="30"/>
  <c r="B794" i="30" s="1"/>
  <c r="G794" i="30"/>
  <c r="H794" i="30"/>
  <c r="E795" i="30"/>
  <c r="C795" i="30" s="1"/>
  <c r="F795" i="30"/>
  <c r="B795" i="30" s="1"/>
  <c r="G795" i="30"/>
  <c r="H795" i="30"/>
  <c r="E796" i="30"/>
  <c r="C796" i="30" s="1"/>
  <c r="F796" i="30"/>
  <c r="B796" i="30" s="1"/>
  <c r="G796" i="30"/>
  <c r="H796" i="30"/>
  <c r="E797" i="30"/>
  <c r="C797" i="30" s="1"/>
  <c r="F797" i="30"/>
  <c r="B797" i="30" s="1"/>
  <c r="G797" i="30"/>
  <c r="H797" i="30"/>
  <c r="E798" i="30"/>
  <c r="C798" i="30" s="1"/>
  <c r="F798" i="30"/>
  <c r="B798" i="30" s="1"/>
  <c r="G798" i="30"/>
  <c r="H798" i="30"/>
  <c r="E799" i="30"/>
  <c r="C799" i="30" s="1"/>
  <c r="F799" i="30"/>
  <c r="B799" i="30" s="1"/>
  <c r="G799" i="30"/>
  <c r="H799" i="30"/>
  <c r="E800" i="30"/>
  <c r="C800" i="30" s="1"/>
  <c r="F800" i="30"/>
  <c r="B800" i="30" s="1"/>
  <c r="G800" i="30"/>
  <c r="H800" i="30"/>
  <c r="E801" i="30"/>
  <c r="C801" i="30" s="1"/>
  <c r="F801" i="30"/>
  <c r="B801" i="30" s="1"/>
  <c r="G801" i="30"/>
  <c r="H801" i="30"/>
  <c r="E802" i="30"/>
  <c r="C802" i="30" s="1"/>
  <c r="F802" i="30"/>
  <c r="B802" i="30" s="1"/>
  <c r="G802" i="30"/>
  <c r="H802" i="30"/>
  <c r="E803" i="30"/>
  <c r="C803" i="30" s="1"/>
  <c r="F803" i="30"/>
  <c r="B803" i="30" s="1"/>
  <c r="G803" i="30"/>
  <c r="H803" i="30"/>
  <c r="E804" i="30"/>
  <c r="C804" i="30" s="1"/>
  <c r="F804" i="30"/>
  <c r="B804" i="30" s="1"/>
  <c r="G804" i="30"/>
  <c r="H804" i="30"/>
  <c r="E805" i="30"/>
  <c r="C805" i="30" s="1"/>
  <c r="F805" i="30"/>
  <c r="B805" i="30" s="1"/>
  <c r="G805" i="30"/>
  <c r="H805" i="30"/>
  <c r="E806" i="30"/>
  <c r="C806" i="30" s="1"/>
  <c r="F806" i="30"/>
  <c r="B806" i="30" s="1"/>
  <c r="G806" i="30"/>
  <c r="H806" i="30"/>
  <c r="E807" i="30"/>
  <c r="C807" i="30" s="1"/>
  <c r="F807" i="30"/>
  <c r="B807" i="30" s="1"/>
  <c r="G807" i="30"/>
  <c r="H807" i="30"/>
  <c r="E808" i="30"/>
  <c r="C808" i="30" s="1"/>
  <c r="F808" i="30"/>
  <c r="B808" i="30" s="1"/>
  <c r="G808" i="30"/>
  <c r="H808" i="30"/>
  <c r="E809" i="30"/>
  <c r="C809" i="30" s="1"/>
  <c r="F809" i="30"/>
  <c r="B809" i="30" s="1"/>
  <c r="G809" i="30"/>
  <c r="H809" i="30"/>
  <c r="E810" i="30"/>
  <c r="C810" i="30" s="1"/>
  <c r="F810" i="30"/>
  <c r="B810" i="30" s="1"/>
  <c r="G810" i="30"/>
  <c r="H810" i="30"/>
  <c r="E811" i="30"/>
  <c r="C811" i="30" s="1"/>
  <c r="F811" i="30"/>
  <c r="B811" i="30" s="1"/>
  <c r="G811" i="30"/>
  <c r="H811" i="30"/>
  <c r="E812" i="30"/>
  <c r="C812" i="30" s="1"/>
  <c r="F812" i="30"/>
  <c r="B812" i="30" s="1"/>
  <c r="G812" i="30"/>
  <c r="H812" i="30"/>
  <c r="E813" i="30"/>
  <c r="C813" i="30" s="1"/>
  <c r="F813" i="30"/>
  <c r="B813" i="30" s="1"/>
  <c r="G813" i="30"/>
  <c r="H813" i="30"/>
  <c r="E814" i="30"/>
  <c r="C814" i="30" s="1"/>
  <c r="F814" i="30"/>
  <c r="B814" i="30" s="1"/>
  <c r="G814" i="30"/>
  <c r="H814" i="30"/>
  <c r="E815" i="30"/>
  <c r="C815" i="30" s="1"/>
  <c r="F815" i="30"/>
  <c r="B815" i="30" s="1"/>
  <c r="G815" i="30"/>
  <c r="H815" i="30"/>
  <c r="E816" i="30"/>
  <c r="C816" i="30" s="1"/>
  <c r="F816" i="30"/>
  <c r="B816" i="30" s="1"/>
  <c r="G816" i="30"/>
  <c r="H816" i="30"/>
  <c r="E817" i="30"/>
  <c r="C817" i="30" s="1"/>
  <c r="F817" i="30"/>
  <c r="B817" i="30" s="1"/>
  <c r="G817" i="30"/>
  <c r="H817" i="30"/>
  <c r="E818" i="30"/>
  <c r="C818" i="30" s="1"/>
  <c r="F818" i="30"/>
  <c r="B818" i="30" s="1"/>
  <c r="G818" i="30"/>
  <c r="H818" i="30"/>
  <c r="E819" i="30"/>
  <c r="C819" i="30" s="1"/>
  <c r="F819" i="30"/>
  <c r="B819" i="30" s="1"/>
  <c r="G819" i="30"/>
  <c r="H819" i="30"/>
  <c r="E820" i="30"/>
  <c r="C820" i="30" s="1"/>
  <c r="F820" i="30"/>
  <c r="B820" i="30" s="1"/>
  <c r="G820" i="30"/>
  <c r="H820" i="30"/>
  <c r="E821" i="30"/>
  <c r="C821" i="30" s="1"/>
  <c r="F821" i="30"/>
  <c r="B821" i="30" s="1"/>
  <c r="G821" i="30"/>
  <c r="H821" i="30"/>
  <c r="E822" i="30"/>
  <c r="C822" i="30" s="1"/>
  <c r="F822" i="30"/>
  <c r="B822" i="30" s="1"/>
  <c r="G822" i="30"/>
  <c r="H822" i="30"/>
  <c r="E823" i="30"/>
  <c r="C823" i="30" s="1"/>
  <c r="F823" i="30"/>
  <c r="B823" i="30" s="1"/>
  <c r="G823" i="30"/>
  <c r="H823" i="30"/>
  <c r="E824" i="30"/>
  <c r="C824" i="30" s="1"/>
  <c r="F824" i="30"/>
  <c r="B824" i="30" s="1"/>
  <c r="G824" i="30"/>
  <c r="H824" i="30"/>
  <c r="E825" i="30"/>
  <c r="C825" i="30" s="1"/>
  <c r="F825" i="30"/>
  <c r="B825" i="30" s="1"/>
  <c r="G825" i="30"/>
  <c r="H825" i="30"/>
  <c r="E826" i="30"/>
  <c r="C826" i="30" s="1"/>
  <c r="F826" i="30"/>
  <c r="B826" i="30" s="1"/>
  <c r="G826" i="30"/>
  <c r="H826" i="30"/>
  <c r="E827" i="30"/>
  <c r="C827" i="30" s="1"/>
  <c r="F827" i="30"/>
  <c r="B827" i="30" s="1"/>
  <c r="G827" i="30"/>
  <c r="H827" i="30"/>
  <c r="E828" i="30"/>
  <c r="C828" i="30" s="1"/>
  <c r="F828" i="30"/>
  <c r="B828" i="30" s="1"/>
  <c r="G828" i="30"/>
  <c r="H828" i="30"/>
  <c r="E829" i="30"/>
  <c r="C829" i="30" s="1"/>
  <c r="F829" i="30"/>
  <c r="B829" i="30" s="1"/>
  <c r="G829" i="30"/>
  <c r="H829" i="30"/>
  <c r="E830" i="30"/>
  <c r="C830" i="30" s="1"/>
  <c r="F830" i="30"/>
  <c r="B830" i="30" s="1"/>
  <c r="G830" i="30"/>
  <c r="H830" i="30"/>
  <c r="E831" i="30"/>
  <c r="C831" i="30" s="1"/>
  <c r="F831" i="30"/>
  <c r="B831" i="30" s="1"/>
  <c r="G831" i="30"/>
  <c r="H831" i="30"/>
  <c r="E832" i="30"/>
  <c r="C832" i="30" s="1"/>
  <c r="F832" i="30"/>
  <c r="B832" i="30" s="1"/>
  <c r="G832" i="30"/>
  <c r="H832" i="30"/>
  <c r="E833" i="30"/>
  <c r="C833" i="30" s="1"/>
  <c r="F833" i="30"/>
  <c r="B833" i="30" s="1"/>
  <c r="G833" i="30"/>
  <c r="H833" i="30"/>
  <c r="E834" i="30"/>
  <c r="C834" i="30" s="1"/>
  <c r="F834" i="30"/>
  <c r="B834" i="30" s="1"/>
  <c r="G834" i="30"/>
  <c r="H834" i="30"/>
  <c r="E835" i="30"/>
  <c r="C835" i="30" s="1"/>
  <c r="F835" i="30"/>
  <c r="B835" i="30" s="1"/>
  <c r="G835" i="30"/>
  <c r="H835" i="30"/>
  <c r="E836" i="30"/>
  <c r="C836" i="30" s="1"/>
  <c r="F836" i="30"/>
  <c r="B836" i="30" s="1"/>
  <c r="G836" i="30"/>
  <c r="H836" i="30"/>
  <c r="E837" i="30"/>
  <c r="C837" i="30" s="1"/>
  <c r="F837" i="30"/>
  <c r="B837" i="30" s="1"/>
  <c r="G837" i="30"/>
  <c r="H837" i="30"/>
  <c r="E838" i="30"/>
  <c r="C838" i="30" s="1"/>
  <c r="F838" i="30"/>
  <c r="B838" i="30" s="1"/>
  <c r="G838" i="30"/>
  <c r="H838" i="30"/>
  <c r="E839" i="30"/>
  <c r="C839" i="30" s="1"/>
  <c r="F839" i="30"/>
  <c r="B839" i="30" s="1"/>
  <c r="G839" i="30"/>
  <c r="H839" i="30"/>
  <c r="E840" i="30"/>
  <c r="C840" i="30" s="1"/>
  <c r="F840" i="30"/>
  <c r="B840" i="30" s="1"/>
  <c r="G840" i="30"/>
  <c r="H840" i="30"/>
  <c r="E841" i="30"/>
  <c r="C841" i="30" s="1"/>
  <c r="F841" i="30"/>
  <c r="B841" i="30" s="1"/>
  <c r="G841" i="30"/>
  <c r="H841" i="30"/>
  <c r="E842" i="30"/>
  <c r="C842" i="30" s="1"/>
  <c r="F842" i="30"/>
  <c r="B842" i="30" s="1"/>
  <c r="G842" i="30"/>
  <c r="H842" i="30"/>
  <c r="E843" i="30"/>
  <c r="C843" i="30" s="1"/>
  <c r="F843" i="30"/>
  <c r="B843" i="30" s="1"/>
  <c r="G843" i="30"/>
  <c r="H843" i="30"/>
  <c r="E844" i="30"/>
  <c r="C844" i="30" s="1"/>
  <c r="F844" i="30"/>
  <c r="B844" i="30" s="1"/>
  <c r="G844" i="30"/>
  <c r="H844" i="30"/>
  <c r="E845" i="30"/>
  <c r="C845" i="30" s="1"/>
  <c r="F845" i="30"/>
  <c r="B845" i="30" s="1"/>
  <c r="G845" i="30"/>
  <c r="H845" i="30"/>
  <c r="E846" i="30"/>
  <c r="C846" i="30" s="1"/>
  <c r="F846" i="30"/>
  <c r="B846" i="30" s="1"/>
  <c r="G846" i="30"/>
  <c r="H846" i="30"/>
  <c r="E847" i="30"/>
  <c r="C847" i="30" s="1"/>
  <c r="F847" i="30"/>
  <c r="B847" i="30" s="1"/>
  <c r="G847" i="30"/>
  <c r="H847" i="30"/>
  <c r="E848" i="30"/>
  <c r="C848" i="30" s="1"/>
  <c r="F848" i="30"/>
  <c r="B848" i="30" s="1"/>
  <c r="G848" i="30"/>
  <c r="H848" i="30"/>
  <c r="E849" i="30"/>
  <c r="C849" i="30" s="1"/>
  <c r="F849" i="30"/>
  <c r="B849" i="30" s="1"/>
  <c r="G849" i="30"/>
  <c r="H849" i="30"/>
  <c r="E850" i="30"/>
  <c r="C850" i="30" s="1"/>
  <c r="F850" i="30"/>
  <c r="B850" i="30" s="1"/>
  <c r="G850" i="30"/>
  <c r="H850" i="30"/>
  <c r="E851" i="30"/>
  <c r="C851" i="30" s="1"/>
  <c r="F851" i="30"/>
  <c r="B851" i="30" s="1"/>
  <c r="G851" i="30"/>
  <c r="H851" i="30"/>
  <c r="E852" i="30"/>
  <c r="C852" i="30" s="1"/>
  <c r="F852" i="30"/>
  <c r="B852" i="30" s="1"/>
  <c r="G852" i="30"/>
  <c r="H852" i="30"/>
  <c r="E853" i="30"/>
  <c r="C853" i="30" s="1"/>
  <c r="F853" i="30"/>
  <c r="B853" i="30" s="1"/>
  <c r="G853" i="30"/>
  <c r="H853" i="30"/>
  <c r="E854" i="30"/>
  <c r="C854" i="30" s="1"/>
  <c r="F854" i="30"/>
  <c r="B854" i="30" s="1"/>
  <c r="G854" i="30"/>
  <c r="H854" i="30"/>
  <c r="E855" i="30"/>
  <c r="C855" i="30" s="1"/>
  <c r="F855" i="30"/>
  <c r="B855" i="30" s="1"/>
  <c r="G855" i="30"/>
  <c r="H855" i="30"/>
  <c r="E856" i="30"/>
  <c r="C856" i="30" s="1"/>
  <c r="F856" i="30"/>
  <c r="B856" i="30" s="1"/>
  <c r="G856" i="30"/>
  <c r="H856" i="30"/>
  <c r="E857" i="30"/>
  <c r="C857" i="30" s="1"/>
  <c r="F857" i="30"/>
  <c r="B857" i="30" s="1"/>
  <c r="G857" i="30"/>
  <c r="H857" i="30"/>
  <c r="E858" i="30"/>
  <c r="C858" i="30" s="1"/>
  <c r="F858" i="30"/>
  <c r="B858" i="30" s="1"/>
  <c r="G858" i="30"/>
  <c r="H858" i="30"/>
  <c r="E859" i="30"/>
  <c r="C859" i="30" s="1"/>
  <c r="F859" i="30"/>
  <c r="B859" i="30" s="1"/>
  <c r="G859" i="30"/>
  <c r="H859" i="30"/>
  <c r="E860" i="30"/>
  <c r="C860" i="30" s="1"/>
  <c r="F860" i="30"/>
  <c r="B860" i="30" s="1"/>
  <c r="G860" i="30"/>
  <c r="H860" i="30"/>
  <c r="E861" i="30"/>
  <c r="C861" i="30" s="1"/>
  <c r="F861" i="30"/>
  <c r="B861" i="30" s="1"/>
  <c r="G861" i="30"/>
  <c r="H861" i="30"/>
  <c r="E862" i="30"/>
  <c r="C862" i="30" s="1"/>
  <c r="F862" i="30"/>
  <c r="B862" i="30" s="1"/>
  <c r="G862" i="30"/>
  <c r="H862" i="30"/>
  <c r="E863" i="30"/>
  <c r="C863" i="30" s="1"/>
  <c r="F863" i="30"/>
  <c r="B863" i="30" s="1"/>
  <c r="G863" i="30"/>
  <c r="H863" i="30"/>
  <c r="E864" i="30"/>
  <c r="C864" i="30" s="1"/>
  <c r="F864" i="30"/>
  <c r="B864" i="30" s="1"/>
  <c r="G864" i="30"/>
  <c r="H864" i="30"/>
  <c r="E865" i="30"/>
  <c r="C865" i="30" s="1"/>
  <c r="F865" i="30"/>
  <c r="B865" i="30" s="1"/>
  <c r="G865" i="30"/>
  <c r="H865" i="30"/>
  <c r="E866" i="30"/>
  <c r="C866" i="30" s="1"/>
  <c r="F866" i="30"/>
  <c r="B866" i="30" s="1"/>
  <c r="G866" i="30"/>
  <c r="H866" i="30"/>
  <c r="E867" i="30"/>
  <c r="C867" i="30" s="1"/>
  <c r="F867" i="30"/>
  <c r="B867" i="30" s="1"/>
  <c r="G867" i="30"/>
  <c r="H867" i="30"/>
  <c r="E868" i="30"/>
  <c r="C868" i="30" s="1"/>
  <c r="F868" i="30"/>
  <c r="B868" i="30" s="1"/>
  <c r="G868" i="30"/>
  <c r="H868" i="30"/>
  <c r="E869" i="30"/>
  <c r="C869" i="30" s="1"/>
  <c r="F869" i="30"/>
  <c r="B869" i="30" s="1"/>
  <c r="G869" i="30"/>
  <c r="H869" i="30"/>
  <c r="E870" i="30"/>
  <c r="C870" i="30" s="1"/>
  <c r="F870" i="30"/>
  <c r="B870" i="30" s="1"/>
  <c r="G870" i="30"/>
  <c r="H870" i="30"/>
  <c r="E871" i="30"/>
  <c r="C871" i="30" s="1"/>
  <c r="F871" i="30"/>
  <c r="B871" i="30" s="1"/>
  <c r="G871" i="30"/>
  <c r="H871" i="30"/>
  <c r="E872" i="30"/>
  <c r="C872" i="30" s="1"/>
  <c r="F872" i="30"/>
  <c r="B872" i="30" s="1"/>
  <c r="G872" i="30"/>
  <c r="H872" i="30"/>
  <c r="E873" i="30"/>
  <c r="C873" i="30" s="1"/>
  <c r="F873" i="30"/>
  <c r="B873" i="30" s="1"/>
  <c r="G873" i="30"/>
  <c r="H873" i="30"/>
  <c r="E874" i="30"/>
  <c r="C874" i="30" s="1"/>
  <c r="F874" i="30"/>
  <c r="B874" i="30" s="1"/>
  <c r="G874" i="30"/>
  <c r="H874" i="30"/>
  <c r="E875" i="30"/>
  <c r="C875" i="30" s="1"/>
  <c r="F875" i="30"/>
  <c r="B875" i="30" s="1"/>
  <c r="G875" i="30"/>
  <c r="H875" i="30"/>
  <c r="E876" i="30"/>
  <c r="C876" i="30" s="1"/>
  <c r="F876" i="30"/>
  <c r="B876" i="30" s="1"/>
  <c r="G876" i="30"/>
  <c r="H876" i="30"/>
  <c r="E877" i="30"/>
  <c r="C877" i="30" s="1"/>
  <c r="F877" i="30"/>
  <c r="B877" i="30" s="1"/>
  <c r="G877" i="30"/>
  <c r="H877" i="30"/>
  <c r="E878" i="30"/>
  <c r="C878" i="30" s="1"/>
  <c r="F878" i="30"/>
  <c r="B878" i="30" s="1"/>
  <c r="G878" i="30"/>
  <c r="H878" i="30"/>
  <c r="E879" i="30"/>
  <c r="C879" i="30" s="1"/>
  <c r="F879" i="30"/>
  <c r="B879" i="30" s="1"/>
  <c r="G879" i="30"/>
  <c r="H879" i="30"/>
  <c r="E880" i="30"/>
  <c r="C880" i="30" s="1"/>
  <c r="F880" i="30"/>
  <c r="B880" i="30" s="1"/>
  <c r="G880" i="30"/>
  <c r="H880" i="30"/>
  <c r="E881" i="30"/>
  <c r="C881" i="30" s="1"/>
  <c r="F881" i="30"/>
  <c r="B881" i="30" s="1"/>
  <c r="G881" i="30"/>
  <c r="H881" i="30"/>
  <c r="E882" i="30"/>
  <c r="C882" i="30" s="1"/>
  <c r="F882" i="30"/>
  <c r="B882" i="30" s="1"/>
  <c r="G882" i="30"/>
  <c r="H882" i="30"/>
  <c r="E883" i="30"/>
  <c r="C883" i="30" s="1"/>
  <c r="F883" i="30"/>
  <c r="B883" i="30" s="1"/>
  <c r="G883" i="30"/>
  <c r="H883" i="30"/>
  <c r="E884" i="30"/>
  <c r="C884" i="30" s="1"/>
  <c r="F884" i="30"/>
  <c r="B884" i="30" s="1"/>
  <c r="G884" i="30"/>
  <c r="H884" i="30"/>
  <c r="E885" i="30"/>
  <c r="C885" i="30" s="1"/>
  <c r="F885" i="30"/>
  <c r="B885" i="30" s="1"/>
  <c r="G885" i="30"/>
  <c r="H885" i="30"/>
  <c r="E886" i="30"/>
  <c r="C886" i="30" s="1"/>
  <c r="F886" i="30"/>
  <c r="B886" i="30" s="1"/>
  <c r="G886" i="30"/>
  <c r="H886" i="30"/>
  <c r="E887" i="30"/>
  <c r="C887" i="30" s="1"/>
  <c r="F887" i="30"/>
  <c r="B887" i="30" s="1"/>
  <c r="G887" i="30"/>
  <c r="H887" i="30"/>
  <c r="E888" i="30"/>
  <c r="C888" i="30" s="1"/>
  <c r="F888" i="30"/>
  <c r="B888" i="30" s="1"/>
  <c r="G888" i="30"/>
  <c r="H888" i="30"/>
  <c r="E889" i="30"/>
  <c r="C889" i="30" s="1"/>
  <c r="F889" i="30"/>
  <c r="B889" i="30" s="1"/>
  <c r="G889" i="30"/>
  <c r="H889" i="30"/>
  <c r="E890" i="30"/>
  <c r="C890" i="30" s="1"/>
  <c r="F890" i="30"/>
  <c r="B890" i="30" s="1"/>
  <c r="G890" i="30"/>
  <c r="H890" i="30"/>
  <c r="E891" i="30"/>
  <c r="C891" i="30" s="1"/>
  <c r="F891" i="30"/>
  <c r="B891" i="30" s="1"/>
  <c r="G891" i="30"/>
  <c r="H891" i="30"/>
  <c r="E892" i="30"/>
  <c r="C892" i="30" s="1"/>
  <c r="F892" i="30"/>
  <c r="B892" i="30" s="1"/>
  <c r="G892" i="30"/>
  <c r="H892" i="30"/>
  <c r="E893" i="30"/>
  <c r="C893" i="30" s="1"/>
  <c r="F893" i="30"/>
  <c r="B893" i="30" s="1"/>
  <c r="G893" i="30"/>
  <c r="H893" i="30"/>
  <c r="E894" i="30"/>
  <c r="C894" i="30" s="1"/>
  <c r="F894" i="30"/>
  <c r="B894" i="30" s="1"/>
  <c r="G894" i="30"/>
  <c r="H894" i="30"/>
  <c r="E895" i="30"/>
  <c r="C895" i="30" s="1"/>
  <c r="F895" i="30"/>
  <c r="B895" i="30" s="1"/>
  <c r="G895" i="30"/>
  <c r="H895" i="30"/>
  <c r="E896" i="30"/>
  <c r="C896" i="30" s="1"/>
  <c r="F896" i="30"/>
  <c r="B896" i="30" s="1"/>
  <c r="G896" i="30"/>
  <c r="H896" i="30"/>
  <c r="E897" i="30"/>
  <c r="C897" i="30" s="1"/>
  <c r="F897" i="30"/>
  <c r="B897" i="30" s="1"/>
  <c r="G897" i="30"/>
  <c r="H897" i="30"/>
  <c r="E898" i="30"/>
  <c r="C898" i="30" s="1"/>
  <c r="F898" i="30"/>
  <c r="B898" i="30" s="1"/>
  <c r="G898" i="30"/>
  <c r="H898" i="30"/>
  <c r="E899" i="30"/>
  <c r="C899" i="30" s="1"/>
  <c r="F899" i="30"/>
  <c r="B899" i="30" s="1"/>
  <c r="G899" i="30"/>
  <c r="H899" i="30"/>
  <c r="E900" i="30"/>
  <c r="C900" i="30" s="1"/>
  <c r="F900" i="30"/>
  <c r="B900" i="30" s="1"/>
  <c r="G900" i="30"/>
  <c r="H900" i="30"/>
  <c r="E901" i="30"/>
  <c r="C901" i="30" s="1"/>
  <c r="F901" i="30"/>
  <c r="B901" i="30" s="1"/>
  <c r="G901" i="30"/>
  <c r="H901" i="30"/>
  <c r="E902" i="30"/>
  <c r="C902" i="30" s="1"/>
  <c r="F902" i="30"/>
  <c r="B902" i="30" s="1"/>
  <c r="G902" i="30"/>
  <c r="H902" i="30"/>
  <c r="E903" i="30"/>
  <c r="C903" i="30" s="1"/>
  <c r="F903" i="30"/>
  <c r="B903" i="30" s="1"/>
  <c r="G903" i="30"/>
  <c r="H903" i="30"/>
  <c r="E904" i="30"/>
  <c r="C904" i="30" s="1"/>
  <c r="F904" i="30"/>
  <c r="B904" i="30" s="1"/>
  <c r="G904" i="30"/>
  <c r="H904" i="30"/>
  <c r="E905" i="30"/>
  <c r="C905" i="30" s="1"/>
  <c r="F905" i="30"/>
  <c r="B905" i="30" s="1"/>
  <c r="G905" i="30"/>
  <c r="H905" i="30"/>
  <c r="E906" i="30"/>
  <c r="C906" i="30" s="1"/>
  <c r="F906" i="30"/>
  <c r="B906" i="30" s="1"/>
  <c r="G906" i="30"/>
  <c r="H906" i="30"/>
  <c r="E907" i="30"/>
  <c r="C907" i="30" s="1"/>
  <c r="F907" i="30"/>
  <c r="B907" i="30" s="1"/>
  <c r="G907" i="30"/>
  <c r="H907" i="30"/>
  <c r="E908" i="30"/>
  <c r="C908" i="30" s="1"/>
  <c r="F908" i="30"/>
  <c r="B908" i="30" s="1"/>
  <c r="G908" i="30"/>
  <c r="H908" i="30"/>
  <c r="E909" i="30"/>
  <c r="C909" i="30" s="1"/>
  <c r="F909" i="30"/>
  <c r="B909" i="30" s="1"/>
  <c r="G909" i="30"/>
  <c r="H909" i="30"/>
  <c r="E910" i="30"/>
  <c r="C910" i="30" s="1"/>
  <c r="F910" i="30"/>
  <c r="B910" i="30" s="1"/>
  <c r="G910" i="30"/>
  <c r="H910" i="30"/>
  <c r="E911" i="30"/>
  <c r="C911" i="30" s="1"/>
  <c r="F911" i="30"/>
  <c r="B911" i="30" s="1"/>
  <c r="G911" i="30"/>
  <c r="H911" i="30"/>
  <c r="E912" i="30"/>
  <c r="C912" i="30" s="1"/>
  <c r="F912" i="30"/>
  <c r="B912" i="30" s="1"/>
  <c r="G912" i="30"/>
  <c r="H912" i="30"/>
  <c r="E913" i="30"/>
  <c r="C913" i="30" s="1"/>
  <c r="F913" i="30"/>
  <c r="B913" i="30" s="1"/>
  <c r="G913" i="30"/>
  <c r="H913" i="30"/>
  <c r="E914" i="30"/>
  <c r="C914" i="30" s="1"/>
  <c r="F914" i="30"/>
  <c r="B914" i="30" s="1"/>
  <c r="G914" i="30"/>
  <c r="H914" i="30"/>
  <c r="E915" i="30"/>
  <c r="C915" i="30" s="1"/>
  <c r="F915" i="30"/>
  <c r="B915" i="30" s="1"/>
  <c r="G915" i="30"/>
  <c r="H915" i="30"/>
  <c r="E916" i="30"/>
  <c r="C916" i="30" s="1"/>
  <c r="F916" i="30"/>
  <c r="B916" i="30" s="1"/>
  <c r="G916" i="30"/>
  <c r="H916" i="30"/>
  <c r="E917" i="30"/>
  <c r="C917" i="30" s="1"/>
  <c r="F917" i="30"/>
  <c r="B917" i="30" s="1"/>
  <c r="G917" i="30"/>
  <c r="H917" i="30"/>
  <c r="E918" i="30"/>
  <c r="C918" i="30" s="1"/>
  <c r="F918" i="30"/>
  <c r="B918" i="30" s="1"/>
  <c r="G918" i="30"/>
  <c r="H918" i="30"/>
  <c r="E919" i="30"/>
  <c r="C919" i="30" s="1"/>
  <c r="F919" i="30"/>
  <c r="B919" i="30" s="1"/>
  <c r="G919" i="30"/>
  <c r="H919" i="30"/>
  <c r="E920" i="30"/>
  <c r="C920" i="30" s="1"/>
  <c r="F920" i="30"/>
  <c r="B920" i="30" s="1"/>
  <c r="G920" i="30"/>
  <c r="H920" i="30"/>
  <c r="E921" i="30"/>
  <c r="C921" i="30" s="1"/>
  <c r="F921" i="30"/>
  <c r="B921" i="30" s="1"/>
  <c r="G921" i="30"/>
  <c r="H921" i="30"/>
  <c r="E922" i="30"/>
  <c r="C922" i="30" s="1"/>
  <c r="F922" i="30"/>
  <c r="B922" i="30" s="1"/>
  <c r="G922" i="30"/>
  <c r="H922" i="30"/>
  <c r="E923" i="30"/>
  <c r="C923" i="30" s="1"/>
  <c r="F923" i="30"/>
  <c r="B923" i="30" s="1"/>
  <c r="G923" i="30"/>
  <c r="H923" i="30"/>
  <c r="E924" i="30"/>
  <c r="C924" i="30" s="1"/>
  <c r="F924" i="30"/>
  <c r="B924" i="30" s="1"/>
  <c r="G924" i="30"/>
  <c r="H924" i="30"/>
  <c r="E925" i="30"/>
  <c r="C925" i="30" s="1"/>
  <c r="F925" i="30"/>
  <c r="B925" i="30" s="1"/>
  <c r="G925" i="30"/>
  <c r="H925" i="30"/>
  <c r="E926" i="30"/>
  <c r="C926" i="30" s="1"/>
  <c r="F926" i="30"/>
  <c r="B926" i="30" s="1"/>
  <c r="G926" i="30"/>
  <c r="H926" i="30"/>
  <c r="E927" i="30"/>
  <c r="C927" i="30" s="1"/>
  <c r="F927" i="30"/>
  <c r="B927" i="30" s="1"/>
  <c r="G927" i="30"/>
  <c r="H927" i="30"/>
  <c r="E928" i="30"/>
  <c r="C928" i="30" s="1"/>
  <c r="F928" i="30"/>
  <c r="B928" i="30" s="1"/>
  <c r="G928" i="30"/>
  <c r="H928" i="30"/>
  <c r="E929" i="30"/>
  <c r="C929" i="30" s="1"/>
  <c r="F929" i="30"/>
  <c r="B929" i="30" s="1"/>
  <c r="G929" i="30"/>
  <c r="H929" i="30"/>
  <c r="E930" i="30"/>
  <c r="C930" i="30" s="1"/>
  <c r="F930" i="30"/>
  <c r="B930" i="30" s="1"/>
  <c r="G930" i="30"/>
  <c r="H930" i="30"/>
  <c r="E931" i="30"/>
  <c r="C931" i="30" s="1"/>
  <c r="F931" i="30"/>
  <c r="B931" i="30" s="1"/>
  <c r="G931" i="30"/>
  <c r="H931" i="30"/>
  <c r="E932" i="30"/>
  <c r="C932" i="30" s="1"/>
  <c r="F932" i="30"/>
  <c r="B932" i="30" s="1"/>
  <c r="G932" i="30"/>
  <c r="H932" i="30"/>
  <c r="E933" i="30"/>
  <c r="C933" i="30" s="1"/>
  <c r="F933" i="30"/>
  <c r="B933" i="30" s="1"/>
  <c r="G933" i="30"/>
  <c r="H933" i="30"/>
  <c r="E934" i="30"/>
  <c r="C934" i="30" s="1"/>
  <c r="F934" i="30"/>
  <c r="B934" i="30" s="1"/>
  <c r="G934" i="30"/>
  <c r="H934" i="30"/>
  <c r="E935" i="30"/>
  <c r="C935" i="30" s="1"/>
  <c r="F935" i="30"/>
  <c r="B935" i="30" s="1"/>
  <c r="G935" i="30"/>
  <c r="H935" i="30"/>
  <c r="E936" i="30"/>
  <c r="C936" i="30" s="1"/>
  <c r="F936" i="30"/>
  <c r="B936" i="30" s="1"/>
  <c r="G936" i="30"/>
  <c r="H936" i="30"/>
  <c r="E937" i="30"/>
  <c r="C937" i="30" s="1"/>
  <c r="F937" i="30"/>
  <c r="B937" i="30" s="1"/>
  <c r="G937" i="30"/>
  <c r="H937" i="30"/>
  <c r="E938" i="30"/>
  <c r="C938" i="30" s="1"/>
  <c r="F938" i="30"/>
  <c r="B938" i="30" s="1"/>
  <c r="G938" i="30"/>
  <c r="H938" i="30"/>
  <c r="E939" i="30"/>
  <c r="C939" i="30" s="1"/>
  <c r="F939" i="30"/>
  <c r="B939" i="30" s="1"/>
  <c r="G939" i="30"/>
  <c r="H939" i="30"/>
  <c r="E940" i="30"/>
  <c r="C940" i="30" s="1"/>
  <c r="F940" i="30"/>
  <c r="B940" i="30" s="1"/>
  <c r="G940" i="30"/>
  <c r="H940" i="30"/>
  <c r="E941" i="30"/>
  <c r="C941" i="30" s="1"/>
  <c r="F941" i="30"/>
  <c r="B941" i="30" s="1"/>
  <c r="G941" i="30"/>
  <c r="H941" i="30"/>
  <c r="E942" i="30"/>
  <c r="C942" i="30" s="1"/>
  <c r="F942" i="30"/>
  <c r="B942" i="30" s="1"/>
  <c r="G942" i="30"/>
  <c r="H942" i="30"/>
  <c r="E943" i="30"/>
  <c r="C943" i="30" s="1"/>
  <c r="F943" i="30"/>
  <c r="B943" i="30" s="1"/>
  <c r="G943" i="30"/>
  <c r="H943" i="30"/>
  <c r="E944" i="30"/>
  <c r="C944" i="30" s="1"/>
  <c r="F944" i="30"/>
  <c r="B944" i="30" s="1"/>
  <c r="G944" i="30"/>
  <c r="H944" i="30"/>
  <c r="E945" i="30"/>
  <c r="C945" i="30" s="1"/>
  <c r="F945" i="30"/>
  <c r="B945" i="30" s="1"/>
  <c r="G945" i="30"/>
  <c r="H945" i="30"/>
  <c r="E946" i="30"/>
  <c r="C946" i="30" s="1"/>
  <c r="F946" i="30"/>
  <c r="B946" i="30" s="1"/>
  <c r="G946" i="30"/>
  <c r="H946" i="30"/>
  <c r="E947" i="30"/>
  <c r="C947" i="30" s="1"/>
  <c r="F947" i="30"/>
  <c r="B947" i="30" s="1"/>
  <c r="G947" i="30"/>
  <c r="H947" i="30"/>
  <c r="E948" i="30"/>
  <c r="C948" i="30" s="1"/>
  <c r="F948" i="30"/>
  <c r="B948" i="30" s="1"/>
  <c r="G948" i="30"/>
  <c r="H948" i="30"/>
  <c r="E949" i="30"/>
  <c r="C949" i="30" s="1"/>
  <c r="F949" i="30"/>
  <c r="B949" i="30" s="1"/>
  <c r="G949" i="30"/>
  <c r="H949" i="30"/>
  <c r="E950" i="30"/>
  <c r="C950" i="30" s="1"/>
  <c r="F950" i="30"/>
  <c r="B950" i="30" s="1"/>
  <c r="G950" i="30"/>
  <c r="H950" i="30"/>
  <c r="E951" i="30"/>
  <c r="C951" i="30" s="1"/>
  <c r="F951" i="30"/>
  <c r="B951" i="30" s="1"/>
  <c r="G951" i="30"/>
  <c r="H951" i="30"/>
  <c r="E952" i="30"/>
  <c r="C952" i="30" s="1"/>
  <c r="F952" i="30"/>
  <c r="B952" i="30" s="1"/>
  <c r="G952" i="30"/>
  <c r="H952" i="30"/>
  <c r="E953" i="30"/>
  <c r="C953" i="30" s="1"/>
  <c r="F953" i="30"/>
  <c r="B953" i="30" s="1"/>
  <c r="G953" i="30"/>
  <c r="H953" i="30"/>
  <c r="E954" i="30"/>
  <c r="C954" i="30" s="1"/>
  <c r="F954" i="30"/>
  <c r="B954" i="30" s="1"/>
  <c r="G954" i="30"/>
  <c r="H954" i="30"/>
  <c r="E955" i="30"/>
  <c r="C955" i="30" s="1"/>
  <c r="F955" i="30"/>
  <c r="B955" i="30" s="1"/>
  <c r="G955" i="30"/>
  <c r="H955" i="30"/>
  <c r="E956" i="30"/>
  <c r="C956" i="30" s="1"/>
  <c r="F956" i="30"/>
  <c r="B956" i="30" s="1"/>
  <c r="G956" i="30"/>
  <c r="H956" i="30"/>
  <c r="E957" i="30"/>
  <c r="C957" i="30" s="1"/>
  <c r="F957" i="30"/>
  <c r="B957" i="30" s="1"/>
  <c r="G957" i="30"/>
  <c r="H957" i="30"/>
  <c r="E958" i="30"/>
  <c r="C958" i="30" s="1"/>
  <c r="F958" i="30"/>
  <c r="B958" i="30" s="1"/>
  <c r="G958" i="30"/>
  <c r="H958" i="30"/>
  <c r="J11" i="15"/>
  <c r="C14" i="15"/>
  <c r="D115" i="27" s="1"/>
  <c r="F15" i="15"/>
  <c r="B35" i="15" s="1"/>
  <c r="B52" i="15" s="1"/>
  <c r="D123" i="27" s="1"/>
  <c r="B20" i="15"/>
  <c r="B21" i="15"/>
  <c r="E21" i="15"/>
  <c r="B22" i="15"/>
  <c r="E22" i="15"/>
  <c r="B23" i="15"/>
  <c r="E23" i="15"/>
  <c r="H23" i="15"/>
  <c r="B24" i="15"/>
  <c r="E24" i="15"/>
  <c r="H24" i="15"/>
  <c r="J28" i="15"/>
  <c r="J27" i="15" s="1"/>
  <c r="E32" i="15"/>
  <c r="K120" i="27" s="1"/>
  <c r="G32" i="15"/>
  <c r="K121" i="27" s="1"/>
  <c r="I32" i="15"/>
  <c r="K122" i="27" s="1"/>
  <c r="E33" i="15"/>
  <c r="L120" i="27" s="1"/>
  <c r="G33" i="15"/>
  <c r="L121" i="27" s="1"/>
  <c r="I33" i="15"/>
  <c r="L122" i="27" s="1"/>
  <c r="C36" i="15"/>
  <c r="N119" i="27" s="1"/>
  <c r="D36" i="15"/>
  <c r="E36" i="15" s="1"/>
  <c r="N120" i="27" s="1"/>
  <c r="F36" i="15"/>
  <c r="E121" i="27" s="1"/>
  <c r="H36" i="15"/>
  <c r="D37" i="15"/>
  <c r="F120" i="27" s="1"/>
  <c r="E37" i="15"/>
  <c r="O120" i="27" s="1"/>
  <c r="F37" i="15"/>
  <c r="F121" i="27" s="1"/>
  <c r="G37" i="15"/>
  <c r="O121" i="27" s="1"/>
  <c r="H37" i="15"/>
  <c r="F122" i="27" s="1"/>
  <c r="I37" i="15"/>
  <c r="O122" i="27" s="1"/>
  <c r="B38" i="15"/>
  <c r="G119" i="27" s="1"/>
  <c r="D38" i="15"/>
  <c r="G120" i="27" s="1"/>
  <c r="F38" i="15"/>
  <c r="G121" i="27" s="1"/>
  <c r="H38" i="15"/>
  <c r="G122" i="27" s="1"/>
  <c r="D39" i="15"/>
  <c r="H120" i="27" s="1"/>
  <c r="E39" i="15"/>
  <c r="Q120" i="27" s="1"/>
  <c r="F39" i="15"/>
  <c r="H121" i="27" s="1"/>
  <c r="G39" i="15"/>
  <c r="Q121" i="27" s="1"/>
  <c r="H39" i="15"/>
  <c r="H122" i="27" s="1"/>
  <c r="I39" i="15"/>
  <c r="Q122" i="27" s="1"/>
  <c r="D41" i="15"/>
  <c r="J120" i="27" s="1"/>
  <c r="F41" i="15"/>
  <c r="J121" i="27" s="1"/>
  <c r="H41" i="15"/>
  <c r="J122" i="27" s="1"/>
  <c r="C49" i="15"/>
  <c r="K123" i="27" s="1"/>
  <c r="E49" i="15"/>
  <c r="K124" i="27" s="1"/>
  <c r="G49" i="15"/>
  <c r="K125" i="27" s="1"/>
  <c r="C50" i="15"/>
  <c r="L123" i="27" s="1"/>
  <c r="E50" i="15"/>
  <c r="L124" i="27" s="1"/>
  <c r="G50" i="15"/>
  <c r="L125" i="27" s="1"/>
  <c r="B53" i="15"/>
  <c r="D53" i="15"/>
  <c r="E124" i="27" s="1"/>
  <c r="F53" i="15"/>
  <c r="E125" i="27" s="1"/>
  <c r="B54" i="15"/>
  <c r="F123" i="27" s="1"/>
  <c r="C54" i="15"/>
  <c r="O123" i="27" s="1"/>
  <c r="D54" i="15"/>
  <c r="F124" i="27" s="1"/>
  <c r="E54" i="15"/>
  <c r="O124" i="27" s="1"/>
  <c r="F54" i="15"/>
  <c r="F125" i="27" s="1"/>
  <c r="G54" i="15"/>
  <c r="O125" i="27" s="1"/>
  <c r="B55" i="15"/>
  <c r="G123" i="27" s="1"/>
  <c r="D55" i="15"/>
  <c r="G124" i="27" s="1"/>
  <c r="F55" i="15"/>
  <c r="G125" i="27" s="1"/>
  <c r="B56" i="15"/>
  <c r="H123" i="27" s="1"/>
  <c r="C56" i="15"/>
  <c r="Q123" i="27" s="1"/>
  <c r="D56" i="15"/>
  <c r="H124" i="27" s="1"/>
  <c r="E56" i="15"/>
  <c r="Q124" i="27" s="1"/>
  <c r="F56" i="15"/>
  <c r="H125" i="27" s="1"/>
  <c r="G56" i="15"/>
  <c r="Q125" i="27" s="1"/>
  <c r="B58" i="15"/>
  <c r="J123" i="27" s="1"/>
  <c r="D58" i="15"/>
  <c r="J124" i="27" s="1"/>
  <c r="F58" i="15"/>
  <c r="J125" i="27" s="1"/>
  <c r="A64" i="15"/>
  <c r="B64" i="15"/>
  <c r="C64" i="15"/>
  <c r="D64" i="15"/>
  <c r="F64" i="15"/>
  <c r="G64" i="15"/>
  <c r="H64" i="15"/>
  <c r="I64" i="15"/>
  <c r="J64" i="15"/>
  <c r="A65" i="15"/>
  <c r="B65" i="15"/>
  <c r="C65" i="15"/>
  <c r="D65" i="15"/>
  <c r="F65" i="15"/>
  <c r="G65" i="15"/>
  <c r="H65" i="15"/>
  <c r="I65" i="15"/>
  <c r="J65" i="15"/>
  <c r="A66" i="15"/>
  <c r="B66" i="15"/>
  <c r="C66" i="15"/>
  <c r="D66" i="15"/>
  <c r="F66" i="15"/>
  <c r="G66" i="15"/>
  <c r="H66" i="15"/>
  <c r="I66" i="15"/>
  <c r="J66" i="15"/>
  <c r="A67" i="15"/>
  <c r="B67" i="15"/>
  <c r="C67" i="15"/>
  <c r="D67" i="15"/>
  <c r="F67" i="15"/>
  <c r="G67" i="15"/>
  <c r="H67" i="15"/>
  <c r="I67" i="15"/>
  <c r="J67" i="15"/>
  <c r="A68" i="15"/>
  <c r="B68" i="15"/>
  <c r="C68" i="15"/>
  <c r="D68" i="15"/>
  <c r="F68" i="15"/>
  <c r="G68" i="15"/>
  <c r="H68" i="15"/>
  <c r="I68" i="15"/>
  <c r="J68" i="15"/>
  <c r="A69" i="15"/>
  <c r="B69" i="15"/>
  <c r="C69" i="15"/>
  <c r="D69" i="15"/>
  <c r="F69" i="15"/>
  <c r="G69" i="15"/>
  <c r="H69" i="15"/>
  <c r="I69" i="15"/>
  <c r="J69" i="15"/>
  <c r="A70" i="15"/>
  <c r="B70" i="15"/>
  <c r="C70" i="15"/>
  <c r="D70" i="15"/>
  <c r="F70" i="15"/>
  <c r="G70" i="15"/>
  <c r="H70" i="15"/>
  <c r="I70" i="15"/>
  <c r="J70" i="15"/>
  <c r="A71" i="15"/>
  <c r="B71" i="15"/>
  <c r="C71" i="15"/>
  <c r="D71" i="15"/>
  <c r="F71" i="15"/>
  <c r="G71" i="15"/>
  <c r="H71" i="15"/>
  <c r="I71" i="15"/>
  <c r="J71" i="15"/>
  <c r="A72" i="15"/>
  <c r="B72" i="15"/>
  <c r="C72" i="15"/>
  <c r="D72" i="15"/>
  <c r="F72" i="15"/>
  <c r="G72" i="15"/>
  <c r="H72" i="15"/>
  <c r="I72" i="15"/>
  <c r="J72" i="15"/>
  <c r="A73" i="15"/>
  <c r="B73" i="15"/>
  <c r="C73" i="15"/>
  <c r="D73" i="15"/>
  <c r="F73" i="15"/>
  <c r="G73" i="15"/>
  <c r="H73" i="15"/>
  <c r="I73" i="15"/>
  <c r="J73" i="15"/>
  <c r="A74" i="15"/>
  <c r="B74" i="15"/>
  <c r="C74" i="15"/>
  <c r="D74" i="15"/>
  <c r="F74" i="15"/>
  <c r="G74" i="15"/>
  <c r="H74" i="15"/>
  <c r="I74" i="15"/>
  <c r="J74" i="15"/>
  <c r="B78" i="15"/>
  <c r="F3" i="32"/>
  <c r="F4" i="32"/>
  <c r="F5" i="32"/>
  <c r="F6" i="32"/>
  <c r="F29" i="32"/>
  <c r="V30" i="32"/>
  <c r="D31" i="32"/>
  <c r="D32" i="32"/>
  <c r="B34" i="32"/>
  <c r="U34" i="32" s="1"/>
  <c r="D34" i="32"/>
  <c r="G34" i="32"/>
  <c r="B35" i="32"/>
  <c r="U35" i="32" s="1"/>
  <c r="D35" i="32"/>
  <c r="G35" i="32"/>
  <c r="B36" i="32"/>
  <c r="I36" i="32" s="1"/>
  <c r="D36" i="32"/>
  <c r="G36" i="32"/>
  <c r="B37" i="32"/>
  <c r="U37" i="32" s="1"/>
  <c r="D37" i="32"/>
  <c r="H37" i="32" s="1"/>
  <c r="G37" i="32"/>
  <c r="B38" i="32"/>
  <c r="I38" i="32" s="1"/>
  <c r="D38" i="32"/>
  <c r="G38" i="32"/>
  <c r="B39" i="32"/>
  <c r="D39" i="32"/>
  <c r="G39" i="32"/>
  <c r="B40" i="32"/>
  <c r="I40" i="32" s="1"/>
  <c r="D40" i="32"/>
  <c r="G40" i="32"/>
  <c r="E41" i="32"/>
  <c r="F41" i="32"/>
  <c r="D43" i="32"/>
  <c r="D44" i="32"/>
  <c r="B46" i="32"/>
  <c r="I46" i="32" s="1"/>
  <c r="D46" i="32"/>
  <c r="G46" i="32"/>
  <c r="B47" i="32"/>
  <c r="D47" i="32"/>
  <c r="G47" i="32"/>
  <c r="B48" i="32"/>
  <c r="U48" i="32" s="1"/>
  <c r="D48" i="32"/>
  <c r="G48" i="32"/>
  <c r="B49" i="32"/>
  <c r="U49" i="32" s="1"/>
  <c r="D49" i="32"/>
  <c r="G49" i="32"/>
  <c r="B50" i="32"/>
  <c r="U50" i="32" s="1"/>
  <c r="D50" i="32"/>
  <c r="G50" i="32"/>
  <c r="B51" i="32"/>
  <c r="U51" i="32" s="1"/>
  <c r="D51" i="32"/>
  <c r="G51" i="32"/>
  <c r="B52" i="32"/>
  <c r="I52" i="32" s="1"/>
  <c r="D52" i="32"/>
  <c r="G52" i="32"/>
  <c r="E53" i="32"/>
  <c r="F53" i="32"/>
  <c r="V57" i="32"/>
  <c r="U64" i="32"/>
  <c r="Y64" i="32"/>
  <c r="U65" i="32"/>
  <c r="Y65" i="32"/>
  <c r="U66" i="32"/>
  <c r="U68" i="32" s="1"/>
  <c r="Y66" i="32"/>
  <c r="U67" i="32"/>
  <c r="Y67" i="32"/>
  <c r="B71" i="32"/>
  <c r="U71" i="32"/>
  <c r="V71" i="32"/>
  <c r="B72" i="32"/>
  <c r="U72" i="32"/>
  <c r="V72" i="32"/>
  <c r="B73" i="32"/>
  <c r="U73" i="32"/>
  <c r="V73" i="32"/>
  <c r="B74" i="32"/>
  <c r="U74" i="32"/>
  <c r="V74" i="32"/>
  <c r="B75" i="32"/>
  <c r="U75" i="32"/>
  <c r="V75" i="32"/>
  <c r="B76" i="32"/>
  <c r="C76" i="32"/>
  <c r="V76" i="32"/>
  <c r="B77" i="32"/>
  <c r="U77" i="32"/>
  <c r="V77" i="32"/>
  <c r="B78" i="32"/>
  <c r="U78" i="32"/>
  <c r="V78" i="32"/>
  <c r="B79" i="32"/>
  <c r="C79" i="32"/>
  <c r="U79" i="32" s="1"/>
  <c r="V79" i="32"/>
  <c r="B80" i="32"/>
  <c r="C80" i="32"/>
  <c r="U80" i="32" s="1"/>
  <c r="V80" i="32"/>
  <c r="B81" i="32"/>
  <c r="C81" i="32"/>
  <c r="V81" i="32"/>
  <c r="B82" i="32"/>
  <c r="C82" i="32"/>
  <c r="U82" i="32" s="1"/>
  <c r="V82" i="32"/>
  <c r="B83" i="32"/>
  <c r="C83" i="32"/>
  <c r="U83" i="32" s="1"/>
  <c r="V83" i="32"/>
  <c r="B84" i="32"/>
  <c r="C84" i="32"/>
  <c r="U84" i="32" s="1"/>
  <c r="V84" i="32"/>
  <c r="B85" i="32"/>
  <c r="C85" i="32"/>
  <c r="U85" i="32" s="1"/>
  <c r="V85" i="32"/>
  <c r="B87" i="32"/>
  <c r="U87" i="32"/>
  <c r="V87" i="32"/>
  <c r="B88" i="32"/>
  <c r="U88" i="32"/>
  <c r="V88" i="32"/>
  <c r="B89" i="32"/>
  <c r="U89" i="32"/>
  <c r="V89" i="32"/>
  <c r="B90" i="32"/>
  <c r="U90" i="32"/>
  <c r="V90" i="32"/>
  <c r="B91" i="32"/>
  <c r="U91" i="32"/>
  <c r="V91" i="32"/>
  <c r="B92" i="32"/>
  <c r="U92" i="32"/>
  <c r="V92" i="32"/>
  <c r="B93" i="32"/>
  <c r="U93" i="32"/>
  <c r="V93" i="32"/>
  <c r="B94" i="32"/>
  <c r="U94" i="32"/>
  <c r="V94" i="32"/>
  <c r="B95" i="32"/>
  <c r="U95" i="32"/>
  <c r="V95" i="32"/>
  <c r="B96" i="32"/>
  <c r="U96" i="32"/>
  <c r="V96" i="32"/>
  <c r="B97" i="32"/>
  <c r="U97" i="32"/>
  <c r="V97" i="32"/>
  <c r="F101" i="32"/>
  <c r="G101" i="32"/>
  <c r="H101" i="32"/>
  <c r="F102" i="32"/>
  <c r="G102" i="32"/>
  <c r="H102" i="32"/>
  <c r="F104" i="32"/>
  <c r="G104" i="32"/>
  <c r="H104" i="32"/>
  <c r="F105" i="32"/>
  <c r="G105" i="32"/>
  <c r="H105" i="32"/>
  <c r="F106" i="32"/>
  <c r="G106" i="32"/>
  <c r="H106" i="32"/>
  <c r="F107" i="32"/>
  <c r="G107" i="32"/>
  <c r="H107" i="32"/>
  <c r="B111" i="32"/>
  <c r="B112" i="32"/>
  <c r="B113" i="32"/>
  <c r="B114" i="32"/>
  <c r="B115" i="32"/>
  <c r="B117" i="32"/>
  <c r="U117" i="32"/>
  <c r="B118" i="32"/>
  <c r="U118" i="32"/>
  <c r="B119" i="32"/>
  <c r="U119" i="32"/>
  <c r="U120" i="32" s="1"/>
  <c r="F126" i="32"/>
  <c r="F127" i="32"/>
  <c r="F128" i="32"/>
  <c r="F129" i="32"/>
  <c r="F130" i="32"/>
  <c r="F131" i="32"/>
  <c r="F132" i="32"/>
  <c r="B133" i="32"/>
  <c r="U133" i="32" s="1"/>
  <c r="D133" i="32"/>
  <c r="E133" i="32"/>
  <c r="G133" i="32"/>
  <c r="H133" i="32"/>
  <c r="B134" i="32"/>
  <c r="U134" i="32" s="1"/>
  <c r="D134" i="32"/>
  <c r="E134" i="32"/>
  <c r="F134" i="32"/>
  <c r="G134" i="32"/>
  <c r="H134" i="32"/>
  <c r="B135" i="32"/>
  <c r="U135" i="32" s="1"/>
  <c r="D135" i="32"/>
  <c r="E135" i="32"/>
  <c r="F135" i="32"/>
  <c r="G135" i="32"/>
  <c r="H135" i="32"/>
  <c r="B136" i="32"/>
  <c r="U136" i="32" s="1"/>
  <c r="D136" i="32"/>
  <c r="E136" i="32"/>
  <c r="F136" i="32"/>
  <c r="G136" i="32"/>
  <c r="H136" i="32"/>
  <c r="B137" i="32"/>
  <c r="U137" i="32" s="1"/>
  <c r="D137" i="32"/>
  <c r="E137" i="32"/>
  <c r="G137" i="32"/>
  <c r="H137" i="32"/>
  <c r="B138" i="32"/>
  <c r="U138" i="32" s="1"/>
  <c r="D138" i="32"/>
  <c r="E138" i="32"/>
  <c r="F138" i="32"/>
  <c r="G138" i="32"/>
  <c r="H138" i="32"/>
  <c r="B139" i="32"/>
  <c r="U139" i="32" s="1"/>
  <c r="D139" i="32"/>
  <c r="E139" i="32"/>
  <c r="F139" i="32"/>
  <c r="G139" i="32"/>
  <c r="H139" i="32"/>
  <c r="B140" i="32"/>
  <c r="U140" i="32" s="1"/>
  <c r="D140" i="32"/>
  <c r="E140" i="32"/>
  <c r="F140" i="32"/>
  <c r="G140" i="32"/>
  <c r="H140" i="32"/>
  <c r="B141" i="32"/>
  <c r="U141" i="32" s="1"/>
  <c r="D141" i="32"/>
  <c r="E141" i="32"/>
  <c r="F141" i="32"/>
  <c r="G141" i="32"/>
  <c r="H141" i="32"/>
  <c r="B142" i="32"/>
  <c r="U142" i="32" s="1"/>
  <c r="D142" i="32"/>
  <c r="E142" i="32"/>
  <c r="F142" i="32"/>
  <c r="G142" i="32"/>
  <c r="H142" i="32"/>
  <c r="B143" i="32"/>
  <c r="U143" i="32" s="1"/>
  <c r="D143" i="32"/>
  <c r="E143" i="32"/>
  <c r="F143" i="32"/>
  <c r="G143" i="32"/>
  <c r="H143" i="32"/>
  <c r="B144" i="32"/>
  <c r="U144" i="32" s="1"/>
  <c r="D144" i="32"/>
  <c r="E144" i="32"/>
  <c r="F144" i="32"/>
  <c r="G144" i="32"/>
  <c r="H144" i="32"/>
  <c r="B145" i="32"/>
  <c r="U145" i="32" s="1"/>
  <c r="D145" i="32"/>
  <c r="E145" i="32"/>
  <c r="F145" i="32"/>
  <c r="G145" i="32"/>
  <c r="H145" i="32"/>
  <c r="B146" i="32"/>
  <c r="U146" i="32" s="1"/>
  <c r="D146" i="32"/>
  <c r="E146" i="32"/>
  <c r="F146" i="32"/>
  <c r="G146" i="32"/>
  <c r="H146" i="32"/>
  <c r="B147" i="32"/>
  <c r="U147" i="32" s="1"/>
  <c r="D147" i="32"/>
  <c r="E147" i="32"/>
  <c r="F147" i="32"/>
  <c r="G147" i="32"/>
  <c r="H147" i="32"/>
  <c r="B150" i="32"/>
  <c r="U150" i="32"/>
  <c r="V150" i="32"/>
  <c r="B151" i="32"/>
  <c r="U151" i="32"/>
  <c r="V151" i="32"/>
  <c r="B152" i="32"/>
  <c r="U152" i="32"/>
  <c r="V152" i="32"/>
  <c r="X158" i="32"/>
  <c r="X159" i="32"/>
  <c r="X160" i="32"/>
  <c r="W161" i="32"/>
  <c r="X161" i="32"/>
  <c r="W162" i="32"/>
  <c r="X162" i="32"/>
  <c r="W163" i="32"/>
  <c r="X163" i="32"/>
  <c r="W164" i="32"/>
  <c r="X164" i="32"/>
  <c r="W165" i="32"/>
  <c r="X165" i="32"/>
  <c r="X166" i="32"/>
  <c r="W167" i="32"/>
  <c r="X167" i="32"/>
  <c r="B170" i="32"/>
  <c r="U170" i="32"/>
  <c r="B171" i="32"/>
  <c r="U171" i="32"/>
  <c r="B172" i="32"/>
  <c r="U172" i="32"/>
  <c r="B176" i="32"/>
  <c r="U176" i="32"/>
  <c r="B177" i="32"/>
  <c r="U177" i="32"/>
  <c r="B178" i="32"/>
  <c r="U178" i="32"/>
  <c r="B179" i="32"/>
  <c r="U179" i="32"/>
  <c r="B180" i="32"/>
  <c r="U180" i="32"/>
  <c r="V188" i="32"/>
  <c r="C204" i="32"/>
  <c r="U204" i="32" s="1"/>
  <c r="V206" i="32"/>
  <c r="C217" i="32"/>
  <c r="V217" i="32" s="1"/>
  <c r="V219" i="32"/>
  <c r="C228" i="32"/>
  <c r="V230" i="32"/>
  <c r="V231" i="32"/>
  <c r="V250" i="32"/>
  <c r="D251" i="32"/>
  <c r="V251" i="32"/>
  <c r="U255" i="32"/>
  <c r="C256" i="32"/>
  <c r="V257" i="32"/>
  <c r="D258" i="32"/>
  <c r="V258" i="32"/>
  <c r="A263" i="32"/>
  <c r="G6" i="11"/>
  <c r="D6" i="26" s="1"/>
  <c r="G7" i="11"/>
  <c r="G8" i="11"/>
  <c r="B10" i="11"/>
  <c r="G10" i="11"/>
  <c r="H5" i="19" s="1"/>
  <c r="B11" i="11"/>
  <c r="G11" i="11"/>
  <c r="D31" i="11"/>
  <c r="G55" i="11" s="1"/>
  <c r="G132" i="27" s="1"/>
  <c r="E31" i="11"/>
  <c r="A34" i="11"/>
  <c r="H34" i="11"/>
  <c r="I7" i="27" s="1"/>
  <c r="I34" i="11"/>
  <c r="J7" i="27" s="1"/>
  <c r="J34" i="11"/>
  <c r="K7" i="27" s="1"/>
  <c r="K34" i="11"/>
  <c r="A35" i="11"/>
  <c r="C35" i="11" s="1"/>
  <c r="C8" i="27" s="1"/>
  <c r="H35" i="11"/>
  <c r="I35" i="11"/>
  <c r="J8" i="27" s="1"/>
  <c r="J35" i="11"/>
  <c r="K8" i="27" s="1"/>
  <c r="A36" i="11"/>
  <c r="H36" i="11"/>
  <c r="F39" i="33" s="1"/>
  <c r="I36" i="11"/>
  <c r="J9" i="27" s="1"/>
  <c r="J36" i="11"/>
  <c r="K9" i="27" s="1"/>
  <c r="A37" i="11"/>
  <c r="H37" i="11"/>
  <c r="I10" i="27" s="1"/>
  <c r="I37" i="11"/>
  <c r="J10" i="27" s="1"/>
  <c r="J37" i="11"/>
  <c r="K10" i="27" s="1"/>
  <c r="A38" i="11"/>
  <c r="F53" i="33" s="1"/>
  <c r="H38" i="11"/>
  <c r="F75" i="24" s="1"/>
  <c r="I38" i="11"/>
  <c r="J11" i="27" s="1"/>
  <c r="J38" i="11"/>
  <c r="K11" i="27"/>
  <c r="A39" i="11"/>
  <c r="C39" i="11" s="1"/>
  <c r="H39" i="11"/>
  <c r="I39" i="11"/>
  <c r="J12" i="27" s="1"/>
  <c r="J39" i="11"/>
  <c r="K12" i="27" s="1"/>
  <c r="A40" i="11"/>
  <c r="H40" i="11"/>
  <c r="F55" i="11"/>
  <c r="F132" i="27" s="1"/>
  <c r="L55" i="11"/>
  <c r="M132" i="27" s="1"/>
  <c r="F56" i="11"/>
  <c r="L56" i="11"/>
  <c r="M133" i="27" s="1"/>
  <c r="F57" i="11"/>
  <c r="F134" i="27" s="1"/>
  <c r="L57" i="11"/>
  <c r="M134" i="27" s="1"/>
  <c r="F58" i="11"/>
  <c r="F135" i="27" s="1"/>
  <c r="L58" i="11"/>
  <c r="M135" i="27" s="1"/>
  <c r="F59" i="11"/>
  <c r="F136" i="27" s="1"/>
  <c r="L59" i="11"/>
  <c r="M136" i="27" s="1"/>
  <c r="F60" i="11"/>
  <c r="F137" i="27" s="1"/>
  <c r="L60" i="11"/>
  <c r="M137" i="27" s="1"/>
  <c r="F61" i="11"/>
  <c r="F138" i="27" s="1"/>
  <c r="L61" i="11"/>
  <c r="M138" i="27" s="1"/>
  <c r="D62" i="11"/>
  <c r="C18" i="11" s="1"/>
  <c r="E15" i="32" s="1"/>
  <c r="E62" i="11"/>
  <c r="F76" i="11"/>
  <c r="F144" i="27" s="1"/>
  <c r="L76" i="11"/>
  <c r="M144" i="27" s="1"/>
  <c r="F77" i="11"/>
  <c r="L77" i="11"/>
  <c r="M145" i="27" s="1"/>
  <c r="F78" i="11"/>
  <c r="F146" i="27" s="1"/>
  <c r="L78" i="11"/>
  <c r="M146" i="27" s="1"/>
  <c r="F79" i="11"/>
  <c r="F147" i="27" s="1"/>
  <c r="L79" i="11"/>
  <c r="M147" i="27" s="1"/>
  <c r="F80" i="11"/>
  <c r="F148" i="27" s="1"/>
  <c r="L80" i="11"/>
  <c r="M148" i="27" s="1"/>
  <c r="F81" i="11"/>
  <c r="F149" i="27" s="1"/>
  <c r="L81" i="11"/>
  <c r="M149" i="27" s="1"/>
  <c r="F82" i="11"/>
  <c r="F150" i="27" s="1"/>
  <c r="L82" i="11"/>
  <c r="M150" i="27" s="1"/>
  <c r="D83" i="11"/>
  <c r="E83" i="11"/>
  <c r="A96" i="11"/>
  <c r="B158" i="32" s="1"/>
  <c r="U158" i="32" s="1"/>
  <c r="E96" i="11"/>
  <c r="F114" i="24" s="1"/>
  <c r="F96" i="11"/>
  <c r="E53" i="27" s="1"/>
  <c r="A97" i="11"/>
  <c r="F87" i="33" s="1"/>
  <c r="J97" i="11"/>
  <c r="J54" i="27" s="1"/>
  <c r="A98" i="11"/>
  <c r="F93" i="33" s="1"/>
  <c r="J98" i="11"/>
  <c r="J55" i="27" s="1"/>
  <c r="A99" i="11"/>
  <c r="B161" i="32" s="1"/>
  <c r="U161" i="32" s="1"/>
  <c r="E99" i="11"/>
  <c r="F100" i="33" s="1"/>
  <c r="F99" i="11"/>
  <c r="E56" i="27" s="1"/>
  <c r="G99" i="11"/>
  <c r="J99" i="11"/>
  <c r="J56" i="27" s="1"/>
  <c r="A100" i="11"/>
  <c r="B162" i="32" s="1"/>
  <c r="U162" i="32" s="1"/>
  <c r="E100" i="11"/>
  <c r="D57" i="27" s="1"/>
  <c r="F100" i="11"/>
  <c r="E57" i="27" s="1"/>
  <c r="J100" i="11"/>
  <c r="J57" i="27" s="1"/>
  <c r="A101" i="11"/>
  <c r="B163" i="32" s="1"/>
  <c r="U163" i="32" s="1"/>
  <c r="J101" i="11"/>
  <c r="J58" i="27" s="1"/>
  <c r="A102" i="11"/>
  <c r="A59" i="27" s="1"/>
  <c r="E102" i="11"/>
  <c r="D59" i="27" s="1"/>
  <c r="F102" i="11"/>
  <c r="E59" i="27" s="1"/>
  <c r="J102" i="11"/>
  <c r="J59" i="27" s="1"/>
  <c r="A103" i="11"/>
  <c r="A60" i="27" s="1"/>
  <c r="E103" i="11"/>
  <c r="F124" i="33" s="1"/>
  <c r="F103" i="11"/>
  <c r="E60" i="27" s="1"/>
  <c r="A104" i="11"/>
  <c r="B166" i="32" s="1"/>
  <c r="U166" i="32" s="1"/>
  <c r="J104" i="11"/>
  <c r="J61" i="27" s="1"/>
  <c r="A105" i="11"/>
  <c r="B167" i="32" s="1"/>
  <c r="U167" i="32" s="1"/>
  <c r="E105" i="11"/>
  <c r="D62" i="27" s="1"/>
  <c r="J105" i="11"/>
  <c r="J62" i="27" s="1"/>
  <c r="K105" i="11"/>
  <c r="K62" i="27" s="1"/>
  <c r="A85" i="27"/>
  <c r="B85" i="27"/>
  <c r="C85" i="27"/>
  <c r="A86" i="27"/>
  <c r="B86" i="27"/>
  <c r="C86" i="27"/>
  <c r="A87" i="27"/>
  <c r="B87" i="27"/>
  <c r="C87" i="27"/>
  <c r="A88" i="27"/>
  <c r="B88" i="27"/>
  <c r="C88" i="27"/>
  <c r="A89" i="27"/>
  <c r="B89" i="27"/>
  <c r="C89" i="27"/>
  <c r="A118" i="11"/>
  <c r="A90" i="27" s="1"/>
  <c r="B118" i="11"/>
  <c r="B90" i="27"/>
  <c r="D118" i="11"/>
  <c r="C90" i="27" s="1"/>
  <c r="F118" i="11"/>
  <c r="A119" i="11"/>
  <c r="A91" i="27" s="1"/>
  <c r="B119" i="11"/>
  <c r="B91" i="27" s="1"/>
  <c r="D119" i="11"/>
  <c r="C91" i="27" s="1"/>
  <c r="F119" i="11"/>
  <c r="A120" i="11"/>
  <c r="A92" i="27" s="1"/>
  <c r="B120" i="11"/>
  <c r="B92" i="27" s="1"/>
  <c r="D120" i="11"/>
  <c r="C92" i="27" s="1"/>
  <c r="F120" i="11"/>
  <c r="V189" i="32"/>
  <c r="J126" i="11"/>
  <c r="K126" i="11"/>
  <c r="J127" i="11"/>
  <c r="B96" i="27" s="1"/>
  <c r="K127" i="11"/>
  <c r="C96" i="27" s="1"/>
  <c r="A97" i="27"/>
  <c r="J128" i="11"/>
  <c r="B97" i="27" s="1"/>
  <c r="K128" i="11"/>
  <c r="C97" i="27" s="1"/>
  <c r="A129" i="11"/>
  <c r="C192" i="32" s="1"/>
  <c r="U192" i="32" s="1"/>
  <c r="J129" i="11"/>
  <c r="B98" i="27" s="1"/>
  <c r="K129" i="11"/>
  <c r="C98" i="27" s="1"/>
  <c r="A130" i="11"/>
  <c r="C193" i="32" s="1"/>
  <c r="U193" i="32" s="1"/>
  <c r="J130" i="11"/>
  <c r="K130" i="11"/>
  <c r="A131" i="11"/>
  <c r="J131" i="11"/>
  <c r="B102" i="27" s="1"/>
  <c r="K131" i="11"/>
  <c r="C102" i="27" s="1"/>
  <c r="A132" i="11"/>
  <c r="A103" i="27" s="1"/>
  <c r="J132" i="11"/>
  <c r="B103" i="27" s="1"/>
  <c r="K132" i="11"/>
  <c r="C103" i="27" s="1"/>
  <c r="A133" i="11"/>
  <c r="A104" i="27" s="1"/>
  <c r="J133" i="11"/>
  <c r="B104" i="27" s="1"/>
  <c r="K133" i="11"/>
  <c r="C104" i="27" s="1"/>
  <c r="A134" i="11"/>
  <c r="A105" i="27" s="1"/>
  <c r="J134" i="11"/>
  <c r="B105" i="27" s="1"/>
  <c r="K134" i="11"/>
  <c r="C105" i="27" s="1"/>
  <c r="A135" i="11"/>
  <c r="A106" i="27" s="1"/>
  <c r="J135" i="11"/>
  <c r="B106" i="27" s="1"/>
  <c r="K135" i="11"/>
  <c r="C106" i="27" s="1"/>
  <c r="A136" i="11"/>
  <c r="A107" i="27" s="1"/>
  <c r="J136" i="11"/>
  <c r="B107" i="27" s="1"/>
  <c r="K136" i="11"/>
  <c r="C107" i="27" s="1"/>
  <c r="A137" i="11"/>
  <c r="A108" i="27" s="1"/>
  <c r="J137" i="11"/>
  <c r="B108" i="27" s="1"/>
  <c r="K137" i="11"/>
  <c r="C108" i="27" s="1"/>
  <c r="A138" i="11"/>
  <c r="A109" i="27" s="1"/>
  <c r="J138" i="11"/>
  <c r="B109" i="27" s="1"/>
  <c r="K138" i="11"/>
  <c r="C109" i="27" s="1"/>
  <c r="A139" i="11"/>
  <c r="C202" i="32" s="1"/>
  <c r="V202" i="32" s="1"/>
  <c r="J139" i="11"/>
  <c r="B110" i="27" s="1"/>
  <c r="K139" i="11"/>
  <c r="C110" i="27" s="1"/>
  <c r="A140" i="11"/>
  <c r="C203" i="32" s="1"/>
  <c r="V203" i="32" s="1"/>
  <c r="J140" i="11"/>
  <c r="B111" i="27" s="1"/>
  <c r="K140" i="11"/>
  <c r="C111" i="27" s="1"/>
  <c r="U207" i="32"/>
  <c r="J146" i="11"/>
  <c r="U208" i="32"/>
  <c r="J147" i="11"/>
  <c r="U209" i="32"/>
  <c r="J148" i="11"/>
  <c r="U210" i="32"/>
  <c r="J149" i="11"/>
  <c r="J150" i="11"/>
  <c r="A151" i="11"/>
  <c r="U212" i="32" s="1"/>
  <c r="J151" i="11"/>
  <c r="A152" i="11"/>
  <c r="C213" i="32" s="1"/>
  <c r="J152" i="11"/>
  <c r="A153" i="11"/>
  <c r="C214" i="32" s="1"/>
  <c r="U214" i="32" s="1"/>
  <c r="J153" i="11"/>
  <c r="A154" i="11"/>
  <c r="C215" i="32" s="1"/>
  <c r="J154" i="11"/>
  <c r="A155" i="11"/>
  <c r="C216" i="32" s="1"/>
  <c r="V216" i="32" s="1"/>
  <c r="J155" i="11"/>
  <c r="J159" i="11"/>
  <c r="A160" i="11"/>
  <c r="C221" i="32" s="1"/>
  <c r="V221" i="32" s="1"/>
  <c r="J160" i="11"/>
  <c r="A161" i="11"/>
  <c r="C222" i="32" s="1"/>
  <c r="V222" i="32" s="1"/>
  <c r="J161" i="11"/>
  <c r="A162" i="11"/>
  <c r="C223" i="32" s="1"/>
  <c r="J162" i="11"/>
  <c r="A163" i="11"/>
  <c r="C224" i="32" s="1"/>
  <c r="J163" i="11"/>
  <c r="A164" i="11"/>
  <c r="C225" i="32" s="1"/>
  <c r="V225" i="32" s="1"/>
  <c r="J164" i="11"/>
  <c r="A165" i="11"/>
  <c r="C226" i="32"/>
  <c r="U226" i="32" s="1"/>
  <c r="J165" i="11"/>
  <c r="A166" i="11"/>
  <c r="C227" i="32" s="1"/>
  <c r="U227" i="32" s="1"/>
  <c r="J166" i="11"/>
  <c r="C222" i="24"/>
  <c r="A171" i="11"/>
  <c r="C223" i="24" s="1"/>
  <c r="A172" i="11"/>
  <c r="C224" i="24" s="1"/>
  <c r="A173" i="11"/>
  <c r="A174" i="11"/>
  <c r="C236" i="32" s="1"/>
  <c r="U236" i="32" s="1"/>
  <c r="A175" i="11"/>
  <c r="C227" i="24"/>
  <c r="A176" i="11"/>
  <c r="C238" i="32" s="1"/>
  <c r="U238" i="32" s="1"/>
  <c r="A177" i="11"/>
  <c r="C229" i="24" s="1"/>
  <c r="A178" i="11"/>
  <c r="U243" i="32"/>
  <c r="A181" i="11"/>
  <c r="A182" i="11"/>
  <c r="C245" i="32" s="1"/>
  <c r="U245" i="32" s="1"/>
  <c r="A183" i="11"/>
  <c r="C246" i="32" s="1"/>
  <c r="U246" i="32" s="1"/>
  <c r="A184" i="11"/>
  <c r="C247" i="32" s="1"/>
  <c r="U247" i="32" s="1"/>
  <c r="A185" i="11"/>
  <c r="C248" i="32" s="1"/>
  <c r="U248" i="32" s="1"/>
  <c r="A186" i="11"/>
  <c r="P189" i="11"/>
  <c r="A210" i="11"/>
  <c r="C210" i="11" s="1"/>
  <c r="C211" i="11" s="1"/>
  <c r="E12" i="19"/>
  <c r="J12" i="19" s="1"/>
  <c r="E14" i="19"/>
  <c r="J14" i="19" s="1"/>
  <c r="E15" i="19"/>
  <c r="J15" i="19" s="1"/>
  <c r="E16" i="19"/>
  <c r="J16" i="19" s="1"/>
  <c r="O32" i="19"/>
  <c r="O33" i="19"/>
  <c r="C50" i="19"/>
  <c r="E50" i="19"/>
  <c r="K64" i="19"/>
  <c r="L64" i="19"/>
  <c r="M64" i="19"/>
  <c r="N64" i="19" s="1"/>
  <c r="C64" i="19"/>
  <c r="AO31" i="27" s="1"/>
  <c r="K65" i="19"/>
  <c r="L65" i="19"/>
  <c r="M65" i="19"/>
  <c r="N65" i="19" s="1"/>
  <c r="C65" i="19"/>
  <c r="AP31" i="27" s="1"/>
  <c r="P82" i="19"/>
  <c r="Q82" i="19"/>
  <c r="R82" i="19"/>
  <c r="B83" i="19"/>
  <c r="C83" i="19"/>
  <c r="B84" i="19"/>
  <c r="C84" i="19"/>
  <c r="B85" i="19"/>
  <c r="C85" i="19"/>
  <c r="B86" i="19"/>
  <c r="C86" i="19"/>
  <c r="B87" i="19"/>
  <c r="C87" i="19"/>
  <c r="B88" i="19"/>
  <c r="C88" i="19"/>
  <c r="B89" i="19"/>
  <c r="C89" i="19"/>
  <c r="B90" i="19"/>
  <c r="C90" i="19"/>
  <c r="B91" i="19"/>
  <c r="C91" i="19"/>
  <c r="B92" i="19"/>
  <c r="C92" i="19"/>
  <c r="B3" i="21"/>
  <c r="B4" i="21"/>
  <c r="B18" i="21"/>
  <c r="C18" i="21"/>
  <c r="E18" i="21"/>
  <c r="CI726" i="22"/>
  <c r="G18" i="21"/>
  <c r="H112" i="32" s="1"/>
  <c r="B19" i="21"/>
  <c r="CG766" i="22"/>
  <c r="C19" i="21"/>
  <c r="F113" i="32" s="1"/>
  <c r="E19" i="21"/>
  <c r="G113" i="32"/>
  <c r="G19" i="21"/>
  <c r="J72" i="27" s="1"/>
  <c r="B20" i="21"/>
  <c r="CG725" i="22"/>
  <c r="C20" i="21"/>
  <c r="K70" i="27" s="1"/>
  <c r="E20" i="21"/>
  <c r="G114" i="32"/>
  <c r="G20" i="21"/>
  <c r="CJ767" i="22" s="1"/>
  <c r="B21" i="21"/>
  <c r="C21" i="21"/>
  <c r="E21" i="21"/>
  <c r="G21" i="21"/>
  <c r="L72" i="27"/>
  <c r="B30" i="21"/>
  <c r="B12" i="21" s="1"/>
  <c r="C30" i="21"/>
  <c r="E30" i="21"/>
  <c r="M71" i="27" s="1"/>
  <c r="G30" i="21"/>
  <c r="G179" i="21"/>
  <c r="I179" i="21" s="1"/>
  <c r="C83" i="15" s="1"/>
  <c r="B39" i="21"/>
  <c r="C39" i="21"/>
  <c r="E39" i="21"/>
  <c r="N71" i="27" s="1"/>
  <c r="G39" i="21"/>
  <c r="N72" i="27" s="1"/>
  <c r="I39" i="21"/>
  <c r="B50" i="21"/>
  <c r="C50" i="21"/>
  <c r="C182" i="21" s="1"/>
  <c r="E50" i="21"/>
  <c r="G50" i="21"/>
  <c r="G182" i="21" s="1"/>
  <c r="I182" i="21" s="1"/>
  <c r="C86" i="15" s="1"/>
  <c r="B55" i="21"/>
  <c r="B63" i="21" s="1"/>
  <c r="C55" i="21"/>
  <c r="E55" i="21"/>
  <c r="G55" i="21"/>
  <c r="Q72" i="27" s="1"/>
  <c r="G189" i="21"/>
  <c r="I189" i="21" s="1"/>
  <c r="C93" i="15" s="1"/>
  <c r="B62" i="21"/>
  <c r="CG782" i="22"/>
  <c r="C62" i="21"/>
  <c r="C67" i="21"/>
  <c r="E67" i="21"/>
  <c r="D68" i="21"/>
  <c r="D69" i="21"/>
  <c r="F69" i="21"/>
  <c r="H69" i="21"/>
  <c r="D70" i="21"/>
  <c r="F70" i="21"/>
  <c r="H70" i="21"/>
  <c r="B71" i="21"/>
  <c r="C71" i="21"/>
  <c r="E71" i="21"/>
  <c r="E185" i="21"/>
  <c r="G71" i="21"/>
  <c r="D72" i="21"/>
  <c r="F72" i="21"/>
  <c r="H72" i="21"/>
  <c r="H73" i="21"/>
  <c r="F75" i="21"/>
  <c r="H75" i="21"/>
  <c r="D76" i="21"/>
  <c r="F76" i="21"/>
  <c r="H76" i="21"/>
  <c r="B77" i="21"/>
  <c r="C77" i="21"/>
  <c r="D77" i="21" s="1"/>
  <c r="E77" i="21"/>
  <c r="F77" i="21" s="1"/>
  <c r="G77" i="21"/>
  <c r="D79" i="21"/>
  <c r="F79" i="21"/>
  <c r="H79" i="21"/>
  <c r="D80" i="21"/>
  <c r="F80" i="21"/>
  <c r="H80" i="21"/>
  <c r="D81" i="21"/>
  <c r="F81" i="21"/>
  <c r="H81" i="21"/>
  <c r="D83" i="21"/>
  <c r="F83" i="21"/>
  <c r="H83" i="21"/>
  <c r="D84" i="21"/>
  <c r="F84" i="21"/>
  <c r="H84" i="21"/>
  <c r="I93" i="21"/>
  <c r="K93" i="21"/>
  <c r="L93" i="21"/>
  <c r="M93" i="21"/>
  <c r="I94" i="21"/>
  <c r="K94" i="21"/>
  <c r="L94" i="21"/>
  <c r="M94" i="21"/>
  <c r="I95" i="21"/>
  <c r="K95" i="21"/>
  <c r="L95" i="21"/>
  <c r="M95" i="21"/>
  <c r="I96" i="21"/>
  <c r="I97" i="21" s="1"/>
  <c r="K96" i="21"/>
  <c r="L96" i="21"/>
  <c r="M96" i="21"/>
  <c r="N96" i="21"/>
  <c r="C181" i="21"/>
  <c r="E181" i="21"/>
  <c r="G181" i="21"/>
  <c r="C184" i="21"/>
  <c r="E184" i="21"/>
  <c r="G184" i="21"/>
  <c r="I184" i="21"/>
  <c r="C88" i="15"/>
  <c r="C187" i="21"/>
  <c r="E187" i="21"/>
  <c r="G187" i="21"/>
  <c r="C188" i="21"/>
  <c r="E188" i="21"/>
  <c r="I188" i="21" s="1"/>
  <c r="C92" i="15" s="1"/>
  <c r="G188" i="21"/>
  <c r="C189" i="21"/>
  <c r="E189" i="21"/>
  <c r="C4" i="36"/>
  <c r="C5" i="36"/>
  <c r="C4" i="10"/>
  <c r="C5" i="10"/>
  <c r="CF722" i="22"/>
  <c r="CL722" i="22" s="1"/>
  <c r="O147" i="10"/>
  <c r="P147" i="10"/>
  <c r="O148" i="10"/>
  <c r="D161" i="10"/>
  <c r="F161" i="10"/>
  <c r="H161" i="10"/>
  <c r="J161" i="10" s="1"/>
  <c r="D162" i="10" s="1"/>
  <c r="F164" i="10"/>
  <c r="F166" i="10"/>
  <c r="F167" i="10"/>
  <c r="F168" i="10"/>
  <c r="D177" i="10"/>
  <c r="E177" i="10"/>
  <c r="F177" i="10"/>
  <c r="G177" i="10" s="1"/>
  <c r="H177" i="10"/>
  <c r="I177" i="10"/>
  <c r="J177" i="10"/>
  <c r="K177" i="10" s="1"/>
  <c r="L177" i="10"/>
  <c r="M177" i="10"/>
  <c r="D178" i="10"/>
  <c r="E178" i="10" s="1"/>
  <c r="F178" i="10"/>
  <c r="G178" i="10" s="1"/>
  <c r="H178" i="10"/>
  <c r="I178" i="10"/>
  <c r="J178" i="10"/>
  <c r="K178" i="10" s="1"/>
  <c r="L178" i="10"/>
  <c r="M178" i="10"/>
  <c r="D179" i="10"/>
  <c r="E179" i="10" s="1"/>
  <c r="F179" i="10"/>
  <c r="G179" i="10" s="1"/>
  <c r="H179" i="10"/>
  <c r="I179" i="10" s="1"/>
  <c r="J179" i="10"/>
  <c r="K179" i="10" s="1"/>
  <c r="N179" i="10" s="1"/>
  <c r="O179" i="10" s="1"/>
  <c r="L179" i="10"/>
  <c r="M179" i="10" s="1"/>
  <c r="D180" i="10"/>
  <c r="E180" i="10"/>
  <c r="F180" i="10"/>
  <c r="G180" i="10" s="1"/>
  <c r="H180" i="10"/>
  <c r="I180" i="10"/>
  <c r="J180" i="10"/>
  <c r="K180" i="10" s="1"/>
  <c r="L180" i="10"/>
  <c r="M180" i="10" s="1"/>
  <c r="N180" i="10" s="1"/>
  <c r="O180" i="10" s="1"/>
  <c r="C3" i="9"/>
  <c r="C4" i="9"/>
  <c r="O146" i="9"/>
  <c r="R146" i="9" s="1"/>
  <c r="D163" i="9"/>
  <c r="F163" i="9"/>
  <c r="H163" i="9"/>
  <c r="J163" i="9" s="1"/>
  <c r="D164" i="9" s="1"/>
  <c r="F166" i="9"/>
  <c r="F167" i="9"/>
  <c r="M167" i="9"/>
  <c r="F168" i="9"/>
  <c r="M168" i="9"/>
  <c r="F169" i="9"/>
  <c r="D169" i="9" s="1"/>
  <c r="M169" i="9"/>
  <c r="F170" i="9"/>
  <c r="M170" i="9"/>
  <c r="M171" i="9"/>
  <c r="D179" i="9"/>
  <c r="E179" i="9" s="1"/>
  <c r="F179" i="9"/>
  <c r="G179" i="9" s="1"/>
  <c r="H179" i="9"/>
  <c r="I179" i="9" s="1"/>
  <c r="J179" i="9"/>
  <c r="K179" i="9"/>
  <c r="L179" i="9"/>
  <c r="M179" i="9" s="1"/>
  <c r="D180" i="9"/>
  <c r="E180" i="9" s="1"/>
  <c r="F180" i="9"/>
  <c r="G180" i="9" s="1"/>
  <c r="H180" i="9"/>
  <c r="I180" i="9" s="1"/>
  <c r="J180" i="9"/>
  <c r="K180" i="9" s="1"/>
  <c r="L180" i="9"/>
  <c r="M180" i="9"/>
  <c r="D181" i="9"/>
  <c r="E181" i="9"/>
  <c r="F181" i="9"/>
  <c r="G181" i="9"/>
  <c r="G182" i="9" s="1"/>
  <c r="H181" i="9"/>
  <c r="I181" i="9"/>
  <c r="J181" i="9"/>
  <c r="K181" i="9"/>
  <c r="K182" i="9" s="1"/>
  <c r="L181" i="9"/>
  <c r="M181" i="9"/>
  <c r="D4" i="7"/>
  <c r="D5" i="7"/>
  <c r="D9" i="7"/>
  <c r="D10" i="7"/>
  <c r="D11" i="7"/>
  <c r="D12" i="7"/>
  <c r="B17" i="7"/>
  <c r="C12" i="9"/>
  <c r="C17" i="7"/>
  <c r="C16" i="9" s="1"/>
  <c r="E17" i="7"/>
  <c r="C21" i="9" s="1"/>
  <c r="G17" i="7"/>
  <c r="C14" i="9" s="1"/>
  <c r="H17" i="7"/>
  <c r="C17" i="9"/>
  <c r="J17" i="7"/>
  <c r="K17" i="7"/>
  <c r="L17" i="7"/>
  <c r="M17" i="7"/>
  <c r="C20" i="9" s="1"/>
  <c r="B18" i="7"/>
  <c r="C38" i="9" s="1"/>
  <c r="C18" i="7"/>
  <c r="C42" i="9" s="1"/>
  <c r="E18" i="7"/>
  <c r="C47" i="9" s="1"/>
  <c r="G18" i="7"/>
  <c r="C40" i="9" s="1"/>
  <c r="H18" i="7"/>
  <c r="C43" i="9" s="1"/>
  <c r="J18" i="7"/>
  <c r="K18" i="7"/>
  <c r="C53" i="9"/>
  <c r="L18" i="7"/>
  <c r="C55" i="9" s="1"/>
  <c r="M18" i="7"/>
  <c r="C46" i="9" s="1"/>
  <c r="B19" i="7"/>
  <c r="C64" i="9" s="1"/>
  <c r="C19" i="7"/>
  <c r="C68" i="9"/>
  <c r="G19" i="7"/>
  <c r="C66" i="9" s="1"/>
  <c r="H19" i="7"/>
  <c r="C69" i="9" s="1"/>
  <c r="J19" i="7"/>
  <c r="K19" i="7"/>
  <c r="C79" i="9" s="1"/>
  <c r="L19" i="7"/>
  <c r="M19" i="7"/>
  <c r="C72" i="9" s="1"/>
  <c r="B20" i="7"/>
  <c r="C90" i="9" s="1"/>
  <c r="C20" i="7"/>
  <c r="C94" i="9"/>
  <c r="E20" i="7"/>
  <c r="C99" i="9" s="1"/>
  <c r="G20" i="7"/>
  <c r="C92" i="9" s="1"/>
  <c r="H20" i="7"/>
  <c r="C95" i="9" s="1"/>
  <c r="J20" i="7"/>
  <c r="K20" i="7"/>
  <c r="C105" i="9" s="1"/>
  <c r="L20" i="7"/>
  <c r="C107" i="9" s="1"/>
  <c r="M20" i="7"/>
  <c r="C98" i="9" s="1"/>
  <c r="B21" i="7"/>
  <c r="C116" i="9" s="1"/>
  <c r="C21" i="7"/>
  <c r="C120" i="9" s="1"/>
  <c r="E21" i="7"/>
  <c r="C125" i="9" s="1"/>
  <c r="G21" i="7"/>
  <c r="C118" i="9" s="1"/>
  <c r="H21" i="7"/>
  <c r="C121" i="9" s="1"/>
  <c r="J21" i="7"/>
  <c r="K21" i="7"/>
  <c r="C131" i="9" s="1"/>
  <c r="L21" i="7"/>
  <c r="C133" i="9" s="1"/>
  <c r="M21" i="7"/>
  <c r="C124" i="9" s="1"/>
  <c r="B25" i="7"/>
  <c r="C13" i="10" s="1"/>
  <c r="C25" i="7"/>
  <c r="C17" i="10" s="1"/>
  <c r="E25" i="7"/>
  <c r="C22" i="10" s="1"/>
  <c r="G25" i="7"/>
  <c r="C15" i="10" s="1"/>
  <c r="H25" i="7"/>
  <c r="C18" i="10" s="1"/>
  <c r="J25" i="7"/>
  <c r="K25" i="7"/>
  <c r="C28" i="10" s="1"/>
  <c r="L25" i="7"/>
  <c r="C30" i="10" s="1"/>
  <c r="M25" i="7"/>
  <c r="C21" i="10" s="1"/>
  <c r="B26" i="7"/>
  <c r="C39" i="10" s="1"/>
  <c r="C26" i="7"/>
  <c r="C43" i="10" s="1"/>
  <c r="E26" i="7"/>
  <c r="C48" i="10" s="1"/>
  <c r="G26" i="7"/>
  <c r="C41" i="10" s="1"/>
  <c r="H26" i="7"/>
  <c r="C44" i="10" s="1"/>
  <c r="J26" i="7"/>
  <c r="K26" i="7"/>
  <c r="C54" i="10" s="1"/>
  <c r="L26" i="7"/>
  <c r="C56" i="10" s="1"/>
  <c r="M26" i="7"/>
  <c r="C47" i="10" s="1"/>
  <c r="B27" i="7"/>
  <c r="C65" i="10" s="1"/>
  <c r="C27" i="7"/>
  <c r="C69" i="10" s="1"/>
  <c r="E27" i="7"/>
  <c r="C74" i="10" s="1"/>
  <c r="G27" i="7"/>
  <c r="C67" i="10" s="1"/>
  <c r="H27" i="7"/>
  <c r="C70" i="10" s="1"/>
  <c r="J27" i="7"/>
  <c r="K27" i="7"/>
  <c r="C80" i="10" s="1"/>
  <c r="L27" i="7"/>
  <c r="C82" i="10" s="1"/>
  <c r="M27" i="7"/>
  <c r="C73" i="10" s="1"/>
  <c r="B28" i="7"/>
  <c r="C91" i="10" s="1"/>
  <c r="C28" i="7"/>
  <c r="C95" i="10" s="1"/>
  <c r="E28" i="7"/>
  <c r="C100" i="10" s="1"/>
  <c r="G28" i="7"/>
  <c r="C93" i="10" s="1"/>
  <c r="H28" i="7"/>
  <c r="C96" i="10" s="1"/>
  <c r="J28" i="7"/>
  <c r="K28" i="7"/>
  <c r="C106" i="10" s="1"/>
  <c r="L28" i="7"/>
  <c r="C108" i="10" s="1"/>
  <c r="M28" i="7"/>
  <c r="C99" i="10" s="1"/>
  <c r="B29" i="7"/>
  <c r="C117" i="10" s="1"/>
  <c r="E29" i="7"/>
  <c r="C126" i="10" s="1"/>
  <c r="G29" i="7"/>
  <c r="C119" i="10" s="1"/>
  <c r="H29" i="7"/>
  <c r="C122" i="10" s="1"/>
  <c r="J29" i="7"/>
  <c r="K29" i="7"/>
  <c r="C132" i="10" s="1"/>
  <c r="L29" i="7"/>
  <c r="C134" i="10" s="1"/>
  <c r="M29" i="7"/>
  <c r="C125" i="10" s="1"/>
  <c r="E5" i="6"/>
  <c r="E6" i="6"/>
  <c r="E7" i="6"/>
  <c r="D5" i="5"/>
  <c r="D6" i="5"/>
  <c r="D14" i="5"/>
  <c r="D15" i="5"/>
  <c r="D16" i="5"/>
  <c r="D18" i="5"/>
  <c r="B26" i="5"/>
  <c r="C26" i="5"/>
  <c r="B27" i="5"/>
  <c r="C27" i="5"/>
  <c r="B28" i="5"/>
  <c r="C28" i="5"/>
  <c r="B29" i="5"/>
  <c r="C29" i="5"/>
  <c r="B30" i="5"/>
  <c r="C30" i="5"/>
  <c r="B31" i="5"/>
  <c r="C31" i="5"/>
  <c r="B32" i="5"/>
  <c r="C32" i="5"/>
  <c r="F8" i="18"/>
  <c r="G31" i="18"/>
  <c r="C32" i="18"/>
  <c r="O71" i="18"/>
  <c r="O70" i="18" s="1"/>
  <c r="CF765" i="22" s="1"/>
  <c r="CL765" i="22" s="1"/>
  <c r="O72" i="18"/>
  <c r="O73" i="18"/>
  <c r="O74" i="18"/>
  <c r="O75" i="18"/>
  <c r="A80" i="18"/>
  <c r="A86" i="18"/>
  <c r="O94" i="18"/>
  <c r="CF712" i="22" s="1"/>
  <c r="CL712" i="22" s="1"/>
  <c r="S101" i="18"/>
  <c r="S109" i="18" s="1"/>
  <c r="T101" i="18"/>
  <c r="W101" i="18"/>
  <c r="X101" i="18"/>
  <c r="Y101" i="18"/>
  <c r="Z101" i="18" s="1"/>
  <c r="AA101" i="18"/>
  <c r="AB101" i="18"/>
  <c r="F110" i="18"/>
  <c r="R102" i="18"/>
  <c r="R109" i="18"/>
  <c r="S102" i="18"/>
  <c r="T102" i="18"/>
  <c r="T108" i="18" s="1"/>
  <c r="U102" i="18"/>
  <c r="W102" i="18"/>
  <c r="X102" i="18" s="1"/>
  <c r="Y102" i="18"/>
  <c r="Z102" i="18" s="1"/>
  <c r="AA102" i="18"/>
  <c r="AB102" i="18"/>
  <c r="AE102" i="18"/>
  <c r="R103" i="18"/>
  <c r="V103" i="18" s="1"/>
  <c r="S103" i="18"/>
  <c r="T103" i="18"/>
  <c r="U103" i="18"/>
  <c r="W103" i="18"/>
  <c r="X103" i="18"/>
  <c r="Y103" i="18"/>
  <c r="Z103" i="18"/>
  <c r="AA103" i="18"/>
  <c r="AC103" i="18"/>
  <c r="AB103" i="18"/>
  <c r="AE103" i="18"/>
  <c r="R104" i="18"/>
  <c r="V104" i="18" s="1"/>
  <c r="S104" i="18"/>
  <c r="T104" i="18"/>
  <c r="U104" i="18"/>
  <c r="W104" i="18"/>
  <c r="X104" i="18"/>
  <c r="Y104" i="18"/>
  <c r="Z104" i="18"/>
  <c r="AA104" i="18"/>
  <c r="AC104" i="18"/>
  <c r="AB104" i="18"/>
  <c r="AE104" i="18"/>
  <c r="F105" i="18"/>
  <c r="G105" i="18"/>
  <c r="AD105" i="18" s="1"/>
  <c r="R105" i="18"/>
  <c r="S105" i="18"/>
  <c r="T105" i="18"/>
  <c r="U105" i="18"/>
  <c r="V105" i="18"/>
  <c r="W105" i="18"/>
  <c r="X105" i="18"/>
  <c r="Y105" i="18"/>
  <c r="Z105" i="18" s="1"/>
  <c r="AA105" i="18"/>
  <c r="AC105" i="18" s="1"/>
  <c r="AB105" i="18"/>
  <c r="AE105" i="18"/>
  <c r="F106" i="18"/>
  <c r="R106" i="18"/>
  <c r="V106" i="18" s="1"/>
  <c r="S106" i="18"/>
  <c r="T106" i="18"/>
  <c r="U106" i="18"/>
  <c r="W106" i="18"/>
  <c r="X106" i="18" s="1"/>
  <c r="Y106" i="18"/>
  <c r="Z106" i="18"/>
  <c r="AA106" i="18"/>
  <c r="AB106" i="18"/>
  <c r="AE106" i="18"/>
  <c r="F107" i="18"/>
  <c r="G107" i="18" s="1"/>
  <c r="AD107" i="18" s="1"/>
  <c r="R107" i="18"/>
  <c r="V107" i="18" s="1"/>
  <c r="S107" i="18"/>
  <c r="T107" i="18"/>
  <c r="U107" i="18"/>
  <c r="W107" i="18"/>
  <c r="X107" i="18"/>
  <c r="Y107" i="18"/>
  <c r="Z107" i="18"/>
  <c r="AA107" i="18"/>
  <c r="AB107" i="18"/>
  <c r="AC107" i="18" s="1"/>
  <c r="AE107" i="18"/>
  <c r="D108" i="18"/>
  <c r="E108" i="18"/>
  <c r="H108" i="18"/>
  <c r="X108" i="18"/>
  <c r="D109" i="18"/>
  <c r="E109" i="18"/>
  <c r="H109" i="18"/>
  <c r="D110" i="18"/>
  <c r="E110" i="18"/>
  <c r="H110" i="18"/>
  <c r="D111" i="18"/>
  <c r="E111" i="18"/>
  <c r="F111" i="18"/>
  <c r="G111" i="18"/>
  <c r="H111" i="18"/>
  <c r="C113" i="18"/>
  <c r="R138" i="18"/>
  <c r="R139" i="18"/>
  <c r="N140" i="18" s="1"/>
  <c r="R140" i="18"/>
  <c r="R141" i="18"/>
  <c r="R142" i="18"/>
  <c r="J35" i="27"/>
  <c r="Y154" i="18"/>
  <c r="Z154" i="18"/>
  <c r="AA154" i="18"/>
  <c r="AC154" i="18"/>
  <c r="Y155" i="18"/>
  <c r="Z155" i="18"/>
  <c r="AA155" i="18"/>
  <c r="AC155" i="18"/>
  <c r="R156" i="18"/>
  <c r="T156" i="18"/>
  <c r="S156" i="18"/>
  <c r="U156" i="18"/>
  <c r="Y156" i="18"/>
  <c r="Z156" i="18"/>
  <c r="AA156" i="18"/>
  <c r="AC156" i="18"/>
  <c r="J38" i="27"/>
  <c r="R157" i="18"/>
  <c r="T157" i="18" s="1"/>
  <c r="S157" i="18"/>
  <c r="U157" i="18" s="1"/>
  <c r="Y157" i="18"/>
  <c r="Z157" i="18"/>
  <c r="AA157" i="18"/>
  <c r="AC157" i="18"/>
  <c r="J39" i="27"/>
  <c r="R158" i="18"/>
  <c r="T158" i="18"/>
  <c r="Y158" i="18"/>
  <c r="Z158" i="18"/>
  <c r="AA158" i="18"/>
  <c r="AC158" i="18"/>
  <c r="R159" i="18"/>
  <c r="T159" i="18"/>
  <c r="Y159" i="18"/>
  <c r="Z159" i="18"/>
  <c r="AA159" i="18"/>
  <c r="AC159" i="18"/>
  <c r="R160" i="18"/>
  <c r="T160" i="18"/>
  <c r="S160" i="18"/>
  <c r="U160" i="18"/>
  <c r="Y160" i="18"/>
  <c r="Z160" i="18"/>
  <c r="AA160" i="18"/>
  <c r="AC160" i="18"/>
  <c r="J42" i="27"/>
  <c r="R161" i="18"/>
  <c r="T161" i="18" s="1"/>
  <c r="S161" i="18"/>
  <c r="U161" i="18" s="1"/>
  <c r="Y161" i="18"/>
  <c r="Z161" i="18"/>
  <c r="AA161" i="18"/>
  <c r="AC161" i="18"/>
  <c r="J43" i="27"/>
  <c r="R162" i="18"/>
  <c r="T162" i="18" s="1"/>
  <c r="S162" i="18"/>
  <c r="U162" i="18" s="1"/>
  <c r="Y162" i="18"/>
  <c r="Z162" i="18"/>
  <c r="AA162" i="18"/>
  <c r="AC162" i="18"/>
  <c r="R163" i="18"/>
  <c r="T163" i="18" s="1"/>
  <c r="S163" i="18"/>
  <c r="U163" i="18" s="1"/>
  <c r="Y163" i="18"/>
  <c r="Z163" i="18"/>
  <c r="AA163" i="18"/>
  <c r="AC163" i="18"/>
  <c r="R164" i="18"/>
  <c r="T164" i="18" s="1"/>
  <c r="S164" i="18"/>
  <c r="U164" i="18" s="1"/>
  <c r="Y164" i="18"/>
  <c r="Z164" i="18"/>
  <c r="AA164" i="18"/>
  <c r="AC164" i="18"/>
  <c r="J46" i="27"/>
  <c r="R165" i="18"/>
  <c r="T165" i="18"/>
  <c r="S165" i="18"/>
  <c r="U165" i="18" s="1"/>
  <c r="W165" i="18"/>
  <c r="X165" i="18"/>
  <c r="Y165" i="18"/>
  <c r="Z165" i="18"/>
  <c r="AA165" i="18"/>
  <c r="AC165" i="18"/>
  <c r="J47" i="27"/>
  <c r="R166" i="18"/>
  <c r="T166" i="18" s="1"/>
  <c r="S166" i="18"/>
  <c r="U166" i="18" s="1"/>
  <c r="Y166" i="18"/>
  <c r="Z166" i="18"/>
  <c r="AA166" i="18"/>
  <c r="AC166" i="18"/>
  <c r="R167" i="18"/>
  <c r="T167" i="18" s="1"/>
  <c r="S167" i="18"/>
  <c r="U167" i="18" s="1"/>
  <c r="W167" i="18"/>
  <c r="X167" i="18" s="1"/>
  <c r="Y167" i="18"/>
  <c r="Z167" i="18"/>
  <c r="AA167" i="18"/>
  <c r="AC167" i="18"/>
  <c r="R168" i="18"/>
  <c r="T168" i="18" s="1"/>
  <c r="S168" i="18"/>
  <c r="U168" i="18" s="1"/>
  <c r="Y168" i="18"/>
  <c r="Z168" i="18"/>
  <c r="AA168" i="18"/>
  <c r="AC168" i="18"/>
  <c r="F169" i="18"/>
  <c r="G169" i="18"/>
  <c r="F170" i="18"/>
  <c r="G170" i="18"/>
  <c r="F171" i="18"/>
  <c r="G171" i="18"/>
  <c r="F172" i="18"/>
  <c r="G172" i="18"/>
  <c r="R226" i="18"/>
  <c r="W157" i="18"/>
  <c r="X157" i="18" s="1"/>
  <c r="H37" i="27"/>
  <c r="S159" i="18"/>
  <c r="U159" i="18"/>
  <c r="CM729" i="22"/>
  <c r="CN729" i="22"/>
  <c r="H43" i="27"/>
  <c r="R154" i="18"/>
  <c r="W164" i="18"/>
  <c r="X164" i="18"/>
  <c r="W163" i="18"/>
  <c r="X163" i="18"/>
  <c r="H35" i="27"/>
  <c r="W154" i="18"/>
  <c r="X154" i="18" s="1"/>
  <c r="H41" i="27"/>
  <c r="S155" i="18"/>
  <c r="U155" i="18" s="1"/>
  <c r="U169" i="18" s="1"/>
  <c r="R155" i="18"/>
  <c r="T155" i="18"/>
  <c r="W166" i="18"/>
  <c r="X166" i="18" s="1"/>
  <c r="H36" i="27"/>
  <c r="W168" i="18"/>
  <c r="X168" i="18" s="1"/>
  <c r="W158" i="18"/>
  <c r="X158" i="18" s="1"/>
  <c r="H42" i="27"/>
  <c r="CH727" i="22"/>
  <c r="CG727" i="22"/>
  <c r="H115" i="32"/>
  <c r="J31" i="19"/>
  <c r="C31" i="19" s="1"/>
  <c r="L31" i="19" s="1"/>
  <c r="V101" i="18"/>
  <c r="R229" i="18"/>
  <c r="M103" i="11"/>
  <c r="F109" i="18"/>
  <c r="R224" i="18"/>
  <c r="M102" i="11"/>
  <c r="M97" i="11"/>
  <c r="D105" i="11"/>
  <c r="D99" i="11"/>
  <c r="C56" i="27" s="1"/>
  <c r="K100" i="11"/>
  <c r="K57" i="27" s="1"/>
  <c r="M101" i="11"/>
  <c r="F158" i="32"/>
  <c r="M99" i="11"/>
  <c r="N59" i="27"/>
  <c r="N55" i="27"/>
  <c r="M104" i="11"/>
  <c r="F120" i="33"/>
  <c r="N58" i="27"/>
  <c r="N60" i="27"/>
  <c r="N56" i="27"/>
  <c r="P84" i="19"/>
  <c r="Q86" i="19"/>
  <c r="P89" i="19"/>
  <c r="Q89" i="19"/>
  <c r="K103" i="11"/>
  <c r="K60" i="27" s="1"/>
  <c r="K97" i="11"/>
  <c r="K54" i="27" s="1"/>
  <c r="R221" i="18"/>
  <c r="R227" i="18"/>
  <c r="W158" i="32"/>
  <c r="R223" i="18"/>
  <c r="C61" i="27"/>
  <c r="E232" i="18"/>
  <c r="E231" i="18"/>
  <c r="W166" i="32"/>
  <c r="E92" i="19"/>
  <c r="C47" i="19"/>
  <c r="Y31" i="27" s="1"/>
  <c r="A14" i="33"/>
  <c r="B56" i="27"/>
  <c r="W350" i="38"/>
  <c r="W354" i="38" s="1"/>
  <c r="V350" i="38"/>
  <c r="I354" i="38" s="1"/>
  <c r="F145" i="24"/>
  <c r="CL708" i="22"/>
  <c r="Q91" i="19"/>
  <c r="CL703" i="22"/>
  <c r="J13" i="27"/>
  <c r="P83" i="19"/>
  <c r="F90" i="33"/>
  <c r="F113" i="33"/>
  <c r="F95" i="33"/>
  <c r="F84" i="19"/>
  <c r="R84" i="19" s="1"/>
  <c r="F139" i="24"/>
  <c r="F55" i="27"/>
  <c r="B54" i="27"/>
  <c r="F125" i="33"/>
  <c r="C60" i="27"/>
  <c r="F54" i="27"/>
  <c r="F87" i="19"/>
  <c r="R87" i="19" s="1"/>
  <c r="G87" i="19" s="1"/>
  <c r="H87" i="19" s="1"/>
  <c r="F140" i="24"/>
  <c r="F145" i="27"/>
  <c r="F133" i="27"/>
  <c r="F157" i="24"/>
  <c r="F108" i="33"/>
  <c r="F158" i="24"/>
  <c r="B60" i="27"/>
  <c r="C58" i="27"/>
  <c r="F107" i="33"/>
  <c r="F120" i="24"/>
  <c r="E34" i="19"/>
  <c r="CK736" i="22"/>
  <c r="F114" i="33"/>
  <c r="B58" i="27"/>
  <c r="F146" i="24"/>
  <c r="F152" i="24"/>
  <c r="B59" i="27"/>
  <c r="F121" i="24"/>
  <c r="F89" i="33"/>
  <c r="P90" i="19"/>
  <c r="Q90" i="19"/>
  <c r="F59" i="27"/>
  <c r="CL715" i="22"/>
  <c r="CM709" i="22"/>
  <c r="CO709" i="22" s="1"/>
  <c r="C55" i="27"/>
  <c r="F102" i="33"/>
  <c r="F128" i="24"/>
  <c r="C59" i="27"/>
  <c r="F89" i="19"/>
  <c r="R89" i="19" s="1"/>
  <c r="P87" i="19"/>
  <c r="Q87" i="19"/>
  <c r="Q88" i="19"/>
  <c r="P88" i="19"/>
  <c r="CM705" i="22"/>
  <c r="CO705" i="22" s="1"/>
  <c r="F53" i="27"/>
  <c r="F112" i="33"/>
  <c r="F83" i="33"/>
  <c r="D54" i="27"/>
  <c r="CL704" i="22"/>
  <c r="F144" i="24"/>
  <c r="P92" i="19"/>
  <c r="F119" i="33"/>
  <c r="CL718" i="22"/>
  <c r="CM716" i="22"/>
  <c r="CN716" i="22" s="1"/>
  <c r="CP716" i="22" s="1"/>
  <c r="CL720" i="22"/>
  <c r="W310" i="38"/>
  <c r="L314" i="38" s="1"/>
  <c r="W314" i="38"/>
  <c r="Y570" i="38"/>
  <c r="Y574" i="38" s="1"/>
  <c r="X290" i="38"/>
  <c r="V351" i="38"/>
  <c r="Y391" i="38"/>
  <c r="Y394" i="38" s="1"/>
  <c r="T410" i="38"/>
  <c r="V430" i="38"/>
  <c r="X430" i="38"/>
  <c r="T513" i="38"/>
  <c r="W46" i="38"/>
  <c r="Y370" i="38"/>
  <c r="R374" i="38"/>
  <c r="C379" i="38"/>
  <c r="C399" i="38"/>
  <c r="I399" i="38"/>
  <c r="C419" i="38"/>
  <c r="L439" i="38"/>
  <c r="F459" i="38"/>
  <c r="I479" i="38"/>
  <c r="L499" i="38"/>
  <c r="X350" i="38"/>
  <c r="V570" i="38"/>
  <c r="W570" i="38"/>
  <c r="Y532" i="38"/>
  <c r="Y534" i="38" s="1"/>
  <c r="C359" i="38"/>
  <c r="F83" i="19"/>
  <c r="R83" i="19" s="1"/>
  <c r="C53" i="27"/>
  <c r="CK772" i="22"/>
  <c r="CL735" i="22"/>
  <c r="AB169" i="18"/>
  <c r="CM707" i="22"/>
  <c r="CN707" i="22" s="1"/>
  <c r="CP707" i="22"/>
  <c r="CL710" i="22"/>
  <c r="CF731" i="22"/>
  <c r="CM731" i="22" s="1"/>
  <c r="CH769" i="22"/>
  <c r="CF769" i="22" s="1"/>
  <c r="CL769" i="22" s="1"/>
  <c r="K31" i="19"/>
  <c r="C27" i="19" s="1"/>
  <c r="E27" i="19" s="1"/>
  <c r="J27" i="19" s="1"/>
  <c r="AD154" i="18"/>
  <c r="C57" i="27"/>
  <c r="CF756" i="22"/>
  <c r="CL756" i="22" s="1"/>
  <c r="CF770" i="22"/>
  <c r="CL770" i="22" s="1"/>
  <c r="F90" i="19"/>
  <c r="R90" i="19" s="1"/>
  <c r="G90" i="19" s="1"/>
  <c r="H90" i="19" s="1"/>
  <c r="F163" i="32"/>
  <c r="F159" i="32"/>
  <c r="F160" i="32"/>
  <c r="F91" i="19"/>
  <c r="R91" i="19" s="1"/>
  <c r="CN720" i="22"/>
  <c r="CP720" i="22"/>
  <c r="CO720" i="22"/>
  <c r="CO708" i="22"/>
  <c r="CN708" i="22"/>
  <c r="CP708" i="22"/>
  <c r="E328" i="38"/>
  <c r="Y430" i="38"/>
  <c r="E78" i="21"/>
  <c r="T71" i="27"/>
  <c r="I181" i="21"/>
  <c r="C85" i="15" s="1"/>
  <c r="K71" i="27"/>
  <c r="CI725" i="22"/>
  <c r="CI767" i="22"/>
  <c r="CI766" i="22"/>
  <c r="J71" i="27"/>
  <c r="I71" i="27"/>
  <c r="CI781" i="22"/>
  <c r="CI768" i="22"/>
  <c r="N179" i="9"/>
  <c r="O179" i="9" s="1"/>
  <c r="J53" i="27"/>
  <c r="CO735" i="22"/>
  <c r="CN735" i="22"/>
  <c r="CP735" i="22" s="1"/>
  <c r="CN710" i="22"/>
  <c r="CO710" i="22"/>
  <c r="F98" i="24"/>
  <c r="F105" i="24" s="1"/>
  <c r="J105" i="24" s="1"/>
  <c r="G103" i="32"/>
  <c r="AD158" i="18"/>
  <c r="AD155" i="18"/>
  <c r="AD157" i="18"/>
  <c r="I37" i="32"/>
  <c r="A62" i="27"/>
  <c r="Q85" i="19"/>
  <c r="R85" i="19"/>
  <c r="J41" i="27"/>
  <c r="J40" i="27"/>
  <c r="AC169" i="18"/>
  <c r="AD156" i="18"/>
  <c r="M72" i="27"/>
  <c r="I182" i="9"/>
  <c r="E81" i="27"/>
  <c r="K72" i="27"/>
  <c r="R108" i="18"/>
  <c r="W171" i="18" s="1"/>
  <c r="E179" i="21"/>
  <c r="C42" i="21"/>
  <c r="D42" i="21" s="1"/>
  <c r="H114" i="32"/>
  <c r="CG767" i="22"/>
  <c r="E123" i="27"/>
  <c r="C53" i="15"/>
  <c r="N123" i="27" s="1"/>
  <c r="CH740" i="22"/>
  <c r="C16" i="21"/>
  <c r="G70" i="27" s="1"/>
  <c r="CG724" i="22"/>
  <c r="I70" i="27"/>
  <c r="B210" i="11"/>
  <c r="B211" i="11" s="1"/>
  <c r="B212" i="11" s="1"/>
  <c r="H113" i="32"/>
  <c r="CJ724" i="22"/>
  <c r="CF724" i="22" s="1"/>
  <c r="CL724" i="22" s="1"/>
  <c r="CP724" i="22" s="1"/>
  <c r="C186" i="21"/>
  <c r="CG740" i="22"/>
  <c r="CJ768" i="22"/>
  <c r="CG768" i="22"/>
  <c r="CG726" i="22"/>
  <c r="CG781" i="22"/>
  <c r="C554" i="38"/>
  <c r="CJ766" i="22"/>
  <c r="C180" i="21"/>
  <c r="T70" i="27"/>
  <c r="D71" i="21"/>
  <c r="CH767" i="22"/>
  <c r="CH725" i="22"/>
  <c r="CH724" i="22"/>
  <c r="J70" i="27"/>
  <c r="CH766" i="22"/>
  <c r="U491" i="38"/>
  <c r="I55" i="21"/>
  <c r="Q73" i="27" s="1"/>
  <c r="L97" i="21"/>
  <c r="E186" i="21"/>
  <c r="F71" i="21"/>
  <c r="D26" i="21"/>
  <c r="F96" i="33"/>
  <c r="E62" i="21"/>
  <c r="X314" i="38"/>
  <c r="I374" i="38"/>
  <c r="F107" i="38"/>
  <c r="R141" i="38"/>
  <c r="CJ726" i="22"/>
  <c r="G110" i="18"/>
  <c r="D35" i="11"/>
  <c r="D23" i="32" s="1"/>
  <c r="D60" i="27"/>
  <c r="I72" i="27"/>
  <c r="G17" i="21"/>
  <c r="H72" i="27" s="1"/>
  <c r="C197" i="32"/>
  <c r="V197" i="32" s="1"/>
  <c r="CF728" i="22"/>
  <c r="B36" i="11"/>
  <c r="B9" i="27" s="1"/>
  <c r="CL706" i="22"/>
  <c r="CI782" i="22"/>
  <c r="O86" i="21"/>
  <c r="P86" i="21"/>
  <c r="J86" i="21"/>
  <c r="F149" i="24"/>
  <c r="E39" i="11"/>
  <c r="E12" i="27" s="1"/>
  <c r="A98" i="27"/>
  <c r="V255" i="32"/>
  <c r="C38" i="11"/>
  <c r="C11" i="27" s="1"/>
  <c r="F32" i="24"/>
  <c r="F39" i="24" s="1"/>
  <c r="J39" i="24" s="1"/>
  <c r="F40" i="24"/>
  <c r="F84" i="24"/>
  <c r="F92" i="24" s="1"/>
  <c r="A8" i="27"/>
  <c r="D30" i="15"/>
  <c r="A120" i="27" s="1"/>
  <c r="B39" i="11"/>
  <c r="A56" i="27"/>
  <c r="F99" i="33"/>
  <c r="F131" i="24"/>
  <c r="B35" i="11"/>
  <c r="F34" i="24" s="1"/>
  <c r="H115" i="27"/>
  <c r="H49" i="32"/>
  <c r="H47" i="32"/>
  <c r="E120" i="27"/>
  <c r="C199" i="32"/>
  <c r="U199" i="32" s="1"/>
  <c r="D27" i="19"/>
  <c r="F27" i="19" s="1"/>
  <c r="H27" i="19" s="1"/>
  <c r="B37" i="11"/>
  <c r="F46" i="33" s="1"/>
  <c r="H38" i="32"/>
  <c r="C195" i="32"/>
  <c r="V195" i="32" s="1"/>
  <c r="A22" i="32"/>
  <c r="E22" i="32" s="1"/>
  <c r="D37" i="11"/>
  <c r="D10" i="27" s="1"/>
  <c r="H50" i="32"/>
  <c r="H39" i="32"/>
  <c r="F17" i="33"/>
  <c r="A111" i="27"/>
  <c r="D34" i="11"/>
  <c r="F34" i="11" s="1"/>
  <c r="F7" i="27" s="1"/>
  <c r="C201" i="32"/>
  <c r="V201" i="32" s="1"/>
  <c r="CO729" i="22"/>
  <c r="G77" i="11"/>
  <c r="G145" i="27" s="1"/>
  <c r="I35" i="32"/>
  <c r="F71" i="24"/>
  <c r="F78" i="24" s="1"/>
  <c r="J78" i="24" s="1"/>
  <c r="C237" i="32"/>
  <c r="U237" i="32" s="1"/>
  <c r="U52" i="32"/>
  <c r="CJ781" i="22"/>
  <c r="CJ739" i="22"/>
  <c r="CF739" i="22" s="1"/>
  <c r="CL739" i="22" s="1"/>
  <c r="CP739" i="22" s="1"/>
  <c r="CM739" i="22"/>
  <c r="CO739" i="22" s="1"/>
  <c r="B23" i="32"/>
  <c r="V102" i="18"/>
  <c r="R110" i="18"/>
  <c r="E183" i="21"/>
  <c r="D29" i="21"/>
  <c r="E181" i="10"/>
  <c r="P71" i="27"/>
  <c r="U71" i="27"/>
  <c r="Q70" i="27"/>
  <c r="E182" i="21"/>
  <c r="CJ725" i="22"/>
  <c r="CF767" i="22" s="1"/>
  <c r="CL767" i="22" s="1"/>
  <c r="CI724" i="22"/>
  <c r="AA31" i="27"/>
  <c r="F114" i="32"/>
  <c r="CG739" i="22"/>
  <c r="L71" i="27"/>
  <c r="G112" i="32"/>
  <c r="R339" i="38"/>
  <c r="D55" i="27"/>
  <c r="F94" i="33"/>
  <c r="V192" i="32"/>
  <c r="U189" i="32"/>
  <c r="U225" i="32"/>
  <c r="V209" i="32"/>
  <c r="AD102" i="18"/>
  <c r="E35" i="11"/>
  <c r="E8" i="27" s="1"/>
  <c r="Q35" i="11"/>
  <c r="A23" i="32"/>
  <c r="E23" i="32" s="1"/>
  <c r="CO718" i="22"/>
  <c r="CN718" i="22"/>
  <c r="V210" i="32"/>
  <c r="V211" i="32"/>
  <c r="U211" i="32"/>
  <c r="CO704" i="22"/>
  <c r="CN704" i="22"/>
  <c r="CL705" i="22"/>
  <c r="AE169" i="18"/>
  <c r="CF764" i="22"/>
  <c r="CL764" i="22" s="1"/>
  <c r="CF721" i="22"/>
  <c r="CM721" i="22" s="1"/>
  <c r="CN717" i="22"/>
  <c r="CO717" i="22"/>
  <c r="CL717" i="22"/>
  <c r="O107" i="38"/>
  <c r="C539" i="38"/>
  <c r="R539" i="38"/>
  <c r="I539" i="38"/>
  <c r="F539" i="38"/>
  <c r="O539" i="38"/>
  <c r="R559" i="38"/>
  <c r="F559" i="38"/>
  <c r="L559" i="38"/>
  <c r="O559" i="38"/>
  <c r="L579" i="38"/>
  <c r="C579" i="38"/>
  <c r="F579" i="38"/>
  <c r="I579" i="38"/>
  <c r="O579" i="38"/>
  <c r="W451" i="38"/>
  <c r="L339" i="38"/>
  <c r="O339" i="38"/>
  <c r="I339" i="38"/>
  <c r="F339" i="38"/>
  <c r="X492" i="38"/>
  <c r="F299" i="38"/>
  <c r="I319" i="38"/>
  <c r="L319" i="38"/>
  <c r="E19" i="7"/>
  <c r="C73" i="9" s="1"/>
  <c r="O359" i="38"/>
  <c r="I359" i="38"/>
  <c r="E180" i="21"/>
  <c r="CF781" i="22"/>
  <c r="CL781" i="22" s="1"/>
  <c r="D28" i="21"/>
  <c r="D34" i="21"/>
  <c r="G109" i="18"/>
  <c r="O354" i="38"/>
  <c r="L299" i="38"/>
  <c r="C73" i="38"/>
  <c r="O73" i="38"/>
  <c r="I299" i="38"/>
  <c r="U334" i="38"/>
  <c r="C299" i="38"/>
  <c r="M165" i="38"/>
  <c r="O260" i="38"/>
  <c r="O299" i="38"/>
  <c r="L73" i="38"/>
  <c r="L141" i="38"/>
  <c r="C50" i="9"/>
  <c r="H35" i="15"/>
  <c r="D122" i="27" s="1"/>
  <c r="F35" i="15"/>
  <c r="D121" i="27" s="1"/>
  <c r="D52" i="15"/>
  <c r="D124" i="27" s="1"/>
  <c r="CO741" i="22"/>
  <c r="CL741" i="22"/>
  <c r="V534" i="38"/>
  <c r="I534" i="38"/>
  <c r="O314" i="38"/>
  <c r="F90" i="38"/>
  <c r="R175" i="38"/>
  <c r="O141" i="38"/>
  <c r="C192" i="38"/>
  <c r="Y450" i="38"/>
  <c r="X551" i="38"/>
  <c r="L554" i="38"/>
  <c r="I554" i="38"/>
  <c r="V452" i="38"/>
  <c r="AB30" i="38"/>
  <c r="M79" i="38"/>
  <c r="V46" i="38"/>
  <c r="L359" i="38"/>
  <c r="F359" i="38"/>
  <c r="R359" i="38"/>
  <c r="R379" i="38"/>
  <c r="L379" i="38"/>
  <c r="F379" i="38"/>
  <c r="I379" i="38"/>
  <c r="F399" i="38"/>
  <c r="L399" i="38"/>
  <c r="O399" i="38"/>
  <c r="R399" i="38"/>
  <c r="I419" i="38"/>
  <c r="R419" i="38"/>
  <c r="L419" i="38"/>
  <c r="O419" i="38"/>
  <c r="F419" i="38"/>
  <c r="O439" i="38"/>
  <c r="F439" i="38"/>
  <c r="R439" i="38"/>
  <c r="C439" i="38"/>
  <c r="L459" i="38"/>
  <c r="C459" i="38"/>
  <c r="O459" i="38"/>
  <c r="R459" i="38"/>
  <c r="I459" i="38"/>
  <c r="R479" i="38"/>
  <c r="O479" i="38"/>
  <c r="L479" i="38"/>
  <c r="F479" i="38"/>
  <c r="C499" i="38"/>
  <c r="R499" i="38"/>
  <c r="O499" i="38"/>
  <c r="F499" i="38"/>
  <c r="I499" i="38"/>
  <c r="V394" i="38"/>
  <c r="I394" i="38"/>
  <c r="W531" i="38"/>
  <c r="X531" i="38"/>
  <c r="X534" i="38" s="1"/>
  <c r="U471" i="38"/>
  <c r="X470" i="38"/>
  <c r="M199" i="38"/>
  <c r="K525" i="38"/>
  <c r="AB37" i="38"/>
  <c r="AB19" i="38" s="1"/>
  <c r="C56" i="38"/>
  <c r="L243" i="38"/>
  <c r="U474" i="38"/>
  <c r="AB44" i="38"/>
  <c r="AB26" i="38" s="1"/>
  <c r="AB43" i="38"/>
  <c r="AB25" i="38" s="1"/>
  <c r="O39" i="21"/>
  <c r="R434" i="38"/>
  <c r="F116" i="24"/>
  <c r="B53" i="27"/>
  <c r="I181" i="10"/>
  <c r="U215" i="32"/>
  <c r="V215" i="32"/>
  <c r="V207" i="32"/>
  <c r="F91" i="24"/>
  <c r="J91" i="24" s="1"/>
  <c r="CF766" i="22"/>
  <c r="CL766" i="22" s="1"/>
  <c r="C102" i="9"/>
  <c r="U222" i="32"/>
  <c r="V212" i="32"/>
  <c r="CF725" i="22"/>
  <c r="G27" i="32"/>
  <c r="F23" i="24"/>
  <c r="F21" i="33"/>
  <c r="D119" i="27"/>
  <c r="D35" i="15"/>
  <c r="D120" i="27" s="1"/>
  <c r="F52" i="15"/>
  <c r="D125" i="27" s="1"/>
  <c r="D56" i="27"/>
  <c r="A110" i="27"/>
  <c r="F150" i="24"/>
  <c r="I48" i="32"/>
  <c r="A9" i="27"/>
  <c r="C196" i="32"/>
  <c r="V196" i="32" s="1"/>
  <c r="C233" i="32"/>
  <c r="V233" i="32" s="1"/>
  <c r="F45" i="24"/>
  <c r="U36" i="32"/>
  <c r="Q39" i="11"/>
  <c r="L39" i="11" s="1"/>
  <c r="CN705" i="22"/>
  <c r="F132" i="24"/>
  <c r="B165" i="32"/>
  <c r="U165" i="32" s="1"/>
  <c r="D31" i="19"/>
  <c r="M31" i="19" s="1"/>
  <c r="G78" i="11"/>
  <c r="G146" i="27" s="1"/>
  <c r="U38" i="32"/>
  <c r="CO716" i="22"/>
  <c r="F118" i="33"/>
  <c r="D41" i="32"/>
  <c r="E40" i="11"/>
  <c r="G28" i="32" s="1"/>
  <c r="A28" i="32"/>
  <c r="E28" i="32" s="1"/>
  <c r="B28" i="32"/>
  <c r="U28" i="32" s="1"/>
  <c r="D47" i="15"/>
  <c r="A124" i="27" s="1"/>
  <c r="C198" i="32"/>
  <c r="V198" i="32" s="1"/>
  <c r="I51" i="32"/>
  <c r="C234" i="32"/>
  <c r="U234" i="32" s="1"/>
  <c r="A58" i="27"/>
  <c r="F143" i="24"/>
  <c r="F57" i="33"/>
  <c r="I49" i="32"/>
  <c r="C36" i="11"/>
  <c r="C9" i="27" s="1"/>
  <c r="D36" i="11"/>
  <c r="D9" i="27" s="1"/>
  <c r="Q36" i="11"/>
  <c r="L36" i="11" s="1"/>
  <c r="E36" i="11"/>
  <c r="F36" i="11" s="1"/>
  <c r="F9" i="27" s="1"/>
  <c r="F30" i="15"/>
  <c r="A121" i="27" s="1"/>
  <c r="F30" i="33"/>
  <c r="U196" i="32"/>
  <c r="CM724" i="22"/>
  <c r="CO724" i="22" s="1"/>
  <c r="E184" i="38"/>
  <c r="E448" i="38"/>
  <c r="C49" i="19" l="1"/>
  <c r="Z31" i="27" s="1"/>
  <c r="D210" i="11"/>
  <c r="D211" i="11" s="1"/>
  <c r="D212" i="11" s="1"/>
  <c r="G88" i="19"/>
  <c r="H88" i="19" s="1"/>
  <c r="G36" i="15"/>
  <c r="N121" i="27" s="1"/>
  <c r="U202" i="32"/>
  <c r="U195" i="32"/>
  <c r="U197" i="32"/>
  <c r="U174" i="32"/>
  <c r="F474" i="38"/>
  <c r="L454" i="38"/>
  <c r="M114" i="38"/>
  <c r="M113" i="38"/>
  <c r="M232" i="38"/>
  <c r="M233" i="38"/>
  <c r="O294" i="38"/>
  <c r="X294" i="38"/>
  <c r="R294" i="38"/>
  <c r="Y294" i="38"/>
  <c r="F294" i="38"/>
  <c r="U294" i="38"/>
  <c r="T394" i="38"/>
  <c r="C394" i="38"/>
  <c r="V412" i="38"/>
  <c r="I414" i="38" s="1"/>
  <c r="W514" i="38"/>
  <c r="Y510" i="38"/>
  <c r="Y514" i="38" s="1"/>
  <c r="R514" i="38"/>
  <c r="R534" i="38"/>
  <c r="C454" i="38"/>
  <c r="F374" i="38"/>
  <c r="AC32" i="38"/>
  <c r="AD17" i="38"/>
  <c r="AD32" i="38" s="1"/>
  <c r="AB39" i="38"/>
  <c r="AB21" i="38" s="1"/>
  <c r="V47" i="38"/>
  <c r="AB29" i="38"/>
  <c r="M28" i="38"/>
  <c r="M96" i="38"/>
  <c r="M97" i="38"/>
  <c r="M181" i="38"/>
  <c r="M249" i="38"/>
  <c r="M250" i="38"/>
  <c r="V294" i="38"/>
  <c r="C314" i="38"/>
  <c r="T314" i="38"/>
  <c r="F314" i="38"/>
  <c r="U314" i="38"/>
  <c r="V432" i="38"/>
  <c r="V434" i="38" s="1"/>
  <c r="W45" i="38"/>
  <c r="AB45" i="38" s="1"/>
  <c r="AB27" i="38"/>
  <c r="X46" i="38"/>
  <c r="AB46" i="38" s="1"/>
  <c r="AB28" i="38"/>
  <c r="V49" i="38"/>
  <c r="AB31" i="38"/>
  <c r="M216" i="38"/>
  <c r="M215" i="38"/>
  <c r="R314" i="38"/>
  <c r="Y314" i="38"/>
  <c r="C334" i="38"/>
  <c r="T334" i="38"/>
  <c r="T511" i="38"/>
  <c r="T514" i="38" s="1"/>
  <c r="C514" i="38"/>
  <c r="X510" i="38"/>
  <c r="X514" i="38" s="1"/>
  <c r="O514" i="38"/>
  <c r="M130" i="38"/>
  <c r="M148" i="38"/>
  <c r="O394" i="38"/>
  <c r="Y434" i="38"/>
  <c r="Y374" i="38"/>
  <c r="R494" i="38"/>
  <c r="C294" i="38"/>
  <c r="T354" i="38"/>
  <c r="M266" i="38"/>
  <c r="I314" i="38"/>
  <c r="V354" i="38"/>
  <c r="U532" i="38"/>
  <c r="U534" i="38" s="1"/>
  <c r="T572" i="38"/>
  <c r="C574" i="38" s="1"/>
  <c r="W571" i="38"/>
  <c r="L574" i="38" s="1"/>
  <c r="X570" i="38"/>
  <c r="X574" i="38" s="1"/>
  <c r="T414" i="38"/>
  <c r="L294" i="38"/>
  <c r="U354" i="38"/>
  <c r="R334" i="38"/>
  <c r="Y334" i="38"/>
  <c r="O319" i="38"/>
  <c r="F319" i="38"/>
  <c r="C319" i="38"/>
  <c r="K324" i="38"/>
  <c r="K325" i="38" s="1"/>
  <c r="K344" i="38"/>
  <c r="K345" i="38" s="1"/>
  <c r="F394" i="38"/>
  <c r="K386" i="38" s="1"/>
  <c r="U394" i="38"/>
  <c r="Y414" i="38"/>
  <c r="K564" i="38"/>
  <c r="K565" i="38" s="1"/>
  <c r="I334" i="38"/>
  <c r="V334" i="38"/>
  <c r="X334" i="38"/>
  <c r="O19" i="38"/>
  <c r="CF737" i="22" s="1"/>
  <c r="O18" i="38"/>
  <c r="C374" i="38"/>
  <c r="V374" i="38"/>
  <c r="W374" i="38"/>
  <c r="O374" i="38"/>
  <c r="K366" i="38" s="1"/>
  <c r="W394" i="38"/>
  <c r="U411" i="38"/>
  <c r="F414" i="38" s="1"/>
  <c r="V414" i="38"/>
  <c r="L414" i="38"/>
  <c r="X411" i="38"/>
  <c r="X414" i="38" s="1"/>
  <c r="R414" i="38"/>
  <c r="T431" i="38"/>
  <c r="T434" i="38" s="1"/>
  <c r="C434" i="38"/>
  <c r="W434" i="38"/>
  <c r="U430" i="38"/>
  <c r="U434" i="38" s="1"/>
  <c r="T454" i="38"/>
  <c r="X452" i="38"/>
  <c r="X454" i="38" s="1"/>
  <c r="O454" i="38"/>
  <c r="C474" i="38"/>
  <c r="I474" i="38"/>
  <c r="L474" i="38"/>
  <c r="T494" i="38"/>
  <c r="V574" i="38"/>
  <c r="W334" i="38"/>
  <c r="L334" i="38"/>
  <c r="AB41" i="38"/>
  <c r="AB23" i="38" s="1"/>
  <c r="K464" i="38"/>
  <c r="K465" i="38" s="1"/>
  <c r="K484" i="38"/>
  <c r="K485" i="38" s="1"/>
  <c r="R474" i="38"/>
  <c r="Y470" i="38"/>
  <c r="Y474" i="38" s="1"/>
  <c r="I494" i="38"/>
  <c r="V494" i="38"/>
  <c r="W490" i="38"/>
  <c r="L494" i="38" s="1"/>
  <c r="L514" i="38"/>
  <c r="C534" i="38"/>
  <c r="X550" i="38"/>
  <c r="X554" i="38" s="1"/>
  <c r="Y554" i="38"/>
  <c r="R574" i="38"/>
  <c r="O474" i="38"/>
  <c r="L394" i="38"/>
  <c r="R90" i="38"/>
  <c r="I141" i="38"/>
  <c r="R158" i="38"/>
  <c r="C175" i="38"/>
  <c r="O175" i="38"/>
  <c r="I192" i="38"/>
  <c r="M182" i="38"/>
  <c r="X474" i="38"/>
  <c r="L107" i="38"/>
  <c r="F12" i="38" s="1"/>
  <c r="R192" i="38"/>
  <c r="R226" i="38"/>
  <c r="C243" i="38"/>
  <c r="I277" i="38"/>
  <c r="F354" i="38"/>
  <c r="P72" i="27"/>
  <c r="G180" i="21"/>
  <c r="I180" i="21" s="1"/>
  <c r="C84" i="15" s="1"/>
  <c r="G12" i="21"/>
  <c r="D72" i="27" s="1"/>
  <c r="V191" i="32"/>
  <c r="U191" i="32"/>
  <c r="L70" i="27"/>
  <c r="CH781" i="22"/>
  <c r="C17" i="21"/>
  <c r="H70" i="27" s="1"/>
  <c r="L534" i="38"/>
  <c r="W534" i="38"/>
  <c r="Y454" i="38"/>
  <c r="R454" i="38"/>
  <c r="CL728" i="22"/>
  <c r="CM728" i="22"/>
  <c r="CO728" i="22" s="1"/>
  <c r="H34" i="15"/>
  <c r="C122" i="27" s="1"/>
  <c r="D51" i="15"/>
  <c r="E51" i="15" s="1"/>
  <c r="M124" i="27" s="1"/>
  <c r="U554" i="38"/>
  <c r="F554" i="38"/>
  <c r="G106" i="18"/>
  <c r="AD106" i="18" s="1"/>
  <c r="F108" i="18"/>
  <c r="CM725" i="22"/>
  <c r="CO725" i="22" s="1"/>
  <c r="CL725" i="22"/>
  <c r="CP725" i="22" s="1"/>
  <c r="CF723" i="22"/>
  <c r="I454" i="38"/>
  <c r="V454" i="38"/>
  <c r="CF757" i="22"/>
  <c r="CL757" i="22" s="1"/>
  <c r="CF711" i="22"/>
  <c r="CM711" i="22" s="1"/>
  <c r="U494" i="38"/>
  <c r="F52" i="24"/>
  <c r="J52" i="24" s="1"/>
  <c r="F53" i="24"/>
  <c r="C414" i="38"/>
  <c r="E16" i="21"/>
  <c r="G71" i="27" s="1"/>
  <c r="R71" i="27"/>
  <c r="Z169" i="18"/>
  <c r="D35" i="19"/>
  <c r="L38" i="19" s="1"/>
  <c r="CF755" i="22"/>
  <c r="CL755" i="22" s="1"/>
  <c r="V514" i="38"/>
  <c r="I514" i="38"/>
  <c r="R169" i="18"/>
  <c r="V169" i="18" s="1"/>
  <c r="T154" i="18"/>
  <c r="T169" i="18" s="1"/>
  <c r="G185" i="21"/>
  <c r="I185" i="21" s="1"/>
  <c r="C89" i="15" s="1"/>
  <c r="H71" i="21"/>
  <c r="T72" i="27"/>
  <c r="C235" i="32"/>
  <c r="U235" i="32" s="1"/>
  <c r="C225" i="24"/>
  <c r="CP704" i="22"/>
  <c r="S108" i="18"/>
  <c r="W474" i="38"/>
  <c r="I574" i="38"/>
  <c r="T474" i="38"/>
  <c r="W454" i="38"/>
  <c r="CO706" i="22"/>
  <c r="CM712" i="22"/>
  <c r="CO712" i="22" s="1"/>
  <c r="U70" i="27"/>
  <c r="L354" i="38"/>
  <c r="K346" i="38" s="1"/>
  <c r="CP710" i="22"/>
  <c r="R394" i="38"/>
  <c r="CF713" i="22"/>
  <c r="D106" i="11"/>
  <c r="E47" i="19" s="1"/>
  <c r="N181" i="9"/>
  <c r="O181" i="9" s="1"/>
  <c r="H111" i="32"/>
  <c r="F156" i="24"/>
  <c r="F13" i="38"/>
  <c r="R554" i="38"/>
  <c r="D8" i="27"/>
  <c r="E53" i="15"/>
  <c r="N124" i="27" s="1"/>
  <c r="A54" i="27"/>
  <c r="B159" i="32"/>
  <c r="U159" i="32" s="1"/>
  <c r="P70" i="27"/>
  <c r="F119" i="24"/>
  <c r="C34" i="19"/>
  <c r="K35" i="19" s="1"/>
  <c r="AC106" i="18"/>
  <c r="AC101" i="18"/>
  <c r="C185" i="21"/>
  <c r="C78" i="21"/>
  <c r="V474" i="38"/>
  <c r="I187" i="21"/>
  <c r="C91" i="15" s="1"/>
  <c r="M97" i="21"/>
  <c r="B78" i="21"/>
  <c r="B82" i="21" s="1"/>
  <c r="B85" i="21" s="1"/>
  <c r="B87" i="21" s="1"/>
  <c r="G91" i="19"/>
  <c r="H91" i="19" s="1"/>
  <c r="O36" i="19"/>
  <c r="F137" i="32"/>
  <c r="O334" i="38"/>
  <c r="R519" i="38"/>
  <c r="AD167" i="18"/>
  <c r="CF734" i="22" s="1"/>
  <c r="CL734" i="22" s="1"/>
  <c r="H31" i="38"/>
  <c r="F39" i="38"/>
  <c r="M45" i="38"/>
  <c r="R107" i="38"/>
  <c r="F14" i="38" s="1"/>
  <c r="O124" i="38"/>
  <c r="K284" i="38"/>
  <c r="K424" i="38"/>
  <c r="K425" i="38" s="1"/>
  <c r="K504" i="38"/>
  <c r="K505" i="38" s="1"/>
  <c r="E182" i="9"/>
  <c r="D170" i="9"/>
  <c r="B16" i="21"/>
  <c r="F133" i="32"/>
  <c r="F148" i="32" s="1"/>
  <c r="I519" i="38"/>
  <c r="L519" i="38"/>
  <c r="I73" i="38"/>
  <c r="M62" i="38"/>
  <c r="C90" i="38"/>
  <c r="O90" i="38"/>
  <c r="F209" i="38"/>
  <c r="I243" i="38"/>
  <c r="F11" i="38" s="1"/>
  <c r="O243" i="38"/>
  <c r="Y354" i="38"/>
  <c r="D34" i="19"/>
  <c r="L35" i="19" s="1"/>
  <c r="D18" i="11"/>
  <c r="E18" i="11" s="1"/>
  <c r="G15" i="32" s="1"/>
  <c r="F519" i="38"/>
  <c r="I124" i="38"/>
  <c r="K544" i="38"/>
  <c r="K545" i="38" s="1"/>
  <c r="F514" i="38"/>
  <c r="K506" i="38" s="1"/>
  <c r="U574" i="38"/>
  <c r="F158" i="38"/>
  <c r="U223" i="32"/>
  <c r="V223" i="32"/>
  <c r="CO715" i="22"/>
  <c r="CN715" i="22"/>
  <c r="CP715" i="22" s="1"/>
  <c r="CO703" i="22"/>
  <c r="CN703" i="22"/>
  <c r="C12" i="27"/>
  <c r="AB28" i="32"/>
  <c r="C228" i="24"/>
  <c r="V199" i="32"/>
  <c r="CM722" i="22"/>
  <c r="CN722" i="22" s="1"/>
  <c r="CP722" i="22" s="1"/>
  <c r="G82" i="11"/>
  <c r="G150" i="27" s="1"/>
  <c r="G80" i="11"/>
  <c r="G148" i="27" s="1"/>
  <c r="G61" i="11"/>
  <c r="G138" i="27" s="1"/>
  <c r="D53" i="27"/>
  <c r="H28" i="19"/>
  <c r="F48" i="33"/>
  <c r="V204" i="32"/>
  <c r="A12" i="27"/>
  <c r="I11" i="27"/>
  <c r="F106" i="24"/>
  <c r="G59" i="11"/>
  <c r="G136" i="27" s="1"/>
  <c r="G79" i="11"/>
  <c r="G147" i="27" s="1"/>
  <c r="CP705" i="22"/>
  <c r="F62" i="33"/>
  <c r="F111" i="33"/>
  <c r="CP718" i="22"/>
  <c r="Q38" i="11"/>
  <c r="L38" i="11" s="1"/>
  <c r="I50" i="32"/>
  <c r="G60" i="11"/>
  <c r="G137" i="27" s="1"/>
  <c r="G58" i="11"/>
  <c r="G135" i="27" s="1"/>
  <c r="G81" i="11"/>
  <c r="G149" i="27" s="1"/>
  <c r="F106" i="33"/>
  <c r="F26" i="33"/>
  <c r="A55" i="27"/>
  <c r="A27" i="32"/>
  <c r="E27" i="32" s="1"/>
  <c r="D39" i="11"/>
  <c r="A11" i="27"/>
  <c r="B27" i="32"/>
  <c r="I27" i="32" s="1"/>
  <c r="U217" i="32"/>
  <c r="G56" i="11"/>
  <c r="G133" i="27" s="1"/>
  <c r="C35" i="19"/>
  <c r="H40" i="32"/>
  <c r="E13" i="27"/>
  <c r="CL731" i="22"/>
  <c r="V226" i="32"/>
  <c r="F79" i="24"/>
  <c r="CN709" i="22"/>
  <c r="CP709" i="22" s="1"/>
  <c r="G57" i="11"/>
  <c r="G134" i="27" s="1"/>
  <c r="A61" i="27"/>
  <c r="C226" i="24"/>
  <c r="F82" i="33"/>
  <c r="CP703" i="22"/>
  <c r="U86" i="32"/>
  <c r="H52" i="32"/>
  <c r="CP729" i="22"/>
  <c r="D34" i="15"/>
  <c r="F125" i="24"/>
  <c r="B160" i="32"/>
  <c r="U160" i="32" s="1"/>
  <c r="CM719" i="22"/>
  <c r="U153" i="32"/>
  <c r="U181" i="32"/>
  <c r="CL721" i="22"/>
  <c r="CN721" i="22"/>
  <c r="CO721" i="22"/>
  <c r="U76" i="32"/>
  <c r="CM737" i="22"/>
  <c r="CN737" i="22" s="1"/>
  <c r="CP737" i="22" s="1"/>
  <c r="CL737" i="22"/>
  <c r="CN728" i="22"/>
  <c r="CP728" i="22" s="1"/>
  <c r="C48" i="19"/>
  <c r="E233" i="18"/>
  <c r="C76" i="9"/>
  <c r="C24" i="9"/>
  <c r="N70" i="27"/>
  <c r="D39" i="21"/>
  <c r="CH768" i="22"/>
  <c r="CH726" i="22"/>
  <c r="F112" i="32"/>
  <c r="CH739" i="22"/>
  <c r="K36" i="19"/>
  <c r="K34" i="19" s="1"/>
  <c r="H18" i="19"/>
  <c r="E31" i="27" s="1"/>
  <c r="J19" i="19"/>
  <c r="O534" i="38"/>
  <c r="F454" i="38"/>
  <c r="D40" i="21"/>
  <c r="D37" i="21"/>
  <c r="U108" i="18"/>
  <c r="AE108" i="18"/>
  <c r="N178" i="10"/>
  <c r="O178" i="10" s="1"/>
  <c r="K181" i="10"/>
  <c r="G181" i="10"/>
  <c r="K97" i="21"/>
  <c r="U98" i="32"/>
  <c r="CL723" i="22"/>
  <c r="CM723" i="22"/>
  <c r="C46" i="19"/>
  <c r="CF736" i="22"/>
  <c r="CL736" i="22" s="1"/>
  <c r="I34" i="15"/>
  <c r="M122" i="27" s="1"/>
  <c r="X434" i="38"/>
  <c r="O434" i="38"/>
  <c r="E63" i="21"/>
  <c r="F55" i="21" s="1"/>
  <c r="Q71" i="27"/>
  <c r="U213" i="32"/>
  <c r="V213" i="32"/>
  <c r="C194" i="32"/>
  <c r="A102" i="27"/>
  <c r="F113" i="24"/>
  <c r="F81" i="33"/>
  <c r="A53" i="27"/>
  <c r="A26" i="32"/>
  <c r="E26" i="32" s="1"/>
  <c r="B26" i="32"/>
  <c r="I26" i="32" s="1"/>
  <c r="B47" i="15"/>
  <c r="A123" i="27" s="1"/>
  <c r="B38" i="11"/>
  <c r="D38" i="11"/>
  <c r="D41" i="11" s="1"/>
  <c r="C19" i="11" s="1"/>
  <c r="E38" i="11"/>
  <c r="C124" i="27"/>
  <c r="K466" i="38"/>
  <c r="CP741" i="22"/>
  <c r="CP717" i="22"/>
  <c r="D32" i="21"/>
  <c r="X169" i="18"/>
  <c r="Y169" i="18"/>
  <c r="E9" i="27"/>
  <c r="G24" i="32"/>
  <c r="I23" i="32"/>
  <c r="U23" i="32"/>
  <c r="E127" i="32"/>
  <c r="D127" i="32"/>
  <c r="B127" i="32" s="1"/>
  <c r="U127" i="32" s="1"/>
  <c r="CF726" i="22"/>
  <c r="CF768" i="22"/>
  <c r="CL768" i="22" s="1"/>
  <c r="F78" i="21"/>
  <c r="E14" i="21"/>
  <c r="E82" i="21"/>
  <c r="V71" i="27"/>
  <c r="CF730" i="22"/>
  <c r="CF772" i="22"/>
  <c r="CL772" i="22" s="1"/>
  <c r="D167" i="9"/>
  <c r="D166" i="9"/>
  <c r="D168" i="9"/>
  <c r="F172" i="9" s="1"/>
  <c r="M181" i="10"/>
  <c r="N177" i="10"/>
  <c r="O177" i="10" s="1"/>
  <c r="G186" i="21"/>
  <c r="I186" i="21" s="1"/>
  <c r="C90" i="15" s="1"/>
  <c r="U72" i="27"/>
  <c r="H77" i="21"/>
  <c r="G78" i="21"/>
  <c r="B13" i="21"/>
  <c r="B15" i="21"/>
  <c r="V228" i="32"/>
  <c r="U228" i="32"/>
  <c r="V234" i="32"/>
  <c r="I28" i="32"/>
  <c r="U198" i="32"/>
  <c r="K326" i="38"/>
  <c r="V108" i="18"/>
  <c r="X171" i="18" s="1"/>
  <c r="AA169" i="18"/>
  <c r="E98" i="21" s="1"/>
  <c r="F77" i="27" s="1"/>
  <c r="AD108" i="18"/>
  <c r="AC102" i="18"/>
  <c r="F66" i="27"/>
  <c r="CF779" i="22"/>
  <c r="CL779" i="22" s="1"/>
  <c r="F35" i="11"/>
  <c r="F8" i="27" s="1"/>
  <c r="G23" i="32"/>
  <c r="H23" i="32" s="1"/>
  <c r="U27" i="32"/>
  <c r="AB27" i="32"/>
  <c r="D38" i="21"/>
  <c r="D27" i="21"/>
  <c r="D33" i="21"/>
  <c r="O70" i="27"/>
  <c r="D41" i="21"/>
  <c r="D35" i="21"/>
  <c r="C178" i="21"/>
  <c r="D25" i="21"/>
  <c r="D36" i="21"/>
  <c r="CN731" i="22"/>
  <c r="CO731" i="22"/>
  <c r="M182" i="9"/>
  <c r="O182" i="9" s="1"/>
  <c r="N180" i="9"/>
  <c r="O180" i="9" s="1"/>
  <c r="R70" i="27"/>
  <c r="CH782" i="22"/>
  <c r="C183" i="21"/>
  <c r="N73" i="27"/>
  <c r="C12" i="21"/>
  <c r="D70" i="27" s="1"/>
  <c r="C179" i="21"/>
  <c r="D30" i="21"/>
  <c r="M70" i="27"/>
  <c r="G115" i="32"/>
  <c r="G111" i="32" s="1"/>
  <c r="E17" i="21"/>
  <c r="H71" i="27" s="1"/>
  <c r="CI739" i="22"/>
  <c r="C212" i="11"/>
  <c r="AB32" i="38"/>
  <c r="F21" i="38" s="1"/>
  <c r="O494" i="38"/>
  <c r="Z108" i="18"/>
  <c r="C14" i="21"/>
  <c r="V70" i="27"/>
  <c r="CP706" i="22"/>
  <c r="F83" i="11"/>
  <c r="R234" i="18"/>
  <c r="U216" i="32"/>
  <c r="C200" i="32"/>
  <c r="G42" i="21"/>
  <c r="E12" i="21"/>
  <c r="D71" i="27" s="1"/>
  <c r="F115" i="32"/>
  <c r="F111" i="32" s="1"/>
  <c r="S169" i="18"/>
  <c r="E42" i="21"/>
  <c r="G76" i="11"/>
  <c r="U414" i="38"/>
  <c r="T534" i="38"/>
  <c r="V224" i="32"/>
  <c r="U224" i="32"/>
  <c r="D168" i="10"/>
  <c r="D166" i="10"/>
  <c r="AB47" i="38"/>
  <c r="F62" i="24"/>
  <c r="W414" i="38"/>
  <c r="X494" i="38"/>
  <c r="G108" i="18"/>
  <c r="C494" i="38"/>
  <c r="W169" i="18"/>
  <c r="W173" i="18" s="1"/>
  <c r="CI740" i="22"/>
  <c r="F62" i="11"/>
  <c r="O37" i="19"/>
  <c r="C104" i="19" s="1"/>
  <c r="D107" i="11"/>
  <c r="E48" i="19" s="1"/>
  <c r="CF727" i="22"/>
  <c r="C63" i="21"/>
  <c r="B42" i="21"/>
  <c r="B64" i="21" s="1"/>
  <c r="U149" i="32"/>
  <c r="AB49" i="38"/>
  <c r="F494" i="38"/>
  <c r="U81" i="32"/>
  <c r="H46" i="32"/>
  <c r="H36" i="32"/>
  <c r="G84" i="19"/>
  <c r="H84" i="19" s="1"/>
  <c r="F88" i="24"/>
  <c r="H51" i="32"/>
  <c r="H48" i="32"/>
  <c r="C50" i="36"/>
  <c r="C104" i="10"/>
  <c r="C78" i="10"/>
  <c r="C26" i="10"/>
  <c r="C130" i="10"/>
  <c r="C52" i="10"/>
  <c r="AB26" i="32"/>
  <c r="U26" i="32"/>
  <c r="A57" i="27"/>
  <c r="F137" i="24"/>
  <c r="F105" i="33"/>
  <c r="B40" i="11"/>
  <c r="F71" i="33"/>
  <c r="F47" i="15"/>
  <c r="A125" i="27" s="1"/>
  <c r="Q40" i="11"/>
  <c r="L40" i="11" s="1"/>
  <c r="D40" i="11"/>
  <c r="A13" i="27"/>
  <c r="E37" i="11"/>
  <c r="F37" i="11" s="1"/>
  <c r="F10" i="27" s="1"/>
  <c r="F58" i="24"/>
  <c r="A10" i="27"/>
  <c r="Q37" i="11"/>
  <c r="L37" i="11" s="1"/>
  <c r="H30" i="15"/>
  <c r="A122" i="27" s="1"/>
  <c r="F44" i="33"/>
  <c r="C37" i="11"/>
  <c r="A25" i="32"/>
  <c r="E25" i="32" s="1"/>
  <c r="B24" i="32"/>
  <c r="F35" i="33"/>
  <c r="D164" i="10"/>
  <c r="K27" i="19"/>
  <c r="F138" i="24"/>
  <c r="D167" i="10"/>
  <c r="G89" i="19"/>
  <c r="H89" i="19" s="1"/>
  <c r="H35" i="32"/>
  <c r="B12" i="27"/>
  <c r="F64" i="33"/>
  <c r="A96" i="27"/>
  <c r="F36" i="24"/>
  <c r="I8" i="27"/>
  <c r="H7" i="19"/>
  <c r="B6" i="15"/>
  <c r="V254" i="32"/>
  <c r="U254" i="32"/>
  <c r="F37" i="33"/>
  <c r="F47" i="24"/>
  <c r="F167" i="32"/>
  <c r="F92" i="19"/>
  <c r="R92" i="19" s="1"/>
  <c r="G92" i="19" s="1"/>
  <c r="H92" i="19" s="1"/>
  <c r="C249" i="32"/>
  <c r="U249" i="32" s="1"/>
  <c r="C244" i="32"/>
  <c r="U244" i="32" s="1"/>
  <c r="C240" i="32"/>
  <c r="U240" i="32" s="1"/>
  <c r="C230" i="24"/>
  <c r="V220" i="32"/>
  <c r="U220" i="32"/>
  <c r="F155" i="24"/>
  <c r="F123" i="33"/>
  <c r="F117" i="33"/>
  <c r="B164" i="32"/>
  <c r="U164" i="32" s="1"/>
  <c r="U168" i="32" s="1"/>
  <c r="F56" i="27"/>
  <c r="F133" i="24"/>
  <c r="F101" i="33"/>
  <c r="B34" i="11"/>
  <c r="B30" i="15"/>
  <c r="A119" i="27" s="1"/>
  <c r="F19" i="24"/>
  <c r="Q34" i="11"/>
  <c r="C34" i="11"/>
  <c r="A7" i="27"/>
  <c r="I39" i="32"/>
  <c r="U39" i="32"/>
  <c r="H34" i="32"/>
  <c r="G41" i="32"/>
  <c r="E122" i="27"/>
  <c r="I36" i="15"/>
  <c r="N122" i="27" s="1"/>
  <c r="U233" i="32"/>
  <c r="D24" i="32"/>
  <c r="U201" i="32"/>
  <c r="B51" i="15"/>
  <c r="C25" i="36"/>
  <c r="D25" i="32"/>
  <c r="F51" i="15"/>
  <c r="CN712" i="22"/>
  <c r="CP712" i="22" s="1"/>
  <c r="V208" i="32"/>
  <c r="U203" i="32"/>
  <c r="U40" i="32"/>
  <c r="D165" i="10"/>
  <c r="V214" i="32"/>
  <c r="B10" i="27"/>
  <c r="F60" i="24"/>
  <c r="I13" i="27"/>
  <c r="F75" i="33"/>
  <c r="F102" i="24"/>
  <c r="I12" i="27"/>
  <c r="F66" i="33"/>
  <c r="I9" i="27"/>
  <c r="F49" i="24"/>
  <c r="D22" i="32"/>
  <c r="D7" i="27"/>
  <c r="F86" i="19"/>
  <c r="R86" i="19" s="1"/>
  <c r="F161" i="32"/>
  <c r="F168" i="32" s="1"/>
  <c r="B5" i="15"/>
  <c r="H6" i="19"/>
  <c r="U256" i="32"/>
  <c r="V256" i="32"/>
  <c r="I47" i="32"/>
  <c r="U47" i="32"/>
  <c r="G86" i="19"/>
  <c r="H86" i="19" s="1"/>
  <c r="F86" i="24"/>
  <c r="C119" i="27"/>
  <c r="C34" i="15"/>
  <c r="M119" i="27" s="1"/>
  <c r="F28" i="33"/>
  <c r="G36" i="11"/>
  <c r="CO707" i="22"/>
  <c r="D53" i="32"/>
  <c r="G53" i="15"/>
  <c r="N125" i="27" s="1"/>
  <c r="G35" i="11"/>
  <c r="E7" i="27"/>
  <c r="F174" i="9"/>
  <c r="F34" i="15"/>
  <c r="C128" i="9"/>
  <c r="CM736" i="22"/>
  <c r="B8" i="27"/>
  <c r="U221" i="32"/>
  <c r="B25" i="32"/>
  <c r="V227" i="32"/>
  <c r="C62" i="27"/>
  <c r="C239" i="32"/>
  <c r="U239" i="32" s="1"/>
  <c r="U46" i="32"/>
  <c r="A24" i="32"/>
  <c r="E24" i="32" s="1"/>
  <c r="B4" i="15"/>
  <c r="D15" i="26"/>
  <c r="I34" i="32"/>
  <c r="C40" i="11"/>
  <c r="B30" i="6"/>
  <c r="G85" i="19"/>
  <c r="H85" i="19" s="1"/>
  <c r="G83" i="19"/>
  <c r="H83" i="19" s="1"/>
  <c r="G53" i="32"/>
  <c r="K285" i="38"/>
  <c r="I294" i="38"/>
  <c r="L33" i="19" l="1"/>
  <c r="L36" i="19"/>
  <c r="L34" i="19" s="1"/>
  <c r="M33" i="19" s="1"/>
  <c r="CL711" i="22"/>
  <c r="CN711" i="22"/>
  <c r="CO711" i="22"/>
  <c r="C33" i="19"/>
  <c r="B195" i="11"/>
  <c r="K81" i="27" s="1"/>
  <c r="V235" i="32"/>
  <c r="U219" i="32"/>
  <c r="W494" i="38"/>
  <c r="K546" i="38"/>
  <c r="T574" i="38"/>
  <c r="W574" i="38"/>
  <c r="K286" i="38"/>
  <c r="F9" i="38"/>
  <c r="F15" i="38" s="1"/>
  <c r="A66" i="27" s="1"/>
  <c r="O554" i="38"/>
  <c r="F434" i="38"/>
  <c r="K426" i="38" s="1"/>
  <c r="O574" i="38"/>
  <c r="K566" i="38" s="1"/>
  <c r="I434" i="38"/>
  <c r="E66" i="27"/>
  <c r="I68" i="21"/>
  <c r="K306" i="38"/>
  <c r="CO737" i="22"/>
  <c r="F10" i="38"/>
  <c r="O414" i="38"/>
  <c r="F534" i="38"/>
  <c r="K526" i="38" s="1"/>
  <c r="D26" i="19"/>
  <c r="C26" i="19"/>
  <c r="E29" i="32"/>
  <c r="F20" i="38"/>
  <c r="D29" i="19" s="1"/>
  <c r="U54" i="32"/>
  <c r="G62" i="11"/>
  <c r="AD169" i="18"/>
  <c r="D33" i="19"/>
  <c r="L39" i="19"/>
  <c r="W175" i="18"/>
  <c r="CP731" i="22"/>
  <c r="F173" i="9"/>
  <c r="CO722" i="22"/>
  <c r="F81" i="27"/>
  <c r="CL713" i="22"/>
  <c r="CM713" i="22"/>
  <c r="F15" i="32"/>
  <c r="H41" i="32"/>
  <c r="CF776" i="22"/>
  <c r="CL776" i="22" s="1"/>
  <c r="E41" i="11"/>
  <c r="D19" i="11" s="1"/>
  <c r="F16" i="32" s="1"/>
  <c r="F17" i="32" s="1"/>
  <c r="K406" i="38"/>
  <c r="K446" i="38"/>
  <c r="CP721" i="22"/>
  <c r="H308" i="38"/>
  <c r="H568" i="38"/>
  <c r="H116" i="38"/>
  <c r="H348" i="38"/>
  <c r="H528" i="38"/>
  <c r="H408" i="38"/>
  <c r="H133" i="38"/>
  <c r="H328" i="38"/>
  <c r="H368" i="38"/>
  <c r="H448" i="38"/>
  <c r="D11" i="38"/>
  <c r="H288" i="38"/>
  <c r="H388" i="38"/>
  <c r="H65" i="38"/>
  <c r="H252" i="38"/>
  <c r="H235" i="38"/>
  <c r="H468" i="38"/>
  <c r="H167" i="38"/>
  <c r="H82" i="38"/>
  <c r="H99" i="38"/>
  <c r="H48" i="38"/>
  <c r="K31" i="38"/>
  <c r="H269" i="38"/>
  <c r="H184" i="38"/>
  <c r="H428" i="38"/>
  <c r="H201" i="38"/>
  <c r="H548" i="38"/>
  <c r="H218" i="38"/>
  <c r="H508" i="38"/>
  <c r="H150" i="38"/>
  <c r="H488" i="38"/>
  <c r="D78" i="21"/>
  <c r="C82" i="21"/>
  <c r="F103" i="32"/>
  <c r="V232" i="32"/>
  <c r="U232" i="32"/>
  <c r="U242" i="32" s="1"/>
  <c r="J74" i="19"/>
  <c r="E35" i="19"/>
  <c r="E34" i="15"/>
  <c r="M120" i="27" s="1"/>
  <c r="C120" i="27"/>
  <c r="F39" i="11"/>
  <c r="D27" i="32"/>
  <c r="D12" i="27"/>
  <c r="K38" i="19"/>
  <c r="K39" i="19"/>
  <c r="CN719" i="22"/>
  <c r="CP719" i="22" s="1"/>
  <c r="CO719" i="22"/>
  <c r="CM734" i="22"/>
  <c r="CN734" i="22" s="1"/>
  <c r="CP734" i="22" s="1"/>
  <c r="CM727" i="22"/>
  <c r="CL727" i="22"/>
  <c r="U200" i="32"/>
  <c r="V200" i="32"/>
  <c r="H78" i="21"/>
  <c r="H103" i="32"/>
  <c r="G82" i="21"/>
  <c r="G14" i="21"/>
  <c r="V72" i="27"/>
  <c r="W71" i="27"/>
  <c r="F82" i="21"/>
  <c r="E190" i="21"/>
  <c r="E85" i="21"/>
  <c r="E13" i="21"/>
  <c r="E71" i="27" s="1"/>
  <c r="CL726" i="22"/>
  <c r="CP726" i="22" s="1"/>
  <c r="CM726" i="22"/>
  <c r="CO726" i="22" s="1"/>
  <c r="X31" i="27"/>
  <c r="C73" i="19"/>
  <c r="C56" i="19"/>
  <c r="AE31" i="27" s="1"/>
  <c r="C57" i="19"/>
  <c r="AI31" i="27" s="1"/>
  <c r="U230" i="32"/>
  <c r="U250" i="32"/>
  <c r="F175" i="9"/>
  <c r="C143" i="9" s="1"/>
  <c r="CF780" i="22" s="1"/>
  <c r="CL780" i="22" s="1"/>
  <c r="K486" i="38"/>
  <c r="W179" i="18"/>
  <c r="D60" i="21"/>
  <c r="D63" i="21"/>
  <c r="D55" i="21"/>
  <c r="D61" i="21"/>
  <c r="D59" i="21"/>
  <c r="D47" i="21"/>
  <c r="D54" i="21"/>
  <c r="D45" i="21"/>
  <c r="D52" i="21"/>
  <c r="S70" i="27"/>
  <c r="D53" i="21"/>
  <c r="D48" i="21"/>
  <c r="D62" i="21"/>
  <c r="D46" i="21"/>
  <c r="C64" i="21"/>
  <c r="D57" i="21"/>
  <c r="D49" i="21"/>
  <c r="D58" i="21"/>
  <c r="D50" i="21"/>
  <c r="F42" i="21"/>
  <c r="F38" i="21"/>
  <c r="F29" i="21"/>
  <c r="F28" i="21"/>
  <c r="F27" i="21"/>
  <c r="E178" i="21"/>
  <c r="F34" i="21"/>
  <c r="F36" i="21"/>
  <c r="O71" i="27"/>
  <c r="E64" i="21"/>
  <c r="F31" i="21"/>
  <c r="F35" i="21"/>
  <c r="F33" i="21"/>
  <c r="F37" i="21"/>
  <c r="F32" i="21"/>
  <c r="F41" i="21"/>
  <c r="F40" i="21"/>
  <c r="F39" i="21"/>
  <c r="F30" i="21"/>
  <c r="F26" i="21"/>
  <c r="F25" i="21"/>
  <c r="H32" i="21"/>
  <c r="H29" i="21"/>
  <c r="H40" i="21"/>
  <c r="H36" i="21"/>
  <c r="H28" i="21"/>
  <c r="G178" i="21"/>
  <c r="I178" i="21" s="1"/>
  <c r="C82" i="15" s="1"/>
  <c r="H37" i="21"/>
  <c r="H33" i="21"/>
  <c r="H27" i="21"/>
  <c r="H39" i="21"/>
  <c r="O72" i="27"/>
  <c r="H35" i="21"/>
  <c r="H38" i="21"/>
  <c r="H26" i="21"/>
  <c r="H30" i="21"/>
  <c r="H41" i="21"/>
  <c r="H31" i="21"/>
  <c r="H42" i="21"/>
  <c r="H25" i="21"/>
  <c r="H34" i="21"/>
  <c r="K63" i="19"/>
  <c r="C15" i="21"/>
  <c r="F55" i="33"/>
  <c r="B11" i="27"/>
  <c r="F73" i="24"/>
  <c r="D108" i="11"/>
  <c r="L74" i="19" s="1"/>
  <c r="D104" i="19"/>
  <c r="BJ31" i="27" s="1"/>
  <c r="BI31" i="27"/>
  <c r="G144" i="27"/>
  <c r="G83" i="11"/>
  <c r="CL730" i="22"/>
  <c r="CM730" i="22"/>
  <c r="D26" i="32"/>
  <c r="F38" i="11"/>
  <c r="F41" i="11" s="1"/>
  <c r="D11" i="27"/>
  <c r="F59" i="21"/>
  <c r="F63" i="21"/>
  <c r="F58" i="21"/>
  <c r="F61" i="21"/>
  <c r="F45" i="21"/>
  <c r="F53" i="21"/>
  <c r="F54" i="21"/>
  <c r="F51" i="21"/>
  <c r="F62" i="21"/>
  <c r="F46" i="21"/>
  <c r="F50" i="21"/>
  <c r="F48" i="21"/>
  <c r="F52" i="21"/>
  <c r="S71" i="27"/>
  <c r="F47" i="21"/>
  <c r="F56" i="21"/>
  <c r="F49" i="21"/>
  <c r="F57" i="21"/>
  <c r="F60" i="21"/>
  <c r="X173" i="18"/>
  <c r="CF714" i="22" s="1"/>
  <c r="C30" i="19"/>
  <c r="E30" i="19" s="1"/>
  <c r="J30" i="19" s="1"/>
  <c r="D30" i="19"/>
  <c r="F30" i="19" s="1"/>
  <c r="O27" i="21"/>
  <c r="N94" i="21"/>
  <c r="I105" i="32"/>
  <c r="E15" i="21"/>
  <c r="L63" i="19"/>
  <c r="E11" i="27"/>
  <c r="G26" i="32"/>
  <c r="U194" i="32"/>
  <c r="V194" i="32"/>
  <c r="CN723" i="22"/>
  <c r="CP723" i="22" s="1"/>
  <c r="CO723" i="22"/>
  <c r="U42" i="32"/>
  <c r="H53" i="32"/>
  <c r="O181" i="10"/>
  <c r="E76" i="19"/>
  <c r="H93" i="19"/>
  <c r="H94" i="19"/>
  <c r="C76" i="19"/>
  <c r="I25" i="32"/>
  <c r="U25" i="32"/>
  <c r="AB25" i="32"/>
  <c r="C121" i="27"/>
  <c r="G34" i="15"/>
  <c r="M121" i="27" s="1"/>
  <c r="G9" i="27"/>
  <c r="F36" i="33"/>
  <c r="F46" i="24"/>
  <c r="D128" i="32"/>
  <c r="B128" i="32" s="1"/>
  <c r="U128" i="32" s="1"/>
  <c r="H24" i="32"/>
  <c r="E128" i="32"/>
  <c r="U190" i="32"/>
  <c r="V190" i="32"/>
  <c r="H81" i="27"/>
  <c r="G37" i="11"/>
  <c r="C10" i="27"/>
  <c r="D13" i="27"/>
  <c r="F40" i="11"/>
  <c r="F13" i="27" s="1"/>
  <c r="D28" i="32"/>
  <c r="F73" i="33"/>
  <c r="F100" i="24"/>
  <c r="B13" i="27"/>
  <c r="C13" i="27"/>
  <c r="G40" i="11"/>
  <c r="D126" i="32"/>
  <c r="B126" i="32" s="1"/>
  <c r="U126" i="32" s="1"/>
  <c r="D29" i="32"/>
  <c r="E126" i="32"/>
  <c r="H22" i="32"/>
  <c r="E114" i="21"/>
  <c r="F19" i="33"/>
  <c r="F21" i="24"/>
  <c r="B22" i="32"/>
  <c r="B7" i="27"/>
  <c r="E99" i="21"/>
  <c r="F172" i="10"/>
  <c r="F171" i="10"/>
  <c r="F173" i="10"/>
  <c r="C125" i="27"/>
  <c r="G51" i="15"/>
  <c r="M125" i="27" s="1"/>
  <c r="I24" i="32"/>
  <c r="U24" i="32"/>
  <c r="G25" i="32"/>
  <c r="G29" i="32" s="1"/>
  <c r="E10" i="27"/>
  <c r="CO736" i="22"/>
  <c r="CN736" i="22"/>
  <c r="CP736" i="22" s="1"/>
  <c r="F33" i="24"/>
  <c r="G8" i="27"/>
  <c r="F27" i="33"/>
  <c r="E129" i="32"/>
  <c r="D129" i="32"/>
  <c r="B129" i="32" s="1"/>
  <c r="U129" i="32" s="1"/>
  <c r="C7" i="27"/>
  <c r="G34" i="11"/>
  <c r="CF738" i="22"/>
  <c r="C123" i="27"/>
  <c r="C51" i="15"/>
  <c r="M123" i="27" s="1"/>
  <c r="E16" i="32"/>
  <c r="E17" i="32" s="1"/>
  <c r="C20" i="11"/>
  <c r="G81" i="27"/>
  <c r="F27" i="24"/>
  <c r="F26" i="24"/>
  <c r="J26" i="24" s="1"/>
  <c r="F65" i="24"/>
  <c r="J65" i="24" s="1"/>
  <c r="F66" i="24"/>
  <c r="L37" i="19"/>
  <c r="U257" i="32"/>
  <c r="CP711" i="22" l="1"/>
  <c r="CO734" i="22"/>
  <c r="K37" i="19"/>
  <c r="J26" i="19"/>
  <c r="J25" i="19"/>
  <c r="L26" i="19" s="1"/>
  <c r="K26" i="19"/>
  <c r="K25" i="19"/>
  <c r="M26" i="19" s="1"/>
  <c r="O68" i="21"/>
  <c r="I69" i="21"/>
  <c r="I83" i="21"/>
  <c r="J68" i="21"/>
  <c r="I81" i="21"/>
  <c r="J73" i="21"/>
  <c r="J79" i="21"/>
  <c r="I75" i="21"/>
  <c r="I26" i="21"/>
  <c r="I84" i="21"/>
  <c r="I74" i="21"/>
  <c r="M23" i="19"/>
  <c r="I80" i="21"/>
  <c r="I70" i="21"/>
  <c r="I72" i="21"/>
  <c r="I76" i="21"/>
  <c r="C85" i="21"/>
  <c r="W70" i="27"/>
  <c r="D82" i="21"/>
  <c r="C13" i="21"/>
  <c r="E70" i="27" s="1"/>
  <c r="C190" i="21"/>
  <c r="CN713" i="22"/>
  <c r="CP713" i="22" s="1"/>
  <c r="CO713" i="22"/>
  <c r="C29" i="19"/>
  <c r="E29" i="19" s="1"/>
  <c r="J29" i="19" s="1"/>
  <c r="E19" i="11"/>
  <c r="G16" i="32" s="1"/>
  <c r="D20" i="11"/>
  <c r="D66" i="27"/>
  <c r="G17" i="32"/>
  <c r="F22" i="38"/>
  <c r="F29" i="19" s="1"/>
  <c r="H29" i="19" s="1"/>
  <c r="K428" i="38"/>
  <c r="K508" i="38"/>
  <c r="K348" i="38"/>
  <c r="K368" i="38"/>
  <c r="K568" i="38"/>
  <c r="K235" i="38"/>
  <c r="K328" i="38"/>
  <c r="K548" i="38"/>
  <c r="K269" i="38"/>
  <c r="K150" i="38"/>
  <c r="K252" i="38"/>
  <c r="K468" i="38"/>
  <c r="K133" i="38"/>
  <c r="K308" i="38"/>
  <c r="K116" i="38"/>
  <c r="D12" i="38"/>
  <c r="K167" i="38"/>
  <c r="K388" i="38"/>
  <c r="K488" i="38"/>
  <c r="K48" i="38"/>
  <c r="K99" i="38"/>
  <c r="K288" i="38"/>
  <c r="K218" i="38"/>
  <c r="K82" i="38"/>
  <c r="K448" i="38"/>
  <c r="K184" i="38"/>
  <c r="K408" i="38"/>
  <c r="K528" i="38"/>
  <c r="K201" i="38"/>
  <c r="K65" i="38"/>
  <c r="N31" i="38"/>
  <c r="D131" i="32"/>
  <c r="B131" i="32" s="1"/>
  <c r="U131" i="32" s="1"/>
  <c r="E131" i="32"/>
  <c r="H27" i="32"/>
  <c r="F12" i="27"/>
  <c r="G39" i="11"/>
  <c r="G41" i="11" s="1"/>
  <c r="E20" i="11"/>
  <c r="L23" i="19" s="1"/>
  <c r="CL714" i="22"/>
  <c r="CM714" i="22"/>
  <c r="G38" i="11"/>
  <c r="F11" i="27"/>
  <c r="G13" i="21"/>
  <c r="E72" i="27" s="1"/>
  <c r="G190" i="21"/>
  <c r="I190" i="21" s="1"/>
  <c r="C94" i="15" s="1"/>
  <c r="G85" i="21"/>
  <c r="W72" i="27"/>
  <c r="H82" i="21"/>
  <c r="CO727" i="22"/>
  <c r="CN727" i="22"/>
  <c r="CP727" i="22" s="1"/>
  <c r="CF758" i="22"/>
  <c r="CL758" i="22" s="1"/>
  <c r="J67" i="19"/>
  <c r="F70" i="27"/>
  <c r="G15" i="21"/>
  <c r="M63" i="19"/>
  <c r="K67" i="19"/>
  <c r="F71" i="27"/>
  <c r="CO730" i="22"/>
  <c r="CN730" i="22"/>
  <c r="CP730" i="22" s="1"/>
  <c r="E87" i="21"/>
  <c r="X71" i="27"/>
  <c r="F85" i="21"/>
  <c r="K30" i="19"/>
  <c r="H30" i="19"/>
  <c r="E130" i="32"/>
  <c r="D130" i="32"/>
  <c r="B130" i="32" s="1"/>
  <c r="U130" i="32" s="1"/>
  <c r="H26" i="32"/>
  <c r="U206" i="32"/>
  <c r="F20" i="24"/>
  <c r="F18" i="33"/>
  <c r="G7" i="27"/>
  <c r="G13" i="27"/>
  <c r="F72" i="33"/>
  <c r="F99" i="24"/>
  <c r="G77" i="27"/>
  <c r="E100" i="21"/>
  <c r="D132" i="32"/>
  <c r="B132" i="32" s="1"/>
  <c r="U132" i="32" s="1"/>
  <c r="E132" i="32"/>
  <c r="H28" i="32"/>
  <c r="F45" i="33"/>
  <c r="F59" i="24"/>
  <c r="G10" i="27"/>
  <c r="U22" i="32"/>
  <c r="U30" i="32" s="1"/>
  <c r="I22" i="32"/>
  <c r="CM738" i="22"/>
  <c r="CL738" i="22"/>
  <c r="E115" i="21"/>
  <c r="D46" i="11" s="1"/>
  <c r="K77" i="27"/>
  <c r="E49" i="19"/>
  <c r="H25" i="32"/>
  <c r="F174" i="10"/>
  <c r="C143" i="10" s="1"/>
  <c r="K29" i="19" l="1"/>
  <c r="O70" i="21"/>
  <c r="P70" i="21" s="1"/>
  <c r="J70" i="21"/>
  <c r="J84" i="21"/>
  <c r="O84" i="21"/>
  <c r="P84" i="21" s="1"/>
  <c r="I47" i="21"/>
  <c r="O69" i="21"/>
  <c r="I21" i="21"/>
  <c r="L73" i="27" s="1"/>
  <c r="J69" i="21"/>
  <c r="I19" i="21"/>
  <c r="J73" i="27" s="1"/>
  <c r="O76" i="21"/>
  <c r="P76" i="21" s="1"/>
  <c r="J76" i="21"/>
  <c r="O80" i="21"/>
  <c r="P80" i="21" s="1"/>
  <c r="J80" i="21"/>
  <c r="I18" i="21"/>
  <c r="O26" i="21"/>
  <c r="I104" i="32"/>
  <c r="I112" i="32" s="1"/>
  <c r="N93" i="21"/>
  <c r="I30" i="21"/>
  <c r="J81" i="21"/>
  <c r="O81" i="21"/>
  <c r="P81" i="21" s="1"/>
  <c r="P68" i="21"/>
  <c r="P73" i="21"/>
  <c r="P79" i="21"/>
  <c r="O11" i="21"/>
  <c r="I77" i="21"/>
  <c r="O72" i="21"/>
  <c r="J72" i="21"/>
  <c r="O75" i="21"/>
  <c r="P75" i="21" s="1"/>
  <c r="J75" i="21"/>
  <c r="I71" i="21"/>
  <c r="J74" i="21"/>
  <c r="O74" i="21"/>
  <c r="P74" i="21" s="1"/>
  <c r="J83" i="21"/>
  <c r="O83" i="21"/>
  <c r="P83" i="21" s="1"/>
  <c r="I113" i="32"/>
  <c r="H29" i="32"/>
  <c r="E148" i="32"/>
  <c r="U148" i="32"/>
  <c r="N508" i="38"/>
  <c r="N82" i="38"/>
  <c r="N201" i="38"/>
  <c r="N528" i="38"/>
  <c r="N568" i="38"/>
  <c r="N218" i="38"/>
  <c r="N468" i="38"/>
  <c r="Q31" i="38"/>
  <c r="N548" i="38"/>
  <c r="N116" i="38"/>
  <c r="N428" i="38"/>
  <c r="N368" i="38"/>
  <c r="N408" i="38"/>
  <c r="N65" i="38"/>
  <c r="N328" i="38"/>
  <c r="N388" i="38"/>
  <c r="N184" i="38"/>
  <c r="N269" i="38"/>
  <c r="N448" i="38"/>
  <c r="N252" i="38"/>
  <c r="N48" i="38"/>
  <c r="N150" i="38"/>
  <c r="N308" i="38"/>
  <c r="N288" i="38"/>
  <c r="N348" i="38"/>
  <c r="N99" i="38"/>
  <c r="N133" i="38"/>
  <c r="N167" i="38"/>
  <c r="N235" i="38"/>
  <c r="D13" i="38"/>
  <c r="N488" i="38"/>
  <c r="X70" i="27"/>
  <c r="C87" i="21"/>
  <c r="D85" i="21"/>
  <c r="F85" i="24"/>
  <c r="F63" i="33"/>
  <c r="G12" i="27"/>
  <c r="F87" i="21"/>
  <c r="Y71" i="27"/>
  <c r="H85" i="21"/>
  <c r="G87" i="21"/>
  <c r="X72" i="27"/>
  <c r="F54" i="33"/>
  <c r="F72" i="24"/>
  <c r="G11" i="27"/>
  <c r="CN714" i="22"/>
  <c r="CP714" i="22" s="1"/>
  <c r="CO714" i="22"/>
  <c r="L67" i="19"/>
  <c r="F72" i="27"/>
  <c r="CN738" i="22"/>
  <c r="CP738" i="22" s="1"/>
  <c r="CO738" i="22"/>
  <c r="H77" i="27"/>
  <c r="H108" i="32"/>
  <c r="J46" i="11"/>
  <c r="E33" i="19"/>
  <c r="CF778" i="22"/>
  <c r="CL778" i="22" s="1"/>
  <c r="B3" i="5"/>
  <c r="F33" i="19"/>
  <c r="L58" i="19"/>
  <c r="M57" i="19"/>
  <c r="K23" i="19"/>
  <c r="E46" i="19"/>
  <c r="K57" i="19"/>
  <c r="J58" i="19"/>
  <c r="F31" i="19"/>
  <c r="E74" i="19"/>
  <c r="K58" i="19"/>
  <c r="C74" i="19"/>
  <c r="M58" i="19"/>
  <c r="E31" i="19"/>
  <c r="F26" i="19"/>
  <c r="E26" i="19"/>
  <c r="J47" i="11"/>
  <c r="U73" i="27" l="1"/>
  <c r="J77" i="21"/>
  <c r="M73" i="27"/>
  <c r="I42" i="21"/>
  <c r="I73" i="27"/>
  <c r="O21" i="21"/>
  <c r="P69" i="21"/>
  <c r="O19" i="21"/>
  <c r="J30" i="21"/>
  <c r="I78" i="21"/>
  <c r="J71" i="21"/>
  <c r="T73" i="27"/>
  <c r="P72" i="21"/>
  <c r="O77" i="21"/>
  <c r="O18" i="21"/>
  <c r="O30" i="21"/>
  <c r="O71" i="21"/>
  <c r="P71" i="21" s="1"/>
  <c r="I50" i="21"/>
  <c r="P73" i="27" s="1"/>
  <c r="O47" i="21"/>
  <c r="N95" i="21"/>
  <c r="N97" i="21" s="1"/>
  <c r="I106" i="32"/>
  <c r="I114" i="32" s="1"/>
  <c r="I20" i="21"/>
  <c r="K73" i="27" s="1"/>
  <c r="D87" i="21"/>
  <c r="Y70" i="27"/>
  <c r="Q252" i="38"/>
  <c r="Q269" i="38"/>
  <c r="Q328" i="38"/>
  <c r="Q184" i="38"/>
  <c r="Q65" i="38"/>
  <c r="Q167" i="38"/>
  <c r="Q428" i="38"/>
  <c r="Q528" i="38"/>
  <c r="Q116" i="38"/>
  <c r="Q548" i="38"/>
  <c r="Q488" i="38"/>
  <c r="Q368" i="38"/>
  <c r="Q133" i="38"/>
  <c r="Q508" i="38"/>
  <c r="Q235" i="38"/>
  <c r="Q82" i="38"/>
  <c r="Q99" i="38"/>
  <c r="Q150" i="38"/>
  <c r="Q568" i="38"/>
  <c r="Q468" i="38"/>
  <c r="D14" i="38"/>
  <c r="Q408" i="38"/>
  <c r="Q308" i="38"/>
  <c r="Q48" i="38"/>
  <c r="Q218" i="38"/>
  <c r="Q388" i="38"/>
  <c r="Q201" i="38"/>
  <c r="Q448" i="38"/>
  <c r="Q288" i="38"/>
  <c r="Q348" i="38"/>
  <c r="H87" i="21"/>
  <c r="G61" i="21"/>
  <c r="Y72" i="27"/>
  <c r="E73" i="19"/>
  <c r="E56" i="19"/>
  <c r="E57" i="19"/>
  <c r="AW31" i="27" s="1"/>
  <c r="H33" i="19"/>
  <c r="Q31" i="27" s="1"/>
  <c r="O31" i="27"/>
  <c r="F31" i="27"/>
  <c r="H26" i="19"/>
  <c r="N26" i="19"/>
  <c r="I31" i="27"/>
  <c r="H31" i="19"/>
  <c r="N31" i="19"/>
  <c r="E95" i="21" l="1"/>
  <c r="C77" i="27" s="1"/>
  <c r="E93" i="21"/>
  <c r="E94" i="21"/>
  <c r="B77" i="27" s="1"/>
  <c r="E96" i="21"/>
  <c r="O78" i="21"/>
  <c r="P77" i="21"/>
  <c r="I14" i="21"/>
  <c r="J78" i="21"/>
  <c r="I82" i="21"/>
  <c r="V73" i="27"/>
  <c r="I12" i="21"/>
  <c r="D73" i="27" s="1"/>
  <c r="P33" i="21"/>
  <c r="J27" i="21"/>
  <c r="P29" i="21"/>
  <c r="J33" i="21"/>
  <c r="J31" i="21"/>
  <c r="P41" i="21"/>
  <c r="J35" i="21"/>
  <c r="J36" i="21"/>
  <c r="O73" i="27"/>
  <c r="P25" i="21"/>
  <c r="P28" i="21"/>
  <c r="P40" i="21"/>
  <c r="J37" i="21"/>
  <c r="J34" i="21"/>
  <c r="J42" i="21"/>
  <c r="P34" i="21"/>
  <c r="P36" i="21"/>
  <c r="J40" i="21"/>
  <c r="J39" i="21"/>
  <c r="J29" i="21"/>
  <c r="J32" i="21"/>
  <c r="J41" i="21"/>
  <c r="P31" i="21"/>
  <c r="J26" i="21"/>
  <c r="P35" i="21"/>
  <c r="P27" i="21"/>
  <c r="P32" i="21"/>
  <c r="P39" i="21"/>
  <c r="P37" i="21"/>
  <c r="J28" i="21"/>
  <c r="J25" i="21"/>
  <c r="J38" i="21"/>
  <c r="P38" i="21"/>
  <c r="P26" i="21"/>
  <c r="O42" i="21"/>
  <c r="P42" i="21" s="1"/>
  <c r="O12" i="21"/>
  <c r="P30" i="21"/>
  <c r="I17" i="21"/>
  <c r="H73" i="27" s="1"/>
  <c r="O50" i="21"/>
  <c r="O20" i="21"/>
  <c r="O17" i="21" s="1"/>
  <c r="I61" i="21"/>
  <c r="G62" i="21"/>
  <c r="D47" i="11"/>
  <c r="AS31" i="27"/>
  <c r="K31" i="27"/>
  <c r="P31" i="19"/>
  <c r="P26" i="19"/>
  <c r="H31" i="27"/>
  <c r="I15" i="21" l="1"/>
  <c r="C63" i="19"/>
  <c r="D77" i="27"/>
  <c r="I115" i="32"/>
  <c r="I111" i="32" s="1"/>
  <c r="I85" i="21"/>
  <c r="W73" i="27"/>
  <c r="I13" i="21"/>
  <c r="E73" i="27" s="1"/>
  <c r="J82" i="21"/>
  <c r="O82" i="21"/>
  <c r="O14" i="21"/>
  <c r="P78" i="21"/>
  <c r="A77" i="27"/>
  <c r="E97" i="21"/>
  <c r="I62" i="21"/>
  <c r="O61" i="21"/>
  <c r="R72" i="27"/>
  <c r="CJ740" i="22"/>
  <c r="G63" i="21"/>
  <c r="G16" i="21"/>
  <c r="G72" i="27" s="1"/>
  <c r="CJ782" i="22"/>
  <c r="G183" i="21"/>
  <c r="I183" i="21" s="1"/>
  <c r="C87" i="15" s="1"/>
  <c r="R73" i="27"/>
  <c r="O15" i="21" l="1"/>
  <c r="E63" i="19"/>
  <c r="AN31" i="27"/>
  <c r="C67" i="19"/>
  <c r="E102" i="21"/>
  <c r="E77" i="27"/>
  <c r="E101" i="21"/>
  <c r="I107" i="32"/>
  <c r="O13" i="21"/>
  <c r="O85" i="21"/>
  <c r="P82" i="21"/>
  <c r="I87" i="21"/>
  <c r="J85" i="21"/>
  <c r="X73" i="27"/>
  <c r="D32" i="19"/>
  <c r="F73" i="27"/>
  <c r="C32" i="19"/>
  <c r="H58" i="21"/>
  <c r="H49" i="21"/>
  <c r="H45" i="21"/>
  <c r="H52" i="21"/>
  <c r="H46" i="21"/>
  <c r="H59" i="21"/>
  <c r="H51" i="21"/>
  <c r="H47" i="21"/>
  <c r="H60" i="21"/>
  <c r="H54" i="21"/>
  <c r="S72" i="27"/>
  <c r="H57" i="21"/>
  <c r="H63" i="21"/>
  <c r="H55" i="21"/>
  <c r="H48" i="21"/>
  <c r="H53" i="21"/>
  <c r="H56" i="21"/>
  <c r="H50" i="21"/>
  <c r="G64" i="21"/>
  <c r="H61" i="21"/>
  <c r="CF782" i="22"/>
  <c r="CL782" i="22" s="1"/>
  <c r="CF740" i="22"/>
  <c r="I16" i="21"/>
  <c r="G73" i="27" s="1"/>
  <c r="I63" i="21"/>
  <c r="J62" i="21" s="1"/>
  <c r="O62" i="21"/>
  <c r="H62" i="21"/>
  <c r="K33" i="19" l="1"/>
  <c r="J33" i="19"/>
  <c r="M32" i="19" s="1"/>
  <c r="F32" i="19" s="1"/>
  <c r="J45" i="11"/>
  <c r="I108" i="32"/>
  <c r="D124" i="21"/>
  <c r="F101" i="21"/>
  <c r="O87" i="21"/>
  <c r="P87" i="21" s="1"/>
  <c r="P85" i="21"/>
  <c r="BB31" i="27"/>
  <c r="E67" i="19"/>
  <c r="J32" i="19"/>
  <c r="K32" i="19"/>
  <c r="I77" i="27"/>
  <c r="E103" i="21"/>
  <c r="CF774" i="22" s="1"/>
  <c r="CL774" i="22" s="1"/>
  <c r="J87" i="21"/>
  <c r="Y73" i="27"/>
  <c r="C68" i="19"/>
  <c r="AQ31" i="27"/>
  <c r="P61" i="21"/>
  <c r="O16" i="21"/>
  <c r="P62" i="21"/>
  <c r="O63" i="21"/>
  <c r="CL740" i="22"/>
  <c r="CP740" i="22" s="1"/>
  <c r="CM740" i="22"/>
  <c r="CO740" i="22" s="1"/>
  <c r="J59" i="21"/>
  <c r="P46" i="21"/>
  <c r="P58" i="21"/>
  <c r="P59" i="21"/>
  <c r="P53" i="21"/>
  <c r="J56" i="21"/>
  <c r="P57" i="21"/>
  <c r="J51" i="21"/>
  <c r="S73" i="27"/>
  <c r="J45" i="21"/>
  <c r="J60" i="21"/>
  <c r="J53" i="21"/>
  <c r="P51" i="21"/>
  <c r="J55" i="21"/>
  <c r="J49" i="21"/>
  <c r="P55" i="21"/>
  <c r="P52" i="21"/>
  <c r="P54" i="21"/>
  <c r="P60" i="21"/>
  <c r="J48" i="21"/>
  <c r="J46" i="21"/>
  <c r="J57" i="21"/>
  <c r="J63" i="21"/>
  <c r="J58" i="21"/>
  <c r="P48" i="21"/>
  <c r="P45" i="21"/>
  <c r="P49" i="21"/>
  <c r="J52" i="21"/>
  <c r="P56" i="21"/>
  <c r="J54" i="21"/>
  <c r="J47" i="21"/>
  <c r="J50" i="21"/>
  <c r="P47" i="21"/>
  <c r="P50" i="21"/>
  <c r="I64" i="21"/>
  <c r="J61" i="21"/>
  <c r="CF732" i="22" l="1"/>
  <c r="L32" i="19"/>
  <c r="E32" i="19" s="1"/>
  <c r="BE31" i="27"/>
  <c r="D45" i="11"/>
  <c r="E68" i="19"/>
  <c r="H109" i="32"/>
  <c r="L31" i="27"/>
  <c r="N32" i="19"/>
  <c r="E37" i="19" s="1"/>
  <c r="H32" i="19"/>
  <c r="CF775" i="22"/>
  <c r="CL775" i="22" s="1"/>
  <c r="CF733" i="22"/>
  <c r="P63" i="21"/>
  <c r="O64" i="21"/>
  <c r="CL732" i="22" l="1"/>
  <c r="CM732" i="22"/>
  <c r="F37" i="19"/>
  <c r="U31" i="27"/>
  <c r="CM733" i="22"/>
  <c r="CL733" i="22"/>
  <c r="N31" i="27"/>
  <c r="P32" i="19"/>
  <c r="E38" i="19" s="1"/>
  <c r="L57" i="19" s="1"/>
  <c r="F57" i="19" s="1"/>
  <c r="AX31" i="27" s="1"/>
  <c r="Q57" i="19" l="1"/>
  <c r="CO732" i="22"/>
  <c r="CN732" i="22"/>
  <c r="CP732" i="22" s="1"/>
  <c r="CO733" i="22"/>
  <c r="CN733" i="22"/>
  <c r="CP733" i="22" s="1"/>
  <c r="J57" i="19"/>
  <c r="D57" i="19" s="1"/>
  <c r="F38" i="19"/>
  <c r="C103" i="19" s="1"/>
  <c r="K56" i="19"/>
  <c r="M56" i="19"/>
  <c r="J56" i="19"/>
  <c r="D56" i="19" s="1"/>
  <c r="V31" i="27"/>
  <c r="M74" i="19"/>
  <c r="K76" i="19"/>
  <c r="K75" i="19" s="1"/>
  <c r="M76" i="19"/>
  <c r="M75" i="19" s="1"/>
  <c r="M77" i="19"/>
  <c r="L56" i="19"/>
  <c r="F56" i="19" s="1"/>
  <c r="F7" i="32"/>
  <c r="K77" i="19"/>
  <c r="J75" i="19"/>
  <c r="C75" i="19" s="1"/>
  <c r="C72" i="19" s="1"/>
  <c r="L75" i="19"/>
  <c r="E75" i="19" s="1"/>
  <c r="E72" i="19" s="1"/>
  <c r="K74" i="19"/>
  <c r="BG31" i="27" l="1"/>
  <c r="D103" i="19"/>
  <c r="BH31" i="27" s="1"/>
  <c r="P57" i="19"/>
  <c r="AJ31" i="27"/>
  <c r="E60" i="19"/>
  <c r="AZ31" i="27" s="1"/>
  <c r="E61" i="19"/>
  <c r="BF31" i="27"/>
  <c r="Q56" i="19"/>
  <c r="Q58" i="19" s="1"/>
  <c r="E59" i="19" s="1"/>
  <c r="AY31" i="27" s="1"/>
  <c r="AT31" i="27"/>
  <c r="CO742" i="22"/>
  <c r="C60" i="19"/>
  <c r="AL31" i="27" s="1"/>
  <c r="C61" i="19"/>
  <c r="AR31" i="27"/>
  <c r="AF31" i="27"/>
  <c r="P56" i="19"/>
  <c r="P58" i="19" s="1"/>
  <c r="C59" i="19" s="1"/>
  <c r="AK31" i="27" s="1"/>
  <c r="CP742" i="22"/>
  <c r="D107" i="19" l="1"/>
  <c r="BN31" i="27" s="1"/>
  <c r="C105" i="19"/>
  <c r="D105" i="19"/>
  <c r="C107" i="19"/>
  <c r="BM31" i="27" s="1"/>
  <c r="BA31" i="27"/>
  <c r="AM31" i="27"/>
  <c r="C106" i="19"/>
  <c r="BK31" i="27" s="1"/>
  <c r="D106" i="19"/>
  <c r="BL31" i="27" s="1"/>
</calcChain>
</file>

<file path=xl/comments1.xml><?xml version="1.0" encoding="utf-8"?>
<comments xmlns="http://schemas.openxmlformats.org/spreadsheetml/2006/main">
  <authors>
    <author>13040257</author>
  </authors>
  <commentList>
    <comment ref="C9" authorId="0">
      <text>
        <r>
          <rPr>
            <b/>
            <sz val="9"/>
            <color indexed="81"/>
            <rFont val="Tahoma"/>
            <family val="2"/>
          </rPr>
          <t>Silahkan input Region terlebih dahulu</t>
        </r>
      </text>
    </comment>
  </commentList>
</comments>
</file>

<file path=xl/comments2.xml><?xml version="1.0" encoding="utf-8"?>
<comments xmlns="http://schemas.openxmlformats.org/spreadsheetml/2006/main">
  <authors>
    <author>13037757</author>
  </authors>
  <commentList>
    <comment ref="A69" authorId="0">
      <text>
        <r>
          <rPr>
            <b/>
            <sz val="9"/>
            <color indexed="81"/>
            <rFont val="Tahoma"/>
            <family val="2"/>
          </rPr>
          <t>13037757:</t>
        </r>
        <r>
          <rPr>
            <sz val="9"/>
            <color indexed="81"/>
            <rFont val="Tahoma"/>
            <family val="2"/>
          </rPr>
          <t xml:space="preserve">
tambahkansatu kolom biaya amortisasi dan biaya depresiasi dimana biaya ini </t>
        </r>
      </text>
    </comment>
  </commentList>
</comments>
</file>

<file path=xl/comments3.xml><?xml version="1.0" encoding="utf-8"?>
<comments xmlns="http://schemas.openxmlformats.org/spreadsheetml/2006/main">
  <authors>
    <author>13040257</author>
  </authors>
  <commentList>
    <comment ref="F11" authorId="0">
      <text>
        <r>
          <rPr>
            <b/>
            <sz val="9"/>
            <color indexed="81"/>
            <rFont val="Tahoma"/>
            <family val="2"/>
          </rPr>
          <t>Silahkan input data 'Golongan Debitur (SID)' terlebih dahulu</t>
        </r>
      </text>
    </comment>
    <comment ref="C12" authorId="0">
      <text>
        <r>
          <rPr>
            <b/>
            <sz val="9"/>
            <color indexed="81"/>
            <rFont val="Tahoma"/>
            <family val="2"/>
          </rPr>
          <t>Silahkan input data 'Jenis Usaha' pada Sheet 'Informasi Debitur' terlebih dahulu</t>
        </r>
      </text>
    </comment>
  </commentList>
</comments>
</file>

<file path=xl/comments4.xml><?xml version="1.0" encoding="utf-8"?>
<comments xmlns="http://schemas.openxmlformats.org/spreadsheetml/2006/main">
  <authors>
    <author>14046415</author>
  </authors>
  <commentList>
    <comment ref="C413" authorId="0">
      <text>
        <r>
          <rPr>
            <b/>
            <sz val="9"/>
            <color indexed="81"/>
            <rFont val="Tahoma"/>
            <family val="2"/>
          </rPr>
          <t>14046415:</t>
        </r>
        <r>
          <rPr>
            <sz val="9"/>
            <color indexed="81"/>
            <rFont val="Tahoma"/>
            <family val="2"/>
          </rPr>
          <t xml:space="preserve">
mana yang lebih dominan perdagangan Hpnya atau sembakonya
</t>
        </r>
      </text>
    </comment>
  </commentList>
</comments>
</file>

<file path=xl/comments5.xml><?xml version="1.0" encoding="utf-8"?>
<comments xmlns="http://schemas.openxmlformats.org/spreadsheetml/2006/main">
  <authors>
    <author>13037757</author>
  </authors>
  <commentList>
    <comment ref="A112" authorId="0">
      <text>
        <r>
          <rPr>
            <b/>
            <sz val="9"/>
            <color indexed="81"/>
            <rFont val="Tahoma"/>
            <family val="2"/>
          </rPr>
          <t>13037757:</t>
        </r>
        <r>
          <rPr>
            <sz val="9"/>
            <color indexed="81"/>
            <rFont val="Tahoma"/>
            <family val="2"/>
          </rPr>
          <t xml:space="preserve">
2 kode, kenapa explanation industry-nya sama ?</t>
        </r>
      </text>
    </comment>
  </commentList>
</comments>
</file>

<file path=xl/sharedStrings.xml><?xml version="1.0" encoding="utf-8"?>
<sst xmlns="http://schemas.openxmlformats.org/spreadsheetml/2006/main" count="15809" uniqueCount="8253">
  <si>
    <t>Informasi Debitur</t>
  </si>
  <si>
    <t>Alamat</t>
  </si>
  <si>
    <t xml:space="preserve">Nama </t>
  </si>
  <si>
    <t>Cabang</t>
  </si>
  <si>
    <t>Fasilitas</t>
  </si>
  <si>
    <t>Plafond</t>
  </si>
  <si>
    <t>Outstanding</t>
  </si>
  <si>
    <t>:</t>
  </si>
  <si>
    <t>No</t>
  </si>
  <si>
    <t>Dokumen</t>
  </si>
  <si>
    <t>Nama :</t>
  </si>
  <si>
    <t>Tanggal :</t>
  </si>
  <si>
    <t>Nama</t>
  </si>
  <si>
    <t>Alamat usaha</t>
  </si>
  <si>
    <t xml:space="preserve">Alamat </t>
  </si>
  <si>
    <t>Keterangan</t>
  </si>
  <si>
    <t>No telpon</t>
  </si>
  <si>
    <t>Nama Supplier</t>
  </si>
  <si>
    <t>Metode pembayaran (tunai / kredit)</t>
  </si>
  <si>
    <t>Nama Contact person</t>
  </si>
  <si>
    <t>Nama Pembeli</t>
  </si>
  <si>
    <t>No telpon(*)</t>
  </si>
  <si>
    <r>
      <t xml:space="preserve">Daftar Supplier </t>
    </r>
    <r>
      <rPr>
        <sz val="11"/>
        <color theme="1"/>
        <rFont val="Calibri"/>
        <family val="2"/>
        <scheme val="minor"/>
      </rPr>
      <t>(Harap mencantumkan minimal 5 supplier utama)</t>
    </r>
  </si>
  <si>
    <r>
      <t xml:space="preserve">Daftar Pembeli </t>
    </r>
    <r>
      <rPr>
        <sz val="11"/>
        <color theme="1"/>
        <rFont val="Calibri"/>
        <family val="2"/>
        <scheme val="minor"/>
      </rPr>
      <t>(Harap mencantumkan 5 pembeli utama)</t>
    </r>
  </si>
  <si>
    <t>Deposito</t>
  </si>
  <si>
    <t>Persediaan</t>
  </si>
  <si>
    <t>Tanggal</t>
  </si>
  <si>
    <t>Bulanan</t>
  </si>
  <si>
    <t>Piutang</t>
  </si>
  <si>
    <t>Dalam Rp Juta</t>
  </si>
  <si>
    <t>Modal disetor</t>
  </si>
  <si>
    <t>Laba ditahan</t>
  </si>
  <si>
    <t>Laba kotor</t>
  </si>
  <si>
    <t>Jabatan</t>
  </si>
  <si>
    <t>Contact Person</t>
  </si>
  <si>
    <t>Jenis Jaminan</t>
  </si>
  <si>
    <t>Alamat Jaminan</t>
  </si>
  <si>
    <t>Hubungan dengan debitur</t>
  </si>
  <si>
    <t xml:space="preserve">Diajukan oleh </t>
  </si>
  <si>
    <t>Direview oleh</t>
  </si>
  <si>
    <t>Informasi Jaminan</t>
  </si>
  <si>
    <t>Formulir pengajuan BI checking</t>
  </si>
  <si>
    <t>Catatan :</t>
  </si>
  <si>
    <t>Nomor Pokok Wajib Pajak (NPWP)</t>
  </si>
  <si>
    <t>Formulir Pengajuan Trade Checking</t>
  </si>
  <si>
    <t>Jenis Usaha</t>
  </si>
  <si>
    <t>Nama RM</t>
  </si>
  <si>
    <t xml:space="preserve">Tanggal pengajuan </t>
  </si>
  <si>
    <t>Tanggal Pengajuan</t>
  </si>
  <si>
    <t>Informasi Supplier dan Pembeli</t>
  </si>
  <si>
    <t>Pendiri bisnis utama</t>
  </si>
  <si>
    <t>(dd-mmm-yyyy)</t>
  </si>
  <si>
    <t>Tanggal dilakukan checking</t>
  </si>
  <si>
    <t>Tanggal pembuatan laporan</t>
  </si>
  <si>
    <t>Nama debitur</t>
  </si>
  <si>
    <t>Nama supplier</t>
  </si>
  <si>
    <t xml:space="preserve">Informasi yang diberikan oleh supplier terhadap debitur </t>
  </si>
  <si>
    <t>Jenis barang / jasa  yang dijual kepada debitur</t>
  </si>
  <si>
    <t>Ketepatan debitur dalam melakukan pembayaran</t>
  </si>
  <si>
    <t>Apakah perusahaan Anda akan tetap berhubungan dengan debitur untuk masa yang akan datang</t>
  </si>
  <si>
    <t>Apakah terdapat informasi negatif terkait debitur</t>
  </si>
  <si>
    <t>Tepat waktu</t>
  </si>
  <si>
    <t>Terlambat s.d 2 minggu</t>
  </si>
  <si>
    <t>Terlambat s.d 4 minggu</t>
  </si>
  <si>
    <t>Terlambat &gt; 4 minggu</t>
  </si>
  <si>
    <t>Jelaskan</t>
  </si>
  <si>
    <t>Nama pemberi informasi</t>
  </si>
  <si>
    <t>Jabatan pemberi informasi</t>
  </si>
  <si>
    <t>Rp</t>
  </si>
  <si>
    <t xml:space="preserve">Ketepatan debitur dalam melakukan pengiriman </t>
  </si>
  <si>
    <t>Jenis barang yang dibeli / jasa  yang diberikan dari debitur</t>
  </si>
  <si>
    <t>Kualitas barang yang dibeli / pelayanan yang diberikan</t>
  </si>
  <si>
    <t xml:space="preserve">Informasi yang diberikan oleh pembeli terhadap debitur </t>
  </si>
  <si>
    <r>
      <t xml:space="preserve">Metode pembayaran 
</t>
    </r>
    <r>
      <rPr>
        <b/>
        <i/>
        <sz val="10"/>
        <color indexed="8"/>
        <rFont val="Calibri"/>
        <family val="2"/>
      </rPr>
      <t/>
    </r>
  </si>
  <si>
    <t>Kredit</t>
  </si>
  <si>
    <r>
      <t xml:space="preserve">% Tunai / </t>
    </r>
    <r>
      <rPr>
        <i/>
        <sz val="11"/>
        <color indexed="8"/>
        <rFont val="Calibri"/>
        <family val="2"/>
      </rPr>
      <t>Cash</t>
    </r>
  </si>
  <si>
    <t>% Kredit</t>
  </si>
  <si>
    <r>
      <t xml:space="preserve">Metode pembayaran 
</t>
    </r>
    <r>
      <rPr>
        <b/>
        <sz val="10"/>
        <color indexed="8"/>
        <rFont val="Calibri"/>
        <family val="2"/>
      </rPr>
      <t/>
    </r>
  </si>
  <si>
    <t>Alamat
(berdasarkan Akta Terakhir / KTP</t>
  </si>
  <si>
    <t>Nomor Akta Terakhir / Nomor KTP</t>
  </si>
  <si>
    <t>Memo Keputusan Kredit (MKK)</t>
  </si>
  <si>
    <t>Memo Keputusan Kredit</t>
  </si>
  <si>
    <t>Tanggal Keputusan Terakhir</t>
  </si>
  <si>
    <t>Tanggal Review Selanjutnya</t>
  </si>
  <si>
    <t>APPID No</t>
  </si>
  <si>
    <t>Nama Debitur</t>
  </si>
  <si>
    <t>Nama Group</t>
  </si>
  <si>
    <t>Jumlah fasilitas</t>
  </si>
  <si>
    <t>Baru</t>
  </si>
  <si>
    <t>Tambahan</t>
  </si>
  <si>
    <t>Mata uang</t>
  </si>
  <si>
    <t>Biaya - biaya</t>
  </si>
  <si>
    <t>Nilai Tukar</t>
  </si>
  <si>
    <t>Dalam Juta</t>
  </si>
  <si>
    <t>US Dollar (USD)</t>
  </si>
  <si>
    <t>Japanese Yen (JPY)</t>
  </si>
  <si>
    <t>British Pound (GBP)</t>
  </si>
  <si>
    <t>Swiss Franc (CHF)</t>
  </si>
  <si>
    <t>Canadian Dollar (CAD)</t>
  </si>
  <si>
    <t>Australian Dollar (AUD)</t>
  </si>
  <si>
    <t>New Zealand Dollar (NZD)</t>
  </si>
  <si>
    <t>European Euro (EUR)</t>
  </si>
  <si>
    <t>Indonesia Rupiah (IDR)</t>
  </si>
  <si>
    <t>Provisi (%)</t>
  </si>
  <si>
    <t>Total yang disetujui</t>
  </si>
  <si>
    <t>Jaminan</t>
  </si>
  <si>
    <t>PRK</t>
  </si>
  <si>
    <t>PB</t>
  </si>
  <si>
    <t>PAB</t>
  </si>
  <si>
    <t>Tanah dan Bangunan</t>
  </si>
  <si>
    <t>Tanah Kosong</t>
  </si>
  <si>
    <t>Kendaraan Baru</t>
  </si>
  <si>
    <t>Kendaraan Bekas</t>
  </si>
  <si>
    <t>Mesin Baru</t>
  </si>
  <si>
    <t>Mesin Bekas</t>
  </si>
  <si>
    <t>Equipment Baru</t>
  </si>
  <si>
    <t>Equipment Bekas</t>
  </si>
  <si>
    <t>Personal Guarantee</t>
  </si>
  <si>
    <t>Corporate Guarantee</t>
  </si>
  <si>
    <t>Persediaan Barang Dagangan</t>
  </si>
  <si>
    <t>Lokasi Jaminan</t>
  </si>
  <si>
    <t>Nomor Sertifikat</t>
  </si>
  <si>
    <t>Penilai Internal</t>
  </si>
  <si>
    <t>Penilai Eksternal</t>
  </si>
  <si>
    <t>Eksisting</t>
  </si>
  <si>
    <t>Jaminan baru</t>
  </si>
  <si>
    <t>Jaminan telah ditarik</t>
  </si>
  <si>
    <t>Jangka waktu kepemilikan sertifikat</t>
  </si>
  <si>
    <t>Sertifikat</t>
  </si>
  <si>
    <t>Nama Guarantor</t>
  </si>
  <si>
    <t>Terbatas</t>
  </si>
  <si>
    <t>Tidak Terbatas</t>
  </si>
  <si>
    <t xml:space="preserve">Tujuan Pengajuan </t>
  </si>
  <si>
    <t>Perpanjangan</t>
  </si>
  <si>
    <t>Banding</t>
  </si>
  <si>
    <t>Perubahan</t>
  </si>
  <si>
    <t>Lainnya</t>
  </si>
  <si>
    <t>Tipe</t>
  </si>
  <si>
    <t>Cakupan Guarantor</t>
  </si>
  <si>
    <t>Jaminan eksisting</t>
  </si>
  <si>
    <t>Total Limit Group (tidak termasuk debitur)</t>
  </si>
  <si>
    <t xml:space="preserve">Total </t>
  </si>
  <si>
    <t>Total Limit Debitur</t>
  </si>
  <si>
    <t xml:space="preserve">Total Limit Group  </t>
  </si>
  <si>
    <t>Covenant</t>
  </si>
  <si>
    <t>Financial Covenant</t>
  </si>
  <si>
    <t>Non Financial Covenant</t>
  </si>
  <si>
    <t>Kondisi Eksisting</t>
  </si>
  <si>
    <t>Frekuensi</t>
  </si>
  <si>
    <t>Diperlukan</t>
  </si>
  <si>
    <r>
      <t>Kondisi yang Disetujui (</t>
    </r>
    <r>
      <rPr>
        <b/>
        <i/>
        <sz val="10"/>
        <color indexed="8"/>
        <rFont val="Calibri"/>
        <family val="2"/>
      </rPr>
      <t>Approved)</t>
    </r>
  </si>
  <si>
    <t>Total Eksposur Group</t>
  </si>
  <si>
    <t>Apakah terpenuhi ?</t>
  </si>
  <si>
    <t>Kondisi yang disetujui</t>
  </si>
  <si>
    <t>Keputusan Kredit</t>
  </si>
  <si>
    <t>Disetujui sesuai pengajuan</t>
  </si>
  <si>
    <t>Disetujui hanya sebagian</t>
  </si>
  <si>
    <t>Disetujui hanya fasilitas perpanjangan</t>
  </si>
  <si>
    <t>Disetujui sebagian dan fasilitas  perpanjangan</t>
  </si>
  <si>
    <t>Ditolak</t>
  </si>
  <si>
    <t xml:space="preserve">Tanggal berakhir </t>
  </si>
  <si>
    <t>Tanggal persetujuan</t>
  </si>
  <si>
    <t>Disetujui oleh</t>
  </si>
  <si>
    <t>No Memo Keputusan Kredit :</t>
  </si>
  <si>
    <t>SID</t>
  </si>
  <si>
    <t>Golongan Debitur</t>
  </si>
  <si>
    <t>Bidang Usaha Debitur</t>
  </si>
  <si>
    <t>Hubungan Debitur dengan Bank</t>
  </si>
  <si>
    <t>Status Debitur</t>
  </si>
  <si>
    <t>Kategori Debitur</t>
  </si>
  <si>
    <t>Kategori Portfolio</t>
  </si>
  <si>
    <t>LBU</t>
  </si>
  <si>
    <t>LBU (*)</t>
  </si>
  <si>
    <t>INFORMASI KEUANGAN - SID</t>
  </si>
  <si>
    <t>Periode Laporan</t>
  </si>
  <si>
    <t>Laporan Audited</t>
  </si>
  <si>
    <t>Aktiva Lancar</t>
  </si>
  <si>
    <t>Kewajiban pada bank</t>
  </si>
  <si>
    <t>Kewajiban lancar</t>
  </si>
  <si>
    <t>Biaya Operasional</t>
  </si>
  <si>
    <t>Pendapatan Non Operasional</t>
  </si>
  <si>
    <t>dalam Rp juta</t>
  </si>
  <si>
    <t>FASILITAS</t>
  </si>
  <si>
    <t xml:space="preserve">INFORMASI DEBITUR </t>
  </si>
  <si>
    <t>Sifat Kredit</t>
  </si>
  <si>
    <t>Orientasi Penggunaan</t>
  </si>
  <si>
    <t>Lokasi Proyek</t>
  </si>
  <si>
    <t>Jenis Penggunaan</t>
  </si>
  <si>
    <t>Golongan Kredit</t>
  </si>
  <si>
    <t>Sektor Ekonomi</t>
  </si>
  <si>
    <t>Jenis Kredit</t>
  </si>
  <si>
    <t>Fasilitas 1</t>
  </si>
  <si>
    <t>Fasilitas 2</t>
  </si>
  <si>
    <t>Fasilitas 3</t>
  </si>
  <si>
    <t>Fasilitas 4</t>
  </si>
  <si>
    <t>INFORMASI SANDI BANK INDONESIA</t>
  </si>
  <si>
    <t>Periode (untuk fasilitas eksisting)</t>
  </si>
  <si>
    <t>Tanggal Mulai Fasilitas</t>
  </si>
  <si>
    <t>Tanggal Jatuh Tempo Fasilitas</t>
  </si>
  <si>
    <t>Suku Bunga (%)</t>
  </si>
  <si>
    <t>Nama Pemilik</t>
  </si>
  <si>
    <t>Pengikatan Jaminan</t>
  </si>
  <si>
    <t>Nilai Pertanggungan Asuransi</t>
  </si>
  <si>
    <t>Status Jaminan</t>
  </si>
  <si>
    <t>Apakah Menjamin Semua Fasilitas?</t>
  </si>
  <si>
    <t>Apakah Terpenuhi?</t>
  </si>
  <si>
    <t>SUPPLIER 1</t>
  </si>
  <si>
    <t>SUPPLIER 2</t>
  </si>
  <si>
    <t>SUPPLIER 3</t>
  </si>
  <si>
    <t>SUPPLIER 4</t>
  </si>
  <si>
    <t>SUPPLIER 5</t>
  </si>
  <si>
    <t>Nama pembeli</t>
  </si>
  <si>
    <t>PEMBELI 1</t>
  </si>
  <si>
    <t>PEMBELI 2</t>
  </si>
  <si>
    <t>PEMBELI 3</t>
  </si>
  <si>
    <t>PEMBELI 4</t>
  </si>
  <si>
    <t>PEMBELI 5</t>
  </si>
  <si>
    <t>Informasi Manajemen dan Pemegang Saham</t>
  </si>
  <si>
    <t>Nomor Tanda Pengenal</t>
  </si>
  <si>
    <t>% Saham</t>
  </si>
  <si>
    <t>NPWP</t>
  </si>
  <si>
    <t>Bergabung sejak tahun</t>
  </si>
  <si>
    <t>Tanggal berhubungan dengan bank BTPN</t>
  </si>
  <si>
    <t>Nomor Akta Terakhir</t>
  </si>
  <si>
    <t>Tanggal Akta Terakhir</t>
  </si>
  <si>
    <t>Kota</t>
  </si>
  <si>
    <t>Provinsi</t>
  </si>
  <si>
    <t>Kode Pos</t>
  </si>
  <si>
    <t>Informasi Usaha</t>
  </si>
  <si>
    <t>Nomor Telepon</t>
  </si>
  <si>
    <t>Total yang diajukan</t>
  </si>
  <si>
    <t>Tipe Fasilitas</t>
  </si>
  <si>
    <t>Modal Kerja</t>
  </si>
  <si>
    <t>Investasi</t>
  </si>
  <si>
    <t>Informasi Demografi</t>
  </si>
  <si>
    <t>atas nama</t>
  </si>
  <si>
    <t>TDP</t>
  </si>
  <si>
    <t>SIUP</t>
  </si>
  <si>
    <t>Sektor Industri</t>
  </si>
  <si>
    <t>Pengalaman usaha</t>
  </si>
  <si>
    <t>Nama Bank</t>
  </si>
  <si>
    <t xml:space="preserve">Pinjaman dari bank lain </t>
  </si>
  <si>
    <r>
      <t xml:space="preserve">Jelaskan hubungan manajemen dan pemegang saham (dan informasi lainnya yang terkait) terhadap </t>
    </r>
    <r>
      <rPr>
        <i/>
        <sz val="10"/>
        <color indexed="8"/>
        <rFont val="Calibri"/>
        <family val="2"/>
      </rPr>
      <t xml:space="preserve">key person </t>
    </r>
    <r>
      <rPr>
        <sz val="10"/>
        <color indexed="8"/>
        <rFont val="Calibri"/>
        <family val="2"/>
      </rPr>
      <t>dari perusahaan :</t>
    </r>
  </si>
  <si>
    <t>Skala Bisnis</t>
  </si>
  <si>
    <t>Market Share (Jika ada)</t>
  </si>
  <si>
    <t>%</t>
  </si>
  <si>
    <t>BI Kolektabilitas</t>
  </si>
  <si>
    <t>DPD (hari)*</t>
  </si>
  <si>
    <t>Jelaskan alasan keterlambatan (untuk fasilitas dengan BI kolektabilitas &gt; 1</t>
  </si>
  <si>
    <t>1 - Lancar</t>
  </si>
  <si>
    <t>2 - Dalam Perhatian Khusus</t>
  </si>
  <si>
    <t>3 - Kurang Lancar</t>
  </si>
  <si>
    <t>4 - Diragukan</t>
  </si>
  <si>
    <t>5 - Macet</t>
  </si>
  <si>
    <t>Nilai Jaminan</t>
  </si>
  <si>
    <t>Jenis Tanda Pengenal (KTP / Passport)</t>
  </si>
  <si>
    <t>Asuransi</t>
  </si>
  <si>
    <t>Nama Perusahaan Asuransi</t>
  </si>
  <si>
    <t>Verifikasi Debitur</t>
  </si>
  <si>
    <t>Usaha debitur tidak termasuk dalam Non Target Industri</t>
  </si>
  <si>
    <t>(Berdasarkan BI Blacklist)</t>
  </si>
  <si>
    <t>(Berdasarkan proses de-dedup atau MUR checking)</t>
  </si>
  <si>
    <t>Tunai / Cash</t>
  </si>
  <si>
    <t>RAC</t>
  </si>
  <si>
    <t>Analisa Rekening Koran</t>
  </si>
  <si>
    <t>Nomor Rekening</t>
  </si>
  <si>
    <t>Bulan</t>
  </si>
  <si>
    <t>Total</t>
  </si>
  <si>
    <t>Saldo Debit</t>
  </si>
  <si>
    <t>KONSOLIDASI ANALISA REKENING KORAN</t>
  </si>
  <si>
    <r>
      <t xml:space="preserve">CIF No </t>
    </r>
    <r>
      <rPr>
        <i/>
        <sz val="10"/>
        <color indexed="8"/>
        <rFont val="Calibri"/>
        <family val="2"/>
      </rPr>
      <t>(untuk eksisting debitur</t>
    </r>
    <r>
      <rPr>
        <sz val="10"/>
        <color indexed="8"/>
        <rFont val="Calibri"/>
        <family val="2"/>
      </rPr>
      <t>)</t>
    </r>
  </si>
  <si>
    <t>Atas Nama</t>
  </si>
  <si>
    <t>Saldo Tertinggi</t>
  </si>
  <si>
    <t>Saldo Terendah</t>
  </si>
  <si>
    <t>Swing</t>
  </si>
  <si>
    <t>% Swing</t>
  </si>
  <si>
    <t>Total Overdraft</t>
  </si>
  <si>
    <t>Total Frekuensi Overdraft</t>
  </si>
  <si>
    <t>NERACA</t>
  </si>
  <si>
    <t>Tahun</t>
  </si>
  <si>
    <t>Audited</t>
  </si>
  <si>
    <t>Un-Audited</t>
  </si>
  <si>
    <t>Proforma</t>
  </si>
  <si>
    <t>In-House</t>
  </si>
  <si>
    <t>Biaya dibayar dimuka</t>
  </si>
  <si>
    <t>Aktiva lancar</t>
  </si>
  <si>
    <t>Laporan Keuangan  (klik =&gt;)</t>
  </si>
  <si>
    <t>Aktiva lancar lainnya</t>
  </si>
  <si>
    <t>Total Aktiva Lancar</t>
  </si>
  <si>
    <t>Aktiva Tetap</t>
  </si>
  <si>
    <t>Tanah</t>
  </si>
  <si>
    <t>Kendaraan</t>
  </si>
  <si>
    <t>Mesin, peralatan, inventaris</t>
  </si>
  <si>
    <t>Total Aktiva Tetap</t>
  </si>
  <si>
    <t>Aktiva tidak berwujud</t>
  </si>
  <si>
    <t>AKTIVA</t>
  </si>
  <si>
    <t>TOTAL AKTIVA</t>
  </si>
  <si>
    <t>PASIVA</t>
  </si>
  <si>
    <t>Hutang lancar</t>
  </si>
  <si>
    <t>Hutang dagang</t>
  </si>
  <si>
    <t>Biaya yang masih harus dibayar</t>
  </si>
  <si>
    <t>CPLTD</t>
  </si>
  <si>
    <t>Total hutang lancar</t>
  </si>
  <si>
    <t>Hutang bank lebih dari 1 tahun</t>
  </si>
  <si>
    <t>Hutang jangka panjang bukan bank</t>
  </si>
  <si>
    <r>
      <t xml:space="preserve">Hutang bank </t>
    </r>
    <r>
      <rPr>
        <sz val="10"/>
        <color indexed="8"/>
        <rFont val="Calibri"/>
        <family val="2"/>
      </rPr>
      <t>≤</t>
    </r>
    <r>
      <rPr>
        <sz val="10"/>
        <color indexed="8"/>
        <rFont val="Calibri"/>
        <family val="2"/>
      </rPr>
      <t xml:space="preserve"> 1 tahun</t>
    </r>
  </si>
  <si>
    <t xml:space="preserve">Hutang jangka panjang  </t>
  </si>
  <si>
    <t>Saham</t>
  </si>
  <si>
    <t>Modal</t>
  </si>
  <si>
    <t>Total modal</t>
  </si>
  <si>
    <t>Total hutang jangka panjang</t>
  </si>
  <si>
    <t>LAPORAN LABA RUGI</t>
  </si>
  <si>
    <t>Penjualan (netto)</t>
  </si>
  <si>
    <t>Biaya operasional</t>
  </si>
  <si>
    <t>Biaya lainnya terkait usaha</t>
  </si>
  <si>
    <t>Laba (Rugi) Usaha</t>
  </si>
  <si>
    <t>Pajak</t>
  </si>
  <si>
    <t>Deviden yang dibagikan</t>
  </si>
  <si>
    <t>TOTAL PASIVA</t>
  </si>
  <si>
    <t>Parity Check</t>
  </si>
  <si>
    <t>SPREADING</t>
  </si>
  <si>
    <t>Diajukan oleh</t>
  </si>
  <si>
    <t xml:space="preserve">RATIO </t>
  </si>
  <si>
    <t>NA</t>
  </si>
  <si>
    <t>Interest cover</t>
  </si>
  <si>
    <t>Debt Service Ratio (DSR)</t>
  </si>
  <si>
    <t xml:space="preserve">CIF No </t>
  </si>
  <si>
    <t>Risk Acceptance Criteria</t>
  </si>
  <si>
    <t>A</t>
  </si>
  <si>
    <t>B</t>
  </si>
  <si>
    <t>C</t>
  </si>
  <si>
    <t>Tidak Ada</t>
  </si>
  <si>
    <t>Max. 1 kali dalam 3 bulan</t>
  </si>
  <si>
    <t>Max. 2 kali dalam 3 bulan</t>
  </si>
  <si>
    <t>D</t>
  </si>
  <si>
    <t>NA atau Tepat
Bagus
Ya
Ya</t>
  </si>
  <si>
    <t>Terlambat s.d. 2 minggu
Bagus
Ya
Ya</t>
  </si>
  <si>
    <t>Terlambat s.d. 4 minggu
Cukup
Ya
Ya</t>
  </si>
  <si>
    <t xml:space="preserve"> Tepat
Ya
Ya</t>
  </si>
  <si>
    <t>Terlambat s.d. 2 minggu
Ya
Ya</t>
  </si>
  <si>
    <t>Terlambat s.d. 4 minggu
Ya
Ya</t>
  </si>
  <si>
    <t>Criteria 1 - Loan to Value</t>
  </si>
  <si>
    <t>Total Fasilitas yang diajukan</t>
  </si>
  <si>
    <t>Total Nilai Pasar Jaminan</t>
  </si>
  <si>
    <t>Hasil QCA</t>
  </si>
  <si>
    <t>Nilai</t>
  </si>
  <si>
    <t>Hasil</t>
  </si>
  <si>
    <t>Tujuan Pengajuan Fasilitas</t>
  </si>
  <si>
    <t>Total Penjualan Bersih per Tahun</t>
  </si>
  <si>
    <t>Grade</t>
  </si>
  <si>
    <t>Final Grade</t>
  </si>
  <si>
    <t>Pilihan</t>
  </si>
  <si>
    <t>Pengajuan oleh Mc Kinsey</t>
  </si>
  <si>
    <t>Pengajuan oleh tim project SME</t>
  </si>
  <si>
    <t>S100</t>
  </si>
  <si>
    <t>Kapan jaminan yang diberikan, dijual atau dialihkan kepada calon debitur?</t>
  </si>
  <si>
    <t>Kapan jaminan yang diberikan, dijual atau dialihkan kepada pemilik jaminan?</t>
  </si>
  <si>
    <t>S13a</t>
  </si>
  <si>
    <t>Apa status kepemilikan rumah calon debitur?</t>
  </si>
  <si>
    <t>S13b_C</t>
  </si>
  <si>
    <t xml:space="preserve">Berdasarkan jawaban pertanyaan No 13a, </t>
  </si>
  <si>
    <t>N/A</t>
  </si>
  <si>
    <t>Tidak Berubah</t>
  </si>
  <si>
    <t>S27</t>
  </si>
  <si>
    <t>Apakah calon debitur mengajukan jumlah kredit yang tepat?</t>
  </si>
  <si>
    <t>S30</t>
  </si>
  <si>
    <t>Siapakah pendiri bisnis utama saat ini ( dimana dijadikan pertimbangan pemberian pinjaman)?</t>
  </si>
  <si>
    <t>S4</t>
  </si>
  <si>
    <t>Tidak berubah</t>
  </si>
  <si>
    <t>S42_1</t>
  </si>
  <si>
    <t>Apakah tujuan dari kredit ?</t>
  </si>
  <si>
    <t>Kredit untuk investasi/modal kerja usaha utama</t>
  </si>
  <si>
    <t>Kredit untuk investasi/modal kerja usaha sampingan/ tambahan</t>
  </si>
  <si>
    <t>Calon debitur tidak dapat menjelaskan tujuan pengajuan kredit dengan jelas – kemungkinan maksud penggunaannya adalah untuk kebutuhan pribadi</t>
  </si>
  <si>
    <t>S45_C</t>
  </si>
  <si>
    <t xml:space="preserve">Untuk kredit modal kerja, berapa persen dari total pinjaman yang dibiayai sendiri (atau sudah dibayarkan oleh calon debitur)? </t>
  </si>
  <si>
    <t>S46_1</t>
  </si>
  <si>
    <t>Berapa jumlah kredit yang diajukan dibandingkan dengan penjualan per bulan</t>
  </si>
  <si>
    <t>S57</t>
  </si>
  <si>
    <t>Berapa tahun calon debitur telah beroperasi pada lokasi usaha saat ini?</t>
  </si>
  <si>
    <t>S59b_C</t>
  </si>
  <si>
    <t>Jika calon debitur menyewa lokasi usaha saat ini,sudah berapa tahun dia menjadi penyewa disitu?  [Tuliskan tahunnya, tulis N/A jika tidak menyewa]</t>
  </si>
  <si>
    <t>S61</t>
  </si>
  <si>
    <t>100% ditempati</t>
  </si>
  <si>
    <t>80 - 100% ditempati</t>
  </si>
  <si>
    <t>60 - 80% ditempati</t>
  </si>
  <si>
    <t>40 - 60% ditempati</t>
  </si>
  <si>
    <t>0 - 40% ditempati</t>
  </si>
  <si>
    <t>S67_2</t>
  </si>
  <si>
    <t>S70</t>
  </si>
  <si>
    <t>S71a</t>
  </si>
  <si>
    <t>Berapa persentase dari pembeli  yang merupakan perorangan?</t>
  </si>
  <si>
    <t>S72</t>
  </si>
  <si>
    <t>Ini adalah usaha ritel atau grosir. Calon debitur memiliki beberapa pembeli utama yang dapat dengan mudah digantikan</t>
  </si>
  <si>
    <t>Ini adalah usaha ritel atau grosir.  Calon debitur memiliki beberapa pembeli utama yang sulit digantikan</t>
  </si>
  <si>
    <t>S81_C</t>
  </si>
  <si>
    <t xml:space="preserve">Berapa kali calon debitur melakukan top up fasilitas kredit yang dimilikinya dalam satu tahun terakhir dari semua fasilitas pinjaman pada semua bank? </t>
  </si>
  <si>
    <t>Berapa kali calon debitur mendapatkan penambahan limit kredit dan/atau fasilitas kredit baru dalam satu tahun terakhir dari semua fasilitas pinjaman pada semua bank?</t>
  </si>
  <si>
    <t>S89_1</t>
  </si>
  <si>
    <t>Total penjualan (dalam persentase) yang tidak tercermin di rekening bank</t>
  </si>
  <si>
    <t>S97_2</t>
  </si>
  <si>
    <t>Perbandingan antara pengeluaran usaha bulanan dengan rata-rata penjualan per bulan</t>
  </si>
  <si>
    <t>S98</t>
  </si>
  <si>
    <t>S99a</t>
  </si>
  <si>
    <t>Bagaimana riwayat kepemilikan dari jaminan yang bernilai paling besar?</t>
  </si>
  <si>
    <t>Jaminan telah dibeli dari pihak luar (bukan kerabat calon debitur / pemegang saham / manajemen inti)</t>
  </si>
  <si>
    <t xml:space="preserve">Jaminan telah dibeli dari kerabat calon debitur / pemegang saham / manajemen inti </t>
  </si>
  <si>
    <t xml:space="preserve">Jaminan telah dialihkan dari kerabat calon debitur / pemegang saham / manajemen inti </t>
  </si>
  <si>
    <t>Jaminan telah dialihkan dari pihak luar (bukan kerabat calon debitur / pemegang saham / manajemen inti)</t>
  </si>
  <si>
    <t>S99b</t>
  </si>
  <si>
    <t>Bagaimana riwayat kepemilikan dari jaminan yang bernilai besar kedua?</t>
  </si>
  <si>
    <t>Q10</t>
  </si>
  <si>
    <t>Jumlah kartu kredit yang aktif</t>
  </si>
  <si>
    <t>Jumlah kartu kredit dengan tingkat pemakaian di atas 80%</t>
  </si>
  <si>
    <t>Q8b</t>
  </si>
  <si>
    <t>Jumlah pinjaman yang ditutup karena alasan tidak normal dalam 5 tahun terakhir</t>
  </si>
  <si>
    <t>Jumlah pinjaman yang ditutup karena alasan tidak normal dalam 2 tahun terakhir</t>
  </si>
  <si>
    <t>Q58b</t>
  </si>
  <si>
    <t>DUA atau lebih pembayaran kewajiban bank yang tidak tepat waktu dalam 6 bulan terakhir</t>
  </si>
  <si>
    <t>DUA atau lebih pembayaran kewajiban bank yang terlambat lebih dari 7 hari dalam 6 bulan terakhir</t>
  </si>
  <si>
    <t>Q60b</t>
  </si>
  <si>
    <t>Jumlah DPD lebih dari 2 minggu</t>
  </si>
  <si>
    <t>QS2_2</t>
  </si>
  <si>
    <t>Total outstanding modal kerja dan pinjaman bank yang lain (termasuk kartu kredit) / penjualan tahunan</t>
  </si>
  <si>
    <t>Total outstanding modal kerja dan pinjaman bank yang lain (termasuk kartu kredit untuk calon debitur yang perorangan) / penjualan tahunan</t>
  </si>
  <si>
    <t>Q53</t>
  </si>
  <si>
    <t>Rata-rata tenor untuk pinjaman modal kerja (bulan)</t>
  </si>
  <si>
    <t>Q50</t>
  </si>
  <si>
    <t>DPD yang tertinggi / terlama dalam 3 bulan terakhir</t>
  </si>
  <si>
    <t>Q28</t>
  </si>
  <si>
    <t>LTV = total outstanding pinjaman / total nilai jaminan</t>
  </si>
  <si>
    <t>LTV = total outstanding pinjaman yang telah diperoleh di seluruh bank / total nilai jaminan yang telah diberikan di seluruh bank</t>
  </si>
  <si>
    <t>Q1</t>
  </si>
  <si>
    <t>Rata-rata tenor pinjaman yang diambil dalam 5 tahun terakhir</t>
  </si>
  <si>
    <t>Rata-rata tenor pinjaman yang diambil dalam 2 tahun terakhir (dalam bulan)</t>
  </si>
  <si>
    <t>Q10+11+13</t>
  </si>
  <si>
    <t>Apakah memiliki kartu kredit, jika ya berapa tingkat penggunaannya</t>
  </si>
  <si>
    <t xml:space="preserve">Apakah memiliki kartu kredit, jika ya berapa tingkat penggunaannya - hanya untuk calon debitur yang perorangan </t>
  </si>
  <si>
    <t>Catatan</t>
  </si>
  <si>
    <t>bulan yang lalu</t>
  </si>
  <si>
    <t>Data</t>
  </si>
  <si>
    <t xml:space="preserve">&lt;&lt;Untuk calon debitur perorangan&gt;&gt; Apa status kepemilikan rumah calon debitur? 
&lt;&lt;Untuk calon debitur perusahaan&gt;&gt; Apa status kepemilikan tempat usaha calon debitur? </t>
  </si>
  <si>
    <t>Berdasarkan jawaban pertanyaan No 13a,
Jika jawaban A (Calon debitur memiliki rumah / tempat usaha), sudah berapa lama pemilik aset memiliki aset tersebut ? [Tuliskan tahun]
· Jika jawaban selain A, tuliskan N/A</t>
  </si>
  <si>
    <t>Diri Sendiri</t>
  </si>
  <si>
    <t>Suami / Istri</t>
  </si>
  <si>
    <t>Orang Tua / Kakek Nenek</t>
  </si>
  <si>
    <t>Pemegang saham / manajemen inti  sendiri</t>
  </si>
  <si>
    <t xml:space="preserve">Suami istri dari pemegang saham/manajemen inti </t>
  </si>
  <si>
    <t xml:space="preserve">Orang tua / kakek nenek dari pemegang saham  / manajemen inti </t>
  </si>
  <si>
    <t>(*) Tanggal lahir adalah data yang harus diisi, Jika BI checking yang dilakukan atas nama debitur perorangan</t>
  </si>
  <si>
    <r>
      <rPr>
        <b/>
        <sz val="10"/>
        <color indexed="8"/>
        <rFont val="Calibri"/>
        <family val="2"/>
      </rPr>
      <t>Catatan</t>
    </r>
    <r>
      <rPr>
        <sz val="10"/>
        <color indexed="8"/>
        <rFont val="Calibri"/>
        <family val="2"/>
      </rPr>
      <t xml:space="preserve"> : (*) No telpon yang dicantumkan harus berupa fixed line, nomor </t>
    </r>
    <r>
      <rPr>
        <i/>
        <sz val="10"/>
        <color indexed="8"/>
        <rFont val="Calibri"/>
        <family val="2"/>
      </rPr>
      <t>handphone</t>
    </r>
    <r>
      <rPr>
        <sz val="10"/>
        <color indexed="8"/>
        <rFont val="Calibri"/>
        <family val="2"/>
      </rPr>
      <t xml:space="preserve"> / </t>
    </r>
    <r>
      <rPr>
        <i/>
        <sz val="10"/>
        <color indexed="8"/>
        <rFont val="Calibri"/>
        <family val="2"/>
      </rPr>
      <t>mobile phone</t>
    </r>
    <r>
      <rPr>
        <sz val="10"/>
        <color indexed="8"/>
        <rFont val="Calibri"/>
        <family val="2"/>
      </rPr>
      <t xml:space="preserve"> tidak dapat diterima</t>
    </r>
  </si>
  <si>
    <t>HASIL</t>
  </si>
  <si>
    <t>Total limit yang diajukan</t>
  </si>
  <si>
    <t>Total limit berdasarkan LTV</t>
  </si>
  <si>
    <t>Total limit berdasarkan % penjualan bersih</t>
  </si>
  <si>
    <t>Total limit yang diajukan (berdasarkan kriteria CLD)</t>
  </si>
  <si>
    <t>Deviasi</t>
  </si>
  <si>
    <t>Total Limit yang disetujui (Rp Juta)</t>
  </si>
  <si>
    <t>QCA</t>
  </si>
  <si>
    <t>CSC</t>
  </si>
  <si>
    <t>CLD</t>
  </si>
  <si>
    <t>Deviasi ?</t>
  </si>
  <si>
    <t>Kriteria</t>
  </si>
  <si>
    <t>Batas Wewenang Memutus Kredit</t>
  </si>
  <si>
    <t>Kebutuhan modal kerja</t>
  </si>
  <si>
    <t>Total pembiayaan modal kerja</t>
  </si>
  <si>
    <t>Persentase pembiayaan modal kerja terhadap kebutuhan modal kerja</t>
  </si>
  <si>
    <t>Pembiayan modal kerja dari bank lain (Rp Juta)</t>
  </si>
  <si>
    <t>Pembiayaan modal kerja oleh BTPN (Rp Juta)</t>
  </si>
  <si>
    <t>Tujuan Pengajuan Fasilitas Pinjaman</t>
  </si>
  <si>
    <t>Tujuan kredit  :</t>
  </si>
  <si>
    <t>Persentase kebutuhan modal kerja yang dibiayai sendiri</t>
  </si>
  <si>
    <t xml:space="preserve">Untuk perdagangan ritel berdasarkan walk-in customer saja (tidak ada kontrak), 
Dalam jarak 100m dari lokasi tokonya saat ini,berapa banyak toko yang kosong (tidak beroperasi) dalam 6 bulan terakhir? </t>
  </si>
  <si>
    <t>[Tidak termasuk kekosongan yang disebabkan karena renovasi atau pemilik bangunan yang tidak berniat untuk menyewakan lokasi tersebut]</t>
  </si>
  <si>
    <t>Persentase total kontribusi 3 supplier terbesar terhadap total pembelian</t>
  </si>
  <si>
    <t>(Untuk supplier tunggal / supplier  dengan penunjukkan tertulis jumlah kontribusinya adalah 0%)</t>
  </si>
  <si>
    <t>Seberapa besar ketergantungan calon debitur terhadap supplier utamanya?</t>
  </si>
  <si>
    <t>Calon debitur secara rutin memesan dari beberapa supplier utama – supplier ini dapat dengan mudah digantikan tanpa mempengaruhi usaha</t>
  </si>
  <si>
    <t>Calon debitur secara rutin memesan dari beberapa supplier utama  –  supplier ini tidak dapat dengan mudah digantikan tanpa berdampak pada usaha</t>
  </si>
  <si>
    <t>Calon debitur secara rutin memesan dari satu supplier – supplier ini  dapat dengan mudah digantikan tanpa mempengaruhi usaha</t>
  </si>
  <si>
    <t>Calon debitur secara rutin memesan dari satu supplier – supplier ini tidak dapat dengan mudah digantikan tanpa mempengaruhi usaha</t>
  </si>
  <si>
    <t>N/A,karena tidak ada supplier tetap untuk industri ini</t>
  </si>
  <si>
    <t xml:space="preserve">Informasi tambahan </t>
  </si>
  <si>
    <t xml:space="preserve">Seberapa besar ketergantungan calon debitur terhadap pembeli utamanya?  </t>
  </si>
  <si>
    <t>Tidak ada kontrak (walk in). Hal ini berlaku untuk ritel, produk kebutuhan pokok atau produk khusus (tertentu) dengan basis pelanggan yang stabil</t>
  </si>
  <si>
    <t>Penjualan berdasarkan kontrak (job order), tetapi barang/produk bersifat umum (tidak customized/tailored), sehingga  mudah untuk dijual ke pembeli lain</t>
  </si>
  <si>
    <t>Penjualan berdasarkan kontrak (job order), tetapi barang/produk customized/tailored, sehingga tidak mudah untuk dijual ke pembeli lain</t>
  </si>
  <si>
    <t>Persentase pembeli perorangan</t>
  </si>
  <si>
    <t>Berapa kali calon debitur melakukan top up fasilitas kredit yang dimilikinya dalam satu tahun terakhir dari semua fasilitas pinjaman pada semua bank?</t>
  </si>
  <si>
    <t>kali</t>
  </si>
  <si>
    <t>Tenor  (tahun)</t>
  </si>
  <si>
    <t>Calon debitur  menjaminkan tanah / bangunan milik kerabat dekatnya (milik orang tua, anak, suami/istri) sebagai jaminan</t>
  </si>
  <si>
    <t>Pemegang saham / manajemen inti menjaminkan tanah / bangunan milik kerabat dekatnya (milik orang tua, anak, suami/istri) sebagai jaminan</t>
  </si>
  <si>
    <t>Calon debitur memiliki dua atau lebih tanah / bangunan dan menjaminkan sebagian darinya sebagai jaminan</t>
  </si>
  <si>
    <t>Pemegang saham / manajemen inti memiliki dua atau lebih tanah / bangunan dan menjaminkan sebagian darinya sebagai jaminan</t>
  </si>
  <si>
    <r>
      <t>Calon debitur</t>
    </r>
    <r>
      <rPr>
        <sz val="10"/>
        <color indexed="10"/>
        <rFont val="Calibri"/>
        <family val="2"/>
      </rPr>
      <t xml:space="preserve"> </t>
    </r>
    <r>
      <rPr>
        <sz val="10"/>
        <color indexed="8"/>
        <rFont val="Calibri"/>
        <family val="2"/>
      </rPr>
      <t>menjaminkan seluruh tanah / bangunan yang dia miliki sebagai jaminan</t>
    </r>
  </si>
  <si>
    <t>Pemegang saham / manajemen inti menjaminkan seluruh tanah / bangunan yang dimiliki sebagai jaminan</t>
  </si>
  <si>
    <t xml:space="preserve">Tidak dapat diaplikasikan,karena jaminan bukan merupakan tanah/bangunan </t>
  </si>
  <si>
    <t>Tidak dapat diaplikasikan,karena jaminan bukan merupakan tanah/bangunan</t>
  </si>
  <si>
    <t>- Untuk Debitur Perorangan</t>
  </si>
  <si>
    <t>- Untuk Debitur Perusahaan</t>
  </si>
  <si>
    <r>
      <t>Seberapa besar keterikatan emosional</t>
    </r>
    <r>
      <rPr>
        <sz val="10"/>
        <color indexed="8"/>
        <rFont val="Calibri"/>
        <family val="2"/>
      </rPr>
      <t xml:space="preserve"> terhadap jaminan yang diberikan?</t>
    </r>
  </si>
  <si>
    <t>Entitas Legal</t>
  </si>
  <si>
    <t>Perorangan</t>
  </si>
  <si>
    <t>Badan Hukum Firma</t>
  </si>
  <si>
    <t>Commaditer Venootschap (CV)</t>
  </si>
  <si>
    <t>Perusahaan Terbatas (PT) NV Limited (LTD)</t>
  </si>
  <si>
    <t>Perseroan Umum (PERUM)</t>
  </si>
  <si>
    <t>Perseroan Jawatan (PERJAN)</t>
  </si>
  <si>
    <t>Perseroan Daerah (PERUSDA)</t>
  </si>
  <si>
    <t>Koperasi</t>
  </si>
  <si>
    <t>Yayasan</t>
  </si>
  <si>
    <t>Badan Hukum Lainnya</t>
  </si>
  <si>
    <t>Untuk Debitur Perorangan</t>
  </si>
  <si>
    <t>Untuk Debitur Perusahaan</t>
  </si>
  <si>
    <t>Area pemasaran</t>
  </si>
  <si>
    <t>% Ekspor</t>
  </si>
  <si>
    <t>Ekspor ke negara</t>
  </si>
  <si>
    <t>Nama Grup</t>
  </si>
  <si>
    <t>Sektor industri</t>
  </si>
  <si>
    <t>Pengalaman bisnis</t>
  </si>
  <si>
    <t>Kompetitor utama</t>
  </si>
  <si>
    <t>Para Pihak yang menandatangani formulir ini bertanggung jawab sepenuhnya atas kelengkapan dan keakuratan informasi yang tercantum didalam formulir ini. Ketidaklengkapan dan/atau ketidakakuratan dalam pemberian informasi dapat menghambat proses kredit</t>
  </si>
  <si>
    <t>Beroperasi pada lokasi usaha saat ini sejak tahun</t>
  </si>
  <si>
    <t>Informasi Grup Debitur</t>
  </si>
  <si>
    <t>Contact Person / PIC</t>
  </si>
  <si>
    <t>Nomor telepon (fixed line)</t>
  </si>
  <si>
    <t>Nomor mobile phone</t>
  </si>
  <si>
    <t>E-mail</t>
  </si>
  <si>
    <t>Aktivitas bisnis (misalnya alur proses produksi, mesin yang digunakan untuk melakukan produksi - tipe, jumlah, kapasitas, kondisi)</t>
  </si>
  <si>
    <t>Guarantor / Penjamin</t>
  </si>
  <si>
    <r>
      <t xml:space="preserve">INFORMASI KEUANGAN HISTORIS 
</t>
    </r>
    <r>
      <rPr>
        <sz val="10"/>
        <color indexed="8"/>
        <rFont val="Calibri"/>
        <family val="2"/>
      </rPr>
      <t>(misalnya pertumbuhan penjualan, pinjaman, sewa, nilai tukar, jika terdapat perubahan angka yang signifikan pada laporan keuangan, lainnya)</t>
    </r>
  </si>
  <si>
    <r>
      <t xml:space="preserve">ASUMSI PROYEKSI KEUANGAN - </t>
    </r>
    <r>
      <rPr>
        <b/>
        <sz val="10"/>
        <color indexed="8"/>
        <rFont val="Calibri"/>
        <family val="2"/>
      </rPr>
      <t>hanya untuk fasilitas pinjaman angsuran berjangka (PAB)
(</t>
    </r>
    <r>
      <rPr>
        <sz val="10"/>
        <color indexed="8"/>
        <rFont val="Calibri"/>
        <family val="2"/>
      </rPr>
      <t>mencakup % pertumbuhan penjualan, biaya investasi, perubahan kebutuhan modal kerja - jika terdapat perubahan dibandingkan dengan data historis, metode pembayaran untuk hutang jangka panjang dengan bank lain)</t>
    </r>
  </si>
  <si>
    <t>Quantitative Credit Assessment (QCA)</t>
  </si>
  <si>
    <t>Kode RM</t>
  </si>
  <si>
    <r>
      <t>Tanggal aplikasi (</t>
    </r>
    <r>
      <rPr>
        <i/>
        <sz val="10"/>
        <color indexed="8"/>
        <rFont val="Calibri"/>
        <family val="2"/>
      </rPr>
      <t>dd-mmm-yyyy</t>
    </r>
    <r>
      <rPr>
        <sz val="10"/>
        <color indexed="8"/>
        <rFont val="Calibri"/>
        <family val="2"/>
      </rPr>
      <t>)</t>
    </r>
  </si>
  <si>
    <t>Nama ACM</t>
  </si>
  <si>
    <t>Kebutuhan investasi (Rp Juta)</t>
  </si>
  <si>
    <t>Pembiayaan investasi (Rp Juta)</t>
  </si>
  <si>
    <t>Alamat jaminan</t>
  </si>
  <si>
    <t>Jaminan 1</t>
  </si>
  <si>
    <t>Jaminan 2</t>
  </si>
  <si>
    <t>Jaminan 4</t>
  </si>
  <si>
    <t>No CP</t>
  </si>
  <si>
    <t>Total Pinjaman dari bank lain</t>
  </si>
  <si>
    <t>Tenor for existing facility</t>
  </si>
  <si>
    <t>Count existing facility for working capital</t>
  </si>
  <si>
    <t>Tenor working capital</t>
  </si>
  <si>
    <t>Count working capital loan</t>
  </si>
  <si>
    <t>Average tenor for working capital</t>
  </si>
  <si>
    <t>Existing facility (Dalam Rp)</t>
  </si>
  <si>
    <t>Nilai Jaminan Eksisting</t>
  </si>
  <si>
    <t>Total yang diajukan
(dalam Rp)</t>
  </si>
  <si>
    <t>Total outstanding (untuk fasilitas eksisting) - dalam Rp</t>
  </si>
  <si>
    <t>Calon debitur memiliki rumah dimana dia tinggal</t>
  </si>
  <si>
    <t>Tempat usaha calon debitur adalah milik sendiri / pemegang saham / direktur</t>
  </si>
  <si>
    <t xml:space="preserve">Calon debitur menyewa rumah dimana dia tinggal </t>
  </si>
  <si>
    <t>Tempat usaha calon debitur adalah sewa</t>
  </si>
  <si>
    <t xml:space="preserve">Calon debitur tinggal di rumah keluarga milik orang tua atau kakek/neneknya (Calon debitur memiliki sebagian hak atas rumah tersebut di kemudian hari) </t>
  </si>
  <si>
    <t>Tempat usaha calon debitur adalah aset milik keluarga pemegang saham / manajemen</t>
  </si>
  <si>
    <t xml:space="preserve">Calon debitur tinggal di rumah yang dimiliki orang lain (Calon debitur TIDAK akan memiliki segala bentuk kepemilikan/klaim atas rumah itu di masa depan) </t>
  </si>
  <si>
    <t>Tempat usaha calon debitur adalah aset milik orang lain yang tidak terkait</t>
  </si>
  <si>
    <t>Tidak Ada , karena hanya ada satu jaminan</t>
  </si>
  <si>
    <t>Jenis Kelamin</t>
  </si>
  <si>
    <t>Status kepemilikan rumah</t>
  </si>
  <si>
    <t>Moral obligasi</t>
  </si>
  <si>
    <t xml:space="preserve">Apa jenis kelamin dari debitur/ orang yang mewakili perusahaan? </t>
  </si>
  <si>
    <t>Berapa jumlah hari inventori untuk usaha ini [Tuliskan jumlah hari]</t>
  </si>
  <si>
    <t>Berapa jumlah hari A/P untuk usaha ini [Tuliskan jumlah hari]</t>
  </si>
  <si>
    <t>Berapa jumlah hari A/R untuk usaha ini [Tuliskan jumlah hari]</t>
  </si>
  <si>
    <t>Proyeksi</t>
  </si>
  <si>
    <t>Historis</t>
  </si>
  <si>
    <t>Total penjualan yang tidak tercermin di rekening bank dan atau bukti tertulis lainnya</t>
  </si>
  <si>
    <t>Berapa lamakah (dalam hari) perputaran modal usaha</t>
  </si>
  <si>
    <t xml:space="preserve">Berapakah rasio (dalam persentase) dari modal usaha terhadap rata2 penjualan bulanan </t>
  </si>
  <si>
    <t>Frekuensi pembayaran untuk mayoritas supplier</t>
  </si>
  <si>
    <t>Frekuensi pembayaran</t>
  </si>
  <si>
    <t>Mingguan</t>
  </si>
  <si>
    <t>Harian</t>
  </si>
  <si>
    <t>Berdasarkan kontrak</t>
  </si>
  <si>
    <r>
      <t xml:space="preserve">Seberapa sering frekuensi penjualan produk / jasa kepada debitur 
</t>
    </r>
    <r>
      <rPr>
        <b/>
        <i/>
        <sz val="10"/>
        <color indexed="8"/>
        <rFont val="Calibri"/>
        <family val="2"/>
      </rPr>
      <t/>
    </r>
  </si>
  <si>
    <t>Berdasarkan order</t>
  </si>
  <si>
    <t xml:space="preserve">Nilai Tukar </t>
  </si>
  <si>
    <t>Total yang disetujui
(Dalam Rp)</t>
  </si>
  <si>
    <t>Nomor</t>
  </si>
  <si>
    <t>Kepada Yth,</t>
  </si>
  <si>
    <t>FASILITAS KREDIT</t>
  </si>
  <si>
    <t>Fasilitas Kredit 1</t>
  </si>
  <si>
    <t>a</t>
  </si>
  <si>
    <t>Jenis Fasilitas Kredit</t>
  </si>
  <si>
    <t>Jumlah Plafond (Rp)</t>
  </si>
  <si>
    <t>Tujuan</t>
  </si>
  <si>
    <t>Suku Bunga</t>
  </si>
  <si>
    <t>Jangka Waktu</t>
  </si>
  <si>
    <t>Provisi</t>
  </si>
  <si>
    <t>Biaya Administrasi (Rp)</t>
  </si>
  <si>
    <t>BIAYA - BIAYA</t>
  </si>
  <si>
    <t>JAMINAN</t>
  </si>
  <si>
    <t>Fasilitas Kredit 2</t>
  </si>
  <si>
    <t>Fasilitas Kredit 3</t>
  </si>
  <si>
    <t>Fasilitas Kredit 4</t>
  </si>
  <si>
    <t>Fasilitas Kredit 5</t>
  </si>
  <si>
    <t>Fasilitas Kredit 6</t>
  </si>
  <si>
    <t>Fasilitas Kredit 7</t>
  </si>
  <si>
    <t>b</t>
  </si>
  <si>
    <t>c</t>
  </si>
  <si>
    <t>d</t>
  </si>
  <si>
    <t>e</t>
  </si>
  <si>
    <t xml:space="preserve">f </t>
  </si>
  <si>
    <t>g</t>
  </si>
  <si>
    <t>SURAT PENAWARAN FASILITAS KREDIT</t>
  </si>
  <si>
    <t>Dengan hormat,</t>
  </si>
  <si>
    <t>Biaya Asuransi</t>
  </si>
  <si>
    <t>sesuai tarif yang berlaku di bank</t>
  </si>
  <si>
    <t>Biaya Notaris / PPAT</t>
  </si>
  <si>
    <t>Jenis jaminan</t>
  </si>
  <si>
    <t>Atas nama</t>
  </si>
  <si>
    <t>Jaminan 3</t>
  </si>
  <si>
    <t>Jaminan 5</t>
  </si>
  <si>
    <t>Jaminan 6</t>
  </si>
  <si>
    <t>Jaminan 7</t>
  </si>
  <si>
    <t>Jaminan 8</t>
  </si>
  <si>
    <t>KETENTUAN UMUM</t>
  </si>
  <si>
    <t>Membuka rekening tabungan pada PT. Bank Tabungan Pensiunan Nasional, Tbk sesuai dengan ketentuan yang ditetapkan oleh bank</t>
  </si>
  <si>
    <t>Melengkapi dan menyerahkan dokumen - dokumen yang disyaratkan dan diperlukan untuk proses pengikatan kredit dan pengikatan jaminan</t>
  </si>
  <si>
    <t>Tidak termasuk dalam daftar kredit bermasalah di Bank Indonesia</t>
  </si>
  <si>
    <t>Notariil</t>
  </si>
  <si>
    <t>Semua biaya untuk proses pengikatan fasilitas kredit dan jaminan akan menjadi tanggungan pihak Debitur dan besarnya sesuai dengan ketentuan yang berlaku pada Bank</t>
  </si>
  <si>
    <t>Suku bunga fasilitas kredit yang diberikan setiap saat dapat berubah sesuai dengan kondisi yang berlaku di pasar</t>
  </si>
  <si>
    <t>Pembayaran angsuran untuk fasilitas kredit dengan angsuran wajib dilakukan sesuai dengan jadwal angsuran yang berlaku</t>
  </si>
  <si>
    <t>Pembayaran bunga dan atau pokok untuk fasilitas kredit tanpa angsuran wajib dilakukan sesuai dengan jadwal pembayaran yang ditetapkan</t>
  </si>
  <si>
    <t>Jaminan wajib dicover dengan asuransi dan menerbitkan Banker's Clause kepada Bank dengan ketentuan :</t>
  </si>
  <si>
    <t xml:space="preserve">10.1 </t>
  </si>
  <si>
    <t>Untuk jaminan tanah dan bangunan atau mesin produksi wajib dicover dengan asuransi kerugian minimum asuransi kebakaran</t>
  </si>
  <si>
    <t>10.2</t>
  </si>
  <si>
    <t>Untuk jaminan kendaraan wajib ditutup dengan asuransi kerugian / kehilangan atas kendaraan minimal Total Lost Only (TLO)</t>
  </si>
  <si>
    <t>KETENTUAN KHUSUS</t>
  </si>
  <si>
    <t>Financial covenant</t>
  </si>
  <si>
    <t>Non Financial covenant</t>
  </si>
  <si>
    <t>f</t>
  </si>
  <si>
    <t>h</t>
  </si>
  <si>
    <t>i</t>
  </si>
  <si>
    <t>j</t>
  </si>
  <si>
    <t>LAIN - LAIN</t>
  </si>
  <si>
    <t>Persetujuan ini berlaku selama tidak terdapat permasalahan hukum namun tidak terbatas yang berhubungan dengan dokumen identitas dan atau dokumen Anggaran Dasar calon debitur / debitur dan atau penjamin, dokumen jaminan serta dokumen pendukung lainnya.</t>
  </si>
  <si>
    <t>Hal lainnya yang belum diatur atau belum cukup diatur dalam surat penawaran ini akan diatur kemudian dalam Perjanjian Kredit dan atau surat menyurat lainnya yang merupakan satu kesatuan yang tidak terpisahkan dari surat ini</t>
  </si>
  <si>
    <t>&lt;&lt;Alamat Notaris&gt;&gt;</t>
  </si>
  <si>
    <t>Perihal</t>
  </si>
  <si>
    <t>Surat Penunjukan Notaris</t>
  </si>
  <si>
    <t>Up.</t>
  </si>
  <si>
    <t xml:space="preserve"> PT. Bank Tabungan Pensiunan Nasional, Tbk</t>
  </si>
  <si>
    <t>Jabatan :</t>
  </si>
  <si>
    <t>Nama     :</t>
  </si>
  <si>
    <t>Sebagai bukti persetujuan, maka Bapak / Ibu dapat menandatangani surat ini dan kemudian dikembalikan kepada Kami</t>
  </si>
  <si>
    <t>Menyetujui</t>
  </si>
  <si>
    <t>(Nama Calon Debitur)</t>
  </si>
  <si>
    <t>Hormat Kami</t>
  </si>
  <si>
    <t>(Nama)</t>
  </si>
  <si>
    <t>3 kali dalam 3 bulan</t>
  </si>
  <si>
    <t>4 kali dalam 3 bulan</t>
  </si>
  <si>
    <t>&gt; 4 kali dalam 3 bulan</t>
  </si>
  <si>
    <t>Terlambat s.d. 1 minggu
Bagus
Ya
Ya</t>
  </si>
  <si>
    <t>Terlambat s.d. 3 minggu
Bagus
Ya
Ya</t>
  </si>
  <si>
    <t>Terlambat s.d. 5 minggu
Buruk
Tidak
Tidak</t>
  </si>
  <si>
    <t>Terlambat s.d. 6 minggu
Buruk
Tidak
Tidak</t>
  </si>
  <si>
    <t>Terlambat &gt; 6 minggu
Buruk
Tidak
Tidak</t>
  </si>
  <si>
    <t>Terlambat s.d. 1 minggu
Ya
Ya</t>
  </si>
  <si>
    <t>Terlambat s.d. 3 minggu
Ya
Ya</t>
  </si>
  <si>
    <t>Terlambat s.d. 5 minggu
Tidak
Tidak</t>
  </si>
  <si>
    <t>Terlambat s.d. 6 minggu
Tidak
Tidak</t>
  </si>
  <si>
    <t>Terlambat &gt; 6 minggu
Tidak
Tidak</t>
  </si>
  <si>
    <t>ORIGINAL GRADE</t>
  </si>
  <si>
    <t>ADJUSTED GRADE</t>
  </si>
  <si>
    <r>
      <t>(Tulis</t>
    </r>
    <r>
      <rPr>
        <b/>
        <sz val="9"/>
        <color indexed="8"/>
        <rFont val="Calibri"/>
        <family val="2"/>
      </rPr>
      <t xml:space="preserve"> </t>
    </r>
    <r>
      <rPr>
        <b/>
        <sz val="10"/>
        <color indexed="8"/>
        <rFont val="Calibri"/>
        <family val="2"/>
      </rPr>
      <t>N/A</t>
    </r>
    <r>
      <rPr>
        <sz val="9"/>
        <color indexed="8"/>
        <rFont val="Calibri"/>
        <family val="2"/>
      </rPr>
      <t xml:space="preserve"> jika sebagian besar/seluruh pembeli adalah perorangan berdasarkan jenis usahanya)</t>
    </r>
  </si>
  <si>
    <t>Month 1</t>
  </si>
  <si>
    <t>Month 2</t>
  </si>
  <si>
    <t>Month 3</t>
  </si>
  <si>
    <t>Bank 1</t>
  </si>
  <si>
    <t>Bank 2</t>
  </si>
  <si>
    <t>Bank 3</t>
  </si>
  <si>
    <t xml:space="preserve">Bank 4 </t>
  </si>
  <si>
    <t>Bank 5</t>
  </si>
  <si>
    <t>Bank 6</t>
  </si>
  <si>
    <t>Bank 7</t>
  </si>
  <si>
    <t>Bank 8</t>
  </si>
  <si>
    <t>Bank 9</t>
  </si>
  <si>
    <t>Bank 10</t>
  </si>
  <si>
    <t>Lampiran</t>
  </si>
  <si>
    <t>Surat Penawaran no ..............................</t>
  </si>
  <si>
    <t>Kepada Yth</t>
  </si>
  <si>
    <r>
      <t xml:space="preserve">Bapak / Ibu Notaris </t>
    </r>
    <r>
      <rPr>
        <i/>
        <sz val="11"/>
        <color indexed="56"/>
        <rFont val="Calibri"/>
        <family val="2"/>
      </rPr>
      <t>&lt;&lt;Nama Notaris&gt;&gt;</t>
    </r>
  </si>
  <si>
    <t>Kami mohon bantuannya untuk dapat dilaksanakan proses pengikatan kredit dan jaminan atas calon debitur kami, yaitu :</t>
  </si>
  <si>
    <t>Hari</t>
  </si>
  <si>
    <t>Proses penandatanganan perjanjian kredit akan dilakukan :</t>
  </si>
  <si>
    <t>Pukul</t>
  </si>
  <si>
    <t>Tempat</t>
  </si>
  <si>
    <t>Pihak bank akan diwakili oleh :</t>
  </si>
  <si>
    <t>1.</t>
  </si>
  <si>
    <t>Jenis order</t>
  </si>
  <si>
    <t>Pengecekan sertifikat</t>
  </si>
  <si>
    <t xml:space="preserve">Perjanjian Kredit </t>
  </si>
  <si>
    <t>Pengikatan Jaminan dan Akta Lainnya sebagaimana terlampir</t>
  </si>
  <si>
    <t xml:space="preserve">Nomor </t>
  </si>
  <si>
    <t>Bilamana proses salinan Akta Perjanjian Kredit dan Perjanjian Jaminan maupun akta - akta lainnya telah selesai, maka salinan akta - akta tersebit diatas agar segera diserahkan kepada PT Bank Tabungan Pensiunan Nasional Tbk.</t>
  </si>
  <si>
    <t>Demikian kami sampaikan, atas perhatian dan kerjasamanya kami ucapkan terima kasih</t>
  </si>
  <si>
    <t>Detail informasi mengenai fasilitas kredit dan jaminan terlampir dalam surat penawaran nomor</t>
  </si>
  <si>
    <t>Total Plafond R/K</t>
  </si>
  <si>
    <t>DSR Projection</t>
  </si>
  <si>
    <t>Daftar Dokumen</t>
  </si>
  <si>
    <t>Pengajuan Penilaian Jaminan</t>
  </si>
  <si>
    <t>Pengajuan BI Checking</t>
  </si>
  <si>
    <t>Laporan Trade Checking - Buyer Checking</t>
  </si>
  <si>
    <t>Analisa Laporan Keuangan</t>
  </si>
  <si>
    <t>Data Pelaporan Bank Indonesia</t>
  </si>
  <si>
    <t>Order Penunjukkan Notaris</t>
  </si>
  <si>
    <t>Pengajuan Trade Checking</t>
  </si>
  <si>
    <t>Laporan Trade Checking - Supplier Checking</t>
  </si>
  <si>
    <t>Surat Penawaran (Offering Letter)</t>
  </si>
  <si>
    <t>Diisi oleh</t>
  </si>
  <si>
    <t>RM Support</t>
  </si>
  <si>
    <t>ACM</t>
  </si>
  <si>
    <t>Relationship Manager (RM)</t>
  </si>
  <si>
    <t>RCR</t>
  </si>
  <si>
    <r>
      <t xml:space="preserve">LAPORAN TRADE CHECKING
</t>
    </r>
    <r>
      <rPr>
        <i/>
        <sz val="14"/>
        <color indexed="8"/>
        <rFont val="Calibri"/>
        <family val="2"/>
      </rPr>
      <t>SUPPLIER CHECKING</t>
    </r>
  </si>
  <si>
    <r>
      <t xml:space="preserve">LAPORAN TRADE CHECKING
</t>
    </r>
    <r>
      <rPr>
        <i/>
        <sz val="16"/>
        <color indexed="8"/>
        <rFont val="Calibri"/>
        <family val="2"/>
      </rPr>
      <t xml:space="preserve">BUYER </t>
    </r>
    <r>
      <rPr>
        <i/>
        <sz val="14"/>
        <color indexed="8"/>
        <rFont val="Calibri"/>
        <family val="2"/>
      </rPr>
      <t>CHECKING</t>
    </r>
  </si>
  <si>
    <t>Penambahan CPLTD</t>
  </si>
  <si>
    <t>Fasilitas Investasi</t>
  </si>
  <si>
    <t>Fasilitas Investasi / Tenor</t>
  </si>
  <si>
    <t>Laba Usaha</t>
  </si>
  <si>
    <t>Deskripsi Usaha</t>
  </si>
  <si>
    <t>Detail informasi mengenai usaha debitur (misalnya apakah debitur market leader, informasi positif / negatif terkait usaha debitur, siklus usaha debitur)</t>
  </si>
  <si>
    <t>Informasi Supplier dan Buyer (Pembeli)</t>
  </si>
  <si>
    <t>Lama hubungan bisnis (tahun)</t>
  </si>
  <si>
    <t>Jangka waktu pembayaran (hari)</t>
  </si>
  <si>
    <t>Lama Hubungan (tahun)</t>
  </si>
  <si>
    <t xml:space="preserve">Metode pembayaran </t>
  </si>
  <si>
    <t>Jenis produk</t>
  </si>
  <si>
    <t>Rata - rata penjualan bulanan (dalam Rp Juta)</t>
  </si>
  <si>
    <t>Persentase pembelian</t>
  </si>
  <si>
    <t>Rata - rata pembelian bulanan (Rp Juta)</t>
  </si>
  <si>
    <t>Persentase penjualan</t>
  </si>
  <si>
    <r>
      <t>Seberapa sering frekuensi pembelian produk / jasa dari debitur</t>
    </r>
    <r>
      <rPr>
        <b/>
        <sz val="10"/>
        <color indexed="8"/>
        <rFont val="Calibri"/>
        <family val="2"/>
      </rPr>
      <t/>
    </r>
  </si>
  <si>
    <t>No Telepon</t>
  </si>
  <si>
    <t>Rata - rata penjualan per bulan (Rp juta)</t>
  </si>
  <si>
    <t>Rata-rata pembelian per bulan (Rp juta)</t>
  </si>
  <si>
    <t>Rata - rata penjualan per bulan  (Rp Juta)</t>
  </si>
  <si>
    <t>Rata - rata pembelian per bulan (Rp Juta)</t>
  </si>
  <si>
    <t>Apakah debitur memiliki bisnis lain (diluar bisnis yang dibiayai)</t>
  </si>
  <si>
    <t>Jika Ya, maka:</t>
  </si>
  <si>
    <t>Persentase</t>
  </si>
  <si>
    <t>Kas</t>
  </si>
  <si>
    <t>Total Biaya Usaha</t>
  </si>
  <si>
    <t>Apakah supplier diverifikasi / dicek sebagai supplier utama dari debitur?</t>
  </si>
  <si>
    <t>Apakah pembeli diverifikasi / dicek sebagai pembeli utama dari debitur?</t>
  </si>
  <si>
    <t>PRE - SCREENING (PSC)</t>
  </si>
  <si>
    <t>CUSTOMER SELECTION CRITERIA (CSC)</t>
  </si>
  <si>
    <t>CREDIT LIMIT DETERMINATION (CLD)</t>
  </si>
  <si>
    <t>Parameter Pre - Screening</t>
  </si>
  <si>
    <t>Ya / Tidak</t>
  </si>
  <si>
    <t>Kebutuhan modal kerja yang dibiayai sendiri (Rp Juta)</t>
  </si>
  <si>
    <t>Penjelasan asumsi perhitungan kebutuhan investasi</t>
  </si>
  <si>
    <t xml:space="preserve">Penjelasan asumsi perhitungan kebutuhan modal kerja </t>
  </si>
  <si>
    <t>% Mutasi Kredit terhadap total penjualan</t>
  </si>
  <si>
    <t>Rata - rata mutasi kredit</t>
  </si>
  <si>
    <t>Rata - rata swing</t>
  </si>
  <si>
    <t>Rata - rata % swing</t>
  </si>
  <si>
    <t>% Rata - rata  swing</t>
  </si>
  <si>
    <t>Plafond R/K (Rp Juta)</t>
  </si>
  <si>
    <t>Nilai Pasar (dalam Rp Juta)</t>
  </si>
  <si>
    <t>Nilai Pasar (Dalam Rp Juta)</t>
  </si>
  <si>
    <t>Bunga KRK / KB / Installment KAB</t>
  </si>
  <si>
    <t>% Total Kebutuhan Modal Kerja</t>
  </si>
  <si>
    <t>% Pinjaman Modal Kerja dari Bank Lain terhadap total pinjaman modal kerja</t>
  </si>
  <si>
    <t>% Pinjaman Modal Kerja dari Bank BTPN terhadap total pinjaman modal kerja</t>
  </si>
  <si>
    <t>% Pinjaman Investasi terhadap kebutuhan investasi</t>
  </si>
  <si>
    <t>LTV</t>
  </si>
  <si>
    <t>Persentase pembiayaan investasi terhadap kebutuhan investasi</t>
  </si>
  <si>
    <t>Total nilai pasar jaminan</t>
  </si>
  <si>
    <t>Periode - untuk fasilitas eksisting</t>
  </si>
  <si>
    <t>Tenor Fasilitas -untuk fasilitas baru 
(tahun)</t>
  </si>
  <si>
    <t>Akumulasi penyusutan kendaraan (-/-)</t>
  </si>
  <si>
    <t>Akumulasi penyusutan mesin, peralatan, inventaris (-/-)</t>
  </si>
  <si>
    <t>Proyeksi CPLTD</t>
  </si>
  <si>
    <t>Biaya Non Operasional</t>
  </si>
  <si>
    <t>LOID</t>
  </si>
  <si>
    <t>Dengan perjanjian kredit</t>
  </si>
  <si>
    <t>10 - Dalam rangka pembiayaan bersama</t>
  </si>
  <si>
    <t>15 - Dalam rangka restrukturisasi kredit</t>
  </si>
  <si>
    <t xml:space="preserve">20 - Penyaluran kredit melalui lembaga lain kredit (channelling) </t>
  </si>
  <si>
    <t>30 - Kartu kredit</t>
  </si>
  <si>
    <t>40 - Pengambilalihan kredit</t>
  </si>
  <si>
    <t>45 - Surat berharga dengan Note Purchase Agreement (NPA)</t>
  </si>
  <si>
    <t>50 - Pembiayaan Musyarakah</t>
  </si>
  <si>
    <t xml:space="preserve">55 - Pembiayaan Mudharabah </t>
  </si>
  <si>
    <t>60 - Piutang Murabahah</t>
  </si>
  <si>
    <t>65 - Piutang Salam</t>
  </si>
  <si>
    <t>70 - Piutang Istishna</t>
  </si>
  <si>
    <t>79 - Lainnya</t>
  </si>
  <si>
    <t>Tanpa perjanjian kredit</t>
  </si>
  <si>
    <t>80 - Giro bersaldo debet</t>
  </si>
  <si>
    <t>85 - Tagihan atas transaksi perdagangan</t>
  </si>
  <si>
    <t>99 - Lainnya</t>
  </si>
  <si>
    <t>Valuta</t>
  </si>
  <si>
    <t>Kolektabilitas</t>
  </si>
  <si>
    <t>Total Aktiva</t>
  </si>
  <si>
    <t>Total Kewajiban</t>
  </si>
  <si>
    <t>Penjualan</t>
  </si>
  <si>
    <t>Laba Rugi Tahun Berjalan (Sebelum Pajak)</t>
  </si>
  <si>
    <t>Tahun 1</t>
  </si>
  <si>
    <t>Tahun 2</t>
  </si>
  <si>
    <t>Tahun 3</t>
  </si>
  <si>
    <t>RM and ACM</t>
  </si>
  <si>
    <t>Calon debitur menjaminkan seluruh tanah / bangunan yang dia miliki sebagai jaminan</t>
  </si>
  <si>
    <t>NIK ACM</t>
  </si>
  <si>
    <t>SID Reporting</t>
  </si>
  <si>
    <t>0100 - Tanpa Gelar</t>
  </si>
  <si>
    <t>0101 - Diploma 1</t>
  </si>
  <si>
    <t>0102 - Diploma 2</t>
  </si>
  <si>
    <t>0103 - Diploma 3</t>
  </si>
  <si>
    <t>0104 - S-1</t>
  </si>
  <si>
    <t>0105 - S-2</t>
  </si>
  <si>
    <t>0106 - S-3</t>
  </si>
  <si>
    <t>0107 - Debitur Kelompok</t>
  </si>
  <si>
    <t>0199 - Lainnya - Perorangan</t>
  </si>
  <si>
    <t>0201 - Badan Usaha Unit Desa</t>
  </si>
  <si>
    <t>0202 - Commanditer Venotschap</t>
  </si>
  <si>
    <t>0203 - Debitur Kelompok</t>
  </si>
  <si>
    <t>0204 - Ekspedisi Muatan Kapal Laut</t>
  </si>
  <si>
    <t>0205 - FIRMA</t>
  </si>
  <si>
    <t>0206 - Gabungan Koperasi</t>
  </si>
  <si>
    <t>0207 - Induk Koperasi</t>
  </si>
  <si>
    <t>0208 - Koperasi</t>
  </si>
  <si>
    <t>0209 - Koperasi Unit Desa</t>
  </si>
  <si>
    <t>0210 - Limited</t>
  </si>
  <si>
    <t>0211 - Maskapai Andil Indonesia</t>
  </si>
  <si>
    <t>0212 - Namloose Venotschaap</t>
  </si>
  <si>
    <t>0213 - Perusahaan Daerah</t>
  </si>
  <si>
    <t>0214 - Persero</t>
  </si>
  <si>
    <t>0215 - Persekutuan Perdata</t>
  </si>
  <si>
    <t>0216 - Perusahaan Umum</t>
  </si>
  <si>
    <t>0217 - Primer Koperasi</t>
  </si>
  <si>
    <t>0218 - Perseroan Terbatas</t>
  </si>
  <si>
    <t>0219 - Pusat Koperasi</t>
  </si>
  <si>
    <t>0220 - Pusat Koperasi Unit Desa</t>
  </si>
  <si>
    <t>0221 - Usaha Dagang</t>
  </si>
  <si>
    <t>0222 - Unit Dagang Kredit Pedesaan</t>
  </si>
  <si>
    <t>0223 - Yayasan</t>
  </si>
  <si>
    <t>0299 - Lainnya - Badan Usaha</t>
  </si>
  <si>
    <t>0300 - Pemerintah/Lembaga Negara</t>
  </si>
  <si>
    <t>800 - Pemerintah Pusat</t>
  </si>
  <si>
    <t>801 - Kantor Perbendaharaan dan Kas Negara (KPKN)</t>
  </si>
  <si>
    <t>802 - Departemen Keuangan</t>
  </si>
  <si>
    <t>803 - Departemen Pertahanan</t>
  </si>
  <si>
    <t>804 - Departemen Kehutanan</t>
  </si>
  <si>
    <t>805 - Departemen Pertanian</t>
  </si>
  <si>
    <t>806 - Departemen Pertambangan dan Energi</t>
  </si>
  <si>
    <t>807 - Departemen Agama</t>
  </si>
  <si>
    <t>808 - Kementrian Negara BUMN</t>
  </si>
  <si>
    <t>809 - Departemen Lainnya</t>
  </si>
  <si>
    <t>810 - Pemerintah Daerah (Pemda)</t>
  </si>
  <si>
    <t>811 - Pemerintah Propinsi</t>
  </si>
  <si>
    <t>812 - Pemerintah Kota</t>
  </si>
  <si>
    <t>814 - Pemerintah Kabupaten</t>
  </si>
  <si>
    <t>815 - Badan-badan dan Lembaga-lembaga Pemerintah Lainnya</t>
  </si>
  <si>
    <t>816 - Badan Urusan Logistik (Bulog)</t>
  </si>
  <si>
    <t>817 - Badan Penyehatan Perbankan Nasional</t>
  </si>
  <si>
    <t>819 - Lainnya (Badan &amp; Lembaga Pemerintah Lainnya)</t>
  </si>
  <si>
    <t>820 - Badan Usaha  Milik Negara (BUMN) atau Pem. Campuran</t>
  </si>
  <si>
    <t>821 - Lembaga Keuangan Non Bank - BUMN / Pem. Campuran</t>
  </si>
  <si>
    <t>822 - Jamsostek</t>
  </si>
  <si>
    <t>823 - Taspen</t>
  </si>
  <si>
    <t>824 - Jiwasraya</t>
  </si>
  <si>
    <t>825 - Jasa Raharja</t>
  </si>
  <si>
    <t>826 - Jasindo</t>
  </si>
  <si>
    <t>827 - ASABRI</t>
  </si>
  <si>
    <t>828 - Perusahaan asuransi lainnya - BUMN/ Pem. Campuran</t>
  </si>
  <si>
    <t>830 - Dana Pensiun - BUMN/ Pemerintah Campuran</t>
  </si>
  <si>
    <t>831 - Modal Ventura - BUMN/ Pemerintah Campuran</t>
  </si>
  <si>
    <t>832 - Perusahaan Pembiayaan - BUMN/ Pem. Campuran</t>
  </si>
  <si>
    <t>833 - PT. Danareksa</t>
  </si>
  <si>
    <t>834 - Perush. sekuritas yg tidak melakukan usaha Reksadana - BUMN</t>
  </si>
  <si>
    <t>835 - Perush. sekuritas yg melakukan usaha Reksadana - BUMN</t>
  </si>
  <si>
    <t>836 - Perusahaan Reksadana - BUMN</t>
  </si>
  <si>
    <t>837 - Perum Pegadaian</t>
  </si>
  <si>
    <t>838 - PT. Pos Indonesia</t>
  </si>
  <si>
    <t>840 - Lainnya (Lembaga Keuangan Non Bank Lainnya - BUMN)</t>
  </si>
  <si>
    <t>841 - Bukan Lembaga Keuangan - BUMN</t>
  </si>
  <si>
    <t>842 - PT. Kereta Api Indonesia (KAI)</t>
  </si>
  <si>
    <t>843 - PT. Pelayaran Nasional Indonesia (PELNI)</t>
  </si>
  <si>
    <t>844 - PT. Pelabuhan Laut Indonesia (PELINDO)</t>
  </si>
  <si>
    <t>845 - PT. Angkutan Sungai, Danau dan Penyeberangan (ASDP)</t>
  </si>
  <si>
    <t>846 - PT. Angkasa Pura</t>
  </si>
  <si>
    <t>847 - PT. Perkebunan Nusantara</t>
  </si>
  <si>
    <t>848 - PT. Pertamina</t>
  </si>
  <si>
    <t>849 - PT. Perusahaan Listrik  Negara (PLN)</t>
  </si>
  <si>
    <t>850 - PT. Krakatau Steel</t>
  </si>
  <si>
    <t>851 - PT. Garuda Indonesia</t>
  </si>
  <si>
    <t>852 - PT. Telkom</t>
  </si>
  <si>
    <t>853 - PT. Indosat</t>
  </si>
  <si>
    <t>854 - PT. Jasa Marga</t>
  </si>
  <si>
    <t>855 - PT. Timah</t>
  </si>
  <si>
    <t>856 - PT. Aneka Tambang</t>
  </si>
  <si>
    <t>857 - Perusahaan Jasa Konstruksi - BUMN</t>
  </si>
  <si>
    <t>859 - Lainnya (Bukan Lembaga Keuangan - BUMN)</t>
  </si>
  <si>
    <t>860 - Badan Usaha Milik Daerah (BUMD)</t>
  </si>
  <si>
    <t>861 - Lembaga Keuangan Non Bank - BUMD</t>
  </si>
  <si>
    <t>862 - Perusahaan Asuransi - BUMD</t>
  </si>
  <si>
    <t>863 - Dana Pensiun - BUMD</t>
  </si>
  <si>
    <t>864 - Perusahaan Pembiayaan - BUMD</t>
  </si>
  <si>
    <t>865 - Modal Ventura - BUMD</t>
  </si>
  <si>
    <t>866 - Perush sekuritas yg tidak melakukan usaha Reksadana - BUMD</t>
  </si>
  <si>
    <t>867 - Perush sekuritas yg melakukan usaha Reksadana - BUMD</t>
  </si>
  <si>
    <t>868 - Perusahaan Reksadana - BUMD</t>
  </si>
  <si>
    <t>870 - Lainnya  (Lemb Keuangan Non Bank - BUMD)</t>
  </si>
  <si>
    <t>871 - Bukan Lembaga Keuangan - BUMD</t>
  </si>
  <si>
    <t>872 - Perusahaan Daerah Air Minum (PDAM)</t>
  </si>
  <si>
    <t>873 - Perusahaan Daerah Pasar (PD. Pasar)</t>
  </si>
  <si>
    <t>874 - Lainnya (Bukan Lembaga Keuangan - BUMD)</t>
  </si>
  <si>
    <t>875 - Lembaga Keuangan Non Bank - Swasta</t>
  </si>
  <si>
    <t>876 - Perusahaan asuransi</t>
  </si>
  <si>
    <t>877 - Dana pensiun LKNB Swasta</t>
  </si>
  <si>
    <t>878 - Perusahaan Pembiayaan</t>
  </si>
  <si>
    <t>879 - Modal Ventura</t>
  </si>
  <si>
    <t>880 - Perush sekuritas yg tidak melakukan kegiatan  usaha Reksadana</t>
  </si>
  <si>
    <t>881 - Perush sekuritas yg melakukan kegiatan  usaha Reksadana</t>
  </si>
  <si>
    <t>882 - Perusahaan Reksadana</t>
  </si>
  <si>
    <t>883 - Dana Pensiun LKNB Swasta Lainnya</t>
  </si>
  <si>
    <t>884 - Baitul Maal Wa Tamwil (BMT)</t>
  </si>
  <si>
    <t>885 - Koperasi Primer (Simpan Pinjam)</t>
  </si>
  <si>
    <t>886 - Koperasi Lainnya (Simpan Pinjam)</t>
  </si>
  <si>
    <t>887 - Ktr Perwk Lemb Asing di Indonesia (Lemb. Keu - Swasta)</t>
  </si>
  <si>
    <t>889 - Lainnya (Lembaga Keuangan non Bank Lainnya - Swasta)</t>
  </si>
  <si>
    <t>890 - Bukan Lembaga Keuangan - Swasta</t>
  </si>
  <si>
    <t>891 - Perusahaan Otomotif</t>
  </si>
  <si>
    <t>892 - Perusahaan Perminyakan</t>
  </si>
  <si>
    <t>893 - Perusahaan Tekstil</t>
  </si>
  <si>
    <t>894 - Perusahaan Perkayuan (HPH)</t>
  </si>
  <si>
    <t>895 - Perusahaan Jasa Konstruksi</t>
  </si>
  <si>
    <t>896 - Perusahaan Industri Rokok</t>
  </si>
  <si>
    <t>897 - Perusahaan Industri Makanan</t>
  </si>
  <si>
    <t>898 - Perusahaan Agrobusiness</t>
  </si>
  <si>
    <t>900 - Perusahaan lainnya - Swasta</t>
  </si>
  <si>
    <t>901 - Koperasi Primer (Bukan Simpan Pinjam)</t>
  </si>
  <si>
    <t>902 - Koperasi Lainnya (Bukan Simpan Pinjam)</t>
  </si>
  <si>
    <t>903 - Badan Amil Zakat Infaq dan Shadaqah (BAZIS)</t>
  </si>
  <si>
    <t>904 - Lembaga Pendidikan</t>
  </si>
  <si>
    <t>906 - Lainnya (Yayasan, Badan Sosial dan Ormas)</t>
  </si>
  <si>
    <t>907 - PENDUDUK - Perorangan</t>
  </si>
  <si>
    <t>908 - Kantor Perwk Lemb Asing di Indonesia (Bukan Lemb Keu - Swasta)</t>
  </si>
  <si>
    <t>910 - Lainnya (Bukan Lembaga Keuangan - Swasta)</t>
  </si>
  <si>
    <t>911 - Pemerintah Pusat di Luar Negeri</t>
  </si>
  <si>
    <t>912 - Perwakilan Negara-negara Asing dan Stafnya</t>
  </si>
  <si>
    <t>913 - Badan Usaha Milik Negara (BUMN) Milik Negara Asing</t>
  </si>
  <si>
    <t>914 - Lemb Keu Bukan Bank yg Beroperasi di Luar Indonesia</t>
  </si>
  <si>
    <t>915 - Perusahaan Swasta di Luar Negeri</t>
  </si>
  <si>
    <t>916 - BUKAN PENDUDUK - Perorangan</t>
  </si>
  <si>
    <t>917 - Islamic Development Bank (IDB)</t>
  </si>
  <si>
    <t>918 - Asian Development Bank (ADB)</t>
  </si>
  <si>
    <t>919 - World Bank</t>
  </si>
  <si>
    <t>921 - Lainnya (Bank Pembangunan multilateral)</t>
  </si>
  <si>
    <t>925 - Lainnya (Lembaga International)</t>
  </si>
  <si>
    <t>0000 - Lain-lain</t>
  </si>
  <si>
    <t>1000 - Pertanian, Perburuan, Sarana Pertanian</t>
  </si>
  <si>
    <t>1111 - Tanaman Pangan - Padi</t>
  </si>
  <si>
    <t>1115 - Tanaman Pangan - Palawija - Kacang-kacangan</t>
  </si>
  <si>
    <t>1116 - Tanaman Pangan - Palawija - Umbi-umbian</t>
  </si>
  <si>
    <t>1117 - Tanaman Pangan - Palawija -  Jagung</t>
  </si>
  <si>
    <t>1119 - Tanaman Pangan - Palawija -  lainnya</t>
  </si>
  <si>
    <t>1130 - Tanaman Pangan - Hortikultura</t>
  </si>
  <si>
    <t>1141 - Perkebunan Karet</t>
  </si>
  <si>
    <t>1142 - Perkebunan Kelapa</t>
  </si>
  <si>
    <t>1143 - Perkebunan Kopi</t>
  </si>
  <si>
    <t>1144 - Perkebunan Tembakau</t>
  </si>
  <si>
    <t>1145 - Perkebunan Kelapa Sawit</t>
  </si>
  <si>
    <t>1146 - Perkebunan Lada</t>
  </si>
  <si>
    <t>1147 - Perkebunan Teh</t>
  </si>
  <si>
    <t>1148 - Perkebunan Tebu</t>
  </si>
  <si>
    <t>1149 - Perkebunan Kapas</t>
  </si>
  <si>
    <t>1150 - Perkebunan Cengkeh</t>
  </si>
  <si>
    <t>1151 - Perkebunan Panili</t>
  </si>
  <si>
    <t>1152 - Perkebunan Pala</t>
  </si>
  <si>
    <t>1153 - Perkebunan Kakao/ Coklat</t>
  </si>
  <si>
    <t>1159 - Perkebunan lainnya</t>
  </si>
  <si>
    <t>1161 - Perikanan Laut - Udang</t>
  </si>
  <si>
    <t>1163 - Perikanan Laut - Lainnya</t>
  </si>
  <si>
    <t>1164 - Perikanan Darat - Udang</t>
  </si>
  <si>
    <t>1166 - Perikanan Darat - Lainnya</t>
  </si>
  <si>
    <t>1167 - Perikanan Payau - Udang</t>
  </si>
  <si>
    <t>1169 - Perikanan Payau - Lainnya</t>
  </si>
  <si>
    <t>1171 - Peternakan Unggas</t>
  </si>
  <si>
    <t>1172 - Peternakan Sapi</t>
  </si>
  <si>
    <t>1179 - Peternakan lainnya</t>
  </si>
  <si>
    <t>1180 - Kehutanan dan Pemotongan Kayu (logging)</t>
  </si>
  <si>
    <t>1200 - Perburuan</t>
  </si>
  <si>
    <t>1311 - Sarana Pertanian - Pompanisasi</t>
  </si>
  <si>
    <t>1312 - Sarana Pertanian - Alat Penggarapan Tanah</t>
  </si>
  <si>
    <t>1313 - Sarana Pertanian - Gudang/Lantai Jemuran</t>
  </si>
  <si>
    <t>1314 - Sarana Pertanian - Pencetakan Sawah</t>
  </si>
  <si>
    <t>1360 - Sarana Perikanan</t>
  </si>
  <si>
    <t>1370 - Sarana Peternakan</t>
  </si>
  <si>
    <t>1380 - Sarana Kehutanan</t>
  </si>
  <si>
    <t>1390 - Sarana lainnya</t>
  </si>
  <si>
    <t>2000 - Pertambangan</t>
  </si>
  <si>
    <t>2100 - Pertambangan Minyak dan Gas Bumi</t>
  </si>
  <si>
    <t>2210 - Pertambangan Biji Logam - Timah</t>
  </si>
  <si>
    <t>2220 - Pertambangan Biji Logam - Nikel</t>
  </si>
  <si>
    <t>2230 - Pertambangan Biji Logam - Bauksit</t>
  </si>
  <si>
    <t>2240 - Pertambangan Biji Logam - Tembaga</t>
  </si>
  <si>
    <t>2290 - Pertambangan Biji Logam - Lainnya</t>
  </si>
  <si>
    <t>2300 - Pertambangan Batubara</t>
  </si>
  <si>
    <t>2900 - Pertambangan Barang Tambang Lainnya</t>
  </si>
  <si>
    <t>3000 - Perindustrian</t>
  </si>
  <si>
    <t>3110 - Industri - Terigu</t>
  </si>
  <si>
    <t>3120 - Industri - Gula</t>
  </si>
  <si>
    <t>3130 - Penggilingan Padi (huller)</t>
  </si>
  <si>
    <t>3141 - Industri - Minyak Kelapa Sawit Mentah</t>
  </si>
  <si>
    <t>3142 - Industri - Minyak Biji Kelapa Sawit</t>
  </si>
  <si>
    <t>3149 - Industri - Minyak Tumbuhan Lainnya</t>
  </si>
  <si>
    <t>3150 - Industri - Garam</t>
  </si>
  <si>
    <t>3160 - Industri - Minuman</t>
  </si>
  <si>
    <t>3170 - Industri - Tembakau</t>
  </si>
  <si>
    <t>3180 - Industri - Rokok</t>
  </si>
  <si>
    <t>3190 - Industri - Makanan Lainnya</t>
  </si>
  <si>
    <t>3200 - Industri - Makanan Ternak dan Ikan</t>
  </si>
  <si>
    <t>3310 - Industri - Tekstil</t>
  </si>
  <si>
    <t>3320 - Industri - Sandang</t>
  </si>
  <si>
    <t>3330 - Industri - Kulit</t>
  </si>
  <si>
    <t>3410 - Industri - Bahan Kayu</t>
  </si>
  <si>
    <t>3420 - Industri - Perabot Kayu</t>
  </si>
  <si>
    <t>3490 - Industri - Kayu Lainnya</t>
  </si>
  <si>
    <t>3510 - Industri - Kertas dan Hasil-hasil Kertas</t>
  </si>
  <si>
    <t>3520 - Industri - Percetakan dan Penerbitan</t>
  </si>
  <si>
    <t>3530 - Industri - Bahan Kertas (Pulp)</t>
  </si>
  <si>
    <t>3610 - Industri - Pupuk/Obat Hama</t>
  </si>
  <si>
    <t>3620 - Industri - Farmasi</t>
  </si>
  <si>
    <t>3630 - Industri - Plastik</t>
  </si>
  <si>
    <t>3640 - Industri - Hasil Kimia Lainnya</t>
  </si>
  <si>
    <t>3650 - Remilling dan Rumah Asap</t>
  </si>
  <si>
    <t>3660 - Industri - Crumb Rubber</t>
  </si>
  <si>
    <t>3670 - Industri - Hasil Karet Lainnya</t>
  </si>
  <si>
    <t>3680 - Industri - Minyak Atsiri</t>
  </si>
  <si>
    <t>3690 - Industri - Bahan Kimia/Hasil Minyak Bumi, Batu Bara Lainnya</t>
  </si>
  <si>
    <t>3710 - Industri Pengolahan Hasil Tambang Bukan Logam, selain Hasil Minyak Bumi &amp; Batu Bara - Semen</t>
  </si>
  <si>
    <t>3720 - Industri Pengolahan Hasil Tambang Bukan Logam, selain Hasil Minyak Bumi &amp; Batu Bara - Batu Bata/Genteng</t>
  </si>
  <si>
    <t>3730 - Industri Pengolahan Hasil Tambang Bukan Logam, selain Hasil Minyak Bumi &amp; Batu Bara - Keramik</t>
  </si>
  <si>
    <t>3790 - Industri Pengolahan Hasil Tambang Bukan Logam, selain Hasil Minyak Bumi &amp; Batu Bara - Lainnya</t>
  </si>
  <si>
    <t>3810 - Industri Logam Dasar - Besi Baja</t>
  </si>
  <si>
    <t>3890 - Industri Logam Dasar - Lainnya</t>
  </si>
  <si>
    <t>3911 - Perakitan Komponen Luar Negeri - Maritim</t>
  </si>
  <si>
    <t>3912 - Perakitan Komponen Luar Negeri - Otomotif</t>
  </si>
  <si>
    <t>3913 - Perakitan Komponen Luar Negeri - Elektronika</t>
  </si>
  <si>
    <t>3914 - Perakitan Komponen Luar Negeri - Alat pertanian</t>
  </si>
  <si>
    <t>3919 - Perakitan Komponen Luar Negeri Lainnya</t>
  </si>
  <si>
    <t>3921 - Perakitan Komponen Dalam Negeri - Maritim</t>
  </si>
  <si>
    <t>3922 - Perakitan Komponen Dalam Negeri - Otomotif</t>
  </si>
  <si>
    <t>3923 - Perakitan Komponen Dalam Negeri - Elektronika</t>
  </si>
  <si>
    <t>3924 - Perakitan Komponen Dalam Negeri - Alat pertanian</t>
  </si>
  <si>
    <t>3929 - Perakitan Komponen Dalam Negeri Lainnya</t>
  </si>
  <si>
    <t>3931 - Pembuatan Komponen - Maritim</t>
  </si>
  <si>
    <t>3932 - Pembuatan Komponen - Otomotif</t>
  </si>
  <si>
    <t>3933 - Pembuatan Komponen - Elektronika</t>
  </si>
  <si>
    <t>3934 - Pembuatan Komponen - Alat pertanian</t>
  </si>
  <si>
    <t>3939 - Pembuatan Komponen Lainnya</t>
  </si>
  <si>
    <t>3990 - Industri - Lainnya</t>
  </si>
  <si>
    <t>4000 - Listrik, Gas, dan Air</t>
  </si>
  <si>
    <t>4110 - Listrik Pedesaan</t>
  </si>
  <si>
    <t>4190 - Listrik Lainnya</t>
  </si>
  <si>
    <t>4200 - Gas</t>
  </si>
  <si>
    <t>4300 - Air</t>
  </si>
  <si>
    <t>5000 - Konstruksi</t>
  </si>
  <si>
    <t>5110 - Konstruksi - Perumahan Sederhana BTN</t>
  </si>
  <si>
    <t>5120 - Konstruksi - Perumahan Sederhana PERUMNAS</t>
  </si>
  <si>
    <t>5190 - Konstruksi - Perumahan Sederhana lainnya</t>
  </si>
  <si>
    <t>5200 - Konstruksi - Pasar Inpres</t>
  </si>
  <si>
    <t>5300 - Konstruksi - Penyiapan Tanah Pemukiman Transmigrasi</t>
  </si>
  <si>
    <t>5400 - Konstruksi - Pencetakan Sawah</t>
  </si>
  <si>
    <t>5500 - Konstruksi - Jalan Raya dan Jembatan</t>
  </si>
  <si>
    <t>5600 - Konstruksi - Pelabuhan</t>
  </si>
  <si>
    <t>5700 - Konstruksi - Irigasi</t>
  </si>
  <si>
    <t>5810 - Konstruksi - Listrik Pedesaan</t>
  </si>
  <si>
    <t>5890 - Konstruksi - Listrik lainnya</t>
  </si>
  <si>
    <t>5900 - Konstruksi - Proyek yg dibiayai dgn pinjaman dari/untuk pembayaran di luar negeri</t>
  </si>
  <si>
    <t>5990 - Konstruksi - Lainnya</t>
  </si>
  <si>
    <t>6000 - Perdagangan, Restoran, dan Hotel</t>
  </si>
  <si>
    <t>6111 - Ekspor Bahan Baku Biji Kelapa Sawit</t>
  </si>
  <si>
    <t>6112 - Ekspor Bahan Baku Kayu</t>
  </si>
  <si>
    <t>6113 - Ekspor Bahan Baku Rotan</t>
  </si>
  <si>
    <t>6114 - Ekspor Bahan Baku Hutan selain kayu dan rotan</t>
  </si>
  <si>
    <t>6115 - Ekspor Bahan Baku Hasil Tanaman Pangan &amp; Perkebunan</t>
  </si>
  <si>
    <t>6116 - Ekspor Bahan Baku Hewan Hidup &amp; Hasilnya</t>
  </si>
  <si>
    <t>6117 - Ekspor Bahan Baku Bijih Timah</t>
  </si>
  <si>
    <t>6118 - Ekspor Bahan Baku Bijih Logam selain Timah</t>
  </si>
  <si>
    <t>6119 - Ekspor Bahan Baku Batubara</t>
  </si>
  <si>
    <t>6129 - Ekspor Bahan Baku lainnya</t>
  </si>
  <si>
    <t>6131 - Ekspor Barang Setengah Jadi Kayu Gergajian</t>
  </si>
  <si>
    <t>6132 - Ekspor Barang Setengah Jadi Kopi Biji</t>
  </si>
  <si>
    <t>6133 - Ekspor Barang Setengah Jadi Tembakau</t>
  </si>
  <si>
    <t>6134 - Ekspor Barang Setengah Jadi Karet</t>
  </si>
  <si>
    <t>6135 - Ekspor Barang Setengah Jadi Lada</t>
  </si>
  <si>
    <t>6136 - Ekspor Barang Setengah Jadi Minyak Kelapa Sawit Mentah</t>
  </si>
  <si>
    <t>6137 - Ekspor Barang Setengah Jadi Biji Kelapa Sawit</t>
  </si>
  <si>
    <t>6138 - Ekspor Barang Setengah Jadi Bungkil Kopra</t>
  </si>
  <si>
    <t>6139 - Ekspor Barang Setengah Jadi Hasil Tnm.Pangan &amp; Perkebunan Lainnya</t>
  </si>
  <si>
    <t>6140 - Ekspor Barang Setengah Jadi Hewan yg Sudah Diolah</t>
  </si>
  <si>
    <t>6141 - Ekspor Barang Setengah Jadi Bahan Makanan Lainnya</t>
  </si>
  <si>
    <t>6142 - Ekspor Barang Setengah Jadi Hasil Tambang</t>
  </si>
  <si>
    <t>6159 - Ekspor Barang Setengah Jadi lainnya</t>
  </si>
  <si>
    <t>6161 - Ekspor Barang Jadi Kayu Lapis &amp; Sejenisnya</t>
  </si>
  <si>
    <t>6162 - Ekspor Barang Jadi Teh</t>
  </si>
  <si>
    <t>6163 - Ekspor Barang Jadi Kopi Bubuk</t>
  </si>
  <si>
    <t>6164 - Ekspor Barang Jadi Hasil Tanaman Pangan &amp; Perkebunan Lainnya</t>
  </si>
  <si>
    <t>6165 - Ekspor Barang Jadi Udang</t>
  </si>
  <si>
    <t>6166 - Ekspor Barang Jadi Hasil Hewan Selain Udang</t>
  </si>
  <si>
    <t>6167 - Ekspor Barang Jadi Kerajinan dari Kayu dan Rotan</t>
  </si>
  <si>
    <t>6168 - Ekspor Barang Jadi Kerajinan Selain Kayu dan Rotan</t>
  </si>
  <si>
    <t>6169 - Ekspor Barang Jadi Tekstil</t>
  </si>
  <si>
    <t>6170 - Ekspor Barang Jadi Sandang Selain Tekstil</t>
  </si>
  <si>
    <t>6179 - Ekspor Barang Jadi lainnya</t>
  </si>
  <si>
    <t>6180 - Ekspor Jasa-jasa - Konstruksi</t>
  </si>
  <si>
    <t>6190 - Ekspor Jasa-jasa - Lainnya</t>
  </si>
  <si>
    <t>6211 - Impor dlm.rangka Bantuan Luar Negeri - Biji Gandum</t>
  </si>
  <si>
    <t>6212 - Impor dlm.rangka Bantuan Luar Negeri - Beras</t>
  </si>
  <si>
    <t>6213 - Impor dlm.rangka Bantuan Luar Negeri - Kapas</t>
  </si>
  <si>
    <t>6214 - Impor dlm.rangka Bantuan Luar Negeri - Benang Tenun</t>
  </si>
  <si>
    <t>6219 - Impor dlm.rangka Bantuan Luar Negeri - Lainnya</t>
  </si>
  <si>
    <t>6221 - Impor Bukan dlm.rangka Bantuan Luar Negeri - Pupuk dan Obat Hama</t>
  </si>
  <si>
    <t>6222 - Impor Bukan dlm.rangka Bantuan Luar Negeri - Besi Beton</t>
  </si>
  <si>
    <t>6223 - Impor Bukan dlm.rangka Bantuan Luar Negeri - Kertas Koran</t>
  </si>
  <si>
    <t>6224 - Impor Bukan dlm.rangka Bantuan Luar Negeri - Cengkeh</t>
  </si>
  <si>
    <t>6225 - Impor Bukan dlm.rangka Bantuan Luar Negeri - Beras</t>
  </si>
  <si>
    <t>6226 - Impor Bukan dlm.rangka Bantuan Luar Negeri - Gula</t>
  </si>
  <si>
    <t>6227 - Impor Bukan dlm.rangka Bantuan Luar Negeri - Biji Gandum</t>
  </si>
  <si>
    <t>6228 - Impor Bukan dlm.rangka Bantuan Luar Negeri - Jagung</t>
  </si>
  <si>
    <t>6229 - Impor Bukan dlm.rangka Bantuan Luar Negeri - Kacang Kedele</t>
  </si>
  <si>
    <t>6230 - Impor Bukan dlm.rangka Bantuan Luar Negeri - Farmasi</t>
  </si>
  <si>
    <t>6231 - Impor Bukan dlm.rangka Bantuan Luar Negeri - Suku Cadang Kend.Bermotor</t>
  </si>
  <si>
    <t>6232 - Impor Bukan dlm.rangka Bantuan Luar Negeri - Suku Cadang Industri</t>
  </si>
  <si>
    <t>6239 - Impor Bukan dlm.rangka Bantuan Luar Negeri - Lainnya</t>
  </si>
  <si>
    <t>6311 - Pembelian &amp; Pengumpulan Brg. Dagangan Dlm.Neg. : Beras</t>
  </si>
  <si>
    <t>6312 - Pembelian &amp; Pengumpulan Brg. Dagangan Dlm.Neg. : Jagung</t>
  </si>
  <si>
    <t>6313 - Pembelian &amp; Pengumpulan Brg. Dagangan Dlm.Neg. : Garam</t>
  </si>
  <si>
    <t>6314 - Pembelian &amp; Pengumpulan Brg. Dagangan Dlm.Neg. : Stok Gula</t>
  </si>
  <si>
    <t>6315 - Pembelian &amp; Pengumpulan Brg. Dagangan Dlm.Neg. : Kayu</t>
  </si>
  <si>
    <t>6316 - Pembelian &amp; Pengumpulan Brg. Dagangan Dlm.Neg. : Karet</t>
  </si>
  <si>
    <t>6317 - Pembelian &amp; Pengumpulan Brg. Dagangan Dlm.Neg. : Kelapa Sawit</t>
  </si>
  <si>
    <t>6318 - Pembelian &amp; Pengumpulan Brg. Dagangan Dlm.Neg. : Kapas</t>
  </si>
  <si>
    <t>6319 - Pembelian &amp; Pengumpulan Brg. Dagangan Dlm.Neg. : Kopra</t>
  </si>
  <si>
    <t>6320 - Pembelian &amp; Pengumpulan Brg. Dagangan Dlm.Neg. : Cengkeh</t>
  </si>
  <si>
    <t>6321 - Pembelian &amp; Pengumpulan Brg. Dagangan Dlm.Neg. : Lada</t>
  </si>
  <si>
    <t>6322 - Pembelian &amp; Pengumpulan Brg. Dagangan Dlm.Neg. : Tembakau</t>
  </si>
  <si>
    <t>6323 - Pembelian &amp; Pengumpulan Brg. Dagangan Dlm.Neg. : Kopi</t>
  </si>
  <si>
    <t>6324 - Pembelian &amp; Pengumpulan Brg. Dagangan Dlm.Neg. : Teh</t>
  </si>
  <si>
    <t>6325 - Pembelian &amp; Pengumpulan Brg. Dagangan Dlm.Neg. : Hewan hidup &amp; Hasilnya</t>
  </si>
  <si>
    <t>6390 - Pembelian &amp; Pengumpulan Brg. Dagangan Dlm.Neg. : Lainnya</t>
  </si>
  <si>
    <t>6411 - Distribusi Semen</t>
  </si>
  <si>
    <t>6412 - Distribusi Pupuk/Obat Hama</t>
  </si>
  <si>
    <t>6413 - Distribusi Kapas Kasar</t>
  </si>
  <si>
    <t>6414 - Distribusi Besi Beton</t>
  </si>
  <si>
    <t>6415 - Distribusi Kertas Koran</t>
  </si>
  <si>
    <t>6416 - Distribusi Beras</t>
  </si>
  <si>
    <t>6417 - Distribusi Gula</t>
  </si>
  <si>
    <t>6418 - Distribusi Tepung Terigu</t>
  </si>
  <si>
    <t>6419 - Distribusi Garam</t>
  </si>
  <si>
    <t>6420 - Distribusi Bahan Bakar Minyak</t>
  </si>
  <si>
    <t>6490 - Distribusi lainnya</t>
  </si>
  <si>
    <t>6500 - Perdagangan Eceran</t>
  </si>
  <si>
    <t>6610 - Restoran</t>
  </si>
  <si>
    <t>6620 - Hotel</t>
  </si>
  <si>
    <t>7000 - Pengangkutan, Pergudangan, Komunikasi</t>
  </si>
  <si>
    <t>7110 - Pengangkutan Umum Darat</t>
  </si>
  <si>
    <t>7120 - Pengangkutan Umum Sungai</t>
  </si>
  <si>
    <t>7130 - Pengangkutan Umum Laut</t>
  </si>
  <si>
    <t>7140 - Pengangkutan Umum Udara</t>
  </si>
  <si>
    <t>7200 - Biro Perjalanan</t>
  </si>
  <si>
    <t>7300 - Pergudangan</t>
  </si>
  <si>
    <t>7400 - Komunikasi</t>
  </si>
  <si>
    <t>8000 - Jasa-jasa Dunia Usaha</t>
  </si>
  <si>
    <t>8111 - Jasa-jasa Dunia Usaha - Perumahan Sederhana PERUMNAS</t>
  </si>
  <si>
    <t>8119 - Jasa-jasa Dunia Usaha - Perumahan Sederhana selain PERUMNAS</t>
  </si>
  <si>
    <t>8120 - Jasa-jasa Dunia Usaha - Real Estate - Pasar Inpres</t>
  </si>
  <si>
    <t>8190 - Jasa-jasa Dunia Usaha - Real Estate Lainnya</t>
  </si>
  <si>
    <t>8200 - Jasa-jasa Dunia Usaha - Profesi selain Dokter</t>
  </si>
  <si>
    <t>8300 - Jasa-jasa Dunia Usaha - Leasing</t>
  </si>
  <si>
    <t>8900 - Jasa-jasa Dunia Usaha - Lainnya</t>
  </si>
  <si>
    <t>9000 - Jasa-jasa sosial/masyarakat</t>
  </si>
  <si>
    <t>9100 - Jasa-jasa sosial/masyarakat - Hiburan dan Kebudayaan</t>
  </si>
  <si>
    <t>9210 - Jasa-jasa sosial/masyarakat - Kesehatan - Profesi</t>
  </si>
  <si>
    <t>9220 - Jasa-jasa sosial/masyarakat - Kesehatan - Tempat Perawatan/Pengobatan</t>
  </si>
  <si>
    <t>9310 - Jasa-jasa sosial/masyarakat - Pendidikan - Perguruan Tinggi</t>
  </si>
  <si>
    <t>9390 - Jasa-jasa sosial/masyarakat - Pendidikan Lainnya</t>
  </si>
  <si>
    <t>9900 - Jasa-jasa sosial/masyarakat -  Lainnya</t>
  </si>
  <si>
    <t>9950 - Lain-lain - Perumahan</t>
  </si>
  <si>
    <t>9960 - Lain-lain - Kendaraan</t>
  </si>
  <si>
    <t>9961 - Kendaraan Bermotor Roda &gt; 4</t>
  </si>
  <si>
    <t>9962 - Kendaraan Bermotor Roda 4</t>
  </si>
  <si>
    <t>9963 - Kendaraan Bermotor Roda 2</t>
  </si>
  <si>
    <t>9970 - Lain-lain - Alat Rumah Tangga</t>
  </si>
  <si>
    <t>9990 - Lain-lain, Lainnya</t>
  </si>
  <si>
    <t>0110 - Pengendali dan atau keluarga pengendali Bank</t>
  </si>
  <si>
    <t>0120 - Perusahaan/badan dimana Bank bertindak sebagai pengendali (subsidiary)</t>
  </si>
  <si>
    <t>0130 - Pengendali lain dari anak perusahaan/susidiary Bank</t>
  </si>
  <si>
    <t>0140 - Perusahaan dimana pihak sebagaimana dimaksud pada angka 1 (sandi 0110) bertindak sebagai pengendali</t>
  </si>
  <si>
    <t>0150 - Perusahaan dimana pihak sebagaimana dimaksud pada angka 3 (sandi 0130) bertindak sebagai pengendali</t>
  </si>
  <si>
    <t>0210 - Pengurus Bank dan atau keluarga pengurus Bank</t>
  </si>
  <si>
    <t>0220 - Pengurus dari perusahaan-perusahaan sebagaimana dimaksud pada angka 1 s.d. 5 (sandi 0110, 0120, 0130, 0140, dan 0150)</t>
  </si>
  <si>
    <t>0230 - Perusahaan yang pengurusnya merupakan pengurus Bank</t>
  </si>
  <si>
    <t>0240 - Perusahaan yang pengurusnya merupakan pengurus dari perusahaan-perusahaan sebagaimana dimaksud pada angka 1 s.d. 5 (sandi 0110, 0120, 0130, 0140, dan 0150)</t>
  </si>
  <si>
    <t>0250 - Perusahaan dimana pengurus Bank bertindak sebagai pengendali</t>
  </si>
  <si>
    <t>0260 - Perusahaan dimana pengurus dari perusahaan-perusahaan sebagaimana dimaksud pada angka 1 s.d. 5 (sandi 0110, 0120, 0130, 0140, dan 0150) bertindak sebagai pengendali</t>
  </si>
  <si>
    <t>0310 - Ketergantungan keuangan (financial interdependence)</t>
  </si>
  <si>
    <t>0320 - KIK dimana pihak-pihak sebagaimana dimaksud pada angka 1 s.d 11 (sandi 0110, 0120, 0130, 0140, 0150, 0210, 0220, 0230, 0240, 0250, dan 0260) memiliki 10% atau lebih sahan pada manajer investasi kolektif tersebut</t>
  </si>
  <si>
    <t>0330 - Penjaminan</t>
  </si>
  <si>
    <t>9900 - Tidak terkait dengan Bank</t>
  </si>
  <si>
    <t>10 - Debitur UMKM -UMK Jaminan Bersyarat - Penjamin Tertentu Mikro</t>
  </si>
  <si>
    <t>20 - Debitur UMKM-UMK Jaminan Bersyarat-Penjamin Tertentu-Kecil</t>
  </si>
  <si>
    <t>30 - Debitur UMKM-UMK Jaminan Bersyarat-Penjamin Tertentu-Menengah</t>
  </si>
  <si>
    <t>40 - Debitur UMKM-UMK Jaminan Bersyarat-Penjamin Lainnya-Mikro</t>
  </si>
  <si>
    <t>50 - Debitur UMKM-UMK Jaminan Bersyarat-Penjamin Lainnya-Kecil</t>
  </si>
  <si>
    <t>60 - Debitur UMKM-UMK Jaminan Bersyarat-Penjamin Lainnya-Menengah</t>
  </si>
  <si>
    <t>70 - Debitur UMKM-UMKM Lainnya-Mikro</t>
  </si>
  <si>
    <t>80 - Debitur UMKM-UMKM Lainnya-Kecil</t>
  </si>
  <si>
    <t>90 - Debitur UMKM-UMKM Lainnya-Menengah</t>
  </si>
  <si>
    <t>99 - Bukan Debitur Usaha Mikro, Kecil, dan Menengah</t>
  </si>
  <si>
    <t>10 - Kredit Modal Kerja Permanen (KMKP)</t>
  </si>
  <si>
    <t>16 - Kredit Umum Pedesaan (Kupedes)</t>
  </si>
  <si>
    <t>18 - Kredit kelolaan</t>
  </si>
  <si>
    <t>25 - Kredit Perkebunan Swasta Nasional (PSN)</t>
  </si>
  <si>
    <t>26 - Kredit Ekspor</t>
  </si>
  <si>
    <t>28 - Modal Kerja - Kredit Koperasi - Kredit Usaha Tani (KUT)</t>
  </si>
  <si>
    <t>32 - Modal Kerja - Kredit Koperasi - Kredit kepada Koperasi Unit Desa (KUD)</t>
  </si>
  <si>
    <t>36 - Modal Kerja - Kredit Koperasi - Kredit kepada Koperasi Primer untuk Anggotanya</t>
  </si>
  <si>
    <t>38 - Modal Kerja - Kredit Koperasi - Lainnya</t>
  </si>
  <si>
    <t>39 - Kredit modal kerja lainnya</t>
  </si>
  <si>
    <t>42 - Investasi - Kredit Investasi Kecil (KIK)</t>
  </si>
  <si>
    <t>45 - Investasi - PIR-BUN - Kredit Kebun Inti</t>
  </si>
  <si>
    <t>46 - Investasi - PIR-BUN - Kredit Kebun Plasma</t>
  </si>
  <si>
    <t>47 - Investasi - PIR-BUN - Kredit Pasca Konversi PIR-BUN</t>
  </si>
  <si>
    <t>48 - Investasi - UPP - Kredit Peremajaan Rehabilitasi Perluasan Tanaman Ekspor (PRPTE)</t>
  </si>
  <si>
    <t>49 - Investasi - UPP - Kredit Pasca Konversi PRPTE</t>
  </si>
  <si>
    <t>50 - Investasi - UPP - Lainnya</t>
  </si>
  <si>
    <t>51 - Investasi - PIR-TRANS - Kredit Kebun Inti</t>
  </si>
  <si>
    <t>52 - Investasi - PIR-TRANS - Kredit Kebun Plasma</t>
  </si>
  <si>
    <t>53 - Investasi - PIR-TRANS - Kredit Pasca Konversi</t>
  </si>
  <si>
    <t>54 - Investasi - Kredit Perkebunan Swasta Nasional (PSN)</t>
  </si>
  <si>
    <t>55 - Investasi - Bantuan Proyek - Nilai lawan valuta asing</t>
  </si>
  <si>
    <t>56 - Investasi - Bantuan Proyek - Biaya lokal Rekening Dana Investasi (RDI)</t>
  </si>
  <si>
    <t>57 - Investasi - Bantuan Proyek - Biaya lokal dana perbankan</t>
  </si>
  <si>
    <t>59 - Investasi - Kredit kelolaan di luar bantuan proyek</t>
  </si>
  <si>
    <t>60 - Investasi - Kredit Umum Pedesaan (Kupedes)</t>
  </si>
  <si>
    <t>62 - Investasi - Kredit Koperasi - Kredit kepada Koperasi Primer untuk Anggotanya</t>
  </si>
  <si>
    <t>63 - Investasi - Kredit Koperasi - Lainnya</t>
  </si>
  <si>
    <t>64 - Investasi - DLBS - Nilai lawan valuta asing</t>
  </si>
  <si>
    <t>67 - Investasi - DLBS - Kredit Rupiah</t>
  </si>
  <si>
    <t>74 - Investasi - Kredit Investasi sampai dengan Rp. 75 juta</t>
  </si>
  <si>
    <t>75 - Investasi - Kredit Investasi Biasa</t>
  </si>
  <si>
    <t>76 - Investasi - Kredit Ekspor</t>
  </si>
  <si>
    <t>79 - Investasi - Kredit Investasi Lainnya</t>
  </si>
  <si>
    <t>80 - KPR Sangat Sederhana (KPRSS) dan Kredit Pemilikan Kapling Siap Bangun (PKSB)</t>
  </si>
  <si>
    <t>81 - Pemilikan Rumah KPR Sederhana (KPRS) s.d. Tipe 21</t>
  </si>
  <si>
    <t>82 - Pemilikan Rumah Di atas tipe 21 s.d tipe 70</t>
  </si>
  <si>
    <t>83 - Pemilikan Rumah Di atas tipe 70</t>
  </si>
  <si>
    <t>85 - Perbaikan/Pemugaran Rumah</t>
  </si>
  <si>
    <t>86 - Kredit Kepada Guru untuk Pembelian Sepeda Motor (KPG)</t>
  </si>
  <si>
    <t>87 - Kredit Mahasiswa Indonesia</t>
  </si>
  <si>
    <t>88 - Kredit Rumah Toko</t>
  </si>
  <si>
    <t>89 - Kredit Konsumsi Lainnya</t>
  </si>
  <si>
    <t>0102 - Bekasi, Kab.</t>
  </si>
  <si>
    <t>0103 - Purwakarta, Kab.</t>
  </si>
  <si>
    <t>0106 - Karawang, Kab.</t>
  </si>
  <si>
    <t>0108 - Bogor, Kab.</t>
  </si>
  <si>
    <t>0109 - Sukabumi, Kab.</t>
  </si>
  <si>
    <t>0110 - Cianjur, Kab.</t>
  </si>
  <si>
    <t>0111 - Bandung, Kab.</t>
  </si>
  <si>
    <t>0112 - Sumedang, Kab.</t>
  </si>
  <si>
    <t>0113 - Tasikmalaya, Kab.</t>
  </si>
  <si>
    <t>0114 - Garut, Kab.</t>
  </si>
  <si>
    <t>0115 - Ciamis, Kab.</t>
  </si>
  <si>
    <t>0116 - Cirebon, Kab.</t>
  </si>
  <si>
    <t>0117 - Kuningan, Kab.</t>
  </si>
  <si>
    <t>0118 - Indramayu, Kab.</t>
  </si>
  <si>
    <t>0119 - Majalengka, Kab.</t>
  </si>
  <si>
    <t>0121 - Subang, Kab.</t>
  </si>
  <si>
    <t>0122 - Bandung Barat, Kab</t>
  </si>
  <si>
    <t>0180 - Banjar, Kota.</t>
  </si>
  <si>
    <t>0191 - Bandung, Kota.</t>
  </si>
  <si>
    <t>0192 - Bogor, Kota.</t>
  </si>
  <si>
    <t>0193 - Sukabumi, Kota.</t>
  </si>
  <si>
    <t>0194 - Cirebon, Kota.</t>
  </si>
  <si>
    <t>0195 - Tasikmalaya, Kota.</t>
  </si>
  <si>
    <t>0196 - Cimahi, Kota.</t>
  </si>
  <si>
    <t>0197 - Depok, Kota.</t>
  </si>
  <si>
    <t>0198 - Bekasi, Kota.</t>
  </si>
  <si>
    <t>0201 - Lebak, Kab.</t>
  </si>
  <si>
    <t>0202 - Pandeglang, Kab.</t>
  </si>
  <si>
    <t>0203 - Serang, Kab.</t>
  </si>
  <si>
    <t>0204 - Tangerang, Kab.</t>
  </si>
  <si>
    <t>0291 - Cilegon, Kota.</t>
  </si>
  <si>
    <t>0292 - Tangerang, Kota.</t>
  </si>
  <si>
    <t>0293 - Serang. Kota.</t>
  </si>
  <si>
    <t>0294 - Kota Tangerang Selatan</t>
  </si>
  <si>
    <t>0391 - Jakarta Pusat, Wil. Kota</t>
  </si>
  <si>
    <t>0392 - Jakarta Utara ., Wil. Kota</t>
  </si>
  <si>
    <t>0393 - Jakarta Barat, Wil. Kota</t>
  </si>
  <si>
    <t>0394 - Jakarta Selatan, Wil. Kota</t>
  </si>
  <si>
    <t>0395 - Jakarta Timur, Wil. Kota</t>
  </si>
  <si>
    <t>0396 - Kepulauan Seribu, Wilayah</t>
  </si>
  <si>
    <t>0501 - Bantul, Kab.</t>
  </si>
  <si>
    <t>0502 - Sleman, Kab.</t>
  </si>
  <si>
    <t>0503 - Gunung Kidul, Kab.</t>
  </si>
  <si>
    <t>0504 - Kulon Progo, Kab.</t>
  </si>
  <si>
    <t>0591 - Yogyakarta, Kota.</t>
  </si>
  <si>
    <t>0901 - Semarang, Kab.</t>
  </si>
  <si>
    <t>0902 - Kendal, Kab.</t>
  </si>
  <si>
    <t>0903 - Demak, Kab.</t>
  </si>
  <si>
    <t>0904 - Grobogan, Kab.</t>
  </si>
  <si>
    <t>0905 - Pekalongan, Kab.</t>
  </si>
  <si>
    <t>0906 - Tegal, Kab.</t>
  </si>
  <si>
    <t>0907 - Brebes, Kab.</t>
  </si>
  <si>
    <t>0908 - Pati, Kab.</t>
  </si>
  <si>
    <t>0909 - Kudus, Kab.</t>
  </si>
  <si>
    <t>0910 - Pemalang, Kab.</t>
  </si>
  <si>
    <t>0911 - Jepara, Kab.</t>
  </si>
  <si>
    <t>0912 - Rembang, Kab.</t>
  </si>
  <si>
    <t>0913 - Blora, Kab.</t>
  </si>
  <si>
    <t>0914 - Banyumas, Kab.</t>
  </si>
  <si>
    <t>0915 - Cilacap, Kab.</t>
  </si>
  <si>
    <t>0916 - Purbalingga, Kab.</t>
  </si>
  <si>
    <t>0917 - Banjarnegara, Kab.</t>
  </si>
  <si>
    <t>0918 - Magelang, Kab.</t>
  </si>
  <si>
    <t>0919 - Temanggung, Kab.</t>
  </si>
  <si>
    <t>0920 - Wonosobo, Kab.</t>
  </si>
  <si>
    <t>0921 - Purworejo, Kab.</t>
  </si>
  <si>
    <t>0922 - Kebumen, Kab.</t>
  </si>
  <si>
    <t>0923 - Klaten, Kab.</t>
  </si>
  <si>
    <t>0924 - Boyolali, Kab.</t>
  </si>
  <si>
    <t>0925 - Sragen, Kab.</t>
  </si>
  <si>
    <t>0926 - Sukoharjo, Kab.</t>
  </si>
  <si>
    <t>0927 - Karanganyar, Kab.</t>
  </si>
  <si>
    <t>0928 - Wonogiri, Kab.</t>
  </si>
  <si>
    <t>0929 - Batang, Kab.</t>
  </si>
  <si>
    <t>0991 - Semarang, Kota.</t>
  </si>
  <si>
    <t>0992 - Salatiga, Kota.</t>
  </si>
  <si>
    <t>0993 - Pekalongan, Kota.</t>
  </si>
  <si>
    <t>0994 - Tegal, Kota.</t>
  </si>
  <si>
    <t>0995 - Magelang, Kota.</t>
  </si>
  <si>
    <t>0996 - Surakarta, Kota.</t>
  </si>
  <si>
    <t>1201 - Gresik, Kab.</t>
  </si>
  <si>
    <t>1202 - Sidoarjo, Kab.</t>
  </si>
  <si>
    <t>1203 - Mojokerto, Kab.</t>
  </si>
  <si>
    <t>1204 - Jombang, Kab.</t>
  </si>
  <si>
    <t>1205 - Sampang, Kab.</t>
  </si>
  <si>
    <t>1206 - Pamekasan, Kab.</t>
  </si>
  <si>
    <t>1207 - Sumenep, Kab.</t>
  </si>
  <si>
    <t>1208 - Bangkalan, Kab.</t>
  </si>
  <si>
    <t>1209 - Bondowoso, Kab.</t>
  </si>
  <si>
    <t>1211 - Banyuwangi, Kab.</t>
  </si>
  <si>
    <t>1212 - Jember, Kab.</t>
  </si>
  <si>
    <t>1213 - Malang, Kab.</t>
  </si>
  <si>
    <t>1214 - Pasuruan, Kab.</t>
  </si>
  <si>
    <t>1215 - Probolinggo, Kab.</t>
  </si>
  <si>
    <t>1216 - Lumajang, Kab.</t>
  </si>
  <si>
    <t>1217 - Kediri, Kab.</t>
  </si>
  <si>
    <t>1218 - Nganjuk, Kab.</t>
  </si>
  <si>
    <t>1219 - Tulungagung, Kab.</t>
  </si>
  <si>
    <t>1220 - Trenggalek, Kab.</t>
  </si>
  <si>
    <t>1221 - Blitar, Kab.</t>
  </si>
  <si>
    <t>1222 - Madiun, Kab.</t>
  </si>
  <si>
    <t>1223 - Ngawi, Kab.</t>
  </si>
  <si>
    <t>1224 - Magetan, Kab.</t>
  </si>
  <si>
    <t>1225 - Ponorogo, Kab.</t>
  </si>
  <si>
    <t>1226 - Pacitan, Kab.</t>
  </si>
  <si>
    <t>1227 - Bojonegoro, Kab.</t>
  </si>
  <si>
    <t>1228 - Tuban, Kab.</t>
  </si>
  <si>
    <t>1229 - Lamongan, Kab.</t>
  </si>
  <si>
    <t>1230 - Situbondo, Kab.</t>
  </si>
  <si>
    <t>1271 - Batu, Kota.</t>
  </si>
  <si>
    <t>1291 - Surabaya, Kota.</t>
  </si>
  <si>
    <t>1292 - Mojokerto, Kota.</t>
  </si>
  <si>
    <t>1293 - Malang, Kota.</t>
  </si>
  <si>
    <t>1294 - Pasuruan, Kota.</t>
  </si>
  <si>
    <t>1295 - Probolinggo, Kota.</t>
  </si>
  <si>
    <t>1296 - Blitar, Kota.</t>
  </si>
  <si>
    <t>1297 - Kediri, Kota.</t>
  </si>
  <si>
    <t>1298 - Madiun, Kota.</t>
  </si>
  <si>
    <t>2301 - Bengkulu Selatan, Kab.</t>
  </si>
  <si>
    <t>2302 - Bengkulu Utara, Kab.</t>
  </si>
  <si>
    <t>2303 - Rejang Lebong, Kab.</t>
  </si>
  <si>
    <t>2304 - Lebong, Kab</t>
  </si>
  <si>
    <t>2305 - Kepahiang, Kab</t>
  </si>
  <si>
    <t>2306 - Mukomuko, Kab</t>
  </si>
  <si>
    <t>2307 - Seluma, Kab</t>
  </si>
  <si>
    <t>2308 - Kaur, Kab</t>
  </si>
  <si>
    <t>2309 - Kab. Bengkulu Tengah</t>
  </si>
  <si>
    <t>2391 - Bengkulu, Kota.</t>
  </si>
  <si>
    <t>3101 - Batanghari, Kab.</t>
  </si>
  <si>
    <t>3104 - Sarolangun, Kab.</t>
  </si>
  <si>
    <t>3105 - Kerinci, Kab.</t>
  </si>
  <si>
    <t>3106 - Muaro Jambi, Kab.</t>
  </si>
  <si>
    <t>3107 - Tanjung Jabung Barat, Kab.</t>
  </si>
  <si>
    <t>3108 - Tanjung Jabung Timur, Kab.</t>
  </si>
  <si>
    <t>3109 - Tebo, Kab.</t>
  </si>
  <si>
    <t>3111 - Merangin, Kab.</t>
  </si>
  <si>
    <t>3112 - Bungo, Kab</t>
  </si>
  <si>
    <t>3191 - Jambi, Kota.</t>
  </si>
  <si>
    <t>3192 - Kota Sungai Penuh</t>
  </si>
  <si>
    <t>3201 - Aceh Besar, Kab.</t>
  </si>
  <si>
    <t>3202 - Pidie, Kab.</t>
  </si>
  <si>
    <t>3203 - Aceh Utara, Kab.</t>
  </si>
  <si>
    <t>3204 - Aceh Timur, Kab.</t>
  </si>
  <si>
    <t>3205 - Aceh Selatan, Kab.</t>
  </si>
  <si>
    <t>3206 - Aceh Barat, Kab.</t>
  </si>
  <si>
    <t>3207 - Aceh Tengah, Kab.</t>
  </si>
  <si>
    <t>3208 - Aceh Tenggara, Kab.</t>
  </si>
  <si>
    <t>3209 - Aceh Singkil, Kab.</t>
  </si>
  <si>
    <t>3210 - Aceh Jeumpa/Bireuen, Kab.</t>
  </si>
  <si>
    <t>3211 - Aceh Tamiang, Kab.</t>
  </si>
  <si>
    <t>3212 - Gayo Luwes, Kab.</t>
  </si>
  <si>
    <t>3213 - Aceh Barat Daya, Kab.</t>
  </si>
  <si>
    <t>3214 - Aceh Jaya, Kab.</t>
  </si>
  <si>
    <t>3215 - Nagan Raya, Kab.</t>
  </si>
  <si>
    <t>3216 - Kab. Simeuleu</t>
  </si>
  <si>
    <t>3217 - Kab. Bener Meriah</t>
  </si>
  <si>
    <t>3218 - Pide Jaya, Kab</t>
  </si>
  <si>
    <t>3219 - Subulussalam</t>
  </si>
  <si>
    <t>3291 - Banda Aceh, Kota.</t>
  </si>
  <si>
    <t>3292 - Sabang, Kota.</t>
  </si>
  <si>
    <t>3293 - Lhokseumawe, Kota.</t>
  </si>
  <si>
    <t>3294 - Langsa, Kota.</t>
  </si>
  <si>
    <t>3301 - Deli Serdang, Kab.</t>
  </si>
  <si>
    <t>3302 - Langkat, Kab.</t>
  </si>
  <si>
    <t>3303 - Karo, Kab.</t>
  </si>
  <si>
    <t>3304 - Simalungun, Kab.</t>
  </si>
  <si>
    <t>3305 - Labuhan Batu, Kab.</t>
  </si>
  <si>
    <t>3306 - Asahan, Kab.</t>
  </si>
  <si>
    <t>3307 - Dairi, Kab.</t>
  </si>
  <si>
    <t>3308 - Tapanuli Utara, Kab.</t>
  </si>
  <si>
    <t>3309 - Tapanuli Tengah, Kab.</t>
  </si>
  <si>
    <t>3310 - Tapanuli Selatan, Kab.</t>
  </si>
  <si>
    <t>3311 - Nias, Kab.</t>
  </si>
  <si>
    <t>3313 - Toba Samosir, Kab.</t>
  </si>
  <si>
    <t>3314 - Mandailing Natal, Kab.</t>
  </si>
  <si>
    <t>3315 - Nias Selatan, Kab</t>
  </si>
  <si>
    <t>3316 - Humbang Hasundutan, Kab</t>
  </si>
  <si>
    <t>3317 - Pakpak Barat, Kab</t>
  </si>
  <si>
    <t>3318 - Samosir, Kab</t>
  </si>
  <si>
    <t>3319 - Serdang Bedagai, Kab</t>
  </si>
  <si>
    <t>3320 - Angkola Sipirok, Kab</t>
  </si>
  <si>
    <t>3321 - Batu Bara, Kab</t>
  </si>
  <si>
    <t>3322 - Padang Lawas, Kab</t>
  </si>
  <si>
    <t>3323 - Padang Lawas Utara, Kab</t>
  </si>
  <si>
    <t>3324 - Kab. Labuanbatu Selatan</t>
  </si>
  <si>
    <t>3325 - Kab. Labuanbatu Utara</t>
  </si>
  <si>
    <t>3326 - Kab. Nias Barat</t>
  </si>
  <si>
    <t>3327 - Kab. Nias Utara</t>
  </si>
  <si>
    <t>3391 - Tebing Tinggi, Kota.</t>
  </si>
  <si>
    <t>3392 - Binjai, Kota.</t>
  </si>
  <si>
    <t>3393 - Pematang Siantar, Kota.</t>
  </si>
  <si>
    <t>3394 - Tanjung Balai, Kota.</t>
  </si>
  <si>
    <t>3395 - Sibolga, Kota.</t>
  </si>
  <si>
    <t>3396 - Medan, Kota.</t>
  </si>
  <si>
    <t>3397 - Kota Gunung Sitoli</t>
  </si>
  <si>
    <t>3399 - Padang Sidempuan, Kota.</t>
  </si>
  <si>
    <t>3401 - Agam, Kab.</t>
  </si>
  <si>
    <t>3402 - Pasaman, Kab.</t>
  </si>
  <si>
    <t>3403 - Limapuluh Koto, Kab.</t>
  </si>
  <si>
    <t>3404 - Solok Selatan, Kab.</t>
  </si>
  <si>
    <t>3405 - Padang Pariaman, Kab.</t>
  </si>
  <si>
    <t>3406 - Pesisir Selatan, Kab.</t>
  </si>
  <si>
    <t>3407 - Tanah Datar, Kab.</t>
  </si>
  <si>
    <t>3408 - Kab. Sijunjung</t>
  </si>
  <si>
    <t>3409 - Kepulauan Mentawai, Kab.</t>
  </si>
  <si>
    <t>3410 - Pasaman Barat, Kab</t>
  </si>
  <si>
    <t>3411 - Dharmasraya, Kab.</t>
  </si>
  <si>
    <t>3412 - Solok, Kab</t>
  </si>
  <si>
    <t>3491 - Bukittinggi, Kota.</t>
  </si>
  <si>
    <t>3492 - Padang, Kota.</t>
  </si>
  <si>
    <t>3493 - Sawahlunto, Kota.</t>
  </si>
  <si>
    <t>3494 - Padang Panjang, Kota.</t>
  </si>
  <si>
    <t>3495 - Solok, Kota.</t>
  </si>
  <si>
    <t>3496 - Payakumbuh, Kota.</t>
  </si>
  <si>
    <t>3497 - Pariaman, Kota.</t>
  </si>
  <si>
    <t>3501 - Kampar, Kab.</t>
  </si>
  <si>
    <t>3502 - Bengkalis, Kab.</t>
  </si>
  <si>
    <t>3504 - Indragiri Hulu, Kab.</t>
  </si>
  <si>
    <t>3505 - Indragiri Hilir, Kab.</t>
  </si>
  <si>
    <t>3508 - Rokan Hulu, Kab.</t>
  </si>
  <si>
    <t>3509 - Rokan Hilir, Kab.</t>
  </si>
  <si>
    <t>3510 - Pelalawan, Kab.</t>
  </si>
  <si>
    <t>3511 - Siak, Kab.</t>
  </si>
  <si>
    <t>3512 - Kuantan Singingi, Kab.</t>
  </si>
  <si>
    <t>3513 - Kab. Kepulauan Meranti</t>
  </si>
  <si>
    <t>3591 - Pekanbaru, Kota.</t>
  </si>
  <si>
    <t>3592 - Dumai, Kota.</t>
  </si>
  <si>
    <t>3606 - Musi Banyuasin, Kab.</t>
  </si>
  <si>
    <t>3607 - Ogan Komering Ulu, Kab.</t>
  </si>
  <si>
    <t>3608 - Lematang Ilir Ogan Tengah (Muara Enim), Kab.</t>
  </si>
  <si>
    <t>3609 - Lahat, Kab.</t>
  </si>
  <si>
    <t>3610 - Musi Rawas, Kab.</t>
  </si>
  <si>
    <t>3611 - Ogan Komering Ilir, Kab.</t>
  </si>
  <si>
    <t>3613 - Banyuasin, Kab</t>
  </si>
  <si>
    <t>3614 - Ogan Komering Ulu Selatan, Kab</t>
  </si>
  <si>
    <t>3615 - Ogan Komering Ulu Timur, Kab</t>
  </si>
  <si>
    <t>3616 - Ogan Ilir, Kab</t>
  </si>
  <si>
    <t>3617 - Empat Lawang</t>
  </si>
  <si>
    <t>3691 - Palembang, Kota.</t>
  </si>
  <si>
    <t>3693 - Lubuklinggau, Kota.</t>
  </si>
  <si>
    <t>3694 - Prabumulih, Kota.</t>
  </si>
  <si>
    <t>3697 - Pagar Alam, Kota.</t>
  </si>
  <si>
    <t>3701 - Bangka, Kab.</t>
  </si>
  <si>
    <t>3702 - Belitung, Kab.</t>
  </si>
  <si>
    <t>3703 - Bangka Barat, Kab</t>
  </si>
  <si>
    <t>3704 - Bangka Selatan, Kab</t>
  </si>
  <si>
    <t>3705 - Bangka Tengah, Kab</t>
  </si>
  <si>
    <t>3706 - Belitung Timur, Kab</t>
  </si>
  <si>
    <t>3707 - Kab. Bangka Belitung</t>
  </si>
  <si>
    <t>3791 - Pangkal Pinang, Kota.</t>
  </si>
  <si>
    <t>3801 - Karimun, Kab</t>
  </si>
  <si>
    <t>3802 - Lingga, Kab</t>
  </si>
  <si>
    <t>3803 - Natuna, Kab</t>
  </si>
  <si>
    <t>3804 - Bintan, Kab (d/h Kab. Kepulauan Riau</t>
  </si>
  <si>
    <t>3805 - Kab. Anambas</t>
  </si>
  <si>
    <t>3891 - Tanjungpinang, Kota</t>
  </si>
  <si>
    <t>3892 - Batam, Kota</t>
  </si>
  <si>
    <t>3901 - Lampung Selatan, Kab.</t>
  </si>
  <si>
    <t>3902 - Lampung Tengah, Kab.</t>
  </si>
  <si>
    <t>3903 - Lampung Utara, Kab.</t>
  </si>
  <si>
    <t>3904 - Lampung Barat, Kab.</t>
  </si>
  <si>
    <t>3905 - Tulang Bawang, Kab.</t>
  </si>
  <si>
    <t>3906 - Tanggamus, Kab.</t>
  </si>
  <si>
    <t>3907 - Lampung Timur, Kab.</t>
  </si>
  <si>
    <t>3908 - Way Kanan, Kab.</t>
  </si>
  <si>
    <t>3909 - Pesawaran, Kab</t>
  </si>
  <si>
    <t>3910 - Kab. Pringsewu</t>
  </si>
  <si>
    <t>3911 - Kab. Tulang Bawang Barat</t>
  </si>
  <si>
    <t>3912 - Kab. Mesuji</t>
  </si>
  <si>
    <t>3991 - Bandar Lampung, Kota.</t>
  </si>
  <si>
    <t>3992 - Metro, Kota.</t>
  </si>
  <si>
    <t>5101 - Banjar, Kab.</t>
  </si>
  <si>
    <t>5102 - Tanah Laut, Kab.</t>
  </si>
  <si>
    <t>5103 - Tapin, Kab.</t>
  </si>
  <si>
    <t>5104 - Hulu Sungai Selatan, Kab.</t>
  </si>
  <si>
    <t>5105 - Hulu Sungai Tengah, Kab.</t>
  </si>
  <si>
    <t>5106 - Hulu Sungai Utara, Kab.</t>
  </si>
  <si>
    <t>5107 - Barito Kuala, Kab.</t>
  </si>
  <si>
    <t>5108 - Kota Baru, Kab.</t>
  </si>
  <si>
    <t>5109 - Tabalong, Kab.</t>
  </si>
  <si>
    <t>5110 - Tanah Bumbu, Kab.</t>
  </si>
  <si>
    <t>5111 - Balangan, Kab.</t>
  </si>
  <si>
    <t>5191 - Banjarmasin, Kota.</t>
  </si>
  <si>
    <t>5192 - Banjarbaru, Kota.</t>
  </si>
  <si>
    <t>5301 - Pontianak, Kab.</t>
  </si>
  <si>
    <t>5302 - Sambas, Kab.</t>
  </si>
  <si>
    <t>5303 - Ketapang, Kab.</t>
  </si>
  <si>
    <t>5304 - Sanggau, Kab.</t>
  </si>
  <si>
    <t>5305 - Sintang, Kab.</t>
  </si>
  <si>
    <t>5306 - Kapuas Hulu, Kab.</t>
  </si>
  <si>
    <t>5307 - Bengkayang, Kab.</t>
  </si>
  <si>
    <t>5308 - Landak, Kab.</t>
  </si>
  <si>
    <t>5309 - Sekadau, Kab.</t>
  </si>
  <si>
    <t>5310 - Melawi, Kab..</t>
  </si>
  <si>
    <t>5311 - Kayong Utara, Kab.</t>
  </si>
  <si>
    <t>5312 - Kubu Raya, Kab.</t>
  </si>
  <si>
    <t>5391 - Pontianak, Kota.</t>
  </si>
  <si>
    <t>5392 - Singkawang, Kota.</t>
  </si>
  <si>
    <t>5401 - Kutai Kartanegara, Kab.</t>
  </si>
  <si>
    <t>5402 - Berau, Kab.</t>
  </si>
  <si>
    <t>5403 - Pasir, Kab.</t>
  </si>
  <si>
    <t>5404 - Bulungan, Kab.</t>
  </si>
  <si>
    <t>5405 - Kutai Barat, Kab.</t>
  </si>
  <si>
    <t>5406 - Kutai Timur, Kab.</t>
  </si>
  <si>
    <t>5409 - Nunukan, Kab.</t>
  </si>
  <si>
    <t>5410 - Malinau, Kab.</t>
  </si>
  <si>
    <t>5411 - Penajam Paser Utara, Kab.</t>
  </si>
  <si>
    <t>5412 - Tana Tidung, Kab.</t>
  </si>
  <si>
    <t>5491 - Samarinda, Kota.</t>
  </si>
  <si>
    <t>5492 - Balikpapan, Kota.</t>
  </si>
  <si>
    <t>5493 - Tarakan, Kota.</t>
  </si>
  <si>
    <t>5494 - Bontang, Kota.</t>
  </si>
  <si>
    <t>5801 - Kapuas, Kab.</t>
  </si>
  <si>
    <t>5802 - Kotawaringin Barat, Kab.</t>
  </si>
  <si>
    <t>5803 - Kotawaringin Timur, Kab.</t>
  </si>
  <si>
    <t>5804 - Murung Raya, Kab.</t>
  </si>
  <si>
    <t>5805 - Barito Timur, Kab.</t>
  </si>
  <si>
    <t>5806 - Barito Selatan, Kab.</t>
  </si>
  <si>
    <t>5807 - Gunung Mas, Kab.</t>
  </si>
  <si>
    <t>5808 - Barito Utara, Kab.</t>
  </si>
  <si>
    <t>5809 - Pulang Pisau, Kab.</t>
  </si>
  <si>
    <t>5810 - Seruyan, Kab.</t>
  </si>
  <si>
    <t>5811 - Katingan, Kab.</t>
  </si>
  <si>
    <t>5812 - Sukamara, Kab.</t>
  </si>
  <si>
    <t>5813 - Lamandau, Kab.</t>
  </si>
  <si>
    <t>5892 - Palangkaraya, Kota.</t>
  </si>
  <si>
    <t>6001 - Donggala, Kab.</t>
  </si>
  <si>
    <t>6002 - Poso, Kab.</t>
  </si>
  <si>
    <t>6003 - Parimo/Banggai, Kab.</t>
  </si>
  <si>
    <t>6004 - Toli-Toli, Kab.</t>
  </si>
  <si>
    <t>6005 - Kab.Banggai Kepulauan</t>
  </si>
  <si>
    <t>6006 - Morowali, Kab.</t>
  </si>
  <si>
    <t>6007 - Buol, Kab.</t>
  </si>
  <si>
    <t>6008 - Tojo Una-Una, Kab.</t>
  </si>
  <si>
    <t>6009 - Parigi Moutong, Kab.</t>
  </si>
  <si>
    <t>6010 - Kab. Sigi</t>
  </si>
  <si>
    <t>6091 - Palu, Kota.</t>
  </si>
  <si>
    <t>6101 - Pinrang, Kab.</t>
  </si>
  <si>
    <t>6102 - Gowa, Kab.</t>
  </si>
  <si>
    <t>6103 - Wajo, Kab.</t>
  </si>
  <si>
    <t>6105 - Bone, Kab.</t>
  </si>
  <si>
    <t>6106 - Tana Toraja, Kab.</t>
  </si>
  <si>
    <t>6107 - Maros, Kab.</t>
  </si>
  <si>
    <t>6109 - Luwu, Kab.</t>
  </si>
  <si>
    <t>6110 - Sinjai, Kab.</t>
  </si>
  <si>
    <t>6111 - Bulukumba, Kab.</t>
  </si>
  <si>
    <t>6112 - Bantaeng, Kab.</t>
  </si>
  <si>
    <t>6113 - Jeneponto, Kab.</t>
  </si>
  <si>
    <t>6114 - Selayar, Kab.</t>
  </si>
  <si>
    <t>6115 - Takalar, Kab.</t>
  </si>
  <si>
    <t>6116 - Barru, Kab.</t>
  </si>
  <si>
    <t>6117 - Sidenreng Rappang, Kab.</t>
  </si>
  <si>
    <t>6118 - Pangkajene Kepulauan, Kab.</t>
  </si>
  <si>
    <t>6119 - Kab. Soppeng (d/h Watansoppeng)</t>
  </si>
  <si>
    <t>6121 - Enrekang, Kab.</t>
  </si>
  <si>
    <t>6122 - Kab. Luwu Timur (d/h Luwu Selatan)</t>
  </si>
  <si>
    <t>6124 - Luwu Utara, Kab.</t>
  </si>
  <si>
    <t>6125 - Kab. Toraja Utara</t>
  </si>
  <si>
    <t>6191 - Makassar, Kota.</t>
  </si>
  <si>
    <t>6192 - Pare-Pare, Kota.</t>
  </si>
  <si>
    <t>6193 - Palopo, Kota.</t>
  </si>
  <si>
    <t>6202 - Minahasa, Kab.</t>
  </si>
  <si>
    <t>6203 - Bolaang Mongondow, Kab.</t>
  </si>
  <si>
    <t>6204 - Sangihe, Kab.</t>
  </si>
  <si>
    <t>6205 - kepulauan Talaud, Kab.</t>
  </si>
  <si>
    <t>6206 - Minahasa Selatan, Kab.</t>
  </si>
  <si>
    <t>6207 - Minahasa Utara, Kab.</t>
  </si>
  <si>
    <t>6209 - Minahasa Tenggara, Kab.</t>
  </si>
  <si>
    <t>6210 - Bolaang Mongoundow Utara, Kab.</t>
  </si>
  <si>
    <t>6211 - Kepulauan Sitaro, Kab.</t>
  </si>
  <si>
    <t>6212 - Kab. Bolaang Mongondow Selatan</t>
  </si>
  <si>
    <t>6213 - Kab. Bolaang Mongondow Timur</t>
  </si>
  <si>
    <t>6291 - Menado, Kota.</t>
  </si>
  <si>
    <t>6292 - Kotamobagu, Kota.</t>
  </si>
  <si>
    <t>6293 - Bitung, Kota.</t>
  </si>
  <si>
    <t>6294 - Kota. Tomohon</t>
  </si>
  <si>
    <t>6301 - Gorontalo, Kab.</t>
  </si>
  <si>
    <t>6302 - Bualemo, Kab.</t>
  </si>
  <si>
    <t>6303 - Bonebolango, Kab.</t>
  </si>
  <si>
    <t>6304 - Pohuwato, Kab.</t>
  </si>
  <si>
    <t>6305 - Gorontalo Utara, Kab.</t>
  </si>
  <si>
    <t>6391 - Gorontalo, Kota.</t>
  </si>
  <si>
    <t>6401 - Polewali Mandar, Kab.</t>
  </si>
  <si>
    <t>6402 - Majene, Kab.</t>
  </si>
  <si>
    <t>6403 - Mamasa, Kab.</t>
  </si>
  <si>
    <t>6404 - Mamuju Utara, Kab.</t>
  </si>
  <si>
    <t>6491 - Mamuju, Kota.</t>
  </si>
  <si>
    <t>6901 - Buton, Kab.</t>
  </si>
  <si>
    <t>6903 - Muna, Kab.</t>
  </si>
  <si>
    <t>6904 - Kolaka, Kab.</t>
  </si>
  <si>
    <t>6905 - Wakatobi, Kab.</t>
  </si>
  <si>
    <t>6906 - Konawe, Kab.</t>
  </si>
  <si>
    <t>6907 - Konawe Selatan, Kab.</t>
  </si>
  <si>
    <t>6908 - Bombana, Kab.</t>
  </si>
  <si>
    <t>6909 - Kolaka Utara, Kab.</t>
  </si>
  <si>
    <t>6910 - Buton Utara, Kab.</t>
  </si>
  <si>
    <t>6911 - Konawe Utara, Kab.</t>
  </si>
  <si>
    <t>6990 - Bau-Bau,Kota.</t>
  </si>
  <si>
    <t>6991 - Kendari, Kota.</t>
  </si>
  <si>
    <t>7101 - Lombok Barat, Kab.</t>
  </si>
  <si>
    <t>7102 - Lombok Tengah, Kab.</t>
  </si>
  <si>
    <t>7103 - Lombok Timur, Kab.</t>
  </si>
  <si>
    <t>7104 - Sumbawa, Kab.</t>
  </si>
  <si>
    <t>7105 - Bima, Kab.</t>
  </si>
  <si>
    <t>7106 - Dompu, Kab.</t>
  </si>
  <si>
    <t>7107 - Sumbawa Barat, Kab.</t>
  </si>
  <si>
    <t>7108 - Kab. Lombok Utara</t>
  </si>
  <si>
    <t>7191 - Mataram, Kota.</t>
  </si>
  <si>
    <t>7192 - Kota. Bima</t>
  </si>
  <si>
    <t>7201 - Buleleng, Kab.</t>
  </si>
  <si>
    <t>7202 - Jembrana, Kab.</t>
  </si>
  <si>
    <t>7203 - Tabanan, Kab.</t>
  </si>
  <si>
    <t>7204 - Badung, Kab.</t>
  </si>
  <si>
    <t>7205 - Gianyar, Kab.</t>
  </si>
  <si>
    <t>7206 - Klungkung, Kab.</t>
  </si>
  <si>
    <t>7207 - Bangli, Kab.</t>
  </si>
  <si>
    <t>7208 - Karangasem, Kab.</t>
  </si>
  <si>
    <t>7291 - Denpasar, Kota.</t>
  </si>
  <si>
    <t>7401 - Kupang, Kab.</t>
  </si>
  <si>
    <t>7402 - Timor-Tengah Selatan, Kab.</t>
  </si>
  <si>
    <t>7403 - Timor-Tengah Utara, Kab.</t>
  </si>
  <si>
    <t>7404 - Belu, Kab.</t>
  </si>
  <si>
    <t>7405 - Alor, Kab.</t>
  </si>
  <si>
    <t>7406 - Flores Timur, Kab.</t>
  </si>
  <si>
    <t>7407 - Sikka, Kab.</t>
  </si>
  <si>
    <t>7408 - Ende, Kab.</t>
  </si>
  <si>
    <t>7409 - Ngada, Kab.</t>
  </si>
  <si>
    <t>7410 - Manggarai, Kab.</t>
  </si>
  <si>
    <t>7411 - Sumba Timur, Kab.</t>
  </si>
  <si>
    <t>7412 - Sumba Barat, Kab.</t>
  </si>
  <si>
    <t>7413 - Lembata, Kab.</t>
  </si>
  <si>
    <t>7414 - Rote, Kab.</t>
  </si>
  <si>
    <t>7415 - Manggarai Barat, Kab.</t>
  </si>
  <si>
    <t>7416 - Sumba Tengah, Kab.</t>
  </si>
  <si>
    <t>7417 - Sumba Barat Daya, Kab.</t>
  </si>
  <si>
    <t>7418 - Manggarai Timur, Kab.</t>
  </si>
  <si>
    <t>7419 - Nagekeo, Kab.</t>
  </si>
  <si>
    <t>7420 - Kab. Sabu Raijua</t>
  </si>
  <si>
    <t>7491 - Kupang, Kota.</t>
  </si>
  <si>
    <t>8101 - Maluku Tengah, Kab.</t>
  </si>
  <si>
    <t>8102 - Maluku Tenggara, Kab.</t>
  </si>
  <si>
    <t>8103 - Maluku Tenggara Barat, Kab.</t>
  </si>
  <si>
    <t>8104 - Kab Buru</t>
  </si>
  <si>
    <t>8105 - Seram Bagian Barat, Kota.</t>
  </si>
  <si>
    <t>8106 - Seram Bagian Timur, Kota.</t>
  </si>
  <si>
    <t>8107 - Kepulauan Aru, Kota.</t>
  </si>
  <si>
    <t>8108 - Kab. Maluku Barat Daya</t>
  </si>
  <si>
    <t>8109 - Kab. Buru Selatan</t>
  </si>
  <si>
    <t>8191 - Ambon, Kota.</t>
  </si>
  <si>
    <t>8192 - Tual, Kota.</t>
  </si>
  <si>
    <t>8201 - Jayapura, Kab.</t>
  </si>
  <si>
    <t>8202 - Biak Numfor, Kab.</t>
  </si>
  <si>
    <t>8210 - Yapen-Waropen, Kab.</t>
  </si>
  <si>
    <t>8211 - Merauke, Kab.</t>
  </si>
  <si>
    <t>8212 - Paniai, Kab.</t>
  </si>
  <si>
    <t>8213 - Jayawijaya, Kab.</t>
  </si>
  <si>
    <t>8214 - Nabire, Kab.</t>
  </si>
  <si>
    <t>8215 - Mimika, Kab.</t>
  </si>
  <si>
    <t>8216 - Puncak Jaya, Kab.</t>
  </si>
  <si>
    <t>8217 - Sarmi, Kab.</t>
  </si>
  <si>
    <t>8218 - Keerom, Kab.</t>
  </si>
  <si>
    <t>8221 - Pegunungan Bintang, Kab.</t>
  </si>
  <si>
    <t>8222 - Yahukimo, Kab.</t>
  </si>
  <si>
    <t>8223 - Tolikara, Kab.</t>
  </si>
  <si>
    <t>8224 - Waropen, Kab.</t>
  </si>
  <si>
    <t>8226 - Boven Digoel, Kab.</t>
  </si>
  <si>
    <t>8227 - Mappi, Kab.</t>
  </si>
  <si>
    <t>8228 - Asmat, Kab.</t>
  </si>
  <si>
    <t>8231 - Supiori,Kab.</t>
  </si>
  <si>
    <t>8232 - Mamberamo Raya, Kab.</t>
  </si>
  <si>
    <t>8233 - Dogiyai, Kab.</t>
  </si>
  <si>
    <t>8234 - Lanny Jaya, Kab.</t>
  </si>
  <si>
    <t>8235 - Mamberamo Tengah, Kab.</t>
  </si>
  <si>
    <t>8236 - Nduga Tengah, Kab.</t>
  </si>
  <si>
    <t>8237 - Yalimo, Kab.</t>
  </si>
  <si>
    <t>8238 - Puncak, Kab.</t>
  </si>
  <si>
    <t>8239 - Kab. Intan Jaya</t>
  </si>
  <si>
    <t>8240 - Kab. Deiyai</t>
  </si>
  <si>
    <t>8291 - Jayapura, Kota.</t>
  </si>
  <si>
    <t>8302 - Halmahera Tengah, Kab.</t>
  </si>
  <si>
    <t>8303 - Halmahera Utara, Kab.</t>
  </si>
  <si>
    <t>8304 - Halmahera Timur, Kab.</t>
  </si>
  <si>
    <t>8305 - Halmahera Barat, Kab.</t>
  </si>
  <si>
    <t>8306 - Halmahera Selatan, Kab.</t>
  </si>
  <si>
    <t>8307 - Kepulauan Sula, Kab.</t>
  </si>
  <si>
    <t>8308 - Kab. Pulau Morotai</t>
  </si>
  <si>
    <t>8390 - Ternate, Kota.</t>
  </si>
  <si>
    <t>8391 - Tidore Kepulauan, Kota.</t>
  </si>
  <si>
    <t>8401 - Sorong, Kab.</t>
  </si>
  <si>
    <t>8402 - Fak-Fak, Kab.</t>
  </si>
  <si>
    <t>8403 - Manokwari, Kab.</t>
  </si>
  <si>
    <t>8404 - Sorong selatan, Kab.</t>
  </si>
  <si>
    <t>8405 - Raja Ampat, Kab.</t>
  </si>
  <si>
    <t>8406 - Kaimana, Kab.</t>
  </si>
  <si>
    <t>8407 - Teluk Bintuni, Kab.</t>
  </si>
  <si>
    <t>8408 - Teluk Wondama, Kab.</t>
  </si>
  <si>
    <t>8409 - Kab. Tembrauw</t>
  </si>
  <si>
    <t>8410 - Kab. Maybrat</t>
  </si>
  <si>
    <t>8491 - Sorong, Kota.</t>
  </si>
  <si>
    <t>9999 - DI  LUAR  INDONESIA</t>
  </si>
  <si>
    <t>ADP - Andorran Peseta</t>
  </si>
  <si>
    <t>AED - UAD Dirham</t>
  </si>
  <si>
    <t>AFN - Afghanistan Afghani</t>
  </si>
  <si>
    <t>ALL - Albanian Lek</t>
  </si>
  <si>
    <t>AMD - Armenia Dram</t>
  </si>
  <si>
    <t>ANG - Netherlands Antillian Guilder /Florin</t>
  </si>
  <si>
    <t>AOA - Angolan Kwanza</t>
  </si>
  <si>
    <t>ARS - Argentine Peso</t>
  </si>
  <si>
    <t>ATS - Austrian Schilling</t>
  </si>
  <si>
    <t>AUD - Australian Dollar</t>
  </si>
  <si>
    <t>AWG - Aruban Guilder</t>
  </si>
  <si>
    <t>AZM - Azerbaijan Mant</t>
  </si>
  <si>
    <t>BAM - Bosnia-Herze Conv Marka</t>
  </si>
  <si>
    <t>BBD - Barbados Dollar</t>
  </si>
  <si>
    <t>BDT - Bangladesh Taka</t>
  </si>
  <si>
    <t>BEF - Belgian Franc</t>
  </si>
  <si>
    <t>BEN - Bulgarian Lev</t>
  </si>
  <si>
    <t>BHD - Bahraini Dinar</t>
  </si>
  <si>
    <t>BIF - Burundi Franc</t>
  </si>
  <si>
    <t>BMD - Bermudian Dollar</t>
  </si>
  <si>
    <t>BND - Brunei Dollar</t>
  </si>
  <si>
    <t>BOB - Bolivian Boliviano</t>
  </si>
  <si>
    <t>BRL - Brazilian Real</t>
  </si>
  <si>
    <t>BSD - Bahamas Dollar</t>
  </si>
  <si>
    <t>BTN - Bhutan Ngultrum</t>
  </si>
  <si>
    <t>BWP - Botswana Pula</t>
  </si>
  <si>
    <t>BYR - Belarus Rouble</t>
  </si>
  <si>
    <t>BZD - Belize Dollar</t>
  </si>
  <si>
    <t>CAD - Canadian Dollar</t>
  </si>
  <si>
    <t>CDF - Democratic Rep.Congo Franc</t>
  </si>
  <si>
    <t>CDZ - New Zaire</t>
  </si>
  <si>
    <t>CHF - Swiss Franc</t>
  </si>
  <si>
    <t>CLF - Chilean Fomento</t>
  </si>
  <si>
    <t>CLP - Chilean Peso</t>
  </si>
  <si>
    <t>CNY - China Yuan Renminbi</t>
  </si>
  <si>
    <t>COP - Colombian Peso</t>
  </si>
  <si>
    <t>CRC - Costa Rican Colon</t>
  </si>
  <si>
    <t>CUP - Cuban Peso</t>
  </si>
  <si>
    <t>CVE - Cape Verde Escudo</t>
  </si>
  <si>
    <t>CYP - Cyprus Pound</t>
  </si>
  <si>
    <t>CZK - Czech Koruna</t>
  </si>
  <si>
    <t>DEM - Deutsche Mark</t>
  </si>
  <si>
    <t>DJF - Djibouti Franc</t>
  </si>
  <si>
    <t>DKK - Danish Krone</t>
  </si>
  <si>
    <t>DOP - Dominican Republic Peso</t>
  </si>
  <si>
    <t>DZD - Algerian Dinar</t>
  </si>
  <si>
    <t>ECS - Ecuadorean Sucre</t>
  </si>
  <si>
    <t>EEK - Estonian Kroon</t>
  </si>
  <si>
    <t>EGP - Egyptian Pound</t>
  </si>
  <si>
    <t>ERN - Eritreian Nakfa</t>
  </si>
  <si>
    <t>ESB - Spanish Peseta</t>
  </si>
  <si>
    <t>ESP - Spanish Peseta</t>
  </si>
  <si>
    <t>ESS - Ecuadoran Sucre</t>
  </si>
  <si>
    <t>ETB - Ethiopian Birr</t>
  </si>
  <si>
    <t>EUR - Euro</t>
  </si>
  <si>
    <t>FIM - Finnis Markka</t>
  </si>
  <si>
    <t>FJD - Fiji Dollar</t>
  </si>
  <si>
    <t>FKP - Falkland Islands Pound</t>
  </si>
  <si>
    <t>FRF - French Franc</t>
  </si>
  <si>
    <t>GBP - Pound Sterling (United Kingdom Pound)</t>
  </si>
  <si>
    <t>GEK - Georgian Coupon</t>
  </si>
  <si>
    <t>GEL - Georgian Lari</t>
  </si>
  <si>
    <t>GHC - Ghana Cedi</t>
  </si>
  <si>
    <t>GIP - Gibraltar Pound</t>
  </si>
  <si>
    <t>GMD - Gambian Dalasi</t>
  </si>
  <si>
    <t>GNF - Guinea Franc</t>
  </si>
  <si>
    <t>GNS - Guinea Franc/Guinea Syli</t>
  </si>
  <si>
    <t>GQE - ekwele</t>
  </si>
  <si>
    <t>GRD - Greek Drachma</t>
  </si>
  <si>
    <t>GTQ - Guatemala Quetzal</t>
  </si>
  <si>
    <t>GWP - Guinea-Bissau Peso</t>
  </si>
  <si>
    <t>GYD - Guyana Dollar</t>
  </si>
  <si>
    <t>HKD - Hong Kong Dollar</t>
  </si>
  <si>
    <t>HNL - Honduras Lempira</t>
  </si>
  <si>
    <t>HRD - Croatian Dinar</t>
  </si>
  <si>
    <t>HRK - Croatian Kuna</t>
  </si>
  <si>
    <t>HTG - Haiti Gourde</t>
  </si>
  <si>
    <t>HUF - Hungarian Forint</t>
  </si>
  <si>
    <t>IDR - Indonesian Rupiah</t>
  </si>
  <si>
    <t>IEP - Irish Punt</t>
  </si>
  <si>
    <t>ILS - Israeli Shekel</t>
  </si>
  <si>
    <t>INR - Indian Rupee</t>
  </si>
  <si>
    <t>IQD - Iraqi Dinar</t>
  </si>
  <si>
    <t>IRR - Iranian Rial</t>
  </si>
  <si>
    <t>ISK - Icelandic Krona</t>
  </si>
  <si>
    <t>ISS - Israeli Shekel</t>
  </si>
  <si>
    <t>ITL - Italian Lira</t>
  </si>
  <si>
    <t>JMD - Jamaican Dollar</t>
  </si>
  <si>
    <t>JOD - Jordanian Dinar</t>
  </si>
  <si>
    <t>JPY - Japanese Yen</t>
  </si>
  <si>
    <t>KES - Kenyan Shilling</t>
  </si>
  <si>
    <t>KGS - Kyrgyzstan Som</t>
  </si>
  <si>
    <t>KHR - Cambodia Riel</t>
  </si>
  <si>
    <t>KMF - Comoros Franc</t>
  </si>
  <si>
    <t>KPW - North Korean Won</t>
  </si>
  <si>
    <t>KRW - Korean Won</t>
  </si>
  <si>
    <t>KTS - Kazakhstan Tenge</t>
  </si>
  <si>
    <t>KWD - Kuwaiti Dinar</t>
  </si>
  <si>
    <t>KYD - Cayman Islands Dollar</t>
  </si>
  <si>
    <t>KYS - Kyrgyzstan Som</t>
  </si>
  <si>
    <t>KZT - Kazakhstan Tenge</t>
  </si>
  <si>
    <t>LAK - Laos New Kip</t>
  </si>
  <si>
    <t>LBP - Lebanese Pound</t>
  </si>
  <si>
    <t>LKR - Sri Langka Rupee</t>
  </si>
  <si>
    <t>LRD - Liberian Dollar</t>
  </si>
  <si>
    <t>LSL - Loti Lesotho</t>
  </si>
  <si>
    <t>LSM - Lesotho Maloti</t>
  </si>
  <si>
    <t>LTL - Lithuanian Litas</t>
  </si>
  <si>
    <t>LTT - Litas</t>
  </si>
  <si>
    <t>LUF - Luxembourg Franc</t>
  </si>
  <si>
    <t>LVL - Latvian Lats</t>
  </si>
  <si>
    <t>LVR - Latvian Rouble</t>
  </si>
  <si>
    <t>LYD - Libyan Dinar</t>
  </si>
  <si>
    <t>MAD - Morrocoan Dirham</t>
  </si>
  <si>
    <t>MDL - Moldova Lei</t>
  </si>
  <si>
    <t>MGF - Madagascar Franc</t>
  </si>
  <si>
    <t>MKD - Macedonian Denar</t>
  </si>
  <si>
    <t>MLF - Malian Franc</t>
  </si>
  <si>
    <t>MMK - Myanmar Kyat</t>
  </si>
  <si>
    <t>MNT - Mongolia Tugrik</t>
  </si>
  <si>
    <t>MOP - Macau Pataca</t>
  </si>
  <si>
    <t>MRO - Mauritania Ouguiya</t>
  </si>
  <si>
    <t>MTL - Maltese Lira</t>
  </si>
  <si>
    <t>MUR - Maurutius Rupee</t>
  </si>
  <si>
    <t>MVR - Maldives Rufiyaa</t>
  </si>
  <si>
    <t>MVS - Moldova Leu</t>
  </si>
  <si>
    <t>MWK - Malawi Kwacha</t>
  </si>
  <si>
    <t>MXN - Mexican New Peso</t>
  </si>
  <si>
    <t>MYR - Malaysian Ringgit</t>
  </si>
  <si>
    <t>MZM - Mozambique Metical</t>
  </si>
  <si>
    <t>N11 - Lainnya atau sandi yang telah ditentukan</t>
  </si>
  <si>
    <t>NAD - Namibia Dollar</t>
  </si>
  <si>
    <t>NGN - Nigeria Naira</t>
  </si>
  <si>
    <t>NIC - Nicaragua Cordoba</t>
  </si>
  <si>
    <t>NIO - Nicaragua Cordoba Oro</t>
  </si>
  <si>
    <t>NLG - Netherlands Guilder/ Gulden/Florin</t>
  </si>
  <si>
    <t>NOK - Norwegian Krone</t>
  </si>
  <si>
    <t>NPR - Nepalese Rupee</t>
  </si>
  <si>
    <t>NZD - New Zealand Dollar</t>
  </si>
  <si>
    <t>OMR - Omani Rial</t>
  </si>
  <si>
    <t>PAB - Panamanian Balboa</t>
  </si>
  <si>
    <t>PEI - Inti</t>
  </si>
  <si>
    <t>PEN - Peruvian Nuevo Sol</t>
  </si>
  <si>
    <t>PGK - Papua New Guinea Kina</t>
  </si>
  <si>
    <t>PHP - Philippines Peso</t>
  </si>
  <si>
    <t>PKR - Pakistan Rupee</t>
  </si>
  <si>
    <t>PLN - Polish Zloty/New Zloty</t>
  </si>
  <si>
    <t>PLZ - Zloty</t>
  </si>
  <si>
    <t>PSS - Peruvian New Sol</t>
  </si>
  <si>
    <t>PTE - Portuguese Escudo</t>
  </si>
  <si>
    <t>PYG - Paraguayan Guarani</t>
  </si>
  <si>
    <t>QAR - Qatari Rial</t>
  </si>
  <si>
    <t>ROL - Romanian Leu</t>
  </si>
  <si>
    <t>RUR - Russian Rouble</t>
  </si>
  <si>
    <t>RWF - Rwanda Franc</t>
  </si>
  <si>
    <t>SAR - Saudi Riyal</t>
  </si>
  <si>
    <t>SBD - Solomon Islands Dollar</t>
  </si>
  <si>
    <t>SCR - Seychelles Rupee</t>
  </si>
  <si>
    <t>SDD - Sudanese Dinar</t>
  </si>
  <si>
    <t>SDP - Sudanese Pound</t>
  </si>
  <si>
    <t>SEK - Swedish Krone</t>
  </si>
  <si>
    <t>SGD - Singapore Dollar</t>
  </si>
  <si>
    <t>SHP - St. Helena Pound</t>
  </si>
  <si>
    <t>SIT - Slovenia Tolar</t>
  </si>
  <si>
    <t>SKK - Slovakia Koruna</t>
  </si>
  <si>
    <t>SLL - Sierra Leone Leone</t>
  </si>
  <si>
    <t>SOS - Somalia Schilling</t>
  </si>
  <si>
    <t>SRD - Surinam Dollar</t>
  </si>
  <si>
    <t>SRG - Surinam Guilder</t>
  </si>
  <si>
    <t>STD - Sao Tome Dobra</t>
  </si>
  <si>
    <t>SUR - USSR Rouble</t>
  </si>
  <si>
    <t>SVC - El Salvador Colon</t>
  </si>
  <si>
    <t>SYP - Syrian Pound</t>
  </si>
  <si>
    <t>SZL - Swaziland Lilangeni</t>
  </si>
  <si>
    <t>THB - Thai Bath</t>
  </si>
  <si>
    <t>TJR - Tajik Ruble</t>
  </si>
  <si>
    <t>TJS - Tajikistan Somoni</t>
  </si>
  <si>
    <t>TMM - Turkmenistan Manat</t>
  </si>
  <si>
    <t>TND - Tunisian Dinar</t>
  </si>
  <si>
    <t>TOP - Tonga Paanga</t>
  </si>
  <si>
    <t>TRL - Turkish Lira</t>
  </si>
  <si>
    <t>TTD - Trinidad &amp; Tobago Dollar</t>
  </si>
  <si>
    <t>TWD - Taiwan Dollar</t>
  </si>
  <si>
    <t>TZS - Tanzanian Shilling</t>
  </si>
  <si>
    <t>UAH - Ukraine Hryvna</t>
  </si>
  <si>
    <t>UAK - Ukraine Karbovanet</t>
  </si>
  <si>
    <t>UGS - Ugandan Shilling</t>
  </si>
  <si>
    <t>UGX - Ugandan Shilling</t>
  </si>
  <si>
    <t>USD - US Dollar</t>
  </si>
  <si>
    <t>USP - US Dollar</t>
  </si>
  <si>
    <t>UYP - Uruguay Peso</t>
  </si>
  <si>
    <t>UYU - Uruguay Peso</t>
  </si>
  <si>
    <t>UZS - Uzbekistan Sum</t>
  </si>
  <si>
    <t>VEB - Venezuelan Bolivar</t>
  </si>
  <si>
    <t>VND - Vietnam Dong</t>
  </si>
  <si>
    <t>VUV - Vanuatu Vatu</t>
  </si>
  <si>
    <t>WST - Samoan (West) Tala</t>
  </si>
  <si>
    <t>XAF - Franc de la Communaute financiere Africaine</t>
  </si>
  <si>
    <t>XAG - Silver</t>
  </si>
  <si>
    <t>XAU - Gold</t>
  </si>
  <si>
    <t>XCD - East Caribbean Dollar</t>
  </si>
  <si>
    <t>XDR - Special Drawing Right</t>
  </si>
  <si>
    <t>XOF - CFA Franc BCEAO</t>
  </si>
  <si>
    <t>XPF - Franc Pacific Is.Fran</t>
  </si>
  <si>
    <t>YER - Yemeni Rial</t>
  </si>
  <si>
    <t>YUD - New Dinar</t>
  </si>
  <si>
    <t>YUN - New Yugoslavian</t>
  </si>
  <si>
    <t>ZAL - Rand (South African Rand)</t>
  </si>
  <si>
    <t>ZAR - Rand (South African Rand)</t>
  </si>
  <si>
    <t>ZMK - Zambian Kwacha</t>
  </si>
  <si>
    <t>ZWD - Zimbabwe Dollar</t>
  </si>
  <si>
    <t>LBU Reporting</t>
  </si>
  <si>
    <t>002 - BANK RAKYAT INDONESIA</t>
  </si>
  <si>
    <t>003 - BANK EKSPOR INDONESIA</t>
  </si>
  <si>
    <t>008 - BANK MANDIRI</t>
  </si>
  <si>
    <t>009 - BANK NEGARA INDONESIA 1946</t>
  </si>
  <si>
    <t>011 - BANK DANAMON INDONESIA</t>
  </si>
  <si>
    <t>013 - BANK PERMATA TBK</t>
  </si>
  <si>
    <t>012 - BANK DAGANG NASIONAL INDONESIA</t>
  </si>
  <si>
    <t>013 - BANK PERMATA</t>
  </si>
  <si>
    <t>014 - BANK CENTRAL ASIA TBK</t>
  </si>
  <si>
    <t>016 - BANK INTERNASIONAL INDONESIA</t>
  </si>
  <si>
    <t>018 - BANK CENTRAL DAGANG</t>
  </si>
  <si>
    <t>019 - BANK PANIN  INDONESIA</t>
  </si>
  <si>
    <t>022 - BANK CIMB NIAGA</t>
  </si>
  <si>
    <t>023 - BANK UOB BUANA TBK</t>
  </si>
  <si>
    <t>024 - BANK PESONA KRIYADANA</t>
  </si>
  <si>
    <t>026 - BANK LIPPO</t>
  </si>
  <si>
    <t>028 - BANK OCBC NISP</t>
  </si>
  <si>
    <t>029 - BANK SURYA</t>
  </si>
  <si>
    <t>031 - CITIBANK</t>
  </si>
  <si>
    <t>032 - JP MORGAN CHASE BANK</t>
  </si>
  <si>
    <t>033 - BANK OF AMERICA NT &amp; SA</t>
  </si>
  <si>
    <t>034 - BANK ING Indonesia Bank</t>
  </si>
  <si>
    <t>036 - BANK WINDU KENTJANA INTERNATIONAL</t>
  </si>
  <si>
    <t>037 - BANK ARTHA GRAHA INTERNASIONAL</t>
  </si>
  <si>
    <t>039 - BANK CREDIT AGRICOLE INDOSUEZ (dicabut izin usaha)</t>
  </si>
  <si>
    <t>040 - BANK BANGKOK BANK LTD</t>
  </si>
  <si>
    <t>041 - THE HSBC</t>
  </si>
  <si>
    <t>042 - THE BANK OF TOKYO MITSUBISHI-UFJ LTD.</t>
  </si>
  <si>
    <t>045 - BANK SUMITOMO MITSUI INDONESIA</t>
  </si>
  <si>
    <t>046 - BANK DBS INDONESIA</t>
  </si>
  <si>
    <t>047 - BANK RESONA PERDANIA</t>
  </si>
  <si>
    <t>048 - BANK MIZUHO INDONESIA</t>
  </si>
  <si>
    <t>049 - BANK UFJ INDONESIA</t>
  </si>
  <si>
    <t>050 - STANDARD CHARTERED BANK</t>
  </si>
  <si>
    <t>052 - THE ROYAL BANK OF SCOTLAND N. V.</t>
  </si>
  <si>
    <t>053 - BANK KEPPEL TATLEE BUANA(merger menjadi Bank OCBC)</t>
  </si>
  <si>
    <t>054 - BANK CAPITAL INDONESIA</t>
  </si>
  <si>
    <t xml:space="preserve">055 - Bank Sakura Swadharma </t>
  </si>
  <si>
    <t>057 - BANK BNP PARIBAS INDONESIA</t>
  </si>
  <si>
    <t>058 - BANK UOB INDONESIA</t>
  </si>
  <si>
    <t>059 - KOREA EXCHANGE BANK INDONESIA</t>
  </si>
  <si>
    <t>060 - RABO BANK INTERNATIONAL INDONESIA</t>
  </si>
  <si>
    <t>061 - BANK ANZ PANIN</t>
  </si>
  <si>
    <t>065 - BANK UPPINDO</t>
  </si>
  <si>
    <t>066 - BANK INVESTMENT INTERNASIONAL</t>
  </si>
  <si>
    <t>067 - DEUTSCHE BANK AG.</t>
  </si>
  <si>
    <t>068 - BANK WOORI INDONESIA</t>
  </si>
  <si>
    <t>069 - BANK OF CHINA</t>
  </si>
  <si>
    <t>071 - SEJAHTERA BANK UMUM</t>
  </si>
  <si>
    <t>074 - BANK ASIA PACIFIC (ASPAC BANK)</t>
  </si>
  <si>
    <t>076 - BANK BUMI ARTA</t>
  </si>
  <si>
    <t>078 - BANK BAHARI</t>
  </si>
  <si>
    <t>081 - BANK PELITA</t>
  </si>
  <si>
    <t>082 - BANK SUBENTRA</t>
  </si>
  <si>
    <t>083 - BANK MASHILL UTAMA</t>
  </si>
  <si>
    <t>084 - BANK MODERN</t>
  </si>
  <si>
    <t xml:space="preserve">085 - </t>
  </si>
  <si>
    <t>086 - BANK UMUM SERVITIA</t>
  </si>
  <si>
    <t>087 - BANK EKONOMI RAHARJA</t>
  </si>
  <si>
    <t>088 - BANK ANTAR DAERAH</t>
  </si>
  <si>
    <t>089 - RABOBANK INTERNATIONAL INDONESIA</t>
  </si>
  <si>
    <t xml:space="preserve">092 - CORPORATION (FICORINVEST) </t>
  </si>
  <si>
    <t>093 - BANK IFI</t>
  </si>
  <si>
    <t>094 - BANK PAPAN SEJAHTERA</t>
  </si>
  <si>
    <t>095 - BANK MUTIARA, TBK.</t>
  </si>
  <si>
    <t>096 - BANK HARAPAN SANTOSA</t>
  </si>
  <si>
    <t>097 - BANK MAYAPADA INTERNATIONAL</t>
  </si>
  <si>
    <t>098 - BANK DHARMALA</t>
  </si>
  <si>
    <t>099 - BANK INDONESIA RAYA</t>
  </si>
  <si>
    <t>110 - B.P.D. JAWA BARAT &amp; BANTEN</t>
  </si>
  <si>
    <t>111 - BPD DKI JAKARTA</t>
  </si>
  <si>
    <t>112 - B.P.D. YOGYAKARTA</t>
  </si>
  <si>
    <t>113 - B.P.D. JAWA TENGAH</t>
  </si>
  <si>
    <t>114 - B.P.D. JAWA TIMUR</t>
  </si>
  <si>
    <t>115 - B.P.D. JAMBI</t>
  </si>
  <si>
    <t>116 - B.P.D. ACEH</t>
  </si>
  <si>
    <t>117 - B.P.D. SUMATERA UTARA</t>
  </si>
  <si>
    <t>118 - B.P.D. SUMATERA BARAT</t>
  </si>
  <si>
    <t>119 - B.P.D. RIAU</t>
  </si>
  <si>
    <t>120 - B.P.D. SUMATERA SELATAN DAN BABEL</t>
  </si>
  <si>
    <t>121 - B.P.D. LAMPUNG</t>
  </si>
  <si>
    <t>122 - PT. BPD KALIMANTAN SELATAN</t>
  </si>
  <si>
    <t>123 - B.P.D. KALIMANTAN BARAT</t>
  </si>
  <si>
    <t>124 - B.P.D. KALIMANTAN TIMUR</t>
  </si>
  <si>
    <t>125 - B.P.D. KALIMANTAN TENGAH</t>
  </si>
  <si>
    <t>126 - B.P.D. SULAWESI SELATAN</t>
  </si>
  <si>
    <t>127 - B.P.D. SULAWESI UTARA</t>
  </si>
  <si>
    <t>128 - B.P.D. NUSA TENGGARA BARAT</t>
  </si>
  <si>
    <t>129 - B.P.D. BALI</t>
  </si>
  <si>
    <t>130 - B.P.D. NUSA TENGGARA TIMUR</t>
  </si>
  <si>
    <t>131 - B.P.D. MALUKU</t>
  </si>
  <si>
    <t>132 - B.P.D. PAPUA</t>
  </si>
  <si>
    <t>133 - B.P.D. BENGKULU</t>
  </si>
  <si>
    <t>134 - B.P.D. SULAWESI TENGAH</t>
  </si>
  <si>
    <t>135 - B.P.D. SULAWESI TENGGARA</t>
  </si>
  <si>
    <t>136 - BPD TIMOR TIMUR</t>
  </si>
  <si>
    <t>140 - BANK CITRA MAKMUR ASIA</t>
  </si>
  <si>
    <t>141 - BANK LAUTAN BERLIAN</t>
  </si>
  <si>
    <t>142 - BANK KHARISMA</t>
  </si>
  <si>
    <t>143 - BANK NAMURA INTERNUSA</t>
  </si>
  <si>
    <t>144 - BANK ANDROMEDA</t>
  </si>
  <si>
    <t>145 - BANK NUSANTARA PARAHYANGAN</t>
  </si>
  <si>
    <t>146 - PT. BANK OF INDIA INDONESIA, TBK</t>
  </si>
  <si>
    <t>147 - BANK MUAMALAT INDONESIA</t>
  </si>
  <si>
    <t>148 - BANK DAGANG DAN INDUSTRI</t>
  </si>
  <si>
    <t>149 - BANK HASTIN INTERNASIONAL</t>
  </si>
  <si>
    <t>150 - BANK SAHID GAJAH PERKASA</t>
  </si>
  <si>
    <t>151 - BANK MESTIKA DHARMA</t>
  </si>
  <si>
    <t>152 - BANK METRO EKSPRES</t>
  </si>
  <si>
    <t>153 - BANK SINARMAS</t>
  </si>
  <si>
    <t>154 - BANK TATA INTERNATIONAL</t>
  </si>
  <si>
    <t>155 - BANK GUNA INTERNASIONAL</t>
  </si>
  <si>
    <t>157 - BANK MASPION INDONESIA</t>
  </si>
  <si>
    <t>159 - BANK HAGAKITA</t>
  </si>
  <si>
    <t>160 - BANK INDUSTRI</t>
  </si>
  <si>
    <t>161 - BANK GANESHA</t>
  </si>
  <si>
    <t>163 - BANK PUTERA SURYA PERKASA</t>
  </si>
  <si>
    <t>164 - BANK ICBC INDONESIA</t>
  </si>
  <si>
    <t>165 - BANK BAJA INTERNASIONAL</t>
  </si>
  <si>
    <t>166 - BANK HARMONI INTERNATIONAL</t>
  </si>
  <si>
    <t>167 - PT. BANK QNB KESAWAN, Tbk</t>
  </si>
  <si>
    <t>168 - BANK PIKKO (merger menjadi Bank Century - 095)</t>
  </si>
  <si>
    <t>200 - BANK TABUNGAN NEGARA</t>
  </si>
  <si>
    <t>212 - BANK HS 1906</t>
  </si>
  <si>
    <t>213 - BANK TABUNGAN PENSIUNAN NASIONAL</t>
  </si>
  <si>
    <t>310 - BANK ANRICO</t>
  </si>
  <si>
    <t>329 - BANK DEWA RUTJI</t>
  </si>
  <si>
    <t>332 - BANK JAKARTA</t>
  </si>
  <si>
    <t>367 - BANK INTAN</t>
  </si>
  <si>
    <t>388 - BANK ARYA PANDUARTA</t>
  </si>
  <si>
    <t>399 - SOUTH EAST ASIA BANK</t>
  </si>
  <si>
    <t>405 - BANK VICTORIA SYARIAH</t>
  </si>
  <si>
    <t>413 - BANK UMUM MAJAPAHIT JAYA</t>
  </si>
  <si>
    <t>422 - BANK SYARIAH BRI</t>
  </si>
  <si>
    <t>425 - PT BANK JABAR BANTEN SYARIAH</t>
  </si>
  <si>
    <t>426 - BANK MEGA TBK</t>
  </si>
  <si>
    <t>427 - BANK BNI SYARIAH</t>
  </si>
  <si>
    <t>441 - BANK BUKOPIN</t>
  </si>
  <si>
    <t>451 - BANK SYARIAH MANDIRI</t>
  </si>
  <si>
    <t>455 - BANK DANA ASIA</t>
  </si>
  <si>
    <t>459 - BANK BISNIS INTERNASIONAL</t>
  </si>
  <si>
    <t>466 - BANK ANDARA (SRI PARTHA)</t>
  </si>
  <si>
    <t>472 - BANK JASA JAKARTA</t>
  </si>
  <si>
    <t>476 - BANK AKEN</t>
  </si>
  <si>
    <t>484 - BANK HANA</t>
  </si>
  <si>
    <t>485 - BANK ICB BUMIPUTERA</t>
  </si>
  <si>
    <t>486 - BANK SINO</t>
  </si>
  <si>
    <t>490 - BANK YUDHA BHAKTI</t>
  </si>
  <si>
    <t>491 - BANK MITRANIAGA</t>
  </si>
  <si>
    <t>494 - PT. BANK RAKYAT INDONESIA AGRONIAGA, TBK</t>
  </si>
  <si>
    <t>498 - BANK SBI INDONESIA</t>
  </si>
  <si>
    <t>500 - BANK DANA HUTAMA</t>
  </si>
  <si>
    <t>501 - BANK ROYAL INDONESIA</t>
  </si>
  <si>
    <t>503 - BANK NATIONALNOBU</t>
  </si>
  <si>
    <t>505 - BANK HOKINDO</t>
  </si>
  <si>
    <t>506 - BANK SYARIAH MEGA INDONESIA</t>
  </si>
  <si>
    <t>510 - BANK ALFA</t>
  </si>
  <si>
    <t>513 - BANK INA PERDANA</t>
  </si>
  <si>
    <t>514 - BANK SEWU INTERNASIONAL</t>
  </si>
  <si>
    <t>517 - BANK PANIN SYARIAH</t>
  </si>
  <si>
    <t>519 - BANK DWIPA SEMESTA</t>
  </si>
  <si>
    <t>520 - BANK PRIMA MASTER</t>
  </si>
  <si>
    <t>521 - BANK SYARIAH BUKOPIN</t>
  </si>
  <si>
    <t>522 - BANK KREDIT ASIA (ISTIMARAT)</t>
  </si>
  <si>
    <t>523 - BANK DIPO INTERNATIONAL</t>
  </si>
  <si>
    <t>525 - BANK BARCLAYS INDONESIA</t>
  </si>
  <si>
    <t>526 - PT. BANK DINAR INDONESIA</t>
  </si>
  <si>
    <t>528 - BANK DEKA</t>
  </si>
  <si>
    <t>531 - BANK ANGLOMAS INTERNASIONAL</t>
  </si>
  <si>
    <t>533 - BANK DANPAC (merger menjadi Bank Century - 095)</t>
  </si>
  <si>
    <t>535 - BANK KESEJAHTERAAN EKONOMI</t>
  </si>
  <si>
    <t>536 - BANK BCA SYARIAH</t>
  </si>
  <si>
    <t>538 - BANK ASTRIA RAYA</t>
  </si>
  <si>
    <t>542 - BANK ARTOS INDONESIA</t>
  </si>
  <si>
    <t>543 - BANK PUTERA MULTIKARSA</t>
  </si>
  <si>
    <t>544 - BANK METROPOLITAN RAYA</t>
  </si>
  <si>
    <t>545 - BANK MATARAM DHANARTA</t>
  </si>
  <si>
    <t>546 - GLOBAL INTERNATIONAL BANK (dicabut izin usaha)</t>
  </si>
  <si>
    <t>547 - BANK SAHABAT PURBA DANARTA</t>
  </si>
  <si>
    <t>548 - BANK MULTI ARTA SENTOSA</t>
  </si>
  <si>
    <t>549 - BANK CIPUTRA</t>
  </si>
  <si>
    <t>550 - BANK BEPEDE INDONESIA</t>
  </si>
  <si>
    <t>551 - BANK CENTRIS INTERNASIONAL</t>
  </si>
  <si>
    <t>552 - Bank Ratu</t>
  </si>
  <si>
    <t>553 - BANK MAYORA</t>
  </si>
  <si>
    <t>555 - BANK INDEX SELINDO</t>
  </si>
  <si>
    <t>556 - BANK BUMI RAYA UTAMA</t>
  </si>
  <si>
    <t>557 - BANK SEMBADA ARTANUGROHO</t>
  </si>
  <si>
    <t>558 - BANK PUNDI INDONESIA</t>
  </si>
  <si>
    <t>559 - BANK CENTRATAMA NASIONAL</t>
  </si>
  <si>
    <t>560 - BANK INDOMITRA DEVELOPMENT</t>
  </si>
  <si>
    <t>561 - BANK BUDI INTERNASIONAL</t>
  </si>
  <si>
    <t>562 - BANK FAMA INTERNASIONAL</t>
  </si>
  <si>
    <t>563 - BANK CITRAHASTA DHANAMANUNGGAL</t>
  </si>
  <si>
    <t>564 - BANK SINAR HARAPAN BALI</t>
  </si>
  <si>
    <t>565 - BANK ORIENT</t>
  </si>
  <si>
    <t>566 - BANK VICTORIA INTERNATIONAL</t>
  </si>
  <si>
    <t>567 - BANK HARDA INTERNASIONAL</t>
  </si>
  <si>
    <t>600 - BPR KONVENSIONAL</t>
  </si>
  <si>
    <t>601 - BPR SYARIAH</t>
  </si>
  <si>
    <t>700 - BRI NEW YORK</t>
  </si>
  <si>
    <t>701 - BRI CAYMAN ISLAND</t>
  </si>
  <si>
    <t>706 - BANK MANDIRI TOKYO</t>
  </si>
  <si>
    <t>707 - BANK MANDIRI CAYMAN ISLAND</t>
  </si>
  <si>
    <t>708 - BANK MANDIRI SINGAPORE</t>
  </si>
  <si>
    <t>709 - BANK MANDIRI HONGKONG</t>
  </si>
  <si>
    <t>710 - BANK MANDIRI COOK ISLAND</t>
  </si>
  <si>
    <t>711 - MANDIRI - TIMOR TIMUR</t>
  </si>
  <si>
    <t>712 - BANK MANDIRI SHANGHAI</t>
  </si>
  <si>
    <t>729 - BNI NEW YORK</t>
  </si>
  <si>
    <t>730 - BNI CAYMAN ISLAND</t>
  </si>
  <si>
    <t>731 - BNI LONDON</t>
  </si>
  <si>
    <t>732 - BNI TOKYO</t>
  </si>
  <si>
    <t>733 - BNI HONGKONG</t>
  </si>
  <si>
    <t>734 - BNI SINGAPORE</t>
  </si>
  <si>
    <t>745 - BANK DANAMON INDONESIA CAYMAN ISLAND</t>
  </si>
  <si>
    <t>748 - BANK PERMATA CAYMAN ISLAND</t>
  </si>
  <si>
    <t>749 - BANK PERMATA LOS ANGELES</t>
  </si>
  <si>
    <t>752 - BCA NEW YORK</t>
  </si>
  <si>
    <t>753 - BCA BAHAMA</t>
  </si>
  <si>
    <t>754 - BANK LIPPO - CAYMAN ISLAND</t>
  </si>
  <si>
    <t>758 - BII CAYMAN ISLAND</t>
  </si>
  <si>
    <t>759 - BII COOK ISLAND</t>
  </si>
  <si>
    <t>760 - BII BOMBAY (INDIA)</t>
  </si>
  <si>
    <t>761 - BII PORT LOUIS (REP.MAURITIUS)</t>
  </si>
  <si>
    <t>766 - BANK PANIN CAYMAN ISLAND</t>
  </si>
  <si>
    <t>767 - BANK PANIN COOK ISLAND</t>
  </si>
  <si>
    <t>770 - BANK NIAGA CAYMAN ISLAND</t>
  </si>
  <si>
    <t>771 - BANK NIAGA LOS ANGELES</t>
  </si>
  <si>
    <t>793 - BANK SENTRAL NEGARA ASING</t>
  </si>
  <si>
    <t>794 - PRIME BANK (LN) - TERKAIT DENGAN BANK</t>
  </si>
  <si>
    <t>795 - PRIME BANK (LN) - TIDAK TERKAIT DENGAN BANK</t>
  </si>
  <si>
    <t>796 - NON PRIME BANK (LN) - TERKAIT DENGAN BANK</t>
  </si>
  <si>
    <t>797 - NON PRIME BANK (LN) - TIDAK TERKAIT DENGAN BANK</t>
  </si>
  <si>
    <t>918 - LEMBAGA PEMBIAYAAN EKSPOR IMPOR INDONESIA</t>
  </si>
  <si>
    <t>945 - BANK FINCONESIA</t>
  </si>
  <si>
    <t>946 - BANK MERINCORP (dicabut izin usaha)</t>
  </si>
  <si>
    <t>947 - MAYBANK INDOCORP</t>
  </si>
  <si>
    <t>948 - BANK OCBC INDONESIA</t>
  </si>
  <si>
    <t>949 - BANK CHINATRUST INDONESIA</t>
  </si>
  <si>
    <t>950 - BANK COMMONWEALTH</t>
  </si>
  <si>
    <t>0010 - Penduduk - Sektor Pemerintah - Pemerintah Pusat - Kantor Perbendaharaan dan Kas Negara (KPKN)</t>
  </si>
  <si>
    <t>0020 - Penduduk - Sektor Pemerintah - Pemerintah Pusat - Departemen Keuangan</t>
  </si>
  <si>
    <t>0030 - Penduduk - Sektor Pemerintah - Pemerintah Pusat - Departemen Pertahanan</t>
  </si>
  <si>
    <t>0040 - Penduduk - Sektor Pemerintah - Pemerintah Pusat - Departemen Kehutanan</t>
  </si>
  <si>
    <t>0050 - Penduduk - Sektor Pemerintah - Pemerintah Pusat - Departemen Pertanian</t>
  </si>
  <si>
    <t>0060 - Penduduk - Sektor Pemerintah - Pemerintah Pusat - Departemen Pertambangan dan Energi</t>
  </si>
  <si>
    <t>0070 - Penduduk - Sektor Pemerintah - Pemerintah Pusat - Departemen Agama</t>
  </si>
  <si>
    <t xml:space="preserve">0080 - Penduduk - Sektor Pemerintah - Pemerintah Pusat - Kementrian Negara BUMN </t>
  </si>
  <si>
    <t>0999 - Penduduk - Sektor Pemerintah - Pemerintah Pusat - Departemen lainnya</t>
  </si>
  <si>
    <t>1010 - Penduduk - Sektor Pemerintah - Pemerintah Daerah (Pemda) - Provinsi</t>
  </si>
  <si>
    <t xml:space="preserve">1020 - Penduduk - Sektor Pemerintah - Pemerintah Daerah (Pemda) - Pemerintah Kota </t>
  </si>
  <si>
    <t xml:space="preserve">1030 - Penduduk - Sektor Pemerintah - Pemerintah Daerah (Pemda) - Pemerintah Kabupaten </t>
  </si>
  <si>
    <t>2010 - Penduduk - Sektor Pemerintah - Badan dan lembaga pemerintah - Badan Urusan Logistik (BULOG)</t>
  </si>
  <si>
    <t>2020 - Penduduk - Sektor Pemerintah - Badan dan lembaga pemerintah - Lembaga Penjamin Simpanan (LPS)</t>
  </si>
  <si>
    <t>2090 - Penduduk - Sektor Pemerintah - Badan dan lembaga pemerintah - Lainnya</t>
  </si>
  <si>
    <t>4111 - Penduduk - Sektor Pemerintah - Badan Usaha Milik Negara (BUMN) atau Pemerintah Campuran - Lembaga Keuangan Non Bank - Perusahaan Asuransi dan Dana Pensiun - Asuransi - Jamsostek</t>
  </si>
  <si>
    <t>4112 - Penduduk - Sektor Pemerintah - Badan Usaha Milik Negara (BUMN) atau Pemerintah Campuran - Lembaga Keuangan Non Bank - Perusahaan Asuransi dan Dana Pensiun - Asuransi - Taspen</t>
  </si>
  <si>
    <t>4113 - Penduduk - Sektor Pemerintah - Badan Usaha Milik Negara (BUMN) atau Pemerintah Campuran - Lembaga Keuangan Non Bank - Perusahaan Asuransi dan Dana Pensiun - Asuransi - Jiwasraya</t>
  </si>
  <si>
    <t>4114 - Penduduk - Sektor Pemerintah - Badan Usaha Milik Negara (BUMN) atau Pemerintah Campuran - Lembaga Keuangan Non Bank - Perusahaan Asuransi dan Dana Pensiun - Asuransi - Jasa Raharja</t>
  </si>
  <si>
    <t>4115 - Penduduk - Sektor Pemerintah - Badan Usaha Milik Negara (BUMN) atau Pemerintah Campuran - Lembaga Keuangan Non Bank - Perusahaan Asuransi dan Dana Pensiun - Asuransi - Jasindo</t>
  </si>
  <si>
    <t>4116 - Penduduk - Sektor Pemerintah - Badan Usaha Milik Negara (BUMN) atau Pemerintah Campuran - Lembaga Keuangan Non Bank - Perusahaan Asuransi dan Dana Pensiun - Asuransi - ASABRI</t>
  </si>
  <si>
    <t>4119 - Penduduk - Sektor Pemerintah - Badan Usaha Milik Negara (BUMN) atau Pemerintah Campuran - Lembaga Keuangan Non Bank - Perusahaan Asuransi dan Dana Pensiun - Asuransi - Perusahaan asuransi lainnya</t>
  </si>
  <si>
    <t>4120 - Penduduk - Sektor Pemerintah - Badan Usaha Milik Negara (BUMN) atau Pemerintah Campuran - Lembaga Keuangan Non Bank - Perusahaan Asuransi dan Dana Pensiun - Dana Pensiun</t>
  </si>
  <si>
    <t>4130 - Penduduk - Sektor Pemerintah - Badan Usaha Milik Negara (BUMN) atau Pemerintah Campuran - Lembaga Keuangan Non Bank - Modal Ventura</t>
  </si>
  <si>
    <t>4140 - Penduduk - Sektor Pemerintah - Badan Usaha Milik Negara (BUMN) atau Pemerintah Campuran - Lembaga Keuangan Non Bank - Perusahaan Pembiayaan</t>
  </si>
  <si>
    <t>4151 - Penduduk - Sektor Pemerintah - Badan Usaha Milik Negara (BUMN) atau Pemerintah Campuran - Lembaga Keuangan Non Bank - Perusahaan Sekuritas dan Reksadana - Perusahaan sekuritas yang tidak melakukan kegiatan usaha Reksadana</t>
  </si>
  <si>
    <t>4152 - Penduduk - Sektor Pemerintah - Badan Usaha Milik Negara (BUMN) atau Pemerintah Campuran - Lembaga Keuangan Non Bank - Perusahaan Sekuritas dan Reksadana - Perusahaan sekuritas yang melakukan kegiatan usaha Reksadana</t>
  </si>
  <si>
    <t>4153 - Penduduk - Sektor Pemerintah - Badan Usaha Milik Negara (BUMN) atau Pemerintah Campuran - Lembaga Keuangan Non Bank - Perusahaan Sekuritas dan Reksadana - Perusahaan Reksadana</t>
  </si>
  <si>
    <t>4154 - Penduduk - Sektor Pemerintah - Badan Usaha Milik Negara (BUMN) atau Pemerintah Campuran - Lembaga Keuangan Non Bank - Perusahaan Sekuritas dan Reksadana - Manager Investasi</t>
  </si>
  <si>
    <t>4155 - Penduduk - Sektor Pemerintah - Badan Usaha Milik Negara (BUMN) atau Pemerintah Campuran - Lembaga Keuangan Non Bank - Perusahaan Sekuritas dan Reksadana - PT Danareksa</t>
  </si>
  <si>
    <t>4159 - Penduduk - Sektor Pemerintah - Badan Usaha Milik Negara (BUMN) atau Pemerintah Campuran - Lembaga Keuangan Non Bank - Perusahaan Sekuritas dan Reksadana - Lainnya</t>
  </si>
  <si>
    <t>4171 - Penduduk - Sektor Pemerintah - Badan Usaha Milik Negara (BUMN) atau Pemerintah Campuran - Lembaga Keuangan Non Bank - Lainnya - Perum Pegadaian</t>
  </si>
  <si>
    <t>4172 - Penduduk - Sektor Pemerintah - Badan Usaha Milik Negara (BUMN) atau Pemerintah Campuran - Lembaga Keuangan Non Bank - Lainnya - PT Pos Indonesia</t>
  </si>
  <si>
    <t>4173 - Penduduk - Sektor Pemerintah - Badan Usaha Milik Negara (BUMN) atau Pemerintah Campuran - Lembaga Keuangan Non Bank - Lainnya - Lembaga Pembiayaan Ekspor Indonesia</t>
  </si>
  <si>
    <t>4179 - Penduduk - Sektor Pemerintah - Badan Usaha Milik Negara (BUMN) atau Pemerintah Campuran - Lembaga Keuangan Non Bank - Lainnya - Lainnya</t>
  </si>
  <si>
    <t>4501 - Penduduk - Sektor Pemerintah - Badan Usaha Milik Negara (BUMN) atau Pemerintah Campuran - Bukan Lembaga Keuangan - PT Kereta Api Indonesia (KAI)</t>
  </si>
  <si>
    <t>4502 - Penduduk - Sektor Pemerintah - Badan Usaha Milik Negara (BUMN) atau Pemerintah Campuran - Bukan Lembaga Keuangan - PT Pelayaran Nasional Indonesia (PELNI)</t>
  </si>
  <si>
    <t>4503 - Penduduk - Sektor Pemerintah - Badan Usaha Milik Negara (BUMN) atau Pemerintah Campuran - Bukan Lembaga Keuangan - PT Pelabuhan Laut Indonesia (PELINDO)</t>
  </si>
  <si>
    <t>4504 - Penduduk - Sektor Pemerintah - Badan Usaha Milik Negara (BUMN) atau Pemerintah Campuran - Bukan Lembaga Keuangan - PT Angkutan Sungai, Danau dan Penyeberangan (ASDP)</t>
  </si>
  <si>
    <t>4505 - Penduduk - Sektor Pemerintah - Badan Usaha Milik Negara (BUMN) atau Pemerintah Campuran - Bukan Lembaga Keuangan - PT Angkasa Pura</t>
  </si>
  <si>
    <t>4506 - Penduduk - Sektor Pemerintah - Badan Usaha Milik Negara (BUMN) atau Pemerintah Campuran - Bukan Lembaga Keuangan - PT Perkebunan Nusantara</t>
  </si>
  <si>
    <t>4507 - Penduduk - Sektor Pemerintah - Badan Usaha Milik Negara (BUMN) atau Pemerintah Campuran - Bukan Lembaga Keuangan - PT Pertamina</t>
  </si>
  <si>
    <t>4508 - Penduduk - Sektor Pemerintah - Badan Usaha Milik Negara (BUMN) atau Pemerintah Campuran - Bukan Lembaga Keuangan - PT Perusahaan Listrik Negara (PLN)</t>
  </si>
  <si>
    <t>4509 - Penduduk - Sektor Pemerintah - Badan Usaha Milik Negara (BUMN) atau Pemerintah Campuran - Bukan Lembaga Keuangan - PT Krakatau Steel</t>
  </si>
  <si>
    <t>4510 - Penduduk - Sektor Pemerintah - Badan Usaha Milik Negara (BUMN) atau Pemerintah Campuran - Bukan Lembaga Keuangan - PT Garuda Indonesia</t>
  </si>
  <si>
    <t>4511 - Penduduk - Sektor Pemerintah - Badan Usaha Milik Negara (BUMN) atau Pemerintah Campuran - Bukan Lembaga Keuangan - PT Telkom</t>
  </si>
  <si>
    <t>4512 - Penduduk - Sektor Pemerintah - Badan Usaha Milik Negara (BUMN) atau Pemerintah Campuran - Bukan Lembaga Keuangan - PT Indosat</t>
  </si>
  <si>
    <t>4513 - Penduduk - Sektor Pemerintah - Badan Usaha Milik Negara (BUMN) atau Pemerintah Campuran - Bukan Lembaga Keuangan - PT Jasa Marga</t>
  </si>
  <si>
    <t>4514 - Penduduk - Sektor Pemerintah - Badan Usaha Milik Negara (BUMN) atau Pemerintah Campuran - Bukan Lembaga Keuangan - PT Timah</t>
  </si>
  <si>
    <t>4515 - Penduduk - Sektor Pemerintah - Badan Usaha Milik Negara (BUMN) atau Pemerintah Campuran - Bukan Lembaga Keuangan - PT Aneka Tambang</t>
  </si>
  <si>
    <t>4516 - Penduduk - Sektor Pemerintah - Badan Usaha Milik Negara (BUMN) atau Pemerintah Campuran - Bukan Lembaga Keuangan - Perusahaan Jasa Konstruksi</t>
  </si>
  <si>
    <t>4599 - Penduduk - Sektor Pemerintah - Badan Usaha Milik Negara (BUMN) atau Pemerintah Campuran - Bukan Lembaga Keuangan - Lainnya</t>
  </si>
  <si>
    <t>5110 - Penduduk - Sektor Pemerintah - Badan Usaha Milik Daerah (BUMD) - Lembaga Keuangan Non Bank - Perusahaan Asuransi dan Dana Pensiun - Perusahaan Asuransi</t>
  </si>
  <si>
    <t>5120 - Penduduk - Sektor Pemerintah - Badan Usaha Milik Daerah (BUMD) - Lembaga Keuangan Non Bank - Perusahaan Asuransi dan Dana Pensiun - Dana Asuransi</t>
  </si>
  <si>
    <t>5130 - Penduduk - Sektor Pemerintah - Badan Usaha Milik Daerah (BUMD) - Lembaga Keuangan Non Bank - Modal Ventura</t>
  </si>
  <si>
    <t>5140 - Penduduk - Sektor Pemerintah - Badan Usaha Milik Daerah (BUMD) - Lembaga Keuangan Non Bank - Perusahaan Pembiayaan</t>
  </si>
  <si>
    <t>5151 - Penduduk - Sektor Pemerintah - Badan Usaha Milik Daerah (BUMD) - Lembaga Keuangan Non Bank - Perusahaan Sekuritas dan Reksadana - Perusahaan sekuritas yang tidak melakukan kegiatan usaha reksadana</t>
  </si>
  <si>
    <t>5152 - Penduduk - Sektor Pemerintah - Badan Usaha Milik Daerah (BUMD) - Lembaga Keuangan Non Bank - Perusahaan Sekuritas dan Reksadana - Perusahaan sekuritas yang melakukan kegiatan usaha reksadana</t>
  </si>
  <si>
    <t>5153 - Penduduk - Sektor Pemerintah - Badan Usaha Milik Daerah (BUMD) - Lembaga Keuangan Non Bank - Perusahaan Sekuritas dan Reksadana - Perusahaan Reksadana</t>
  </si>
  <si>
    <t>5154 - Penduduk - Sektor Pemerintah - Badan Usaha Milik Daerah (BUMD) - Lembaga Keuangan Non Bank - Perusahaan Sekuritas dan Reksadana - Manajer Investasi</t>
  </si>
  <si>
    <t>5159 - Penduduk - Sektor Pemerintah - Badan Usaha Milik Daerah (BUMD) - Lembaga Keuangan Non Bank - Perusahaan Sekuritas dan Reksadana - Lainnya</t>
  </si>
  <si>
    <t>5199 - Penduduk - Sektor Pemerintah - Badan Usaha Milik Daerah (BUMD) - Lembaga Keuangan Non Bank - Lainnya</t>
  </si>
  <si>
    <t>5501 - Penduduk - Sektor Pemerintah - Badan Usaha Milik Daerah (BUMD) - Bukan Lembaga Keuangan - Perusahaan Daerah Air Minum (PDAM)</t>
  </si>
  <si>
    <t>5502 - Penduduk - Sektor Pemerintah - Badan Usaha Milik Daerah (BUMD) - Bukan Lembaga Keuangan - Perusahaan Daerah Pasar (PD Pasar)</t>
  </si>
  <si>
    <t>5599 - Penduduk - Sektor Pemerintah - Badan Usaha Milik Daerah (BUMD) - Bukan Lembaga Keuangan - Lainnya</t>
  </si>
  <si>
    <t>7110 - Penduduk - Sektor Swasta - Lembaga Keuangan Non Bank - Swasta Nasional - Perusahaan Asuransi dan Dana Pensiun - Perusahaan Asuransi</t>
  </si>
  <si>
    <t>7120 - Penduduk - Sektor Swasta - Lembaga Keuangan Non Bank - Swasta Nasional - Perusahaan Asuransi dan Dana Pensiun - Dana Pensiun</t>
  </si>
  <si>
    <t>7130 - Penduduk - Sektor Swasta - Lembaga Keuangan Non Bank - Swasta Nasional - Modal Ventura</t>
  </si>
  <si>
    <t>7140 - Penduduk - Sektor Swasta - Lembaga Keuangan Non Bank - Swasta Nasional - Perusahaan Pembiayaan</t>
  </si>
  <si>
    <t>7151 - Penduduk - Sektor Swasta - Lembaga Keuangan Non Bank - Swasta Nasional - Perusahaan Sekuritas dan Reksadana - Perusahaan sekuritas yang tidak melakukan kegiatan usaha Reksadana</t>
  </si>
  <si>
    <t>7152 - Penduduk - Sektor Swasta - Lembaga Keuangan Non Bank - Swasta Nasional - Perusahaan Sekuritas dan Reksadana - Perusahaan sekuritas yang melakukan kegiatan usaha Reksadana</t>
  </si>
  <si>
    <t>7153 - Penduduk - Sektor Swasta - Lembaga Keuangan Non Bank - Swasta Nasional - Perusahaan Sekuritas dan Reksadana - Perusahaan Reksadana</t>
  </si>
  <si>
    <t>7154 - Penduduk - Sektor Swasta - Lembaga Keuangan Non Bank - Swasta Nasional - Perusahaan Sekuritas dan Reksadana - Manajer Investasi</t>
  </si>
  <si>
    <t>7159 - Penduduk - Sektor Swasta - Lembaga Keuangan Non Bank - Swasta Nasional - Perusahaan Sekuritas dan Reksadana - Lainnya</t>
  </si>
  <si>
    <t>7172 - Penduduk - Sektor Swasta - Lembaga Keuangan Non Bank - Swasta Nasional - Lembaga Keuangan Non Bank Lainnya - Baitul Maal Wa Tamwil (BMT)</t>
  </si>
  <si>
    <t>7173 - Penduduk - Sektor Swasta - Lembaga Keuangan Non Bank - Swasta Nasional - Lembaga Keuangan Non Bank Lainnya - Koperasi Simpan Pinjam - Koperasi Primer</t>
  </si>
  <si>
    <t>7174 - Penduduk - Sektor Swasta - Lembaga Keuangan Non Bank - Swasta Nasional - Lembaga Keuangan Non Bank Lainnya - Koperasi Simpan Pinjam - Koperasi Lainnya</t>
  </si>
  <si>
    <t>7190 - Penduduk - Sektor Swasta - Lembaga Keuangan Non Bank - Swasta Nasional - Lembaga Keuangan Non Bank Lainnya - Lainnya</t>
  </si>
  <si>
    <t>7210 - Penduduk - Sektor Swasta - Lembaga Keuangan Non Bank - Campuran - Perusahaan Asuransi dan Dana Pensiun - Perusahaan Asuransi</t>
  </si>
  <si>
    <t>7220 - Penduduk - Sektor Swasta - Lembaga Keuangan Non Bank - Campuran - Perusahaan Asuransi dan Dana Pensiun - Dana Pensiun</t>
  </si>
  <si>
    <t>7230 - Penduduk - Sektor Swasta - Lembaga Keuangan Non Bank - Campuran - Modal Ventura</t>
  </si>
  <si>
    <t>7240 - Penduduk - Sektor Swasta - Lembaga Keuangan Non Bank - Campuran - Perusahaan Pembiayaan</t>
  </si>
  <si>
    <t>7251 - Penduduk - Sektor Swasta - Lembaga Keuangan Non Bank - Campuran - Perusahaan Sekuritas dan Reksadana - Perusahaan sekuritas yang tidak melakukan kegiatan usaha Reksadana</t>
  </si>
  <si>
    <t>7252 - Penduduk - Sektor Swasta - Lembaga Keuangan Non Bank - Campuran - Perusahaan Sekuritas dan Reksadana - Perusahaan sekuritas yang melakukan kegiatan usaha Reksadana</t>
  </si>
  <si>
    <t>7253 - Penduduk - Sektor Swasta - Lembaga Keuangan Non Bank - Campuran - Perusahaan Sekuritas dan Reksadana - Perusahaan Reksadana</t>
  </si>
  <si>
    <t>7254 - Penduduk - Sektor Swasta - Lembaga Keuangan Non Bank - Campuran - Perusahaan Sekuritas dan Reksadana - Manajer Investasi</t>
  </si>
  <si>
    <t>7259 - Penduduk - Sektor Swasta - Lembaga Keuangan Non Bank - Campuran - Perusahaan Sekuritas dan Reksadana - Lainnya</t>
  </si>
  <si>
    <t>7272 - Penduduk - Sektor Swasta - Lembaga Keuangan Non Bank - Campuran - Lembaga Keuangan Non Bank Lainnya - Baitul Maal Wa Tamwil (BMT)</t>
  </si>
  <si>
    <t>7273 - Penduduk - Sektor Swasta - Lembaga Keuangan Non Bank - Campuran - Lembaga Keuangan Non Bank Lainnya - Kantor Perwakilan Lembaga Milik Asing di Indonesia Lainnya</t>
  </si>
  <si>
    <t>7290 - Penduduk - Sektor Swasta - Lembaga Keuangan Non Bank - Campuran - Lembaga Keuangan Non Bank Lainnya - Lainnya</t>
  </si>
  <si>
    <t>7310 - Penduduk - Sektor Swasta - Lembaga Keuangan Non Bank - Asing - Perusahaan Asuransi dan Dana Pensiun - Perusahaan Asuransi</t>
  </si>
  <si>
    <t>7320 - Penduduk - Sektor Swasta - Lembaga Keuangan Non Bank - Asing - Perusahaan Asuransi dan Dana Pensiun - Dana Pensiun</t>
  </si>
  <si>
    <t>7330 - Penduduk - Sektor Swasta - Lembaga Keuangan Non Bank - Asing - Modal Ventura</t>
  </si>
  <si>
    <t>7340 - Penduduk - Sektor Swasta - Lembaga Keuangan Non Bank - Asing - Perusahaan Pembiayaan</t>
  </si>
  <si>
    <t>7351 - Penduduk - Sektor Swasta - Lembaga Keuangan Non Bank - Asing - Perusahaan Sekuritas dan Reksadana - Perusahaan sekuritas yang tidak melakukan kegiatan usaha Reksadana</t>
  </si>
  <si>
    <t>7352 - Penduduk - Sektor Swasta - Lembaga Keuangan Non Bank - Asing - Perusahaan Sekuritas dan Reksadana - Perusahaan sekuritas yang melakukan kegiatan usaha Reksadana</t>
  </si>
  <si>
    <t>7353 - Penduduk - Sektor Swasta - Lembaga Keuangan Non Bank - Asing - Perusahaan Sekuritas dan Reksadana - Perusahaan Reksadana</t>
  </si>
  <si>
    <t>7354 - Penduduk - Sektor Swasta - Lembaga Keuangan Non Bank - Asing - Perusahaan Sekuritas dan Reksadana - Manajer Investasi</t>
  </si>
  <si>
    <t>7359 - Penduduk - Sektor Swasta - Lembaga Keuangan Non Bank - Asing - Perusahaan Sekuritas dan Reksadana - Lainnya</t>
  </si>
  <si>
    <t>7372 - Penduduk - Sektor Swasta - Lembaga Keuangan Non Bank - Asing - Lembaga Keuangan Non Bank Lainnya - Baitul Maal Wa Tamwil (BMT)</t>
  </si>
  <si>
    <t>7379 - Penduduk - Sektor Swasta - Lembaga Keuangan Non Bank - Asing - Lembaga Keuangan Non Bank Lainnya - Kantor Perwakilan Lembaga Milik Asing di Indonesia Lainnya</t>
  </si>
  <si>
    <t>7390 - Penduduk - Sektor Swasta - Lembaga Keuangan Non Bank - Asing - Lembaga Keuangan Non Bank Lainnya - Lainnya</t>
  </si>
  <si>
    <t>8111 - Penduduk - Sektor Swasta - Bukan Lembaga Keuangan - Swasta Nasional - Perusahaan Lainnya - Perusahaan Otomotif</t>
  </si>
  <si>
    <t>8112 - Penduduk - Sektor Swasta - Bukan Lembaga Keuangan - Swasta Nasional - Perusahaan Lainnya - Perusahaan Perminyakan</t>
  </si>
  <si>
    <t>8113 - Penduduk - Sektor Swasta - Bukan Lembaga Keuangan - Swasta Nasional - Perusahaan Lainnya - Perusahaan Tekstil</t>
  </si>
  <si>
    <t>8114 - Penduduk - Sektor Swasta - Bukan Lembaga Keuangan - Swasta Nasional - Perusahaan Lainnya - Perusahaan Perkayuan (HPH)</t>
  </si>
  <si>
    <t>8115 - Penduduk - Sektor Swasta - Bukan Lembaga Keuangan - Swasta Nasional - Perusahaan Lainnya - Perusahaan Jasa Konstruksi</t>
  </si>
  <si>
    <t>8116 - Penduduk - Sektor Swasta - Bukan Lembaga Keuangan - Swasta Nasional - Perusahaan Lainnya - Perusahaan Industri Rokok</t>
  </si>
  <si>
    <t>8117 - Penduduk - Sektor Swasta - Bukan Lembaga Keuangan - Swasta Nasional - Perusahaan Lainnya - Perusahaan Industri Makanan</t>
  </si>
  <si>
    <t>8118 - Penduduk - Sektor Swasta - Bukan Lembaga Keuangan - Swasta Nasional - Perusahaan Lainnya - Perusahaan Agrobisnis</t>
  </si>
  <si>
    <t>8139 - Penduduk - Sektor Swasta - Bukan Lembaga Keuangan - Swasta Nasional - Perusahaan Lainnya - Perusahaan Lainnya</t>
  </si>
  <si>
    <t>8141 - Penduduk - Sektor Swasta - Bukan Lembaga Keuangan - Swasta Nasional - Koperasi Bukan Simpan Pinjam - Koperasi Primer</t>
  </si>
  <si>
    <t>8149 - Penduduk - Sektor Swasta - Bukan Lembaga Keuangan - Swasta Nasional - Koperasi Bukan Simpan Pinjam - Koperasi Lainnya</t>
  </si>
  <si>
    <t>8151 - Penduduk - Sektor Swasta - Bukan Lembaga Keuangan - Swasta Nasional - Yayasan, Badan Sosial dan Organisasi Kemasyarakatan - Badan Amil Zakat Infaq dan Shadaqah (BAZIS)</t>
  </si>
  <si>
    <t>8152 - Penduduk - Sektor Swasta - Bukan Lembaga Keuangan - Swasta Nasional - Yayasan, Badan Sosial dan Organisasi Kemasyarakatan - Lembaga Pendidikan</t>
  </si>
  <si>
    <t>8159 - Penduduk - Sektor Swasta - Bukan Lembaga Keuangan - Swasta Nasional - Yayasan, Badan Sosial dan Organisasi Kemasyarakatan - Lainnya</t>
  </si>
  <si>
    <t>8411 - Penduduk - Sektor Swasta - Bukan Lembaga Keuangan - Campuran - Perusahaan Lainnya - Perusahaan Otomotif</t>
  </si>
  <si>
    <t>8412 - Penduduk - Sektor Swasta - Bukan Lembaga Keuangan - Campuran - Perusahaan Lainnya - Perusahaan Perminyakan</t>
  </si>
  <si>
    <t>8413 - Penduduk - Sektor Swasta - Bukan Lembaga Keuangan - Campuran - Perusahaan Lainnya - Perusahaan Tekstil</t>
  </si>
  <si>
    <t>8414 - Penduduk - Sektor Swasta - Bukan Lembaga Keuangan - Campuran - Perusahaan Lainnya - Perusahaan Perkayuan (HPH)</t>
  </si>
  <si>
    <t>8415 - Penduduk - Sektor Swasta - Bukan Lembaga Keuangan - Campuran - Perusahaan Lainnya - Perusahaan Jasa Konstruksi</t>
  </si>
  <si>
    <t>8416 - Penduduk - Sektor Swasta - Bukan Lembaga Keuangan - Campuran - Perusahaan Lainnya - Perusahaan Industri Rokok</t>
  </si>
  <si>
    <t>8417 - Penduduk - Sektor Swasta - Bukan Lembaga Keuangan - Campuran - Perusahaan Lainnya - Perusahaan Industri Makanan</t>
  </si>
  <si>
    <t>8418 - Penduduk - Sektor Swasta - Bukan Lembaga Keuangan - Campuran - Perusahaan Lainnya - Perusahaan Agrobisnis</t>
  </si>
  <si>
    <t>8449 - Penduduk - Sektor Swasta - Bukan Lembaga Keuangan - Campuran - Perusahaan Lainnya - Perusahaan Lainnya</t>
  </si>
  <si>
    <t>8451 - Penduduk - Sektor Swasta - Bukan Lembaga Keuangan - Campuran - Yayasan, Badan Sosial dan Organisasi Kemasyarakatan - Badan Amil Zakat Infaq dan Shadaqah (BAZIS)</t>
  </si>
  <si>
    <t>8452 - Penduduk - Sektor Swasta - Bukan Lembaga Keuangan - Campuran - Yayasan, Badan Sosial dan Organisasi Kemasyarakatan - Lembaga Pendidikan</t>
  </si>
  <si>
    <t>8469 - Penduduk - Sektor Swasta - Bukan Lembaga Keuangan - Campuran - Yayasan, Badan Sosial dan Organisasi Kemasyarakatan - Lainnya</t>
  </si>
  <si>
    <t>8480 - Penduduk - Sektor Swasta - Bukan Lembaga Keuangan - Campuran - Kantor Perwakilan Lembaga Milik Asing di Indonesia</t>
  </si>
  <si>
    <t>8611 - Penduduk - Sektor Swasta - Bukan Lembaga Keuangan - Asing - Perusahaan Lainnya - Perusahaan Otomotif</t>
  </si>
  <si>
    <t>8612 - Penduduk - Sektor Swasta - Bukan Lembaga Keuangan - Asing - Perusahaan Lainnya - Perusahaan Perminyakan</t>
  </si>
  <si>
    <t>8613 - Penduduk - Sektor Swasta - Bukan Lembaga Keuangan - Asing - Perusahaan Lainnya - Perusahaan Tekstil</t>
  </si>
  <si>
    <t>8614 - Penduduk - Sektor Swasta - Bukan Lembaga Keuangan - Asing - Perusahaan Lainnya - Perusahaan Perkayuan (HPH)</t>
  </si>
  <si>
    <t>8615 - Penduduk - Sektor Swasta - Bukan Lembaga Keuangan - Asing - Perusahaan Lainnya - Perusahaan Jasa Konstruksi</t>
  </si>
  <si>
    <t>8616 - Penduduk - Sektor Swasta - Bukan Lembaga Keuangan - Asing - Perusahaan Lainnya - Perusahaan Industri Rokok</t>
  </si>
  <si>
    <t>8617 - Penduduk - Sektor Swasta - Bukan Lembaga Keuangan - Asing - Perusahaan Lainnya - Perusahaan Industri Makanan</t>
  </si>
  <si>
    <t>8618 - Penduduk - Sektor Swasta - Bukan Lembaga Keuangan - Asing - Perusahaan Lainnya - Perusahaan Agrobisnis</t>
  </si>
  <si>
    <t>8619 - Penduduk - Sektor Swasta - Bukan Lembaga Keuangan - Asing - Perusahaan Lainnya - Perusahaan Lainnya</t>
  </si>
  <si>
    <t>8651 - Penduduk - Sektor Swasta - Bukan Lembaga Keuangan - Asing - Yayasan, Badan Sosial dan Organisasi Kemasyarakatan - Badan Amil Zakat Infaq dan Shadaqah (BAZIS)</t>
  </si>
  <si>
    <t>8652 - Penduduk - Sektor Swasta - Bukan Lembaga Keuangan - Asing - Yayasan, Badan Sosial dan Organisasi Kemasyarakatan - Lembaga Pendidikan</t>
  </si>
  <si>
    <t>8659 - Penduduk - Sektor Swasta - Bukan Lembaga Keuangan - Asing - Yayasan, Badan Sosial dan Organisasi Kemasyarakatan - Lainnya</t>
  </si>
  <si>
    <t>8670 - Penduduk - Sektor Swasta - Bukan Lembaga Keuangan - Asing - Kantor Perwakilan Lembaga Milik Asing di Indonesia</t>
  </si>
  <si>
    <t xml:space="preserve">9000 - Penduduk - Sektor Swasta - Bukan Lembaga Keuangan - Perseorangan </t>
  </si>
  <si>
    <t>9100 - Bukan Penduduk - Pemerintah Pusat</t>
  </si>
  <si>
    <t>9200 - Bukan Penduduk - Perwakilan negara-negara asing dan stafnya</t>
  </si>
  <si>
    <t>9300 - Bukan Penduduk - BUMN milik negara asing</t>
  </si>
  <si>
    <t>9400 - Bukan Penduduk - Lembaga-lembaga Keuangan Bukan Bank yang Beroperasi di Luar Indonesia</t>
  </si>
  <si>
    <t>9501 - Bukan Penduduk - Swasta Lainnya - Swasta Patungan Indonesia dan Negara Asing</t>
  </si>
  <si>
    <t>9502 - Bukan Penduduk - Swasta Lainnya - Swasta Milik Indonesia</t>
  </si>
  <si>
    <t>9519 - Bukan Penduduk - Swasta Lainnya - Lainnya</t>
  </si>
  <si>
    <t>9611 - Bukan Penduduk - Lembaga-lembaga International - Bank Pembangunan Multilateral - Islamic Development Bank (IDB)</t>
  </si>
  <si>
    <t>9612 - Bukan Penduduk - Lembaga-lembaga International - Bank Pembangunan Multilateral - Asian Development Bank (ADB)</t>
  </si>
  <si>
    <t>9613 - Bukan Penduduk - Lembaga-lembaga International - Bank Pembangunan Multilateral - World Bank</t>
  </si>
  <si>
    <t>9629 - Bukan Penduduk - Lembaga-lembaga International - Bank Pembangunan Multilateral - Lainnya</t>
  </si>
  <si>
    <t>9690 - Bukan Penduduk - Lembaga-lembaga International - Lainnya</t>
  </si>
  <si>
    <t>9700 - Bukan Penduduk - Perorangan</t>
  </si>
  <si>
    <t>9999 - Lainnya</t>
  </si>
  <si>
    <t>10 - Debitur UMKM dengan Penjaminan/Asuransi - Penjamin Tertentu - Mikro</t>
  </si>
  <si>
    <t>20 - Debitur UMKM dengan Penjaminan/Asuransi - Penjamin Tertentu - Kecil</t>
  </si>
  <si>
    <t>30 - Debitur UMKM dengan Penjaminan/Asuransi - Penjamin Tertentu - Menengah</t>
  </si>
  <si>
    <t>40 - Debitur UMKM dengan Penjaminan/Asuransi - Penjamin Lainnya - Mikro</t>
  </si>
  <si>
    <t>50 - Debitur UMKM dengan Penjaminan/Asuransi - Penjamin Lainnya - Kecil</t>
  </si>
  <si>
    <t>60 - Debitur UMKM dengan Penjaminan/Asuransi - Penjamin Lainnya - Menengah</t>
  </si>
  <si>
    <t>70 - Debitur UMKM - UMKM Lainnya - Mikro</t>
  </si>
  <si>
    <t>80 - Debitur UMKM - UMKM Lainnya - Kecil</t>
  </si>
  <si>
    <t>90 - Debitur UMKM - UMKM Lainnya - Menengah</t>
  </si>
  <si>
    <t>10 - Tagihan Kepada Pemerintah - Pemerintah Indonesia</t>
  </si>
  <si>
    <t>11 - Tagihan Kepada Pemerintah - Pemerintah Negara Lain</t>
  </si>
  <si>
    <t>12 - Tagihan Kepada - Bank Pembangunan Multilateral tertentu dan Lembaga Internasional</t>
  </si>
  <si>
    <t>13 - Tagihan Kepada - Bank Pembangunan Multilateral lainnya</t>
  </si>
  <si>
    <t>14 - Tagihan Kepada Bank - Tagihan Jangka Pendek</t>
  </si>
  <si>
    <t>15 - Tagihan Kepada Bank - Tagihan Jangka Panjang</t>
  </si>
  <si>
    <t>16 - Tagihan Kepada Entitas Sektor Publik</t>
  </si>
  <si>
    <t>35 - Tagihan Kepada Korporasi</t>
  </si>
  <si>
    <t>36 - Tagihan Kepada Usaha Mikro, Usaha Kecil, dan Portofolio Ritel</t>
  </si>
  <si>
    <t>37 - Kredit Beragun Rumah Tinggal - LTV &lt;= 70%</t>
  </si>
  <si>
    <t>38 - Kredit Beragun Rumah Tinggal - 70% &lt; LTV &lt;= 80%</t>
  </si>
  <si>
    <t>39 - Kredit Beragun Rumah Tinggal - 80% &lt; LTV &lt;= 95%</t>
  </si>
  <si>
    <t>40 - Kredit Pegawai atau Pensiunan</t>
  </si>
  <si>
    <t>42 - Kredit Beragun Properti Komersial</t>
  </si>
  <si>
    <t>60 - Tagihan Yang Telah Jatuh Tempo - Kredit Beragun Rumah Tinggal</t>
  </si>
  <si>
    <t>62 - Tagihan Yang Telah Jatuh Tempo - Selain Kredit Beragun Rumah Tinggal</t>
  </si>
  <si>
    <t>70 - Eksposur Sekuritisasi</t>
  </si>
  <si>
    <t>Nama Fasilitas</t>
  </si>
  <si>
    <t>Kategori Pengukuran</t>
  </si>
  <si>
    <t>05 - Dengan perjanjian kredit - Kredit yang diberikan</t>
  </si>
  <si>
    <t>10 - Dengan perjanjian kredit - Kredit dalam rangka pembiayaan bersama (Sindikasi)</t>
  </si>
  <si>
    <t>20 - Dengan perjanjian kredit - Kredit kepada pihak ketiga melalui lembaga lain secara channeling</t>
  </si>
  <si>
    <t>25 - Dengan perjanjian kredit - Kredit kepada pihak ketiga melalui lembaga lain secara executing</t>
  </si>
  <si>
    <t>30 - Dengan perjanjian kredit - Kartu Kredit</t>
  </si>
  <si>
    <t>45 - Dengan perjanjian kredit - Surat berharga dengan Note Purchase Agreement (NPA)</t>
  </si>
  <si>
    <t>80 - Tanpa perjanjian kredit - Giro bersaldo debet</t>
  </si>
  <si>
    <t>85 - Tanpa perjanjian kredit - Tagihan atas transaksi perdagangan</t>
  </si>
  <si>
    <t>99 - Tanpa perjanjian kredit - Lainnya</t>
  </si>
  <si>
    <t>98 - Khusus untuk agunan atau jaminan kedua dan seterusnya</t>
  </si>
  <si>
    <t>1 - Kredit yang direstrukturisasi</t>
  </si>
  <si>
    <t>2 - Pengambilalihan kredit</t>
  </si>
  <si>
    <t>3 - Kredit Subordinasi</t>
  </si>
  <si>
    <t>9 - Lainnya</t>
  </si>
  <si>
    <t>1 - Diukur pada nilai wajar melalui laporan laba rugi - Diperdagangkan</t>
  </si>
  <si>
    <t>2 - Diukur pada nilai wajar melalui laporan laba rugi - Ditetapkan untuk diukur pada nilai wajar</t>
  </si>
  <si>
    <t>3 - Tersedia untuk dijual</t>
  </si>
  <si>
    <t>4 - Dimiliki hingga jatuh tempo</t>
  </si>
  <si>
    <t>6 - Pinjaman yang Diberikan dan Piutang</t>
  </si>
  <si>
    <t>8105 - Kabupaten Seram Bagian Barat</t>
  </si>
  <si>
    <t>8106 - Kabupaten Seram Bagian Timur</t>
  </si>
  <si>
    <t>8107 - Kabupaten Kepulauan Aru</t>
  </si>
  <si>
    <t>8191 - Kota Ambon</t>
  </si>
  <si>
    <t>8192 - Kota Tual</t>
  </si>
  <si>
    <t>8201 - Kab. Jayapura</t>
  </si>
  <si>
    <t>8202 - Kab. Biak Numfor</t>
  </si>
  <si>
    <t>8210 - Kab. Yapen-Waropen</t>
  </si>
  <si>
    <t>8211 - Kab. Merauke</t>
  </si>
  <si>
    <t>8212 - Kab. Paniai</t>
  </si>
  <si>
    <t>8213 - Kab. Jayawijaya</t>
  </si>
  <si>
    <t>8214 - Kab. Nabire</t>
  </si>
  <si>
    <t>8215 - Kab. Mimika</t>
  </si>
  <si>
    <t>8216 - Kab. Puncak Jaya</t>
  </si>
  <si>
    <t>8217 - Kab. Sarmi</t>
  </si>
  <si>
    <t>8218 - Kab. Keerom</t>
  </si>
  <si>
    <t>8221 - Kab. Pegunungan Bintang</t>
  </si>
  <si>
    <t>8222 - Kab. Yahukimo</t>
  </si>
  <si>
    <t>8223 - Kab. Tolikara</t>
  </si>
  <si>
    <t>8224 - Kab. Waropen</t>
  </si>
  <si>
    <t>8226 - Kab. Boven Digoel</t>
  </si>
  <si>
    <t>8227 - Kab. Mappi</t>
  </si>
  <si>
    <t>8228 - Kab. Asmat</t>
  </si>
  <si>
    <t>8231 - Kab. Supiori</t>
  </si>
  <si>
    <t>8232 - Kab. Mamberamo Raya</t>
  </si>
  <si>
    <t>8233 - Kab. Dogiyai</t>
  </si>
  <si>
    <t>8234 - Kab. Lanny Jaya</t>
  </si>
  <si>
    <t>8235 - Kab. Mamberamo Tengah</t>
  </si>
  <si>
    <t>8236 - Kab. Nduga Tengah</t>
  </si>
  <si>
    <t>8237 - Kab. Yalimo</t>
  </si>
  <si>
    <t>8238 - Kab. Puncak</t>
  </si>
  <si>
    <t>8291 - Kota Jayapura</t>
  </si>
  <si>
    <t>8302 - Kab. Halmahera Tengah</t>
  </si>
  <si>
    <t>8303 - Kab. Halmahera Utara</t>
  </si>
  <si>
    <t>8304 - Kab. Halmahera Timur</t>
  </si>
  <si>
    <t>8305 - Kab. Halmahera Barat</t>
  </si>
  <si>
    <t>8306 - Kab. Halmahera Selatan</t>
  </si>
  <si>
    <t>8307 - Kab. Kepulauan Sula</t>
  </si>
  <si>
    <t>8390 - Kota Ternate</t>
  </si>
  <si>
    <t>8391 - Kota Tidore Kepulauan</t>
  </si>
  <si>
    <t>8401 - Kab. Sorong</t>
  </si>
  <si>
    <t>8402 - Kab. Fak-Fak</t>
  </si>
  <si>
    <t>8403 - Kab. Manokwari</t>
  </si>
  <si>
    <t>8404 - Kab. Sorong Selatan</t>
  </si>
  <si>
    <t>8405 - Kab. Raja Ampat</t>
  </si>
  <si>
    <t>8406 - Kab. Kaimana</t>
  </si>
  <si>
    <t>8407 - Kab. Teluk Bintuni</t>
  </si>
  <si>
    <t>8408 - Kab. Teluk Wondama</t>
  </si>
  <si>
    <t>8491 - Kota Sorong</t>
  </si>
  <si>
    <t>9999 - DI LUAR INDONESIA</t>
  </si>
  <si>
    <t>6105 - Kab. Bone</t>
  </si>
  <si>
    <t>6106 - Kab. Tana Toraja</t>
  </si>
  <si>
    <t>6107 - Kab. Maros</t>
  </si>
  <si>
    <t>6109 - Kab. Luwu</t>
  </si>
  <si>
    <t>6110 - Kab. Sinjai</t>
  </si>
  <si>
    <t>6111 - Kab. Bulukumba</t>
  </si>
  <si>
    <t>6112 - Kab. Bantaeng</t>
  </si>
  <si>
    <t>6113 - Kab. Jeneponto</t>
  </si>
  <si>
    <t>6114 - Kab. Selayar</t>
  </si>
  <si>
    <t>6115 - Kab. Takalar</t>
  </si>
  <si>
    <t>6116 - Kab. Barru</t>
  </si>
  <si>
    <t>6117 - Kab. Sidenreng Rappang</t>
  </si>
  <si>
    <t>6118 - Kab. Pangkajene Kepulauan</t>
  </si>
  <si>
    <t>6121 - Kab. Enrekang</t>
  </si>
  <si>
    <t>6124 - Kab. Luwu Utara</t>
  </si>
  <si>
    <t>6191 - Kota Makassar</t>
  </si>
  <si>
    <t>6192 - Kota Pare-Pare</t>
  </si>
  <si>
    <t>6193 - Kota Palopo</t>
  </si>
  <si>
    <t>6202 - Kab. Minahasa</t>
  </si>
  <si>
    <t>6203 - Kab. Bolaang Mongondow</t>
  </si>
  <si>
    <t>6204 - Kab. Kepulauan Sangihe</t>
  </si>
  <si>
    <t>6205 - Kab. kepulauan Talaud</t>
  </si>
  <si>
    <t>6206 - Kab. Minahasa Selatan</t>
  </si>
  <si>
    <t>6207 - Kab. Minahasa Utara</t>
  </si>
  <si>
    <t>6209 - Kab. Minahasa Tenggara</t>
  </si>
  <si>
    <t>6210 - Kab. Bolaang Mongondow Utara</t>
  </si>
  <si>
    <t>6211 - Kab. Kepulauan Sitaro</t>
  </si>
  <si>
    <t>6291 - Kota Menado</t>
  </si>
  <si>
    <t>6292 - Kota Kotamobagu</t>
  </si>
  <si>
    <t>6293 - Kota Bitung</t>
  </si>
  <si>
    <t>6301 - Kab. Gorontalo</t>
  </si>
  <si>
    <t>6302 - Kab. Bualemo</t>
  </si>
  <si>
    <t>6303 - Kab. Bonebolango</t>
  </si>
  <si>
    <t>6304 - Kab. Pohuwato</t>
  </si>
  <si>
    <t>6305 - Kab. Gorontalo Utara</t>
  </si>
  <si>
    <t>6391 - Kota Gorontalo</t>
  </si>
  <si>
    <t>6401 - Kab. Polewali Mandar</t>
  </si>
  <si>
    <t>6402 - Kab. Majene</t>
  </si>
  <si>
    <t>6403 - Kab. Mamasa</t>
  </si>
  <si>
    <t>6404 - Kab. Mamuju Utara</t>
  </si>
  <si>
    <t>6491 - Kota Mamuju</t>
  </si>
  <si>
    <t>6901 - Kab. Buton</t>
  </si>
  <si>
    <t>6903 - Kab. Muna</t>
  </si>
  <si>
    <t>6904 - Kab. Kolaka</t>
  </si>
  <si>
    <t>6905 - Kab. Wakatobi</t>
  </si>
  <si>
    <t>6906 - Kab. Konawe</t>
  </si>
  <si>
    <t>6907 - Kab. Konawe Selatan</t>
  </si>
  <si>
    <t>6908 - Kab. Bombana</t>
  </si>
  <si>
    <t>6909 - Kab. Kolaka Utara</t>
  </si>
  <si>
    <t>6910 - Kab. Buton Utara</t>
  </si>
  <si>
    <t>6911 - Kab. Konawe Utara</t>
  </si>
  <si>
    <t>6990 - Kota Bau-Bau</t>
  </si>
  <si>
    <t>6991 - Kota Kendari</t>
  </si>
  <si>
    <t>7101 - Kab. Lombok Barat</t>
  </si>
  <si>
    <t>7102 - Kab. Lombok Tengah</t>
  </si>
  <si>
    <t>7103 - Kab. Lombok Timur</t>
  </si>
  <si>
    <t>7104 - Kab. Sumbawa</t>
  </si>
  <si>
    <t>7105 - Kab. Bima</t>
  </si>
  <si>
    <t>7106 - Kab. Dompu</t>
  </si>
  <si>
    <t>7107 - Kab. Sumbawa Barat</t>
  </si>
  <si>
    <t>7191 - Kota Mataram</t>
  </si>
  <si>
    <t>7201 - Kab. Buleleng</t>
  </si>
  <si>
    <t>7202 - Kab. Jembrana</t>
  </si>
  <si>
    <t>7203 - Kab. Tabanan</t>
  </si>
  <si>
    <t>7204 - Kab. Badung</t>
  </si>
  <si>
    <t>7205 - Kab. Gianyar</t>
  </si>
  <si>
    <t>7206 - Kab. Klungkung</t>
  </si>
  <si>
    <t>7207 - Kab. Bangli</t>
  </si>
  <si>
    <t>7208 - Kab. Karangasem</t>
  </si>
  <si>
    <t>7291 - Kota Denpasar</t>
  </si>
  <si>
    <t>7401 - Kab. Kupang</t>
  </si>
  <si>
    <t>7402 - Kab. Timor-Tengah Selatan</t>
  </si>
  <si>
    <t>7403 - Kab. Timor-Tengah Utara</t>
  </si>
  <si>
    <t>7404 - Kab. Belu</t>
  </si>
  <si>
    <t>7405 - Kab. Alor</t>
  </si>
  <si>
    <t>7406 - Kab. Flores Timur</t>
  </si>
  <si>
    <t>7407 - Kab. Sikka</t>
  </si>
  <si>
    <t>7408 - Kab. Ende</t>
  </si>
  <si>
    <t>7409 - Kab. Ngada</t>
  </si>
  <si>
    <t>7410 - Kab. Manggarai</t>
  </si>
  <si>
    <t>7411 - Kab. Sumba Timur</t>
  </si>
  <si>
    <t>7412 - Kab. Sumba Barat</t>
  </si>
  <si>
    <t>7413 - Kab. Lembata</t>
  </si>
  <si>
    <t>7414 - Kab. Rote</t>
  </si>
  <si>
    <t>7415 - Kab. Manggarai Barat</t>
  </si>
  <si>
    <t>7416 - Kab. Sumba Tengah</t>
  </si>
  <si>
    <t>7417 - Kab. Sumba Barat Daya</t>
  </si>
  <si>
    <t>7418 - Kab. Manggarai Timur</t>
  </si>
  <si>
    <t>7419 - Kab. Nagekeo</t>
  </si>
  <si>
    <t>7491 - Kota Kupang</t>
  </si>
  <si>
    <t>8101 - Kab. Maluku Tengah</t>
  </si>
  <si>
    <t>8102 - Kab. Maluku Tenggara</t>
  </si>
  <si>
    <t>8103 - Kab. Maluku Tenggara Barat</t>
  </si>
  <si>
    <t>3615 - Kab. Ogan Komeing Ulu Timur</t>
  </si>
  <si>
    <t>3616 - Kab. Ogan Ilir</t>
  </si>
  <si>
    <t>3617 - Kab. Empat Lawang</t>
  </si>
  <si>
    <t>3691 - Kota Palembang</t>
  </si>
  <si>
    <t>3693 - Kota Lubuklinggau</t>
  </si>
  <si>
    <t>3694 - Kota Prabumulih</t>
  </si>
  <si>
    <t>3697 - Kota Pagar Alam</t>
  </si>
  <si>
    <t>3701 - Kab. Bangka</t>
  </si>
  <si>
    <t>3702 - Kab. Belitung</t>
  </si>
  <si>
    <t>3703 - Kab. Bangka Barat</t>
  </si>
  <si>
    <t>3704 - Kab. Bangka Selatan</t>
  </si>
  <si>
    <t>3705 - Kab. Bangka Tengah</t>
  </si>
  <si>
    <t>3706 - Kab. Belitung Timur</t>
  </si>
  <si>
    <t>3791 - Kota Pangkal Pinang</t>
  </si>
  <si>
    <t>3801 - Kab. Karimun</t>
  </si>
  <si>
    <t>3802 - Kab. Lingga</t>
  </si>
  <si>
    <t>3803 - Kab. Natuna</t>
  </si>
  <si>
    <t>3804 - Kab. Bintan (d/h Kabupaten Kepulauan Riau)</t>
  </si>
  <si>
    <t>3891 - Kota Tanjung Pinang</t>
  </si>
  <si>
    <t>3892 - Kota Batam</t>
  </si>
  <si>
    <t>3901 - Kab. Lampung Selatan</t>
  </si>
  <si>
    <t>3902 - Kab. Lampung Tengah</t>
  </si>
  <si>
    <t>3903 - Kab. Lampung Utara</t>
  </si>
  <si>
    <t>3904 - Kab. Lampung Barat</t>
  </si>
  <si>
    <t>3905 - Kab. Tulang Bawang</t>
  </si>
  <si>
    <t>3906 - Kab. Tanggamus</t>
  </si>
  <si>
    <t>3907 - Kab. Lampung Timur</t>
  </si>
  <si>
    <t>3908 - Kab. Way Kanan</t>
  </si>
  <si>
    <t>3909 - Kab. Pesawaran</t>
  </si>
  <si>
    <t>3991 - Kota Bandar Lampung</t>
  </si>
  <si>
    <t>3992 - Kota Metro</t>
  </si>
  <si>
    <t>5101 - Kab. Banjar</t>
  </si>
  <si>
    <t>5102 - Kab. Tanah Laut</t>
  </si>
  <si>
    <t>5103 - Kab. Tapin</t>
  </si>
  <si>
    <t>5104 - Kab. Hulu Sungai Selatan</t>
  </si>
  <si>
    <t>5105 - Kab. Hulu Sungai Tengah</t>
  </si>
  <si>
    <t>5106 - Kab. Hulu Sungai Utara</t>
  </si>
  <si>
    <t>5107 - Kab. Barito Kuala</t>
  </si>
  <si>
    <t>5108 - Kab. Kota Baru</t>
  </si>
  <si>
    <t>5109 - Kab. Tabalong</t>
  </si>
  <si>
    <t>5110 - Kab.Tanah Bumbu</t>
  </si>
  <si>
    <t>5111 - Kab. Balangan</t>
  </si>
  <si>
    <t>5191 - Kota Banjarmasin</t>
  </si>
  <si>
    <t>5192 - Kota Banjarbaru</t>
  </si>
  <si>
    <t>5301 - Kab. Pontianak</t>
  </si>
  <si>
    <t>5302 - Kab. Sambas</t>
  </si>
  <si>
    <t>5303 - Kab. Ketapang</t>
  </si>
  <si>
    <t>5304 - Kab. Sanggau</t>
  </si>
  <si>
    <t>5305 - Kab. Sintang</t>
  </si>
  <si>
    <t>5306 - Kab. Kapuas Hulu</t>
  </si>
  <si>
    <t>5307 - Kab. Bengkayang</t>
  </si>
  <si>
    <t>5308 - Kab. Landak</t>
  </si>
  <si>
    <t>5309 - Kab. Sekadau</t>
  </si>
  <si>
    <t>5310 - Kab. Melawi</t>
  </si>
  <si>
    <t>5311 - Kab. Kayong Utara</t>
  </si>
  <si>
    <t>5312 - Kab. Kubu Raya</t>
  </si>
  <si>
    <t>5391 - Kota Pontianak</t>
  </si>
  <si>
    <t>5392 - Kota Singkawang</t>
  </si>
  <si>
    <t>5401 - Kab. Kutai Kartanegara</t>
  </si>
  <si>
    <t>5402 - Kab. Berau</t>
  </si>
  <si>
    <t>5403 - Kab. Pasir</t>
  </si>
  <si>
    <t>5404 - Kab. Bulungan</t>
  </si>
  <si>
    <t>5405 - Kab. Kutai Barat</t>
  </si>
  <si>
    <t>5406 - Kab. Kutai Timur</t>
  </si>
  <si>
    <t>5409 - Kab. Nunukan</t>
  </si>
  <si>
    <t>5410 - Kab. Malinau</t>
  </si>
  <si>
    <t>5411 - Kab. Penajam Paser Utara</t>
  </si>
  <si>
    <t>5412 - Kab. Tana Tidung</t>
  </si>
  <si>
    <t>5491 - Kota Samarinda</t>
  </si>
  <si>
    <t>5492 - Kota Balikpapan</t>
  </si>
  <si>
    <t>5493 - Kota Tarakan</t>
  </si>
  <si>
    <t>5494 - Kota Bontang</t>
  </si>
  <si>
    <t>5801 - Kab. Kapuas</t>
  </si>
  <si>
    <t>5802 - Kab. Kotawaringin Barat</t>
  </si>
  <si>
    <t>5803 - Kab. Kotawaringin Timur</t>
  </si>
  <si>
    <t>5806 - Kab. Barito Selatan</t>
  </si>
  <si>
    <t>5808 - Kab. Barito Utara</t>
  </si>
  <si>
    <t>5804 - Kab. Murung Raya</t>
  </si>
  <si>
    <t>5805 - Kab. Barito Timur</t>
  </si>
  <si>
    <t>5807 - Kab. Gunung Mas</t>
  </si>
  <si>
    <t>5809 - Kab. Pulang Pisau</t>
  </si>
  <si>
    <t>5810 - Kab. Seruyan</t>
  </si>
  <si>
    <t>5811 - Kab. Katingan</t>
  </si>
  <si>
    <t>5812 - Kab. Sukamara</t>
  </si>
  <si>
    <t>5813 - Kab. Lamandau</t>
  </si>
  <si>
    <t>5892 - Kota Palangkaraya</t>
  </si>
  <si>
    <t>6001 - Kab. Donggala</t>
  </si>
  <si>
    <t>6002 - Kab. Poso</t>
  </si>
  <si>
    <t>6003 - Kab. Parimo/Banggai</t>
  </si>
  <si>
    <t>6004 - Kab. Toli-Toli</t>
  </si>
  <si>
    <t>6006 - Kab. Morowali</t>
  </si>
  <si>
    <t>6007 - Kab. Buol</t>
  </si>
  <si>
    <t>6008 - Kab. Tojo Una-Una</t>
  </si>
  <si>
    <t>6009 - Kab. Parigi Moutong</t>
  </si>
  <si>
    <t>6091 - Kota Palu</t>
  </si>
  <si>
    <t>6101 - Kab. Pinrang</t>
  </si>
  <si>
    <t>6102 - Kab. Gowa</t>
  </si>
  <si>
    <t>6103 - Kab. Wajo</t>
  </si>
  <si>
    <t>2391 - Kota Bengkulu</t>
  </si>
  <si>
    <t>3101 - Kab. Batanghari</t>
  </si>
  <si>
    <t>3104 - Kab. Sarolangun</t>
  </si>
  <si>
    <t>3105 - Kab. Kerinci</t>
  </si>
  <si>
    <t>3106 - Kab. Muaro Jambi</t>
  </si>
  <si>
    <t>3107 - Kab. Tanjung Jabung Barat</t>
  </si>
  <si>
    <t>3108 - Kab. Tanjung Jabung Timur</t>
  </si>
  <si>
    <t>3109 - Kab. Tebo</t>
  </si>
  <si>
    <t>3111 - Kab. Merangin</t>
  </si>
  <si>
    <t>3112 - Kab. Bungo</t>
  </si>
  <si>
    <t>3191 - Kota Jambi</t>
  </si>
  <si>
    <t>3201 - Kab. Aceh Besar</t>
  </si>
  <si>
    <t>3202 - Kab. Pidie</t>
  </si>
  <si>
    <t>3203 - Kab. Aceh Utara</t>
  </si>
  <si>
    <t>3204 - Kab. Aceh Timur</t>
  </si>
  <si>
    <t>3205 - Kab. Aceh Selatan</t>
  </si>
  <si>
    <t>3206 - Kab. Aceh Barat</t>
  </si>
  <si>
    <t>3207 - Kab. Aceh Tengah</t>
  </si>
  <si>
    <t>3208 - Kab. Aceh Tenggara</t>
  </si>
  <si>
    <t>3209 - Kab. Aceh Singkil</t>
  </si>
  <si>
    <t>3210 - Kab. Aceh Jeumpa/Bireuen</t>
  </si>
  <si>
    <t>3211 - Kab. Aceh Tamiang</t>
  </si>
  <si>
    <t>3212 - Kab. Gayo Luwes</t>
  </si>
  <si>
    <t>3213 - Kab. Aceh Barat Daya</t>
  </si>
  <si>
    <t>3214 - Kab. Aceh Jaya</t>
  </si>
  <si>
    <t>3215 - Kab. Nagan Raya</t>
  </si>
  <si>
    <t>3216 - Kab. Aceh Simeuleu</t>
  </si>
  <si>
    <t>3218 - Kab. Pidie Jaya</t>
  </si>
  <si>
    <t>3219 - Kab. Subulussalam</t>
  </si>
  <si>
    <t>3291 - Kota Banda Aceh</t>
  </si>
  <si>
    <t>3292 - Kota Sabang</t>
  </si>
  <si>
    <t>3293 - Kota Lhokseumawe</t>
  </si>
  <si>
    <t>3294 - Kota Langsa</t>
  </si>
  <si>
    <t>3301 - Kab. Deli Serdang</t>
  </si>
  <si>
    <t>3302 - Kab. Langkat</t>
  </si>
  <si>
    <t>3303 - Kab. Karo</t>
  </si>
  <si>
    <t>3304 - Kab. Simalungun</t>
  </si>
  <si>
    <t>3305 - Kab. Labuhan Batu</t>
  </si>
  <si>
    <t>3306 - Kab. Asahan</t>
  </si>
  <si>
    <t>3307 - Kab. Dairi</t>
  </si>
  <si>
    <t>3308 - Kab. Tapanuli Utara</t>
  </si>
  <si>
    <t>3309 - Kab. Tapanuli Tengah</t>
  </si>
  <si>
    <t>3310 - Kab. Tapanuli Selatan</t>
  </si>
  <si>
    <t>3311 - Kab. Nias</t>
  </si>
  <si>
    <t>3313 - Kab. Toba Samosir</t>
  </si>
  <si>
    <t>3314 - Kab. Mandailing Natal</t>
  </si>
  <si>
    <t>3315 - Kab. Nias Selatan</t>
  </si>
  <si>
    <t>3316 - Kab. Humbang Hasundutan</t>
  </si>
  <si>
    <t>3317 - Kab. Pakpak Bharat</t>
  </si>
  <si>
    <t>3318 - Kab. Samosir</t>
  </si>
  <si>
    <t>3319 - Kab. Serdang Bedagai</t>
  </si>
  <si>
    <t>3320 - Kab. Angkola Sipirok</t>
  </si>
  <si>
    <t>3321 - Kab. Batu Bara</t>
  </si>
  <si>
    <t>3322 - Kab. Padang Lawas</t>
  </si>
  <si>
    <t>3323 - Kab. Padang Lawas Utara</t>
  </si>
  <si>
    <t>3324 - Kab. Labuhanbatu Selatan</t>
  </si>
  <si>
    <t>3325 - Kab. Labuhanbatu Utara</t>
  </si>
  <si>
    <t>3391 - Kota Tebing Tinggi</t>
  </si>
  <si>
    <t>3392 - Kota Binjai</t>
  </si>
  <si>
    <t>3393 - Kota Pematang Siantar</t>
  </si>
  <si>
    <t>3394 - Kota Tanjung Balai</t>
  </si>
  <si>
    <t>3395 - Kota Sibolga</t>
  </si>
  <si>
    <t>3396 - Kota Medan</t>
  </si>
  <si>
    <t>3399 - Kota Padang Sidempuan</t>
  </si>
  <si>
    <t>3401 - Kab. Agam</t>
  </si>
  <si>
    <t>3402 - Kab. Pasaman</t>
  </si>
  <si>
    <t>3403 - Kab. Limapuluh Koto</t>
  </si>
  <si>
    <t>3404 - Kab. Solok Selatan</t>
  </si>
  <si>
    <t>3405 - Kab. Padang Pariaman</t>
  </si>
  <si>
    <t>3406 - Kab. Pesisir Selatan</t>
  </si>
  <si>
    <t>3407 - Kab. Tanah Datar</t>
  </si>
  <si>
    <t>3408 - Kab. Sawahlunto/Sijunjung</t>
  </si>
  <si>
    <t>3409 - Kab. Kepulauan Mentawai</t>
  </si>
  <si>
    <t>3410 - Kab. Pasaman Barat</t>
  </si>
  <si>
    <t>3411 - Kab. Dharmasraya</t>
  </si>
  <si>
    <t>3412 - Kab. Solok</t>
  </si>
  <si>
    <t>3491 - Kota Bukittinggi</t>
  </si>
  <si>
    <t>3492 - Kota Padang</t>
  </si>
  <si>
    <t>3493 - Kota Sawahlunto</t>
  </si>
  <si>
    <t>3494 - Kota Padang Panjang</t>
  </si>
  <si>
    <t>3495 - Kota Solok</t>
  </si>
  <si>
    <t>3496 - Kota Payakumbuh</t>
  </si>
  <si>
    <t>3497 - Kota Pariaman</t>
  </si>
  <si>
    <t>3501 - Kab. Kampar</t>
  </si>
  <si>
    <t>3502 - Kab. Bengkalis</t>
  </si>
  <si>
    <t>3504 - Kab. Indragiri Hulu</t>
  </si>
  <si>
    <t>3505 - Kab. Indragiri Hilir</t>
  </si>
  <si>
    <t>3508 - Kab. Rokan Hulu</t>
  </si>
  <si>
    <t>3509 - Kab. Rokan Hilir</t>
  </si>
  <si>
    <t>3510 - Kab. Pelalawan</t>
  </si>
  <si>
    <t>3511 - Kab. Siak</t>
  </si>
  <si>
    <t>3512 - Kab. Kuantan Singingi</t>
  </si>
  <si>
    <t>3591 - Kota Pekanbaru</t>
  </si>
  <si>
    <t>3592 - Kota Dumai</t>
  </si>
  <si>
    <t>3606 - Kab. Musi Banyuasin</t>
  </si>
  <si>
    <t>3607 - Kab. Ogan Komering Ulu</t>
  </si>
  <si>
    <t>3608 - Kab. Lematang Ilir Ogan Tengah (Muara Enim)</t>
  </si>
  <si>
    <t>3609 - Kab. Lahat</t>
  </si>
  <si>
    <t>3610 - Kab. Musi Rawas</t>
  </si>
  <si>
    <t>3611 - Kab. Ogan Komering Ilir</t>
  </si>
  <si>
    <t>3613 - Kab. Banyuasin</t>
  </si>
  <si>
    <t>3614 - Kab. Ogan Komeing Ulu Selatan</t>
  </si>
  <si>
    <t>0102 - Kab. Bekasi</t>
  </si>
  <si>
    <t>0103 - Kab. Purwakarta</t>
  </si>
  <si>
    <t>0106 - Kab. Karawang</t>
  </si>
  <si>
    <t>0108 - Kab. Bogor</t>
  </si>
  <si>
    <t>0109 - Kab. Sukabumi</t>
  </si>
  <si>
    <t>0110 - Kab. Cianjur</t>
  </si>
  <si>
    <t>0111 - Kab. Bandung</t>
  </si>
  <si>
    <t>0112 - Kab. Sumedang</t>
  </si>
  <si>
    <t>0113 - Kab. Tasikmalaya</t>
  </si>
  <si>
    <t>0114 - Kab. Garut</t>
  </si>
  <si>
    <t>0115 - Kab. Ciamis</t>
  </si>
  <si>
    <t>0116 - Kab. Cirebon</t>
  </si>
  <si>
    <t>0117 - Kab. Kuningan</t>
  </si>
  <si>
    <t>0118 - Kab. Indramayu</t>
  </si>
  <si>
    <t>0119 - Kab. Majalengka</t>
  </si>
  <si>
    <t>0121 - Kab. Subang</t>
  </si>
  <si>
    <t>0122 - Kab. Bandung Barat</t>
  </si>
  <si>
    <t>0191 - Kota Bandung</t>
  </si>
  <si>
    <t>0192 - Kota Bogor</t>
  </si>
  <si>
    <t>0193 - Kota Sukabumi</t>
  </si>
  <si>
    <t>0194 - Kota Cirebon</t>
  </si>
  <si>
    <t>0195 - Kota Tasikmalaya</t>
  </si>
  <si>
    <t>0196 - Kota Cimahi</t>
  </si>
  <si>
    <t>0197 - Kota Depok</t>
  </si>
  <si>
    <t>0198 - Kota Bekasi</t>
  </si>
  <si>
    <t>0180 - Kota Banjar</t>
  </si>
  <si>
    <t>0201 - Kab. Lebak</t>
  </si>
  <si>
    <t>0202 - Kab. Pandeglang</t>
  </si>
  <si>
    <t>0203 - Kab. Serang</t>
  </si>
  <si>
    <t>0204 - Kab. Tangerang</t>
  </si>
  <si>
    <t>0291 - Kota Cilegon</t>
  </si>
  <si>
    <t>0292 - Kota Tangerang</t>
  </si>
  <si>
    <t>0293 - Kota Serang</t>
  </si>
  <si>
    <t>0391 - Wil. Kota Jakarta Pusat</t>
  </si>
  <si>
    <t>0392 - Wil. Kota Jakarta Utara</t>
  </si>
  <si>
    <t>0393 - Wil. Kota Jakarta Barat</t>
  </si>
  <si>
    <t>0394 - Wil. Kota Jakarta Selatan</t>
  </si>
  <si>
    <t>0395 - Wil. Kota Jakarta Timur</t>
  </si>
  <si>
    <t>0396 - Wil. Kepulauan Seribu</t>
  </si>
  <si>
    <t>0501 - Kab. Bantul</t>
  </si>
  <si>
    <t>0502 - Kab. Sleman</t>
  </si>
  <si>
    <t>0503 - Kab. Gunung Kidul</t>
  </si>
  <si>
    <t>0504 - Kab. Kulon Progo</t>
  </si>
  <si>
    <t>0591 - Kota Yogyakarta</t>
  </si>
  <si>
    <t>0901 - Kab. Semarang</t>
  </si>
  <si>
    <t>0902 - Kab. Kendal</t>
  </si>
  <si>
    <t>0903 - Kab. Demak</t>
  </si>
  <si>
    <t>0904 - Kab. Grobogan</t>
  </si>
  <si>
    <t>0905 - Kab. Pekalongan</t>
  </si>
  <si>
    <t>0906 - Kab. Tegal</t>
  </si>
  <si>
    <t>0907 - Kab. Brebes</t>
  </si>
  <si>
    <t>0908 - Kab. Pati</t>
  </si>
  <si>
    <t>0909 - Kab. Kudus</t>
  </si>
  <si>
    <t>0910 - Kab. Pemalang</t>
  </si>
  <si>
    <t>0911 - Kab. Jepara</t>
  </si>
  <si>
    <t>0912 - Kab. Rembang</t>
  </si>
  <si>
    <t>0913 - Kab. Blora</t>
  </si>
  <si>
    <t>0914 - Kab. Banyumas</t>
  </si>
  <si>
    <t>0915 - Kab. Cilacap</t>
  </si>
  <si>
    <t>0916 - Kab. Purbalingga</t>
  </si>
  <si>
    <t>0917 - Kab. Banjarnegara</t>
  </si>
  <si>
    <t>0918 - Kab. Magelang</t>
  </si>
  <si>
    <t>0919 - Kab. Temanggung</t>
  </si>
  <si>
    <t>0920 - Kab. Wonosobo</t>
  </si>
  <si>
    <t>0921 - Kab. Purworejo</t>
  </si>
  <si>
    <t>0922 - Kab. Kebumen</t>
  </si>
  <si>
    <t>0923 - Kab. Klaten</t>
  </si>
  <si>
    <t>0924 - Kab. Boyolali</t>
  </si>
  <si>
    <t>0925 - Kab. Sragen</t>
  </si>
  <si>
    <t>0926 - Kab. Sukoharjo</t>
  </si>
  <si>
    <t>0927 - Kab. Karanganyar</t>
  </si>
  <si>
    <t>0928 - Kab. Wonogiri</t>
  </si>
  <si>
    <t>0929 - Kab. Batang</t>
  </si>
  <si>
    <t>0991 - Kota Semarang</t>
  </si>
  <si>
    <t>0992 - Kota Salatiga</t>
  </si>
  <si>
    <t>0993 - Kota Pekalongan</t>
  </si>
  <si>
    <t>0994 - Kota Tegal</t>
  </si>
  <si>
    <t>0995 - Kota Magelang</t>
  </si>
  <si>
    <t>0996 - Kota Surakarta/Solo</t>
  </si>
  <si>
    <t>1201 - Kab. Gresik</t>
  </si>
  <si>
    <t>1202 - Kab. Sidoarjo</t>
  </si>
  <si>
    <t>1203 - Kab. Mojokerto</t>
  </si>
  <si>
    <t>1204 - Kab. Jombang</t>
  </si>
  <si>
    <t>1205 - Kab. Sampang</t>
  </si>
  <si>
    <t>1206 - Kab. Pamekasan</t>
  </si>
  <si>
    <t>1207 - Kab. Sumenep</t>
  </si>
  <si>
    <t>1208 - Kab. Bangkalan</t>
  </si>
  <si>
    <t>1209 - Kab. Bondowoso</t>
  </si>
  <si>
    <t>1211 - Kab. Banyuwangi</t>
  </si>
  <si>
    <t>1212 - Kab. Jember</t>
  </si>
  <si>
    <t>1213 - Kab. Malang</t>
  </si>
  <si>
    <t>1214 - Kab. Pasuruan</t>
  </si>
  <si>
    <t>1215 - Kab. Probolinggo</t>
  </si>
  <si>
    <t>1216 - Kab. Lumajang</t>
  </si>
  <si>
    <t>1217 - Kab. Kediri</t>
  </si>
  <si>
    <t>1218 - Kab. Nganjuk</t>
  </si>
  <si>
    <t>1219 - Kab. Tulungagung</t>
  </si>
  <si>
    <t>1220 - Kab. Trenggalek</t>
  </si>
  <si>
    <t>1221 - Kab. Blitar</t>
  </si>
  <si>
    <t>1222 - Kab. Madiun</t>
  </si>
  <si>
    <t>1223 - Kab. Ngawi</t>
  </si>
  <si>
    <t>1224 - Kab. Magetan</t>
  </si>
  <si>
    <t>1225 - Kab. Ponorogo</t>
  </si>
  <si>
    <t>1226 - Kab. Pacitan</t>
  </si>
  <si>
    <t>1227 - Kab. Bojonegoro</t>
  </si>
  <si>
    <t>1228 - Kab. Tuban</t>
  </si>
  <si>
    <t>1229 - Kab. Lamongan</t>
  </si>
  <si>
    <t>1230 - Kab. Situbondo</t>
  </si>
  <si>
    <t>1291 - Kota Surabaya</t>
  </si>
  <si>
    <t>1292 - Kota Mojokerto</t>
  </si>
  <si>
    <t>1293 - Kota Malang</t>
  </si>
  <si>
    <t>1294 - Kota Pasuruan</t>
  </si>
  <si>
    <t>1295 - Kota Probolinggo</t>
  </si>
  <si>
    <t>1296 - Kota Blitar</t>
  </si>
  <si>
    <t>1297 - Kota Kediri</t>
  </si>
  <si>
    <t>1298 - Kota Madiun</t>
  </si>
  <si>
    <t>1271 - Kota Batu</t>
  </si>
  <si>
    <t>2301 - Kab. Bengkulu Selatan</t>
  </si>
  <si>
    <t>2302 - Kab. Bengkulu Utara</t>
  </si>
  <si>
    <t>2303 - Kab. Rejang Lebong</t>
  </si>
  <si>
    <t>2304 - Kab. Lebong</t>
  </si>
  <si>
    <t>2305 - Kab. Kepahiang</t>
  </si>
  <si>
    <t>2306 - Kab. Mukomuko</t>
  </si>
  <si>
    <t>2307 - Kab. Seluma</t>
  </si>
  <si>
    <t>2308 - Kab. Kaur</t>
  </si>
  <si>
    <t>Fasilitas 5</t>
  </si>
  <si>
    <t>Fasilitas 6</t>
  </si>
  <si>
    <t>Fasilitas 7</t>
  </si>
  <si>
    <t xml:space="preserve">Sudah berapa tahun usaha didaftarkan? </t>
  </si>
  <si>
    <t>Tenor Pinjaman dari bank lain</t>
  </si>
  <si>
    <t>Tenor pinjaman dari BTPN</t>
  </si>
  <si>
    <t>Biaya penjualan dan administrasi</t>
  </si>
  <si>
    <r>
      <t>Biaya tenaga kerja tidak langsung (</t>
    </r>
    <r>
      <rPr>
        <i/>
        <sz val="10"/>
        <color indexed="8"/>
        <rFont val="Calibri"/>
        <family val="2"/>
      </rPr>
      <t>indirect labor cos</t>
    </r>
    <r>
      <rPr>
        <sz val="10"/>
        <color indexed="8"/>
        <rFont val="Calibri"/>
        <family val="2"/>
      </rPr>
      <t>t)</t>
    </r>
  </si>
  <si>
    <t>Dokumen pendukung yang dilampirkan sebagai bahan penilaian jaminan, mencakup :</t>
  </si>
  <si>
    <t>Copy SHM / SHGB / SHM Sarusun (coret yang tidak perlu)</t>
  </si>
  <si>
    <t>Lainnya, sebutkan</t>
  </si>
  <si>
    <t>Tipe Debitur</t>
  </si>
  <si>
    <t xml:space="preserve">Nama ACM </t>
  </si>
  <si>
    <t>Dokumen pendukung yang dilampirkan sebagai bahan trade checking, mencakup :</t>
  </si>
  <si>
    <t>Formulir Permohonan Kredit (FPK)</t>
  </si>
  <si>
    <t>Pemilik</t>
  </si>
  <si>
    <t>Pemegang Saham</t>
  </si>
  <si>
    <t>Komisaris Utama</t>
  </si>
  <si>
    <t>Komisaris</t>
  </si>
  <si>
    <t>Direktur</t>
  </si>
  <si>
    <t>Direktur Utama</t>
  </si>
  <si>
    <t>Manajemen</t>
  </si>
  <si>
    <t>Persero Aktif</t>
  </si>
  <si>
    <t>Persero Pasif</t>
  </si>
  <si>
    <t>Kami mohon bantuannya untuk dapat melaksanakan penilaian jaminan atas debitur / calon debitur Kami dengan informasi sebagai berikut :</t>
  </si>
  <si>
    <t xml:space="preserve">Catatan: </t>
  </si>
  <si>
    <t>- Untuk Pinjaman (diluar Kartu Kredit dan KTA) harus dijabarkan satu per satu pada kolom di atas, sedangkan untuk Pinjaman Kartu Kredit dapat dikelompokkan menjadi 1 dan Pinjaman KTA (Kredit Tanpa Agunan) dikelompokkan menjadi satu kelompok</t>
  </si>
  <si>
    <t>- Untuk Debitur berbadan usaha PT dimana sistem manajemen perusahaan masih dikelola dengan manajemen keluarga maka seluruh pinjaman dari bank lain Debitur dimasukkan ke dalam tabel diatas</t>
  </si>
  <si>
    <t>Umur 
(tahun)</t>
  </si>
  <si>
    <t>Pengalaman
(tahun)</t>
  </si>
  <si>
    <t>Highlights Analisa Keuangan</t>
  </si>
  <si>
    <t>Syarat dan Kondisi Lainnya</t>
  </si>
  <si>
    <r>
      <t>Daftar proyek (</t>
    </r>
    <r>
      <rPr>
        <i/>
        <sz val="10"/>
        <color indexed="8"/>
        <rFont val="Calibri"/>
        <family val="2"/>
      </rPr>
      <t>project</t>
    </r>
    <r>
      <rPr>
        <sz val="10"/>
        <color indexed="8"/>
        <rFont val="Calibri"/>
        <family val="2"/>
      </rPr>
      <t>) dan rencana perusahaan jangka pendek - jika ada</t>
    </r>
  </si>
  <si>
    <t>Catatan : Jika terdapat lebih dari 1 Jaminan yang dijaminakan, maka cantumkan jaminan tanah dan bangunan yang terakhir diberikan, dijual, atau dialihkan kepada pemilik jaminan</t>
  </si>
  <si>
    <t>Total COGS</t>
  </si>
  <si>
    <t>Total COGS Bulanan</t>
  </si>
  <si>
    <t>Biaya Depresiasi dan Amortisasi</t>
  </si>
  <si>
    <t xml:space="preserve">Harga pokok penjualan </t>
  </si>
  <si>
    <t>Supplier 1</t>
  </si>
  <si>
    <t>Supplier 2</t>
  </si>
  <si>
    <t>Supplier 3</t>
  </si>
  <si>
    <t>Supplier 4</t>
  </si>
  <si>
    <t>Supplier 5</t>
  </si>
  <si>
    <t>Rank</t>
  </si>
  <si>
    <t>Top 3 biggest supplier</t>
  </si>
  <si>
    <t>Penjualan / bulan</t>
  </si>
  <si>
    <t>(Supplier checking dilakukan minimal terhadap 2 supplier utama yang mewakili 25% dari total pembelian, atau 3 supplier)</t>
  </si>
  <si>
    <t>Persentase total kontribusi 3 buyer terbesar terhadap total penjualan</t>
  </si>
  <si>
    <t>Buyer 1</t>
  </si>
  <si>
    <t>Buyer 2</t>
  </si>
  <si>
    <t>Buyer 3</t>
  </si>
  <si>
    <t>Buyer 4</t>
  </si>
  <si>
    <t>Buyer 5</t>
  </si>
  <si>
    <t>Top 3 buyer</t>
  </si>
  <si>
    <t>(Buyer checking dilakukan minimal terhadap 2 buyer utama yang mewakili 25% dari total penjualan, atau 3 buyer)</t>
  </si>
  <si>
    <t>Proyeksi pengeluaran bunga KRK / KB / KAB</t>
  </si>
  <si>
    <t>Pertumbuhan penjualan (%)</t>
  </si>
  <si>
    <t>Current ratio (x)</t>
  </si>
  <si>
    <t>AR DOH (hari)</t>
  </si>
  <si>
    <t>AP DOH (hari)</t>
  </si>
  <si>
    <t>Inventory DOH (hari)</t>
  </si>
  <si>
    <t>AE DOH (hari)</t>
  </si>
  <si>
    <t>Leverage ratio (x)</t>
  </si>
  <si>
    <t>Suku Bunga Standar</t>
  </si>
  <si>
    <t>Suku Bunga Premium</t>
  </si>
  <si>
    <t>Calon debitur tidak dapat menunjukkan perhitungan berapa jumlah kredit  yang dia butuhkan</t>
  </si>
  <si>
    <t>Calon debitur mengajukan jumlah maksimum yang dapat dia pinjam berdasarkan jaminan yang dimiliki</t>
  </si>
  <si>
    <t>WI DOH (hari)</t>
  </si>
  <si>
    <t>Pendapatan Lainnya</t>
  </si>
  <si>
    <t>Beban Lainnya</t>
  </si>
  <si>
    <t>Laba (Rugi) Sebelum Pajak</t>
  </si>
  <si>
    <t>Laba Bersih</t>
  </si>
  <si>
    <t>RE Adjust</t>
  </si>
  <si>
    <t>RE for Period</t>
  </si>
  <si>
    <t xml:space="preserve">CPLTD </t>
  </si>
  <si>
    <t>Bunga Seluruh Fasilitas (KRK, KB, KAB)</t>
  </si>
  <si>
    <t>Analisa Kebutuhan Modal Kerja</t>
  </si>
  <si>
    <t xml:space="preserve">ANALISA KEBUTUHAN </t>
  </si>
  <si>
    <t>Analisa Kebutuhan Investasi</t>
  </si>
  <si>
    <t>Total Kebutuhan Modal Kerja dan Investasi</t>
  </si>
  <si>
    <t>Apakah Debitur Mengajukan jumlah kredit yang tepat</t>
  </si>
  <si>
    <t>OD*)</t>
  </si>
  <si>
    <t>Catatan : *) Overdraft</t>
  </si>
  <si>
    <t>Frekuensi OD</t>
  </si>
  <si>
    <t>Month 4</t>
  </si>
  <si>
    <t>Month 5</t>
  </si>
  <si>
    <t>Month 6</t>
  </si>
  <si>
    <t>Average in 6 months</t>
  </si>
  <si>
    <t>Rata - rata utilisasi</t>
  </si>
  <si>
    <t>Total Mutasi Kredit</t>
  </si>
  <si>
    <t>Total Penjualan Bulanan (Rp Juta)</t>
  </si>
  <si>
    <t>Total Plafond Fasilitas R/K (Rp Juta)</t>
  </si>
  <si>
    <t>Ketepatan pembayaran</t>
  </si>
  <si>
    <t>Akan tetap berhubungan?</t>
  </si>
  <si>
    <t>Tidak ada negatif info (jika terdapat negatif info yang berasal dari supplier namun supplier masih mau berhubungan dengan debitur maka tidak dianggap sebagai negatif info)</t>
  </si>
  <si>
    <t>Terlambat s.d. 1 minggu</t>
  </si>
  <si>
    <t>Terlambat s.d. 2 minggu</t>
  </si>
  <si>
    <t>Terlambat s.d. 3 minggu</t>
  </si>
  <si>
    <t>Terlambat s.d. 4 minggu</t>
  </si>
  <si>
    <t>Terlambat s.d. 5 minggu</t>
  </si>
  <si>
    <t>Terlambat s.d. 6 minggu</t>
  </si>
  <si>
    <t>Terlambat &gt; 6 minggu</t>
  </si>
  <si>
    <t>Summary</t>
  </si>
  <si>
    <t>Waktu Pengantaran</t>
  </si>
  <si>
    <t>Kualitas barang/jasa</t>
  </si>
  <si>
    <t>Tidak ada negatif info (jika terdapat negatif info yang berasal dari pembeli namun pembeli masih mau berhubungan dengan debitur maka tidak dianggap sebagai negatif info)</t>
  </si>
  <si>
    <t>Calon debitur dapat menunjukkan perhitungan berapa jumlah kredit  yang dia butuhkan</t>
  </si>
  <si>
    <t>Jenis Fasilitas</t>
  </si>
  <si>
    <t>Tepat Waktu</t>
  </si>
  <si>
    <t>APPID</t>
  </si>
  <si>
    <t>Tanggal Aplikasi</t>
  </si>
  <si>
    <t>CIF No (untuk eksisting debitur)</t>
  </si>
  <si>
    <t>Tanggal Berhubungan dengan Bank BTPN</t>
  </si>
  <si>
    <t>Tujuan Kredit</t>
  </si>
  <si>
    <t>Alamat Usaha</t>
  </si>
  <si>
    <t>Status Kepemilikan Tempat Usaha</t>
  </si>
  <si>
    <t>Status Kepemilikan</t>
  </si>
  <si>
    <t>Dimiliki sejak</t>
  </si>
  <si>
    <t>Disewa sejak</t>
  </si>
  <si>
    <t>Beroperasi Pada Lokasi Usaha Saat ini Sejak Tahun</t>
  </si>
  <si>
    <t>Sumber Informasi Terkait Pengalaman Usaha</t>
  </si>
  <si>
    <t>Pendiri Bisnis Utama (debitur perorangan)</t>
  </si>
  <si>
    <t>Pendiri Bisnis Utama (debitur perusahaan)</t>
  </si>
  <si>
    <t>Area Pemasaran</t>
  </si>
  <si>
    <t>Market Share (jika ada)</t>
  </si>
  <si>
    <t>Jenis Usaha 1</t>
  </si>
  <si>
    <t>Presentase 1</t>
  </si>
  <si>
    <t>Jenis Usaha 2</t>
  </si>
  <si>
    <t>Presentase 2</t>
  </si>
  <si>
    <t>Jenis Usaha 3</t>
  </si>
  <si>
    <t>Presentase 3</t>
  </si>
  <si>
    <t>Jenis Usaha 4</t>
  </si>
  <si>
    <t>Presentase 4</t>
  </si>
  <si>
    <t>Jenis Usaha 5</t>
  </si>
  <si>
    <t>Presentase 5</t>
  </si>
  <si>
    <t>NPWP an</t>
  </si>
  <si>
    <t>SIUP an</t>
  </si>
  <si>
    <t>TDP an</t>
  </si>
  <si>
    <t>Total Outstanding (untuk fasilitas eksisting) - dalam Rp</t>
  </si>
  <si>
    <t>Tanggal Mulai Fasilitas - Fasilitas Existing</t>
  </si>
  <si>
    <t>Tanggal Jatuh Tempo Fasilitas - Fasilitas Existing</t>
  </si>
  <si>
    <t>Informasi Manajemen</t>
  </si>
  <si>
    <t>Jenis Tanda Pengenal (Ktp / Passport)</t>
  </si>
  <si>
    <t>Umur</t>
  </si>
  <si>
    <t>Pengalaman</t>
  </si>
  <si>
    <t>Bergabung Sejak Tahun</t>
  </si>
  <si>
    <t>Usaha Debitur Tidak Termasuk Dalam Non Target Industri</t>
  </si>
  <si>
    <t>Usaha Debitur Telah Berjalan Minimum 3 Tahun</t>
  </si>
  <si>
    <t xml:space="preserve">Tidak Pernah Memiliki Pinjaman Di BTPN Yang Tergolong Dalam Phase Out / Exit Strategy </t>
  </si>
  <si>
    <t>Keputusan Prescreening</t>
  </si>
  <si>
    <t>CSC 1 Grade</t>
  </si>
  <si>
    <t>CSC 1 Deviasi</t>
  </si>
  <si>
    <t>CSC 1 Final Grade</t>
  </si>
  <si>
    <t>CSC 2 Grade</t>
  </si>
  <si>
    <t>CSC 2 Deviasi</t>
  </si>
  <si>
    <t>CSC 2 Final Grade</t>
  </si>
  <si>
    <t>CSC 3 Grade</t>
  </si>
  <si>
    <t>CSC 3 Deviasi</t>
  </si>
  <si>
    <t>CSC 3 Final Grade</t>
  </si>
  <si>
    <t>CSC 4 Grade</t>
  </si>
  <si>
    <t>CSC 4 Deviasi</t>
  </si>
  <si>
    <t>CSC 4  Final Grade</t>
  </si>
  <si>
    <t>CSC 5 Grade</t>
  </si>
  <si>
    <t>CSC 5 Deviasi</t>
  </si>
  <si>
    <t>CSC 5 Final Grade</t>
  </si>
  <si>
    <t>Original Grade</t>
  </si>
  <si>
    <t>Adjusted Grade</t>
  </si>
  <si>
    <t>Deviasi QCA</t>
  </si>
  <si>
    <t>BWMK QCA</t>
  </si>
  <si>
    <t>Deviasi CSC</t>
  </si>
  <si>
    <t>BWMK CSC</t>
  </si>
  <si>
    <t>Other Loan</t>
  </si>
  <si>
    <t>Tenor  (Tahun)</t>
  </si>
  <si>
    <t>Bi Kolektabilitas</t>
  </si>
  <si>
    <t>Collateral</t>
  </si>
  <si>
    <t>Jangka Waktu Kepemilikan Sertifikat</t>
  </si>
  <si>
    <t>Tipe Pengikatan</t>
  </si>
  <si>
    <t>Jumlah Pengikatan</t>
  </si>
  <si>
    <t>Total Frekuensi Overdraft Dalam Tiga Bulan</t>
  </si>
  <si>
    <t>Total Penjualan Bulanan</t>
  </si>
  <si>
    <t>Total Plafond Fasilitas R/K</t>
  </si>
  <si>
    <t>% Rata - Rata  Swing</t>
  </si>
  <si>
    <t>% Mutasi Kredit Terhadap Total Penjualan</t>
  </si>
  <si>
    <t>Pertumbuhan Penjualan</t>
  </si>
  <si>
    <t>Current Ratio</t>
  </si>
  <si>
    <t>Interest Cover</t>
  </si>
  <si>
    <t>Leverage Ratio</t>
  </si>
  <si>
    <t>AR DOH</t>
  </si>
  <si>
    <t>AP DOH</t>
  </si>
  <si>
    <t>Inventory Doh</t>
  </si>
  <si>
    <t>AE DOH</t>
  </si>
  <si>
    <t>Total Hutang Lancar</t>
  </si>
  <si>
    <t>Total Hutang Jangka Panjang</t>
  </si>
  <si>
    <t>Total Modal</t>
  </si>
  <si>
    <t>Total Pasiva</t>
  </si>
  <si>
    <t>Laba Kotor</t>
  </si>
  <si>
    <t>Analisa Kebutuhan Modal Kerja dan Investasi</t>
  </si>
  <si>
    <t>Hutang Dagang</t>
  </si>
  <si>
    <t>Biaya Yang Masih Harus Dibayar</t>
  </si>
  <si>
    <t>Kebutuhan Modal Kerja</t>
  </si>
  <si>
    <t>Pembiayan Modal Kerja Dari Bank Lain (Rp Juta)</t>
  </si>
  <si>
    <t>Total Pembiayaan Modal Kerja</t>
  </si>
  <si>
    <t>Kebutuhan Modal Kerja Yang Dibiayai Sendiri (Rp Juta)</t>
  </si>
  <si>
    <t>Kebutuhan Investasi (Rp Juta)</t>
  </si>
  <si>
    <t>Pembiayaan Investasi (Rp Juta)</t>
  </si>
  <si>
    <t>MKK</t>
  </si>
  <si>
    <t>No MKK</t>
  </si>
  <si>
    <t>Tanggal Persetujuan</t>
  </si>
  <si>
    <t xml:space="preserve">Tanggal Berakhir </t>
  </si>
  <si>
    <t>Guarantor/ Penjamin</t>
  </si>
  <si>
    <t>Hubungan Dengan Debitur</t>
  </si>
  <si>
    <t>Frekuensi Kondisi Existing</t>
  </si>
  <si>
    <t>Apakah Terpenuhi</t>
  </si>
  <si>
    <t>Frekuensi Kondisi Disetujui</t>
  </si>
  <si>
    <t>Pelaporan BI Informasi Debitur</t>
  </si>
  <si>
    <t>SID Golongan Debitur</t>
  </si>
  <si>
    <t>SID Bidang Usaha Debitur</t>
  </si>
  <si>
    <t>SID Hubungan Debitur dengan Bank</t>
  </si>
  <si>
    <t>SID Status Debitur</t>
  </si>
  <si>
    <t>LBU Golongan Debitur</t>
  </si>
  <si>
    <t>LBU Hubungan Debitur dengan Bank</t>
  </si>
  <si>
    <t>LBU Status Debitur</t>
  </si>
  <si>
    <t>LBU Kategori Debitur</t>
  </si>
  <si>
    <t>LBU Kategori Portfolio</t>
  </si>
  <si>
    <t>Pelaporan BI Fasilitas</t>
  </si>
  <si>
    <t>SID Sifat Kredit</t>
  </si>
  <si>
    <t>SID Golongan Kredit</t>
  </si>
  <si>
    <t>SID Jenis Penggunaan</t>
  </si>
  <si>
    <t>SID Orientasi Penggunaan</t>
  </si>
  <si>
    <t>SID Sektor Ekonomi</t>
  </si>
  <si>
    <t>SID Lokasi Proyek</t>
  </si>
  <si>
    <t>LBU Jenis Kredit</t>
  </si>
  <si>
    <t>LBU Sifat Kredit</t>
  </si>
  <si>
    <t>LBU Jenis Penggunaan</t>
  </si>
  <si>
    <t>LBU Orientasi Penggunaan</t>
  </si>
  <si>
    <t>LBU Sektor Ekonomi</t>
  </si>
  <si>
    <t>LBU Lokasi Proyek</t>
  </si>
  <si>
    <t>LBU Kategori Pengukuran</t>
  </si>
  <si>
    <t>Bisnis Lain</t>
  </si>
  <si>
    <t>Debitur Tidak Termasuk Dalam Daftar Hitam Bi (DHBI) / Bi Blacklist</t>
  </si>
  <si>
    <t>Proyeksi Peningkatan Laba Usaha (RCR)</t>
  </si>
  <si>
    <t>Suku Bunga (RCR)</t>
  </si>
  <si>
    <t>Nilai Criteria 1 - Loan to Value (Standard)</t>
  </si>
  <si>
    <t>Hasil Criteria 1 - Loan to Value (Standard)</t>
  </si>
  <si>
    <t>Nilai Criteria 2 - Clean Limit (Standard)</t>
  </si>
  <si>
    <t>Hasil Criteria 2 - Clean Limit (Standard)</t>
  </si>
  <si>
    <t>Nilai Criteria 3 - % Penjualan Bersih per tahun (Standard)</t>
  </si>
  <si>
    <t>Hasil Criteria 3 - % Penjualan Bersih per tahun (Standard)</t>
  </si>
  <si>
    <t>Hasil (Standard)</t>
  </si>
  <si>
    <t>Proyeksi Pengeluaran Bunga</t>
  </si>
  <si>
    <t>BWMK CLD (Standard)</t>
  </si>
  <si>
    <t>Deviasi CLD (Standard)</t>
  </si>
  <si>
    <t>Deviasi CLD (Premium)</t>
  </si>
  <si>
    <t>BWMK CLD (Premium)</t>
  </si>
  <si>
    <t>Nama Group (Group Debitur)</t>
  </si>
  <si>
    <t>Sektor Industri (Group Debitur)</t>
  </si>
  <si>
    <t>Contact Person (Group Debitur)</t>
  </si>
  <si>
    <t>% Kepemilikan Debitur Dalam Grup (Group Debitur)</t>
  </si>
  <si>
    <t>Pengalaman Bisnis (Group Debitur)</t>
  </si>
  <si>
    <t>Alamat (Group Debitur)</t>
  </si>
  <si>
    <t>Tolakan Cek Karena Saldo Tidak Cukup Dalam 3 Bulan Terakhir</t>
  </si>
  <si>
    <t>Laporan</t>
  </si>
  <si>
    <t>WI DOH</t>
  </si>
  <si>
    <t>Pembiayaan Modal Kerja Oleh BTPN (Rp Juta)</t>
  </si>
  <si>
    <t>Total Limit Group Existing (tidak termasuk debitur)</t>
  </si>
  <si>
    <t>Total Limit Group Tambahan (tidak termasuk debitur)</t>
  </si>
  <si>
    <t>Total Limit Debitur Existing</t>
  </si>
  <si>
    <t xml:space="preserve">Total Limit Debitur Tambahan  </t>
  </si>
  <si>
    <t>LBU Jenis Fasilitas</t>
  </si>
  <si>
    <t>Laba tahun berjalan</t>
  </si>
  <si>
    <t>Rata - rata saldo</t>
  </si>
  <si>
    <t>Status kepemilikan tempat usaha / rumah debitur</t>
  </si>
  <si>
    <t>Jumlah DPD lebih dari 2 minggu dalam 3 bulan terakhir</t>
  </si>
  <si>
    <t>% Rata - rata  utilisasi</t>
  </si>
  <si>
    <t>Fasilitas PAB</t>
  </si>
  <si>
    <t>Fasilitas PAB / Tenor</t>
  </si>
  <si>
    <t>00 PENGURUS - PEMILIK</t>
  </si>
  <si>
    <t>01 PEMILIK - Direktur Utama / Pres. Dir</t>
  </si>
  <si>
    <t>02 PEMILIK - Direktur</t>
  </si>
  <si>
    <t>03 PEMILIK - Komisaris Utama / Pres. Kom</t>
  </si>
  <si>
    <t>04 PEMILIK - Komisaris</t>
  </si>
  <si>
    <t>06 PEMILIK - Kuasa Direksi</t>
  </si>
  <si>
    <t>07 PEMILIK - Pemilik Bukan Pengurus</t>
  </si>
  <si>
    <t>09 PEMILIK - Masyarakat</t>
  </si>
  <si>
    <t>10 PEMILIK - Ketua Umum</t>
  </si>
  <si>
    <t>11 PEMILIK - Ketua</t>
  </si>
  <si>
    <t>12 PEMILIK - Sekretaris</t>
  </si>
  <si>
    <t>13 PEMILIK - Bendahara</t>
  </si>
  <si>
    <t>19 PEMILIK - Lainnya</t>
  </si>
  <si>
    <t>50 PENGURUS BUKAN PEMILIK</t>
  </si>
  <si>
    <t>51 BUKAN PEMILIK - Direktur Utama / Pres. Dir</t>
  </si>
  <si>
    <t>52 BUKAN PEMILIK - Direktur</t>
  </si>
  <si>
    <t>53 BUKAN PEMILIK - Komisaris Utama / Pres. Kom</t>
  </si>
  <si>
    <t>54 BUKAN PEMILIK - Komisaris</t>
  </si>
  <si>
    <t>55 BUKAN PEMILIK - Kuasa Direksi</t>
  </si>
  <si>
    <t>57 BUKAN PEMILIK - Ketua Umum</t>
  </si>
  <si>
    <t>58 BUKAN PEMILIK - Ketua</t>
  </si>
  <si>
    <t>59 BUKAN PEMILIK - Sekretaris</t>
  </si>
  <si>
    <t>60 BUKAN PEMILIK - Bendahara</t>
  </si>
  <si>
    <t>69 BUKAN PEMILIK - Lainnya</t>
  </si>
  <si>
    <t>Apakah fasilitas akan di take over oleh BTPN?</t>
  </si>
  <si>
    <r>
      <rPr>
        <b/>
        <i/>
        <sz val="10"/>
        <color indexed="8"/>
        <rFont val="Calibri"/>
        <family val="2"/>
      </rPr>
      <t>Catatan</t>
    </r>
    <r>
      <rPr>
        <i/>
        <sz val="10"/>
        <color indexed="8"/>
        <rFont val="Calibri"/>
        <family val="2"/>
      </rPr>
      <t xml:space="preserve"> : (*) No telpon yang dicantumkan harus berupa fixed line, nomor handphone / mobile phone tidak dapat diterima</t>
    </r>
  </si>
  <si>
    <t>(Tulis N/A jika sebagian besar/seluruh pembeli adalah perorangan berdasarkan jenis usahanya)</t>
  </si>
  <si>
    <t>Jumlah karyawan</t>
  </si>
  <si>
    <t>orang</t>
  </si>
  <si>
    <t>Total existing facility</t>
  </si>
  <si>
    <t>Total penambahan</t>
  </si>
  <si>
    <t>Existing + Penambahan</t>
  </si>
  <si>
    <t>No APPID</t>
  </si>
  <si>
    <t>Nama Lengkap</t>
  </si>
  <si>
    <t>Tanggal Lahir(*)/Tanggal Berdiri Perusahaan</t>
  </si>
  <si>
    <t>Fasilitas pinjaman yang ditakeover</t>
  </si>
  <si>
    <t>Fasilitas PAB yang ditakeover (thdp tenor)</t>
  </si>
  <si>
    <t>tahun</t>
  </si>
  <si>
    <t>sumber informasi terkait pengalaman usaha</t>
  </si>
  <si>
    <t>Aceh Barat Daya, Kab. - 3213</t>
  </si>
  <si>
    <t>Aceh Barat, Kab. - 3206</t>
  </si>
  <si>
    <t>Aceh Besar, Kab. - 3201</t>
  </si>
  <si>
    <t>Aceh Jaya, Kab. - 3214</t>
  </si>
  <si>
    <t>Aceh Jeumpa/Bireuen, Kab. - 3210</t>
  </si>
  <si>
    <t>Aceh Selatan, Kab. - 3205</t>
  </si>
  <si>
    <t>Aceh Singkil, Kab. - 3209</t>
  </si>
  <si>
    <t>Aceh Tamiang, Kab. - 3211</t>
  </si>
  <si>
    <t>Aceh Tengah, Kab. - 3207</t>
  </si>
  <si>
    <t>Aceh Tenggara, Kab. - 3208</t>
  </si>
  <si>
    <t>Aceh Timur, Kab. - 3204</t>
  </si>
  <si>
    <t>Aceh Utara, Kab. - 3203</t>
  </si>
  <si>
    <t>Agam, Kab. - 3401</t>
  </si>
  <si>
    <t>Alor, Kab. - 7405</t>
  </si>
  <si>
    <t>Ambon, Kota. - 8191</t>
  </si>
  <si>
    <t>Angkola Sipirok, Kab - 3320</t>
  </si>
  <si>
    <t>Asahan, Kab. - 3306</t>
  </si>
  <si>
    <t>Asmat, Kab. - 8228</t>
  </si>
  <si>
    <t>Badung, Kab. - 7204</t>
  </si>
  <si>
    <t>Balangan, Kab. - 5111</t>
  </si>
  <si>
    <t>Balikpapan, Kota. - 5492</t>
  </si>
  <si>
    <t>Banda Aceh, Kota. - 3291</t>
  </si>
  <si>
    <t>Bandar Lampung, Kota. - 3991</t>
  </si>
  <si>
    <t>Bandung Barat, Kab - 0122</t>
  </si>
  <si>
    <t>Bandung, Kab. - 0111</t>
  </si>
  <si>
    <t>Bandung, Kota. - 0191</t>
  </si>
  <si>
    <t>Bangka Barat, Kab - 3703</t>
  </si>
  <si>
    <t>Bangka Selatan, Kab - 3704</t>
  </si>
  <si>
    <t>Bangka Tengah, Kab - 3705</t>
  </si>
  <si>
    <t>Bangka, Kab. - 3701</t>
  </si>
  <si>
    <t>Bangkalan, Kab. - 1208</t>
  </si>
  <si>
    <t>Bangli, Kab. - 7207</t>
  </si>
  <si>
    <t>Banjar, Kab. - 5101</t>
  </si>
  <si>
    <t>Banjar, Kota. - 0180</t>
  </si>
  <si>
    <t>Banjarbaru, Kota. - 5192</t>
  </si>
  <si>
    <t>Banjarmasin, Kota. - 5191</t>
  </si>
  <si>
    <t>Banjarnegara, Kab. - 0917</t>
  </si>
  <si>
    <t>Bantaeng, Kab. - 6112</t>
  </si>
  <si>
    <t>Bantul, Kab. - 0501</t>
  </si>
  <si>
    <t>Banyuasin, Kab - 3613</t>
  </si>
  <si>
    <t>Banyumas, Kab. - 0914</t>
  </si>
  <si>
    <t>Banyuwangi, Kab. - 1211</t>
  </si>
  <si>
    <t>Barito Kuala, Kab. - 5107</t>
  </si>
  <si>
    <t>Barito Selatan, Kab. - 5806</t>
  </si>
  <si>
    <t>Barito Timur, Kab. - 5805</t>
  </si>
  <si>
    <t>Barito Utara, Kab. - 5808</t>
  </si>
  <si>
    <t>Barru, Kab. - 6116</t>
  </si>
  <si>
    <t>Batam, Kota - 3892</t>
  </si>
  <si>
    <t>Batang, Kab. - 0929</t>
  </si>
  <si>
    <t>Batanghari, Kab. - 3101</t>
  </si>
  <si>
    <t>Batu Bara, Kab - 3321</t>
  </si>
  <si>
    <t>Batu, Kota. - 1271</t>
  </si>
  <si>
    <t>Bau-Bau,Kota. - 6990</t>
  </si>
  <si>
    <t>Bekasi, Kab. - 0102</t>
  </si>
  <si>
    <t>Bekasi, Kota. - 0198</t>
  </si>
  <si>
    <t>Belitung Timur, Kab - 3706</t>
  </si>
  <si>
    <t>Belitung, Kab. - 3702</t>
  </si>
  <si>
    <t>Belu, Kab. - 7404</t>
  </si>
  <si>
    <t>Bengkalis, Kab. - 3502</t>
  </si>
  <si>
    <t>Bengkayang, Kab. - 5307</t>
  </si>
  <si>
    <t>Bengkulu Selatan, Kab. - 2301</t>
  </si>
  <si>
    <t>Bengkulu Utara, Kab. - 2302</t>
  </si>
  <si>
    <t>Bengkulu, Kota. - 2391</t>
  </si>
  <si>
    <t>Berau, Kab. - 5402</t>
  </si>
  <si>
    <t>Biak Numfor, Kab. - 8202</t>
  </si>
  <si>
    <t>Bima, Kab. - 7105</t>
  </si>
  <si>
    <t>Binjai, Kota. - 3392</t>
  </si>
  <si>
    <t>Bintan, Kab (d/h Kab. Kepulauan Riau - 3804</t>
  </si>
  <si>
    <t>Bitung, Kota. - 6293</t>
  </si>
  <si>
    <t>Blitar, Kab. - 1221</t>
  </si>
  <si>
    <t>Blitar, Kota. - 1296</t>
  </si>
  <si>
    <t>Blora, Kab. - 0913</t>
  </si>
  <si>
    <t>Bogor, Kab. - 0108</t>
  </si>
  <si>
    <t>Bogor, Kota. - 0192</t>
  </si>
  <si>
    <t>Bojonegoro, Kab. - 1227</t>
  </si>
  <si>
    <t>Bolaang Mongondow, Kab. - 6203</t>
  </si>
  <si>
    <t>Bolaang Mongoundow Utara, Kab. - 6210</t>
  </si>
  <si>
    <t>Bombana, Kab. - 6908</t>
  </si>
  <si>
    <t>Bondowoso, Kab. - 1209</t>
  </si>
  <si>
    <t>Bone, Kab. - 6105</t>
  </si>
  <si>
    <t>Bonebolango, Kab. - 6303</t>
  </si>
  <si>
    <t>Bontang, Kota. - 5494</t>
  </si>
  <si>
    <t>Boven Digoel, Kab. - 8226</t>
  </si>
  <si>
    <t>Boyolali, Kab. - 0924</t>
  </si>
  <si>
    <t>Brebes, Kab. - 0907</t>
  </si>
  <si>
    <t>Bualemo, Kab. - 6302</t>
  </si>
  <si>
    <t>Bukittinggi, Kota. - 3491</t>
  </si>
  <si>
    <t>Buleleng, Kab. - 7201</t>
  </si>
  <si>
    <t>Bulukumba, Kab. - 6111</t>
  </si>
  <si>
    <t>Bulungan, Kab. - 5404</t>
  </si>
  <si>
    <t>Bungo, Kab - 3112</t>
  </si>
  <si>
    <t>Buol, Kab. - 6007</t>
  </si>
  <si>
    <t>Buton Utara, Kab. - 6910</t>
  </si>
  <si>
    <t>Buton, Kab. - 6901</t>
  </si>
  <si>
    <t>Ciamis, Kab. - 0115</t>
  </si>
  <si>
    <t>Cianjur, Kab. - 0110</t>
  </si>
  <si>
    <t>Cilacap, Kab. - 0915</t>
  </si>
  <si>
    <t>Cilegon, Kota. - 0291</t>
  </si>
  <si>
    <t>Cimahi, Kota. - 0196</t>
  </si>
  <si>
    <t>Cirebon, Kab. - 0116</t>
  </si>
  <si>
    <t>Cirebon, Kota. - 0194</t>
  </si>
  <si>
    <t>Dairi, Kab. - 3307</t>
  </si>
  <si>
    <t>Deli Serdang, Kab. - 3301</t>
  </si>
  <si>
    <t>Demak, Kab. - 0903</t>
  </si>
  <si>
    <t>Denpasar, Kota. - 7291</t>
  </si>
  <si>
    <t>Depok, Kota. - 0197</t>
  </si>
  <si>
    <t>Dharmasraya, Kab. - 3411</t>
  </si>
  <si>
    <t>DI  LUAR  INDONESIA - 9999</t>
  </si>
  <si>
    <t>Dogiyai, Kab. - 8233</t>
  </si>
  <si>
    <t>Dompu, Kab. - 7106</t>
  </si>
  <si>
    <t>Donggala, Kab. - 6001</t>
  </si>
  <si>
    <t>Dumai, Kota. - 3592</t>
  </si>
  <si>
    <t>Empat Lawang - 3617</t>
  </si>
  <si>
    <t>Ende, Kab. - 7408</t>
  </si>
  <si>
    <t>Enrekang, Kab. - 6121</t>
  </si>
  <si>
    <t>Fak-Fak, Kab. - 8402</t>
  </si>
  <si>
    <t>Flores Timur, Kab. - 7406</t>
  </si>
  <si>
    <t>Garut, Kab. - 0114</t>
  </si>
  <si>
    <t>Gayo Luwes, Kab. - 3212</t>
  </si>
  <si>
    <t>Gianyar, Kab. - 7205</t>
  </si>
  <si>
    <t>Gorontalo Utara, Kab. - 6305</t>
  </si>
  <si>
    <t>Gorontalo, Kab. - 6301</t>
  </si>
  <si>
    <t>Gorontalo, Kota. - 6391</t>
  </si>
  <si>
    <t>Gowa, Kab. - 6102</t>
  </si>
  <si>
    <t>Gresik, Kab. - 1201</t>
  </si>
  <si>
    <t>Grobogan, Kab. - 0904</t>
  </si>
  <si>
    <t>Gunung Kidul, Kab. - 0503</t>
  </si>
  <si>
    <t>Gunung Mas, Kab. - 5807</t>
  </si>
  <si>
    <t>Halmahera Barat, Kab. - 8305</t>
  </si>
  <si>
    <t>Halmahera Selatan, Kab. - 8306</t>
  </si>
  <si>
    <t>Halmahera Tengah, Kab. - 8302</t>
  </si>
  <si>
    <t>Halmahera Timur, Kab. - 8304</t>
  </si>
  <si>
    <t>Halmahera Utara, Kab. - 8303</t>
  </si>
  <si>
    <t>Hulu Sungai Selatan, Kab. - 5104</t>
  </si>
  <si>
    <t>Hulu Sungai Tengah, Kab. - 5105</t>
  </si>
  <si>
    <t>Hulu Sungai Utara, Kab. - 5106</t>
  </si>
  <si>
    <t>Humbang Hasundutan, Kab - 3316</t>
  </si>
  <si>
    <t>Indragiri Hilir, Kab. - 3505</t>
  </si>
  <si>
    <t>Indragiri Hulu, Kab. - 3504</t>
  </si>
  <si>
    <t>Indramayu, Kab. - 0118</t>
  </si>
  <si>
    <t>Jakarta Barat, Wil. Kota - 0393</t>
  </si>
  <si>
    <t>Jakarta Pusat, Wil. Kota - 0391</t>
  </si>
  <si>
    <t>Jakarta Selatan, Wil. Kota - 0394</t>
  </si>
  <si>
    <t>Jakarta Timur, Wil. Kota - 0395</t>
  </si>
  <si>
    <t>Jakarta Utara ., Wil. Kota - 0392</t>
  </si>
  <si>
    <t>Jambi, Kota. - 3191</t>
  </si>
  <si>
    <t>Jayapura, Kab. - 8201</t>
  </si>
  <si>
    <t>Jayapura, Kota. - 8291</t>
  </si>
  <si>
    <t>Jayawijaya, Kab. - 8213</t>
  </si>
  <si>
    <t>Jember, Kab. - 1212</t>
  </si>
  <si>
    <t>Jembrana, Kab. - 7202</t>
  </si>
  <si>
    <t>Jeneponto, Kab. - 6113</t>
  </si>
  <si>
    <t>Jepara, Kab. - 0911</t>
  </si>
  <si>
    <t>Jombang, Kab. - 1204</t>
  </si>
  <si>
    <t>Kaimana, Kab. - 8406</t>
  </si>
  <si>
    <t>Kampar, Kab. - 3501</t>
  </si>
  <si>
    <t>Kapuas Hulu, Kab. - 5306</t>
  </si>
  <si>
    <t>Kapuas, Kab. - 5801</t>
  </si>
  <si>
    <t>Karanganyar, Kab. - 0927</t>
  </si>
  <si>
    <t>Karangasem, Kab. - 7208</t>
  </si>
  <si>
    <t>Karawang, Kab. - 0106</t>
  </si>
  <si>
    <t>Karimun, Kab - 3801</t>
  </si>
  <si>
    <t>Karo, Kab. - 3303</t>
  </si>
  <si>
    <t>Katingan, Kab. - 5811</t>
  </si>
  <si>
    <t>Kaur, Kab - 2308</t>
  </si>
  <si>
    <t>Kayong Utara, Kab. - 5311</t>
  </si>
  <si>
    <t>Kebumen, Kab. - 0922</t>
  </si>
  <si>
    <t>Kediri, Kab. - 1217</t>
  </si>
  <si>
    <t>Kediri, Kota. - 1297</t>
  </si>
  <si>
    <t>Keerom, Kab. - 8218</t>
  </si>
  <si>
    <t>Kendal, Kab. - 0902</t>
  </si>
  <si>
    <t>Kendari, Kota. - 6991</t>
  </si>
  <si>
    <t>Kepahiang, Kab - 2305</t>
  </si>
  <si>
    <t>Kepulauan Aru, Kota. - 8107</t>
  </si>
  <si>
    <t>Kepulauan Mentawai, Kab. - 3409</t>
  </si>
  <si>
    <t>Kepulauan Seribu, Wilayah - 0396</t>
  </si>
  <si>
    <t>Kepulauan Sitaro, Kab. - 6211</t>
  </si>
  <si>
    <t>Kepulauan Sula, Kab. - 8307</t>
  </si>
  <si>
    <t>kepulauan Talaud, Kab. - 6205</t>
  </si>
  <si>
    <t>Kerinci, Kab. - 3105</t>
  </si>
  <si>
    <t>Ketapang, Kab. - 5303</t>
  </si>
  <si>
    <t>Klaten, Kab. - 0923</t>
  </si>
  <si>
    <t>Klungkung, Kab. - 7206</t>
  </si>
  <si>
    <t>Kolaka Utara, Kab. - 6909</t>
  </si>
  <si>
    <t>Kolaka, Kab. - 6904</t>
  </si>
  <si>
    <t>Konawe Selatan, Kab. - 6907</t>
  </si>
  <si>
    <t>Konawe Utara, Kab. - 6911</t>
  </si>
  <si>
    <t>Konawe, Kab. - 6906</t>
  </si>
  <si>
    <t>Kota Baru, Kab. - 5108</t>
  </si>
  <si>
    <t>Kota Gunung Sitoli - 3397</t>
  </si>
  <si>
    <t>Kota Sungai Penuh - 3192</t>
  </si>
  <si>
    <t>Kota Tangerang Selatan - 0294</t>
  </si>
  <si>
    <t>Kota. Bima - 7192</t>
  </si>
  <si>
    <t>Kota. Tomohon - 6294</t>
  </si>
  <si>
    <t>Kotamobagu, Kota. - 6292</t>
  </si>
  <si>
    <t>Kotawaringin Barat, Kab. - 5802</t>
  </si>
  <si>
    <t>Kotawaringin Timur, Kab. - 5803</t>
  </si>
  <si>
    <t>Kuantan Singingi, Kab. - 3512</t>
  </si>
  <si>
    <t>Kubu Raya, Kab. - 5312</t>
  </si>
  <si>
    <t>Kudus, Kab. - 0909</t>
  </si>
  <si>
    <t>Kulon Progo, Kab. - 0504</t>
  </si>
  <si>
    <t>Kuningan, Kab. - 0117</t>
  </si>
  <si>
    <t>Kupang, Kab. - 7401</t>
  </si>
  <si>
    <t>Kupang, Kota. - 7491</t>
  </si>
  <si>
    <t>Kutai Barat, Kab. - 5405</t>
  </si>
  <si>
    <t>Kutai Kartanegara, Kab. - 5401</t>
  </si>
  <si>
    <t>Kutai Timur, Kab. - 5406</t>
  </si>
  <si>
    <t>Labuhan Batu, Kab. - 3305</t>
  </si>
  <si>
    <t>Lahat, Kab. - 3609</t>
  </si>
  <si>
    <t>Lamandau, Kab. - 5813</t>
  </si>
  <si>
    <t>Lamongan, Kab. - 1229</t>
  </si>
  <si>
    <t>Lampung Barat, Kab. - 3904</t>
  </si>
  <si>
    <t>Lampung Selatan, Kab. - 3901</t>
  </si>
  <si>
    <t>Lampung Tengah, Kab. - 3902</t>
  </si>
  <si>
    <t>Lampung Timur, Kab. - 3907</t>
  </si>
  <si>
    <t>Lampung Utara, Kab. - 3903</t>
  </si>
  <si>
    <t>Landak, Kab. - 5308</t>
  </si>
  <si>
    <t>Langkat, Kab. - 3302</t>
  </si>
  <si>
    <t>Langsa, Kota. - 3294</t>
  </si>
  <si>
    <t>Lanny Jaya, Kab. - 8234</t>
  </si>
  <si>
    <t>Lebak, Kab. - 0201</t>
  </si>
  <si>
    <t>Lebong, Kab - 2304</t>
  </si>
  <si>
    <t>Lematang Ilir Ogan Tengah (Muara Enim), Kab. - 3608</t>
  </si>
  <si>
    <t>Lembata, Kab. - 7413</t>
  </si>
  <si>
    <t>Lhokseumawe, Kota. - 3293</t>
  </si>
  <si>
    <t>Limapuluh Koto, Kab. - 3403</t>
  </si>
  <si>
    <t>Lingga, Kab - 3802</t>
  </si>
  <si>
    <t>Lombok Barat, Kab. - 7101</t>
  </si>
  <si>
    <t>Lombok Tengah, Kab. - 7102</t>
  </si>
  <si>
    <t>Lombok Timur, Kab. - 7103</t>
  </si>
  <si>
    <t>Lubuklinggau, Kota. - 3693</t>
  </si>
  <si>
    <t>Lumajang, Kab. - 1216</t>
  </si>
  <si>
    <t>Luwu Utara, Kab. - 6124</t>
  </si>
  <si>
    <t>Luwu, Kab. - 6109</t>
  </si>
  <si>
    <t>Madiun, Kab. - 1222</t>
  </si>
  <si>
    <t>Madiun, Kota. - 1298</t>
  </si>
  <si>
    <t>Magelang, Kab. - 0918</t>
  </si>
  <si>
    <t>Magelang, Kota. - 0995</t>
  </si>
  <si>
    <t>Magetan, Kab. - 1224</t>
  </si>
  <si>
    <t>Majalengka, Kab. - 0119</t>
  </si>
  <si>
    <t>Majene, Kab. - 6402</t>
  </si>
  <si>
    <t>Makassar, Kota. - 6191</t>
  </si>
  <si>
    <t>Malang, Kab. - 1213</t>
  </si>
  <si>
    <t>Malang, Kota. - 1293</t>
  </si>
  <si>
    <t>Malinau, Kab. - 5410</t>
  </si>
  <si>
    <t>Maluku Tengah, Kab. - 8101</t>
  </si>
  <si>
    <t>Maluku Tenggara Barat, Kab. - 8103</t>
  </si>
  <si>
    <t>Maluku Tenggara, Kab. - 8102</t>
  </si>
  <si>
    <t>Mamasa, Kab. - 6403</t>
  </si>
  <si>
    <t>Mamberamo Raya, Kab. - 8232</t>
  </si>
  <si>
    <t>Mamberamo Tengah, Kab. - 8235</t>
  </si>
  <si>
    <t>Mamuju Utara, Kab. - 6404</t>
  </si>
  <si>
    <t>Mamuju, Kota. - 6491</t>
  </si>
  <si>
    <t>Mandailing Natal, Kab. - 3314</t>
  </si>
  <si>
    <t>Manggarai Barat, Kab. - 7415</t>
  </si>
  <si>
    <t>Manggarai Timur, Kab. - 7418</t>
  </si>
  <si>
    <t>Manggarai, Kab. - 7410</t>
  </si>
  <si>
    <t>Manokwari, Kab. - 8403</t>
  </si>
  <si>
    <t>Mappi, Kab. - 8227</t>
  </si>
  <si>
    <t>Maros, Kab. - 6107</t>
  </si>
  <si>
    <t>Mataram, Kota. - 7191</t>
  </si>
  <si>
    <t>Medan, Kota. - 3396</t>
  </si>
  <si>
    <t>Melawi, Kab.. - 5310</t>
  </si>
  <si>
    <t>Menado, Kota. - 6291</t>
  </si>
  <si>
    <t>Merangin, Kab. - 3111</t>
  </si>
  <si>
    <t>Merauke, Kab. - 8211</t>
  </si>
  <si>
    <t>Metro, Kota. - 3992</t>
  </si>
  <si>
    <t>Mimika, Kab. - 8215</t>
  </si>
  <si>
    <t>Minahasa Selatan, Kab. - 6206</t>
  </si>
  <si>
    <t>Minahasa Tenggara, Kab. - 6209</t>
  </si>
  <si>
    <t>Minahasa Utara, Kab. - 6207</t>
  </si>
  <si>
    <t>Minahasa, Kab. - 6202</t>
  </si>
  <si>
    <t>Mojokerto, Kab. - 1203</t>
  </si>
  <si>
    <t>Mojokerto, Kota. - 1292</t>
  </si>
  <si>
    <t>Morowali, Kab. - 6006</t>
  </si>
  <si>
    <t>Muaro Jambi, Kab. - 3106</t>
  </si>
  <si>
    <t>Mukomuko, Kab - 2306</t>
  </si>
  <si>
    <t>Muna, Kab. - 6903</t>
  </si>
  <si>
    <t>Murung Raya, Kab. - 5804</t>
  </si>
  <si>
    <t>Musi Banyuasin, Kab. - 3606</t>
  </si>
  <si>
    <t>Musi Rawas, Kab. - 3610</t>
  </si>
  <si>
    <t>Nabire, Kab. - 8214</t>
  </si>
  <si>
    <t>Nagan Raya, Kab. - 3215</t>
  </si>
  <si>
    <t>Nagekeo, Kab. - 7419</t>
  </si>
  <si>
    <t>Natuna, Kab - 3803</t>
  </si>
  <si>
    <t>Nduga Tengah, Kab. - 8236</t>
  </si>
  <si>
    <t>Ngada, Kab. - 7409</t>
  </si>
  <si>
    <t>Nganjuk, Kab. - 1218</t>
  </si>
  <si>
    <t>Ngawi, Kab. - 1223</t>
  </si>
  <si>
    <t>Nias Selatan, Kab - 3315</t>
  </si>
  <si>
    <t>Nias, Kab. - 3311</t>
  </si>
  <si>
    <t>Nunukan, Kab. - 5409</t>
  </si>
  <si>
    <t>Ogan Ilir, Kab - 3616</t>
  </si>
  <si>
    <t>Ogan Komering Ilir, Kab. - 3611</t>
  </si>
  <si>
    <t>Ogan Komering Ulu Selatan, Kab - 3614</t>
  </si>
  <si>
    <t>Ogan Komering Ulu Timur, Kab - 3615</t>
  </si>
  <si>
    <t>Ogan Komering Ulu, Kab. - 3607</t>
  </si>
  <si>
    <t>Pacitan, Kab. - 1226</t>
  </si>
  <si>
    <t>Padang Lawas Utara, Kab - 3323</t>
  </si>
  <si>
    <t>Padang Lawas, Kab - 3322</t>
  </si>
  <si>
    <t>Padang Panjang, Kota. - 3494</t>
  </si>
  <si>
    <t>Padang Pariaman, Kab. - 3405</t>
  </si>
  <si>
    <t>Padang Sidempuan, Kota. - 3399</t>
  </si>
  <si>
    <t>Padang, Kota. - 3492</t>
  </si>
  <si>
    <t>Pagar Alam, Kota. - 3697</t>
  </si>
  <si>
    <t>Pakpak Barat, Kab - 3317</t>
  </si>
  <si>
    <t>Palangkaraya, Kota. - 5892</t>
  </si>
  <si>
    <t>Palembang, Kota. - 3691</t>
  </si>
  <si>
    <t>Palopo, Kota. - 6193</t>
  </si>
  <si>
    <t>Palu, Kota. - 6091</t>
  </si>
  <si>
    <t>Pamekasan, Kab. - 1206</t>
  </si>
  <si>
    <t>Pandeglang, Kab. - 0202</t>
  </si>
  <si>
    <t>Pangkajene Kepulauan, Kab. - 6118</t>
  </si>
  <si>
    <t>Pangkal Pinang, Kota. - 3791</t>
  </si>
  <si>
    <t>Paniai, Kab. - 8212</t>
  </si>
  <si>
    <t>Pare-Pare, Kota. - 6192</t>
  </si>
  <si>
    <t>Pariaman, Kota. - 3497</t>
  </si>
  <si>
    <t>Parigi Moutong, Kab. - 6009</t>
  </si>
  <si>
    <t>Parimo/Banggai, Kab. - 6003</t>
  </si>
  <si>
    <t>Pasaman Barat, Kab - 3410</t>
  </si>
  <si>
    <t>Pasaman, Kab. - 3402</t>
  </si>
  <si>
    <t>Pasir, Kab. - 5403</t>
  </si>
  <si>
    <t>Pasuruan, Kab. - 1214</t>
  </si>
  <si>
    <t>Pasuruan, Kota. - 1294</t>
  </si>
  <si>
    <t>Pati, Kab. - 0908</t>
  </si>
  <si>
    <t>Payakumbuh, Kota. - 3496</t>
  </si>
  <si>
    <t>Pegunungan Bintang, Kab. - 8221</t>
  </si>
  <si>
    <t>Pekalongan, Kab. - 0905</t>
  </si>
  <si>
    <t>Pekalongan, Kota. - 0993</t>
  </si>
  <si>
    <t>Pekanbaru, Kota. - 3591</t>
  </si>
  <si>
    <t>Pelalawan, Kab. - 3510</t>
  </si>
  <si>
    <t>Pemalang, Kab. - 0910</t>
  </si>
  <si>
    <t>Pematang Siantar, Kota. - 3393</t>
  </si>
  <si>
    <t>Penajam Paser Utara, Kab. - 5411</t>
  </si>
  <si>
    <t>Pesawaran, Kab - 3909</t>
  </si>
  <si>
    <t>Pesisir Selatan, Kab. - 3406</t>
  </si>
  <si>
    <t>Pide Jaya, Kab - 3218</t>
  </si>
  <si>
    <t>Pidie, Kab. - 3202</t>
  </si>
  <si>
    <t>Pinrang, Kab. - 6101</t>
  </si>
  <si>
    <t>Pohuwato, Kab. - 6304</t>
  </si>
  <si>
    <t>Polewali Mandar, Kab. - 6401</t>
  </si>
  <si>
    <t>Ponorogo, Kab. - 1225</t>
  </si>
  <si>
    <t>Pontianak, Kab. - 5301</t>
  </si>
  <si>
    <t>Pontianak, Kota. - 5391</t>
  </si>
  <si>
    <t>Poso, Kab. - 6002</t>
  </si>
  <si>
    <t>Prabumulih, Kota. - 3694</t>
  </si>
  <si>
    <t>Probolinggo, Kab. - 1215</t>
  </si>
  <si>
    <t>Probolinggo, Kota. - 1295</t>
  </si>
  <si>
    <t>Pulang Pisau, Kab. - 5809</t>
  </si>
  <si>
    <t>Puncak Jaya, Kab. - 8216</t>
  </si>
  <si>
    <t>Puncak, Kab. - 8238</t>
  </si>
  <si>
    <t>Purbalingga, Kab. - 0916</t>
  </si>
  <si>
    <t>Purwakarta, Kab. - 0103</t>
  </si>
  <si>
    <t>Purworejo, Kab. - 0921</t>
  </si>
  <si>
    <t>Raja Ampat, Kab. - 8405</t>
  </si>
  <si>
    <t>Rejang Lebong, Kab. - 2303</t>
  </si>
  <si>
    <t>Rembang, Kab. - 0912</t>
  </si>
  <si>
    <t>Rokan Hilir, Kab. - 3509</t>
  </si>
  <si>
    <t>Rokan Hulu, Kab. - 3508</t>
  </si>
  <si>
    <t>Rote, Kab. - 7414</t>
  </si>
  <si>
    <t>Sabang, Kota. - 3292</t>
  </si>
  <si>
    <t>Salatiga, Kota. - 0992</t>
  </si>
  <si>
    <t>Samarinda, Kota. - 5491</t>
  </si>
  <si>
    <t>Sambas, Kab. - 5302</t>
  </si>
  <si>
    <t>Samosir, Kab - 3318</t>
  </si>
  <si>
    <t>Sampang, Kab. - 1205</t>
  </si>
  <si>
    <t>Sanggau, Kab. - 5304</t>
  </si>
  <si>
    <t>Sangihe, Kab. - 6204</t>
  </si>
  <si>
    <t>Sarmi, Kab. - 8217</t>
  </si>
  <si>
    <t>Sarolangun, Kab. - 3104</t>
  </si>
  <si>
    <t>Sawahlunto, Kota. - 3493</t>
  </si>
  <si>
    <t>Sekadau, Kab. - 5309</t>
  </si>
  <si>
    <t>Selayar, Kab. - 6114</t>
  </si>
  <si>
    <t>Seluma, Kab - 2307</t>
  </si>
  <si>
    <t>Semarang, Kab. - 0901</t>
  </si>
  <si>
    <t>Semarang, Kota. - 0991</t>
  </si>
  <si>
    <t>Seram Bagian Barat, Kota. - 8105</t>
  </si>
  <si>
    <t>Seram Bagian Timur, Kota. - 8106</t>
  </si>
  <si>
    <t>Serang, Kab. - 0203</t>
  </si>
  <si>
    <t>Serang. Kota. - 0293</t>
  </si>
  <si>
    <t>Serdang Bedagai, Kab - 3319</t>
  </si>
  <si>
    <t>Seruyan, Kab. - 5810</t>
  </si>
  <si>
    <t>Siak, Kab. - 3511</t>
  </si>
  <si>
    <t>Sibolga, Kota. - 3395</t>
  </si>
  <si>
    <t>Sidenreng Rappang, Kab. - 6117</t>
  </si>
  <si>
    <t>Sidoarjo, Kab. - 1202</t>
  </si>
  <si>
    <t>Sikka, Kab. - 7407</t>
  </si>
  <si>
    <t>Simalungun, Kab. - 3304</t>
  </si>
  <si>
    <t>Singkawang, Kota. - 5392</t>
  </si>
  <si>
    <t>Sinjai, Kab. - 6110</t>
  </si>
  <si>
    <t>Sintang, Kab. - 5305</t>
  </si>
  <si>
    <t>Situbondo, Kab. - 1230</t>
  </si>
  <si>
    <t>Sleman, Kab. - 0502</t>
  </si>
  <si>
    <t>Solok Selatan, Kab. - 3404</t>
  </si>
  <si>
    <t>Solok, Kab - 3412</t>
  </si>
  <si>
    <t>Solok, Kota. - 3495</t>
  </si>
  <si>
    <t>Sorong selatan, Kab. - 8404</t>
  </si>
  <si>
    <t>Sorong, Kab. - 8401</t>
  </si>
  <si>
    <t>Sorong, Kota. - 8491</t>
  </si>
  <si>
    <t>Sragen, Kab. - 0925</t>
  </si>
  <si>
    <t>Subang, Kab. - 0121</t>
  </si>
  <si>
    <t>Subulussalam - 3219</t>
  </si>
  <si>
    <t>Sukabumi, Kab. - 0109</t>
  </si>
  <si>
    <t>Sukabumi, Kota. - 0193</t>
  </si>
  <si>
    <t>Sukamara, Kab. - 5812</t>
  </si>
  <si>
    <t>Sukoharjo, Kab. - 0926</t>
  </si>
  <si>
    <t>Sumba Barat Daya, Kab. - 7417</t>
  </si>
  <si>
    <t>Sumba Barat, Kab. - 7412</t>
  </si>
  <si>
    <t>Sumba Tengah, Kab. - 7416</t>
  </si>
  <si>
    <t>Sumba Timur, Kab. - 7411</t>
  </si>
  <si>
    <t>Sumbawa Barat, Kab. - 7107</t>
  </si>
  <si>
    <t>Sumbawa, Kab. - 7104</t>
  </si>
  <si>
    <t>Sumedang, Kab. - 0112</t>
  </si>
  <si>
    <t>Sumenep, Kab. - 1207</t>
  </si>
  <si>
    <t>Supiori,Kab. - 8231</t>
  </si>
  <si>
    <t>Surabaya, Kota. - 1291</t>
  </si>
  <si>
    <t>Surakarta, Kota. - 0996</t>
  </si>
  <si>
    <t>Tabalong, Kab. - 5109</t>
  </si>
  <si>
    <t>Tabanan, Kab. - 7203</t>
  </si>
  <si>
    <t>Takalar, Kab. - 6115</t>
  </si>
  <si>
    <t>Tana Tidung, Kab. - 5412</t>
  </si>
  <si>
    <t>Tana Toraja, Kab. - 6106</t>
  </si>
  <si>
    <t>Tanah Bumbu, Kab. - 5110</t>
  </si>
  <si>
    <t>Tanah Datar, Kab. - 3407</t>
  </si>
  <si>
    <t>Tanah Laut, Kab. - 5102</t>
  </si>
  <si>
    <t>Tangerang, Kab. - 0204</t>
  </si>
  <si>
    <t>Tangerang, Kota. - 0292</t>
  </si>
  <si>
    <t>Tanggamus, Kab. - 3906</t>
  </si>
  <si>
    <t>Tanjung Balai, Kota. - 3394</t>
  </si>
  <si>
    <t>Tanjung Jabung Barat, Kab. - 3107</t>
  </si>
  <si>
    <t>Tanjung Jabung Timur, Kab. - 3108</t>
  </si>
  <si>
    <t>Tanjungpinang, Kota - 3891</t>
  </si>
  <si>
    <t>Tapanuli Selatan, Kab. - 3310</t>
  </si>
  <si>
    <t>Tapanuli Tengah, Kab. - 3309</t>
  </si>
  <si>
    <t>Tapanuli Utara, Kab. - 3308</t>
  </si>
  <si>
    <t>Tapin, Kab. - 5103</t>
  </si>
  <si>
    <t>Tarakan, Kota. - 5493</t>
  </si>
  <si>
    <t>Tasikmalaya, Kab. - 0113</t>
  </si>
  <si>
    <t>Tasikmalaya, Kota. - 0195</t>
  </si>
  <si>
    <t>Tebing Tinggi, Kota. - 3391</t>
  </si>
  <si>
    <t>Tebo, Kab. - 3109</t>
  </si>
  <si>
    <t>Tegal, Kab. - 0906</t>
  </si>
  <si>
    <t>Tegal, Kota. - 0994</t>
  </si>
  <si>
    <t>Teluk Bintuni, Kab. - 8407</t>
  </si>
  <si>
    <t>Teluk Wondama, Kab. - 8408</t>
  </si>
  <si>
    <t>Temanggung, Kab. - 0919</t>
  </si>
  <si>
    <t>Ternate, Kota. - 8390</t>
  </si>
  <si>
    <t>Tidore Kepulauan, Kota. - 8391</t>
  </si>
  <si>
    <t>Timor-Tengah Selatan, Kab. - 7402</t>
  </si>
  <si>
    <t>Timor-Tengah Utara, Kab. - 7403</t>
  </si>
  <si>
    <t>Toba Samosir, Kab. - 3313</t>
  </si>
  <si>
    <t>Tojo Una-Una, Kab. - 6008</t>
  </si>
  <si>
    <t>Tolikara, Kab. - 8223</t>
  </si>
  <si>
    <t>Toli-Toli, Kab. - 6004</t>
  </si>
  <si>
    <t>Trenggalek, Kab. - 1220</t>
  </si>
  <si>
    <t>Tual, Kota. - 8192</t>
  </si>
  <si>
    <t>Tuban, Kab. - 1228</t>
  </si>
  <si>
    <t>Tulang Bawang, Kab. - 3905</t>
  </si>
  <si>
    <t>Tulungagung, Kab. - 1219</t>
  </si>
  <si>
    <t>Wajo, Kab. - 6103</t>
  </si>
  <si>
    <t>Wakatobi, Kab. - 6905</t>
  </si>
  <si>
    <t>Waropen, Kab. - 8224</t>
  </si>
  <si>
    <t>Way Kanan, Kab. - 3908</t>
  </si>
  <si>
    <t>Wonogiri, Kab. - 0928</t>
  </si>
  <si>
    <t>Wonosobo, Kab. - 0920</t>
  </si>
  <si>
    <t>Yahukimo, Kab. - 8222</t>
  </si>
  <si>
    <t>Yalimo, Kab. - 8237</t>
  </si>
  <si>
    <t>Yapen-Waropen, Kab. - 8210</t>
  </si>
  <si>
    <t>Yogyakarta, Kota. - 0591</t>
  </si>
  <si>
    <t>Dati II Pengurus</t>
  </si>
  <si>
    <t>Buru, Kab - 8104</t>
  </si>
  <si>
    <t>Anambas, Kab - 3805</t>
  </si>
  <si>
    <t>Bangka Belitung, Kab - 3707</t>
  </si>
  <si>
    <t>Bener Meriah, Kab - 3217</t>
  </si>
  <si>
    <t>Bengkulu Tengah, Kab - 2309</t>
  </si>
  <si>
    <t>Bolaang Mongondow Selatan, Kab - 6212</t>
  </si>
  <si>
    <t>Bolaang Mongondow Timur, Kab - 6213</t>
  </si>
  <si>
    <t>Buru Selatan, Kab - 8109</t>
  </si>
  <si>
    <t>Deiyai, Kab - 8240</t>
  </si>
  <si>
    <t>Intan Jaya, Kab - 8239</t>
  </si>
  <si>
    <t>Kepulauan Meranti, Kab - 3513</t>
  </si>
  <si>
    <t>Labuanbatu Selatan, Kab - 3324</t>
  </si>
  <si>
    <t>Labuanbatu Utara, Kab - 3325</t>
  </si>
  <si>
    <t>Lombok Utara, Kab - 7108</t>
  </si>
  <si>
    <t>Luwu Timur, Kab (d/h Luwu Selatan) - 6122</t>
  </si>
  <si>
    <t>Maluku Barat Daya, Kab - 8108</t>
  </si>
  <si>
    <t>Maybrat, Kab - 8410</t>
  </si>
  <si>
    <t>Mesuji, Kab - 3912</t>
  </si>
  <si>
    <t>Nias Barat, Kab - 3326</t>
  </si>
  <si>
    <t>Nias Utara, Kab - 3327</t>
  </si>
  <si>
    <t>Pringsewu, Kab - 3910</t>
  </si>
  <si>
    <t>Pulau Morotai, Kab - 8308</t>
  </si>
  <si>
    <t>Sabu Raijua, Kab - 7420</t>
  </si>
  <si>
    <t>Sigi, Kab - 6010</t>
  </si>
  <si>
    <t>Sijunjung, Kab - 3408</t>
  </si>
  <si>
    <t>Simeuleu, Kab - 3216</t>
  </si>
  <si>
    <t>Soppeng, Kab (d/h Watansoppeng) - 6119</t>
  </si>
  <si>
    <t>Tembrauw, Kab - 8409</t>
  </si>
  <si>
    <t>Toraja Utara, Kab - 6125</t>
  </si>
  <si>
    <t>Tulang Bawang Barat, Kab - 3911</t>
  </si>
  <si>
    <t>Banggai Kepulauan, Kab - 6005</t>
  </si>
  <si>
    <t>00 - Pengurus - Pemilik</t>
  </si>
  <si>
    <t>01 - Direktur Utama / Pres. Dir (Pemilik)</t>
  </si>
  <si>
    <t>02 - Direktur (Pemilik)</t>
  </si>
  <si>
    <t>03 -  Komisaris Utama / Pres. Kom (Pemilik)</t>
  </si>
  <si>
    <t>04 -  Komisaris (Pemilik)</t>
  </si>
  <si>
    <t>06 - Kuasa Direksi (Pemilik)</t>
  </si>
  <si>
    <t>07 - Pemilik Bukan Pengurus</t>
  </si>
  <si>
    <t>09 - Masyarakat (Pemilik)</t>
  </si>
  <si>
    <t>10 - Ketua Umum (Pemilik)</t>
  </si>
  <si>
    <t>11 - Ketua (Pemilik)</t>
  </si>
  <si>
    <t>12 - Sekretaris (Pemilik)</t>
  </si>
  <si>
    <t>13 - Bendahara (Pemilik)</t>
  </si>
  <si>
    <t>19 - Lainnya (Pemilik)</t>
  </si>
  <si>
    <t>50 - Pengurus Bukan Pemilik</t>
  </si>
  <si>
    <t>51 - Direktur Utama / Pres. Dir (Bukan Pemilik)</t>
  </si>
  <si>
    <t>52 - Direktur (Bukan Pemilik)</t>
  </si>
  <si>
    <t>53 - Komisaris Utama / Pres. Kom (Bukan Pemilik)</t>
  </si>
  <si>
    <t>54 - Komisaris (Bukan Pemilik)</t>
  </si>
  <si>
    <t>55 - Kuasa Direksi (Bukan Pemilik)</t>
  </si>
  <si>
    <t>57 - Ketua Umum (Bukan Pemilik)</t>
  </si>
  <si>
    <t>58 - Ketua (Bukan Pemilik)</t>
  </si>
  <si>
    <t>59 - Sekretaris (Bukan Pemilik)</t>
  </si>
  <si>
    <t>60 - Bendahara (Bukan Pemilik)</t>
  </si>
  <si>
    <t>69 - Lainnya (Bukan Pemilik)</t>
  </si>
  <si>
    <r>
      <t xml:space="preserve">Catatan : </t>
    </r>
    <r>
      <rPr>
        <i/>
        <sz val="10"/>
        <color indexed="8"/>
        <rFont val="Calibri"/>
        <family val="2"/>
      </rPr>
      <t>(*) Tidak berlaku untuk produk treasury</t>
    </r>
  </si>
  <si>
    <r>
      <t>DATA PENGURUS (</t>
    </r>
    <r>
      <rPr>
        <b/>
        <i/>
        <sz val="11"/>
        <color indexed="8"/>
        <rFont val="Calibri"/>
        <family val="2"/>
      </rPr>
      <t>hanya untuk debitur non perorangan</t>
    </r>
    <r>
      <rPr>
        <b/>
        <sz val="12"/>
        <color indexed="8"/>
        <rFont val="Calibri"/>
        <family val="2"/>
      </rPr>
      <t>)</t>
    </r>
  </si>
  <si>
    <t>Jaminan akan dinilai oleh kami setiap 18 (delapan belas) bulan sesuai dengan ketentuan Bank Indonesia dan seluruh biaya yang berkaitan dengan hal tersebut menjadi tanggung jawab debitur</t>
  </si>
  <si>
    <t>Penandatanganan Akta Perjanjian Kredit dilakukan secara notariil / unnotariil *)</t>
  </si>
  <si>
    <r>
      <t>&lt;&lt;Sembunyikan (</t>
    </r>
    <r>
      <rPr>
        <i/>
        <sz val="11"/>
        <color indexed="8"/>
        <rFont val="Calibri"/>
        <family val="2"/>
      </rPr>
      <t>hide</t>
    </r>
    <r>
      <rPr>
        <sz val="11"/>
        <color theme="1"/>
        <rFont val="Calibri"/>
        <family val="2"/>
        <scheme val="minor"/>
      </rPr>
      <t>) bagian - bagian yang dianggap tidak perlu atau tambahkan hal - hal yang dianggap perlu dalam surat penawaran ini&gt;&gt;
*) Coret yang tidak perlu</t>
    </r>
  </si>
  <si>
    <t>001110 - Rumah Tangga untuk Pemilikan Rumah Tinggal s.d. Tipe 21</t>
  </si>
  <si>
    <t>001120 - Rumah Tangga untuk Pemilikan Rumah Tinggal Tipe 22 s.d. 70</t>
  </si>
  <si>
    <t>001130 - Rumah Tangga untuk Pemilikan Rumah Tinggal Tipe Diatas 70</t>
  </si>
  <si>
    <t>001210 - Rumah Tangga untuk Pemilikan Flat atau Apartemen s.d. Tipe 21</t>
  </si>
  <si>
    <t>001220 - Rumah Tangga untuk Pemilikan Flat atau Apartemen Tipe 22 s.d. 70</t>
  </si>
  <si>
    <t>001230 - Rumah Tangga untuk Pemilikan Flat atau Apartemen Tipe Diatas 70</t>
  </si>
  <si>
    <t>001300 - Rumah Tangga untuk Pemilikan Rumah Toko (Ruko) atau Rumah Kantor (Rukan)</t>
  </si>
  <si>
    <t>002100 - Rumah Tangga untuk Pemilikan Mobil Roda Empat</t>
  </si>
  <si>
    <t>002200 - Rumah Tangga untuk Pemilikan Sepeda Bermotor</t>
  </si>
  <si>
    <t>002300 - Rumah Tangga untuk Pemilikan Truk dan Kendaraan Bermotor Roda Enam atau Lebih</t>
  </si>
  <si>
    <t>002900 - Rumah Tangga untuk Pemilikan Kendaraan Bermotor Lainnya</t>
  </si>
  <si>
    <t>003100 - Rumah Tangga untuk Pemilikan Furnitur dan Peralatan Rumah Tangga</t>
  </si>
  <si>
    <t>003200 - Rumah Tangga untuk Pemilikan Televisi, Radio, dan Alat Elektronik</t>
  </si>
  <si>
    <t>003300 - Rumah Tangga untuk Pemilikan Komputer dan Alat Komunikasi</t>
  </si>
  <si>
    <t>003900 - Rumah Tangga untuk Pemilikan Peralatan Lainnya</t>
  </si>
  <si>
    <t>004100 - Rumah Tangga untuk Keperluan Multiguna</t>
  </si>
  <si>
    <t xml:space="preserve">004900 - Rumah Tangga untuk Keperluan yang Tidak Diklasifikasikan di Tempat Lain </t>
  </si>
  <si>
    <t>009000 - Bukan Lapangan Usaha Lainnya</t>
  </si>
  <si>
    <t xml:space="preserve">011110 - Pertanian Padi </t>
  </si>
  <si>
    <t>011121 - Pertanian Palawija Jagung</t>
  </si>
  <si>
    <t>011122 - Pertanian Palawija Ketela pohon</t>
  </si>
  <si>
    <t>011123 - Pertanian Palawija Ubi jalar</t>
  </si>
  <si>
    <t>011124 - Pertanian Palawija Umbi-umbian lainnya</t>
  </si>
  <si>
    <t>011125 - Pertanian Palawija Kacang tanah</t>
  </si>
  <si>
    <t>011126 - Pertanian Palawija Kedele</t>
  </si>
  <si>
    <t>011129 - Pertanian Palawija Kacang-kacangan lainnya</t>
  </si>
  <si>
    <t xml:space="preserve">011130 - Perkebunan Tebu dan Tanaman Pemanis Lainnya </t>
  </si>
  <si>
    <t xml:space="preserve">011140 - Perkebunan Tembakau </t>
  </si>
  <si>
    <t xml:space="preserve">011150 - Perkebunan Karet dan Penghasil Getah Lainnya </t>
  </si>
  <si>
    <t xml:space="preserve">011160 - Perkebunan Tanaman Bahan Baku Tekstil dan Sejenisnya </t>
  </si>
  <si>
    <t xml:space="preserve">011170 - Perkebunan Tanaman Obat / Bahan Farmasi </t>
  </si>
  <si>
    <t xml:space="preserve">011180 - Perkebunan Tanaman Minyak Atsiri </t>
  </si>
  <si>
    <t xml:space="preserve">011190 - Perkebunan Tanaman Lainnya yang Tidak Diklasifikasikan di Tempat Lain </t>
  </si>
  <si>
    <t>011211 - Pertanian Hortikultura Sayuran yang dipanen Sekali Bawang Merah</t>
  </si>
  <si>
    <t>011219 - Pertanian Hortikultura Sayuran yang dipanen Sekali Lainnya</t>
  </si>
  <si>
    <t xml:space="preserve">011220 - Pertanian Hortikultura Sayuran yang dipanen Lebih dari Sekali </t>
  </si>
  <si>
    <t>011231 - Pertanian Hortikultura Bunga-bungaan Anggrek</t>
  </si>
  <si>
    <t>011239 - Pertanian Hortikultura Bunga-bungaan Lainnya</t>
  </si>
  <si>
    <t xml:space="preserve">011240 - Pertanian Tanaman Hias Lainnya </t>
  </si>
  <si>
    <t xml:space="preserve">011250 - Pembibitan dan Pembenihan Hortikultura Sayuran dan Bunga-bungaan </t>
  </si>
  <si>
    <t>011311 - Pertanian Buah-buahan Musiman Jeruk</t>
  </si>
  <si>
    <t>011319 - Pertanian Buah-buahan Musiman Lainnya</t>
  </si>
  <si>
    <t>011321 - Pertanian Buah-buahan Sepanjang Tahun Pisang</t>
  </si>
  <si>
    <t>011329 - Pertanian Buah-buahan Sepanjang Tahun Lainnya</t>
  </si>
  <si>
    <t xml:space="preserve">011330 - Perkebunan Kelapa </t>
  </si>
  <si>
    <t xml:space="preserve">011340 - Perkebunan Kelapa Sawit </t>
  </si>
  <si>
    <t>011351 - Perkebunan Tanaman Kopi</t>
  </si>
  <si>
    <t xml:space="preserve">011352 - Perkebunan Tanaman Teh </t>
  </si>
  <si>
    <t>011353 - Perkebunan Tanaman Coklat (Kakao)</t>
  </si>
  <si>
    <t xml:space="preserve">011360 - Perkebunan Jambu Mete </t>
  </si>
  <si>
    <t xml:space="preserve">011370 - Perkebunan Lada </t>
  </si>
  <si>
    <t xml:space="preserve">011380 - Perkebunan Cengkeh </t>
  </si>
  <si>
    <t>011391 - Perkebunan Tanaman Rempah Panili</t>
  </si>
  <si>
    <t>011392 - Perkebunan Tanaman Rempah Pala</t>
  </si>
  <si>
    <t>011399 - Perkebunan Tanaman Rempah yang Tidak Diklasifikasikan di Tempat Lain</t>
  </si>
  <si>
    <t xml:space="preserve">012110 - Pembibitan dan Budidaya Sapi Potong </t>
  </si>
  <si>
    <t xml:space="preserve">012191 - Pembibitan dan Budidaya Domba dan Kambing Potong </t>
  </si>
  <si>
    <t>012192 - Pembibitan dan Budidaya Ternak Perah</t>
  </si>
  <si>
    <t>012210 - Pembibitan dan Budidaya Babi</t>
  </si>
  <si>
    <t>012291 - Pembibitan dan Budidaya Unggas</t>
  </si>
  <si>
    <t xml:space="preserve">013000 - Kombinasi Pertanian Atau Perkebunan Dengan Peternakan (Mixed Farming) </t>
  </si>
  <si>
    <t xml:space="preserve">014000 - Jasa Pertanian, Perkebunan dan Peternakan </t>
  </si>
  <si>
    <t xml:space="preserve">015000 - Perburuan Penangkapan dan Penangkaran Satwa Liar </t>
  </si>
  <si>
    <t xml:space="preserve">020100 - Pengusahaan Hutan Tanaman </t>
  </si>
  <si>
    <t xml:space="preserve">020200 - Pengusahaan Hutan Alam </t>
  </si>
  <si>
    <t xml:space="preserve">020300 - Pengusahaan Hasil Hutan Selain Kayu </t>
  </si>
  <si>
    <t xml:space="preserve">020400 - Jasa Kehutanan </t>
  </si>
  <si>
    <t xml:space="preserve">020500 - Usaha Kehutanan Lainnya </t>
  </si>
  <si>
    <t>050111 - Penangkapan Ikan Tuna</t>
  </si>
  <si>
    <t>050119 - Penangkapan Ikan Lainnya</t>
  </si>
  <si>
    <t xml:space="preserve">050121 - Penangkapan Udang Laut </t>
  </si>
  <si>
    <t>050122 - Penangkapan Crustacea Lainnya di Laut</t>
  </si>
  <si>
    <t>050190 - Lainnya</t>
  </si>
  <si>
    <t>050211 - Budidaya Biota Laut Udang</t>
  </si>
  <si>
    <t>050212 - Budidaya Biota Laut Tuna</t>
  </si>
  <si>
    <t>050213 - Budidaya Biota Laut Rumput Laut</t>
  </si>
  <si>
    <t>050219 - Budidaya Biota Laut Lainnya</t>
  </si>
  <si>
    <t xml:space="preserve">050220 - Pembenihan Biota Laut </t>
  </si>
  <si>
    <t xml:space="preserve">050310 - Penangkapan Ikan di Perairan Umum </t>
  </si>
  <si>
    <t xml:space="preserve">050320 - Penangkapan Crustacea, Mollusca, dan Biota Lainnya di Perairan Umum </t>
  </si>
  <si>
    <t>050411 - Budidaya Biota Air Tawar Udang</t>
  </si>
  <si>
    <t>050419 - Budidaya Biota Air Tawar Lainnya</t>
  </si>
  <si>
    <t>050421 - Budidaya Biota Air Payau Udang</t>
  </si>
  <si>
    <t>050429 - Budidaya Biota Air Payau Lainnya</t>
  </si>
  <si>
    <t xml:space="preserve">050490 - Pembenihan Biota Air Tawar dan Air Payau </t>
  </si>
  <si>
    <t xml:space="preserve">050510 - Jasa Sarana Produksi Perikanan Laut </t>
  </si>
  <si>
    <t xml:space="preserve">050580 - Jasa Sarana Produksi Perikanan Darat </t>
  </si>
  <si>
    <t>050590 - Jasa Perikanan Lainnya</t>
  </si>
  <si>
    <t>101000 - Pertambangan Batubara, Penggalian Gambut, dan Gasifikasi Batubara</t>
  </si>
  <si>
    <t xml:space="preserve">102000 - Pembuatan Briket Batubara </t>
  </si>
  <si>
    <t xml:space="preserve">111010 - Pertambangan Minyak dan Gas Bumi </t>
  </si>
  <si>
    <t xml:space="preserve">111020 - Pengusahaan Tenaga Panas Bumi </t>
  </si>
  <si>
    <t xml:space="preserve">112000 - Jasa Pertambangan Minyak dan Gas Bumi </t>
  </si>
  <si>
    <t xml:space="preserve">120000 - Pertambangan Bijih Uranium dan Thorium </t>
  </si>
  <si>
    <t xml:space="preserve">131000 - Pertambangan Pasir Besi dan Bijih Besi </t>
  </si>
  <si>
    <t xml:space="preserve">132010 - Pertambangan Bijih Timah </t>
  </si>
  <si>
    <t xml:space="preserve">132020 - Pertambangan Bijih Bauksit </t>
  </si>
  <si>
    <t xml:space="preserve">132030 - Pertambangan Bijih Tembaga </t>
  </si>
  <si>
    <t xml:space="preserve">132040 - Pertambangan Bijih Nikel </t>
  </si>
  <si>
    <t>132061 - Pertambangan Emas</t>
  </si>
  <si>
    <t xml:space="preserve">132062 - Pertambangan Perak </t>
  </si>
  <si>
    <t xml:space="preserve">132090 - Bahan Galian Lainnya yang Tidak Mengandung Bijih Besi </t>
  </si>
  <si>
    <t>141000 - Penggalian Batu-batuan, Tanah Liat dan Pasir</t>
  </si>
  <si>
    <t xml:space="preserve">142100 - Pertambangan Mineral, Bahan Kimia dan Bahan Pupuk </t>
  </si>
  <si>
    <t xml:space="preserve">142200 - Ekstraksi Garam </t>
  </si>
  <si>
    <t>142900 - Pertambangan dan Penggalian Lainnya</t>
  </si>
  <si>
    <t xml:space="preserve">151110 - Industri Pemotongan Hewan </t>
  </si>
  <si>
    <t xml:space="preserve">151120 - Industri Pengolahan dan Pengawetan Daging </t>
  </si>
  <si>
    <t xml:space="preserve">151200 - Industri Pengolahan dan Pengawetan Ikan dan Biota Perairan Lainnya </t>
  </si>
  <si>
    <t xml:space="preserve">151300 - Industri Pengolahan, Pengawetan Buah-buahan dan Sayuran </t>
  </si>
  <si>
    <t xml:space="preserve">151410 - Industri Minyak Mentah (Minyak Makan) dari Nabati dan Hewani </t>
  </si>
  <si>
    <t xml:space="preserve">151430 - lndustri Minyak Goreng dari Kelapa </t>
  </si>
  <si>
    <t>151440 - Industri Minyak Goreng dari Kelapa Sawit Mentah</t>
  </si>
  <si>
    <t xml:space="preserve">151450 - Industri Minyak Goreng dari Biji Kelapa Sawit </t>
  </si>
  <si>
    <t xml:space="preserve">152000 - Industri Susu dan Makanan dari Susu </t>
  </si>
  <si>
    <t xml:space="preserve">153110 - Industri Penggilingan Padi dan Penyosohan Beras </t>
  </si>
  <si>
    <t xml:space="preserve">153180 - lndustri Kopra </t>
  </si>
  <si>
    <t>153190 - Industri Penggilingan Lainnya</t>
  </si>
  <si>
    <t xml:space="preserve">153200 - Industri Tepung dan Pati </t>
  </si>
  <si>
    <t xml:space="preserve">153300 - Industri Pakan Ternak </t>
  </si>
  <si>
    <t xml:space="preserve">154100 - Industri Roti dan Sejenisnya </t>
  </si>
  <si>
    <t xml:space="preserve">154200 - Industri Gula dan Pengolahan Gula </t>
  </si>
  <si>
    <t xml:space="preserve">154300 - Industri Coklat dan Kernbang Gula </t>
  </si>
  <si>
    <t xml:space="preserve">154400 - Industri Makaroni, Mie, Spagheti, Bihun, So'un dan Sejenisnya </t>
  </si>
  <si>
    <t xml:space="preserve">154911 - Industri Pengolahan Teh </t>
  </si>
  <si>
    <t xml:space="preserve">154912 - Industri Pengolahan Kopi </t>
  </si>
  <si>
    <t xml:space="preserve">154930 - lndustri Kecap </t>
  </si>
  <si>
    <t xml:space="preserve">154940 - lndustri Tempe dan Tahu </t>
  </si>
  <si>
    <t>154990 - lndustri Makanan yang Tidak Diklasifikasikan di Tempat Lain</t>
  </si>
  <si>
    <t xml:space="preserve">155000 - Industri Minuman </t>
  </si>
  <si>
    <t xml:space="preserve">160010 - lndustri Pengeringan dan Pengolahan Tembakau </t>
  </si>
  <si>
    <t>160050 - Industri Rokok</t>
  </si>
  <si>
    <t xml:space="preserve">160090 - Industri Bumbu Rokok Serta Kelengkapan Rokok Lainnya </t>
  </si>
  <si>
    <t xml:space="preserve">171000 - Industri Pemintalan, Pertenunan, Pengolahan Akhir Tekstil </t>
  </si>
  <si>
    <t xml:space="preserve">172000 - Industri Barang Jadi Tekstil dan Permadani </t>
  </si>
  <si>
    <t xml:space="preserve">173000 - Industri Perajutan Industri Perajutan </t>
  </si>
  <si>
    <t xml:space="preserve">174000 - Industri Kapuk </t>
  </si>
  <si>
    <t xml:space="preserve">181000 - Industri Pakaian Jadi dan perlengkapannya, Kecuali Pakaian Jadi Berbulu </t>
  </si>
  <si>
    <t xml:space="preserve">182000 - Industri Pakaian Jadi Barang Jadi dari Kulit Berbulu dan Pencelupan Bulu </t>
  </si>
  <si>
    <t>191000 - Industri Kulit dan Barang dari Kulit (Termasuk Kulit Buatan)</t>
  </si>
  <si>
    <t xml:space="preserve">192000 - Industri Alas Kaki </t>
  </si>
  <si>
    <t xml:space="preserve">201000 - Industri Penggergajian dan Pengawetan Kayu, Rotan, Bambu, dan Sejenisnya </t>
  </si>
  <si>
    <t xml:space="preserve">202100 - Industri Kayu Lapis, Veneer, dan Sejenisnya </t>
  </si>
  <si>
    <t>202900 - Industri Anyam-anyaman, Kerajinan, Ukiran dari Kayu, dan Industri Barang Lain dari Kayu</t>
  </si>
  <si>
    <t>210100 - Industri Bubur Kertas (Pulp), Kertas dan Karton / Paper Board</t>
  </si>
  <si>
    <t xml:space="preserve">210200 - Industri Kemasan dan Kotak dari Kertas dan Karton </t>
  </si>
  <si>
    <t xml:space="preserve">210900 - Industri Barang dari Kertas dan Kartan yang Tidak Diklasifikasikan di Tempat Lain </t>
  </si>
  <si>
    <t xml:space="preserve">221000 - Industri Penerbitan </t>
  </si>
  <si>
    <t xml:space="preserve">222000 - Industri Percetakan dan Kegiatan yang Berkaitan Dengan Pencetakan Termasuk Reproduksi / Cetak Ulang) </t>
  </si>
  <si>
    <t xml:space="preserve">223000 - Reproduksi Media Rekaman, Film, dan Video </t>
  </si>
  <si>
    <t xml:space="preserve">231000 - Industri Barang-barang dari Batubara </t>
  </si>
  <si>
    <t xml:space="preserve">232000 - Industri Pengilangan Minyak Bumi, Pengolahan Gas Bumi, dan Industri Barang-barang dari Hasil Pengilangan Minyak Bumi </t>
  </si>
  <si>
    <t xml:space="preserve">233000 - Pengolahan Bahan Bakar Nuklir (Nuclear Fuel) </t>
  </si>
  <si>
    <t xml:space="preserve">241100 - Industri Kimia Dasar, Kecuali Pupuk </t>
  </si>
  <si>
    <t xml:space="preserve">241200 - Industri Pupuk </t>
  </si>
  <si>
    <t>241300 - Industri Plastik dan Karet Buatan</t>
  </si>
  <si>
    <t xml:space="preserve">242100 - Industri Bahan Baku Pemberantas Hama dan Pemberantas Hama Termasuk Zat Pengatur Tumbuh </t>
  </si>
  <si>
    <t xml:space="preserve">242200 - Industri Cat, Pernis dan Lak </t>
  </si>
  <si>
    <t xml:space="preserve">242300 - Industri Farmasi dan Jamu </t>
  </si>
  <si>
    <t xml:space="preserve">242400 - Industri Sabun dan Bahan Pembersih Keperluan Rumah Tangga, Kosmetik dan Sejenisnya </t>
  </si>
  <si>
    <t xml:space="preserve">242940 - Industri Minyak Atsiri </t>
  </si>
  <si>
    <t xml:space="preserve">242990 - Industri Bahan Kimia dan Barang Kimia Lainnya </t>
  </si>
  <si>
    <t xml:space="preserve">243000 - Industri Serat Buatan </t>
  </si>
  <si>
    <t xml:space="preserve">251210 - Industri Pengasapan Karet </t>
  </si>
  <si>
    <t xml:space="preserve">251220 - Industri Remilling Karet </t>
  </si>
  <si>
    <t xml:space="preserve">251230 - Industri Karet Remah (Crumb Rubber) </t>
  </si>
  <si>
    <t xml:space="preserve">251900 - Industri Barang-barang lain dari Karet </t>
  </si>
  <si>
    <t xml:space="preserve">252000 - Industri Barang dari Plastik </t>
  </si>
  <si>
    <t xml:space="preserve">261000 - Industri Gelas dan Barang dari Gelas </t>
  </si>
  <si>
    <t xml:space="preserve">262000 - Industri Barang-barang dari Porselin </t>
  </si>
  <si>
    <t xml:space="preserve">263000 - Industri Pengolahan Tanah Liat / Keramik </t>
  </si>
  <si>
    <t xml:space="preserve">264000 - Industri Semen, Kapur dan Gips, Serta Barang-barang dari Semen, dan Kapur </t>
  </si>
  <si>
    <t xml:space="preserve">265000 - Industri Barang-barang dari Batu </t>
  </si>
  <si>
    <t xml:space="preserve">266000 - Industri Barang-barang dari Asbes </t>
  </si>
  <si>
    <t>269000 - Industri Barang-barang Galian Bukan Logam Lainnya</t>
  </si>
  <si>
    <t xml:space="preserve">271000 - Industri Logam Dasar Besi dan Baja </t>
  </si>
  <si>
    <t xml:space="preserve">272000 - Industri Logam Dasar Bukan Besi </t>
  </si>
  <si>
    <t>273100 - Industri Pengecoran Besi dan Baja</t>
  </si>
  <si>
    <t xml:space="preserve">273200 - Industri pengecoran Logam Bukan Besi dan Baja </t>
  </si>
  <si>
    <t xml:space="preserve">281000 - Industri Barang-barang Logam Siap Pasang Untuk Bangunan, Pembuatan Tangki, dan Generator Uap </t>
  </si>
  <si>
    <t xml:space="preserve">289300 - Industri Alat-alat Pertanian, Pertukangan, Pemotong, dan Peralatan lainnya dari Logam </t>
  </si>
  <si>
    <t xml:space="preserve">289900 - Industri Barang Logam yang Tidak Diklasifikasikan di Tempat Lain </t>
  </si>
  <si>
    <t xml:space="preserve">291000 - Industri Mesin-mesin Umum </t>
  </si>
  <si>
    <t xml:space="preserve">292100 - Industri Mesin Pertanian dan Kehutanan, Serta Jasa Penunjang Pemeliharaan dan Perbaikannya </t>
  </si>
  <si>
    <t xml:space="preserve">292400 - Industri Mesin-mesin Untuk Pertambangan, Penggalian dan Konstruksi </t>
  </si>
  <si>
    <t xml:space="preserve">292500 - lndustri Mesin Untuk Pengolahan Makanan, Minuman dan Tembakau </t>
  </si>
  <si>
    <t xml:space="preserve">292600 - Industri Mesin-mesin Tekstil, Produk Tekstil, dan Barang-barang dari Kulit </t>
  </si>
  <si>
    <t>292900 - Industri Mesin-mesin Khusus Lainnya</t>
  </si>
  <si>
    <t xml:space="preserve">293000 - Industri Peralatan Rumah Tangga yang Tidak Diklasifikasikan di Tempat Lain </t>
  </si>
  <si>
    <t>300000 - Industri Mesin dan Peralatan Kantor, Akuntansi, dan Pengolahan Data</t>
  </si>
  <si>
    <t xml:space="preserve">311000 - Industri Motor Listrik, Generator, dan Transformator </t>
  </si>
  <si>
    <t>312000 - Industri Peralatan Pengontrol dan Pendistribusian Listrik</t>
  </si>
  <si>
    <t xml:space="preserve">313000 - Industri Kabel Listrik dan Telepon </t>
  </si>
  <si>
    <t xml:space="preserve">314000 - Industri Akumulator Listrik dan Batu Baterai </t>
  </si>
  <si>
    <t>315000 - Industri Bola Lampu Pijar dan Lampu Penerangan</t>
  </si>
  <si>
    <t xml:space="preserve">319000 - Industri Peralatan Listrik yang Tidak Diklasifikasikan di Tempat lain </t>
  </si>
  <si>
    <t xml:space="preserve">321000 - Industri Tabung dan Katup Elektronik Serta Komponen Elektronik lainnya </t>
  </si>
  <si>
    <t>322000 - Industri Alat Transmisi Komunikasi</t>
  </si>
  <si>
    <t xml:space="preserve">323000 - Industri Radio, Televisi, Alat-alat Rekaman Suara dan Gambar, dan Sejenisnya </t>
  </si>
  <si>
    <t xml:space="preserve">331000 - Industri Peralatan Kedokteran, dan Peralatan Untuk Mengukur, Memeriksa, Menguji, dan Bagian Lainnya, Kecuali Alat-alat Optik </t>
  </si>
  <si>
    <t xml:space="preserve">332000 - Industri Instrumen Optik dan Peralatan Fotografi </t>
  </si>
  <si>
    <t>333000 - Industri Jam, Lonceng, dan Sejenisnya</t>
  </si>
  <si>
    <t>341000 - Industri Kendaraan Bermotor Roda Empat Atau Lebih</t>
  </si>
  <si>
    <t>342000 - Industri Karoseri Kendaraan Bermotor Roda Empat Atau Lebih</t>
  </si>
  <si>
    <t>343000 - Industri Perlengkapan dan Komponen Kendaraan Bermotor Roda Empat Atau Lebih</t>
  </si>
  <si>
    <t>351000 - Industri Pembuatan dan Perbaikan Kapal dan Perahu</t>
  </si>
  <si>
    <t xml:space="preserve">352000 - Industri Kereta Api, Bagian-bagian dan Perlengkapannya, Serta Perbaikan Kereta Api </t>
  </si>
  <si>
    <t xml:space="preserve">353000 - Industri Pesawat Terbang dan Perlengkapannya Serta Perbaikan Pesawat Terbang </t>
  </si>
  <si>
    <t xml:space="preserve">359100 - Industri Kendaraan Bermotor Roda Dua dan Tiga Serta Komponen dan Perlengkapannya </t>
  </si>
  <si>
    <t xml:space="preserve">359900 - Industri Alat Angkut yang Tidak Diklasifikasikan di Tempat Lain </t>
  </si>
  <si>
    <t xml:space="preserve">361000 - Industri Furnitur </t>
  </si>
  <si>
    <t>369000 - Industri Pengolahan Lainnya</t>
  </si>
  <si>
    <t xml:space="preserve">371000 - Daur Ulang Barang-barang Logam </t>
  </si>
  <si>
    <t xml:space="preserve">372000 - Daur Ulang Barang-barang Bukan logam </t>
  </si>
  <si>
    <t>401001 - Ketenagalistrikan Pedesaan</t>
  </si>
  <si>
    <t>401002 - Ketenagalistrikan Lainnya</t>
  </si>
  <si>
    <t xml:space="preserve">402000 - Gas </t>
  </si>
  <si>
    <t xml:space="preserve">403000 - Uap dan Air Panas </t>
  </si>
  <si>
    <t xml:space="preserve">410000 - Pengadaan dan Penyaluran Air Bersih </t>
  </si>
  <si>
    <t>451001 - Penyiapan Tanah Pemukiman Transmigrasi (PTPT)</t>
  </si>
  <si>
    <t>451002 - Pencetakan Lahan Sawah</t>
  </si>
  <si>
    <t>451009 - Penyiapan Lahan Lainnya</t>
  </si>
  <si>
    <t>452111 - Konstruksi Perumahan Sederhana - Bank Tabungan Negara</t>
  </si>
  <si>
    <t>452112 - Konstruksi Perumahan Sederhana - Perumnas</t>
  </si>
  <si>
    <t>452113 - Konstruksi Perumahan Sederhana - Lainnya Tipe s.d. 21</t>
  </si>
  <si>
    <t>452114 - Konstruksi Perumahan Sederhana - Lainnya Tipe 22 s.d. 70</t>
  </si>
  <si>
    <t>452115 - Konstruksi Perumahan Menengah, Besar, Mewah (Tipe Diatas 70)</t>
  </si>
  <si>
    <t xml:space="preserve">452120 - Konstruksi Gedung Perkantoran </t>
  </si>
  <si>
    <t xml:space="preserve">452130 - Konstruksi Gedung Industri </t>
  </si>
  <si>
    <t>452141 - Konstruksi Gedung Perbelanjaan Pasar Inpres</t>
  </si>
  <si>
    <t>452149 - Konstruksi Gedung Perbelanjaan Lainnya</t>
  </si>
  <si>
    <t xml:space="preserve">452190 - Konstruksi Gedung Lainnya </t>
  </si>
  <si>
    <t>452211 - Bangunan Jalan Raya</t>
  </si>
  <si>
    <t>452212 - Bangunan Jalan Tol</t>
  </si>
  <si>
    <t>452213 - Bangunan Jalan Jembatan dan Landasan</t>
  </si>
  <si>
    <t xml:space="preserve">452220 - Bangunan Jalan dan Jembatan Kereta Api </t>
  </si>
  <si>
    <t>452240 - Bangunan Pengairan (Irigasi)</t>
  </si>
  <si>
    <t>452270 - Bangunan Dermaga (Pelabuhan)</t>
  </si>
  <si>
    <t xml:space="preserve">452290 - Bangunan Sipil Lainnya </t>
  </si>
  <si>
    <t>452301 - Konstruksi Bangunan Listrik Pedesaan</t>
  </si>
  <si>
    <t>452309 - Konstruksi Bangunan Elektrikal dan Komunikasi Lainnya</t>
  </si>
  <si>
    <t xml:space="preserve">452400 - Konstruksi Khusus </t>
  </si>
  <si>
    <t xml:space="preserve">453100 - Instalasi Gedung </t>
  </si>
  <si>
    <t xml:space="preserve">453200 - Instalasi Bangunan Sipil </t>
  </si>
  <si>
    <t xml:space="preserve">454000 - Penyelesaian Konstruksi Gedung </t>
  </si>
  <si>
    <t xml:space="preserve">455000 - Penghancur Bangunan Dengan Operatornya </t>
  </si>
  <si>
    <t>501000 - Penjualan Mobil</t>
  </si>
  <si>
    <t xml:space="preserve">502000 - Penjualan Suku Cadang dan Aksesoris Mobil </t>
  </si>
  <si>
    <t>503001 - Penjualan Sepeda Motor</t>
  </si>
  <si>
    <t>503002 - Penjualan Suku Cadang dan Aksesoris Sepeda Motor</t>
  </si>
  <si>
    <t xml:space="preserve">504000 - Perdagangan Eceran Bahan Bakar Kendaraan </t>
  </si>
  <si>
    <t xml:space="preserve">511000 - Perdagangan Besar Berdasarkan Balas Jasa (Fee) Atau Kontrak </t>
  </si>
  <si>
    <t>512111 - Perdagangan Jagung</t>
  </si>
  <si>
    <t>512112 - Perdagangan Tembakau</t>
  </si>
  <si>
    <t xml:space="preserve">512113 - Perdagangan Karet </t>
  </si>
  <si>
    <t>512114 - Perdagangan Cengkeh</t>
  </si>
  <si>
    <t>512115 - Perdagangan Lada</t>
  </si>
  <si>
    <t>512116 - Perdagangan Kelapa dan Kelapa Sawit</t>
  </si>
  <si>
    <t>512117 - Perdagangan Kapas</t>
  </si>
  <si>
    <t>512119 - Perdagangan Besar Dalam Negeri Hasil Pertanian Lainnya</t>
  </si>
  <si>
    <t>512120 - Perdagangan Besar Dalam Negeri Binatang Hidup</t>
  </si>
  <si>
    <t>512130 - Perdagangan Besar Dalam Negeri Hasil Perikanan</t>
  </si>
  <si>
    <t>512141 - Perdagangan Kayu</t>
  </si>
  <si>
    <t>512149 - Perdagangan Besar Dalam Negeri Hasil Kehutanan dan Perburuan Lainnya</t>
  </si>
  <si>
    <t>512201 - Perdagangan Dalam Negeri Beras</t>
  </si>
  <si>
    <t>512202 - Perdagangan Dalam Negeri Gula</t>
  </si>
  <si>
    <t>512203 - Perdagangan Dalam Negeri Kopi</t>
  </si>
  <si>
    <t>512204 - Perdagangan Dalam Negeri Teh</t>
  </si>
  <si>
    <t>512205 - Perdagangan Dalam Negeri Garam</t>
  </si>
  <si>
    <t>512206 - Perdagangan Dalam Negeri Minyak Kelapa Sawit</t>
  </si>
  <si>
    <t>512207 - Perdagangan Dalam Negeri Kopra</t>
  </si>
  <si>
    <t>512208 - Perdagangan Dalam Negeri Rokok</t>
  </si>
  <si>
    <t>512209 - Perdagangan Dalam Negeri Makanan, Minuman dan Tembakau Lainnya</t>
  </si>
  <si>
    <t xml:space="preserve">513100 - Perdagangan Besar Tekstil, Pakaian Jadi, dan Kulit </t>
  </si>
  <si>
    <t xml:space="preserve">513900 - Perdagangan Besar Barang-barang Keperluan Rumah Tangga lainnya </t>
  </si>
  <si>
    <t xml:space="preserve">514100 - Perdagangan Besar Bahan Bakar Gas, Cair, dan Padat, Serta Produk Sejenis </t>
  </si>
  <si>
    <t xml:space="preserve">514200 - Perdagangan Besar Logam dan Bijih Logam </t>
  </si>
  <si>
    <t>514301 - Perdagangan Dalam Negeri Semen</t>
  </si>
  <si>
    <t>514302 - Perdagangan Dalam Negeri Besi Beton</t>
  </si>
  <si>
    <t>514309 - Perdagangan Dalam Negeri Bahan-bahan Konstruksi Lainnya</t>
  </si>
  <si>
    <t>514901 - Perdagangan Dalam Negeri Pupuk dan Obat Hama</t>
  </si>
  <si>
    <t>514909 - Perdagangan Dalam Negeri Barang Antara Lainnya</t>
  </si>
  <si>
    <t xml:space="preserve">515000 - Perdagangan Besar Mesin-mesin, Suku Cadang dan Perlengkapannya </t>
  </si>
  <si>
    <t>519001 - Perdagangan Dalam Negeri Kertas Koran</t>
  </si>
  <si>
    <t xml:space="preserve">519009 - Perdagangan Dalam Negeri yang Tidak Diklasifikasikan di Tempat Lain </t>
  </si>
  <si>
    <t xml:space="preserve">521100 - Perdagangan Eceran Berbagai Macam Barang yang Didominasi Makanan, Minuman dan Tembakau </t>
  </si>
  <si>
    <t xml:space="preserve">521900 - Perdagangan Eceran Berbagai Macam Barang yang Didominasi Oleh Barang Bukan Makanan, Minuman dan Tembakau </t>
  </si>
  <si>
    <t>522100 - Perdagangan Eceran Komoditi Makanan dari Hasil Pertanian</t>
  </si>
  <si>
    <t xml:space="preserve">522200 - Perdagangan Eceran Komoditi Makanan, Minuman, Atau Tembakau Hasil Industri Pengolahan </t>
  </si>
  <si>
    <t xml:space="preserve">523100 - Perdagangan Eceran Bahan Kimia, Farmasi, Kosmetik, dan Alat Laboratorium </t>
  </si>
  <si>
    <t xml:space="preserve">523200 - Perdagangan Eceran Tekstil, Pakaian Jadi, Alas Kaki, dan Barang Keperluan Pribadi </t>
  </si>
  <si>
    <t xml:space="preserve">523300 - Perdagangan Eceran Perlengkapan Rumah Tangga dan Perlengkapan Dapur </t>
  </si>
  <si>
    <t xml:space="preserve">523400 - Perdagangan Eceran Bahan Konstruksi </t>
  </si>
  <si>
    <t xml:space="preserve">523500 - Perdagangan Eceran Bahan Bakar dan Minyak Pelumas </t>
  </si>
  <si>
    <t xml:space="preserve">523600 - Perdagangan Eceran Kertas, Barang-barang dari Kertas, Alat Tulis, Barang Cetakan, Alat Olahraga, Alat Musik, Alat Fotografi, Komputer </t>
  </si>
  <si>
    <t xml:space="preserve">523700 - Perdagangan Eceran Mesin-mesin (Kecuali Mobil dan Sepeda Motor) dan Suku Cadang (Onderdil), Termasuk Alat-alat Transportasi </t>
  </si>
  <si>
    <t xml:space="preserve">523800 - Perdagangan Eceran Barang-barang Kerajinan, Mainan Anak-anak, dan Lukisan </t>
  </si>
  <si>
    <t xml:space="preserve">523900 - Perdagangan Eceran Komoditi Lainnya (Bukan Makanan, Minuman, Atau Tembakau) </t>
  </si>
  <si>
    <t xml:space="preserve">525100 - Perdagangan Eceran Kaki Lima Komoditi dari Hasil Pertanian </t>
  </si>
  <si>
    <t xml:space="preserve">525200 - Perdagangan Eceran Kaki Lima Komoditi Makanan, Minuman Hasil Industri Pengolahan </t>
  </si>
  <si>
    <t xml:space="preserve">525300 - Perdagangan Eceran Kaki Lima Bahan Kimia, Frmasi, Kosmetik, dan Alat Laboratorium </t>
  </si>
  <si>
    <t xml:space="preserve">525400 - Perdagangan Eceran Kaki Lima Tekstil, Pakaian Jadi, Alas Kaki, dan Barang Keperluan Pribadi </t>
  </si>
  <si>
    <t xml:space="preserve">525500 - Perdagangan Eceran Kaki Lima Perlengkapan Rumah Tangga dan Perlengkapan Dapur </t>
  </si>
  <si>
    <t>525600 - Perdagangan Eceran Kaki Lima Bahan Bakar dan Pelumas</t>
  </si>
  <si>
    <t xml:space="preserve">525700 - Perdagangan Eceran Kaki Lirna Kertas, Barang-Barang dari Kertas, Alat Tulis, Barang Cetakan, Alat Olah Raga, Alat Musik, Alat Fotografi, dan Komputer </t>
  </si>
  <si>
    <t xml:space="preserve">525800 - Perdagangan Eceran Kaki Lima barang-barang kerajinan, mainan anak-anak, dan ILlkisan </t>
  </si>
  <si>
    <t xml:space="preserve">525900 - Perdagangan Eceran Kaki Lima Barang-Barang Bekas </t>
  </si>
  <si>
    <t xml:space="preserve">526000 - Perdagangan Eceran Kaki Lima Lainnya </t>
  </si>
  <si>
    <t xml:space="preserve">527100 - Perdagangan Eceran Melalui Media </t>
  </si>
  <si>
    <t xml:space="preserve">527200 - Perdagangan Eceran Keliling </t>
  </si>
  <si>
    <t xml:space="preserve">531000 - Perdagangan Ekspor Berdasarkan Balas Jasa (Fee) Atau Kontrak </t>
  </si>
  <si>
    <t>532111 - Perdagangan Ekspor Biji Kelapa Sawit</t>
  </si>
  <si>
    <t>532112 - Perdagangan Ekspor Hasil Tanaman Pangan dan Perkebunan</t>
  </si>
  <si>
    <t>532119 - Perdagangan Ekspor Bahan Baku Hasil Pertanian Lainnya</t>
  </si>
  <si>
    <t>532120 - Perdagangan Ekspor Binatang Hidup</t>
  </si>
  <si>
    <t>532130 - Perdagangan Ekspor Hasil Perikanan</t>
  </si>
  <si>
    <t>532141 - Perdagangan Ekspor Kayu</t>
  </si>
  <si>
    <t>532142 - Perdagangan Ekspor Rotan</t>
  </si>
  <si>
    <t>532149 - Perdagangan Ekspor Hasil Hutan Selain Kayu dan Rotan</t>
  </si>
  <si>
    <t>532201 - Perdagangan Ekspor Udang Olahan</t>
  </si>
  <si>
    <t>532202 - Perdagangan Ekspor Teh</t>
  </si>
  <si>
    <t>532203 - Perdagangan Ekspor Kopi Bubuk</t>
  </si>
  <si>
    <t>532204 - Perdagangan Ekspor Tembakau</t>
  </si>
  <si>
    <t>532209 - Perdagangan Ekspor Makanan dan Minuman Lainnya</t>
  </si>
  <si>
    <t>533101 - Perdagangan Ekspor Tekstil</t>
  </si>
  <si>
    <t>533102 - Perdagangan Ekspor Pakaian Jadi</t>
  </si>
  <si>
    <t>533103 - Perdagangan Ekspor Kulit</t>
  </si>
  <si>
    <t xml:space="preserve">533900 - Perdagangan Ekspor Barang-barang Keperluan Rumah Tangga Lainnya </t>
  </si>
  <si>
    <t xml:space="preserve">534100 - Perdagangan Ekspor Bahan Bakar Gas, Cair, dan Padat Serta Produk Sejenis </t>
  </si>
  <si>
    <t>534201 - Perdagangan Ekspor Bijih Timah</t>
  </si>
  <si>
    <t>534202 - Perdagangan Ekspor Bijih Logam Selain Timah</t>
  </si>
  <si>
    <t>534203 - Perdagangan Ekspor Batu Bara</t>
  </si>
  <si>
    <t>534209 - Perdagangan Ekspor Logam dan Bijih Logam (hasil Pertambangan dan Penggalian) Lainnya</t>
  </si>
  <si>
    <t>534301 - Perdagangan Ekspor Kayu Lapis</t>
  </si>
  <si>
    <t>534309 - Perdagangan Ekspor Bahan-bahan Konstruksi (kecuali Bahan Hasil Penggalian) Lainnya</t>
  </si>
  <si>
    <t xml:space="preserve">534900 - Perdagangan Ekspor Produk Antara (Intermediate Products), Barang-barang Bekas dan Sisa-sisa Tak Terpakai (Scrap) </t>
  </si>
  <si>
    <t xml:space="preserve">535000 - Perdagangan Ekspor Mesin-mesin, Suku Cadang dan Perlengkapannya </t>
  </si>
  <si>
    <t>539011 - Perdagangan Ekspor Kayu Gergajian</t>
  </si>
  <si>
    <t>539012 - Perdagangan Ekspor Kopi Bijian</t>
  </si>
  <si>
    <t>539013 - Perdagangan Ekspor Tembakau</t>
  </si>
  <si>
    <t>539014 - Perdagangan Ekspor Karet</t>
  </si>
  <si>
    <t>539015 - Perdagangan Ekspor Lada</t>
  </si>
  <si>
    <t>539016 - Perdagangan Ekspor Minyak Kelapa Sawit Mentah</t>
  </si>
  <si>
    <t>539017 - Perdagangan Ekspor Minyak Biji Kelapa Sawit</t>
  </si>
  <si>
    <t>539018 - Perdagangan Ekspor Bungkil Kopra</t>
  </si>
  <si>
    <t>539019 - Perdagangan Ekspor Hasil Pertanian, Perkebunan, dan Kehutanan Lainnya</t>
  </si>
  <si>
    <t>539021 - Perdagangan Ekspor Hewan yang Sudah Diolah</t>
  </si>
  <si>
    <t>539022 - Perdagangan Ekspor Bahan Makanan Lainnya</t>
  </si>
  <si>
    <t>539023 - Perdagangan Ekspor Hasil Tambang Setengah Jadi</t>
  </si>
  <si>
    <t>539029 - Perdagangan Ekspor Barang Setengah Jadi Lainnya</t>
  </si>
  <si>
    <t>539031 - Perdagangan Ekspor Barang Kerajinan dari Kayu dan Rotan</t>
  </si>
  <si>
    <t>539032 - Perdagangan Ekspor Barang Kerajinan selain dari Kayu dan Rotan</t>
  </si>
  <si>
    <t>539034 - Perdagangan Ekspor Jasa Konstruksi</t>
  </si>
  <si>
    <t xml:space="preserve">539039 - Perdagangan Ekspor yang Tidak Diklasifikasikan di Tempat Lain </t>
  </si>
  <si>
    <t xml:space="preserve">541000 - Perdagangan Impor Berdasarkan Balas Jasa (Fee) Atau Kontrak </t>
  </si>
  <si>
    <t>542101 - Perdagangan Impor Cengkeh</t>
  </si>
  <si>
    <t>542102 - Perdagangan Impor Biji Gandum</t>
  </si>
  <si>
    <t>542103 - Perdagangan Impor Jagung</t>
  </si>
  <si>
    <t>542104 - Perdagangan Impor Kacang Kedelai</t>
  </si>
  <si>
    <t>542109 - Perdagangan Impor Bahan Baku Hasil Pertanian, dan Binatang Hidup Lainnya</t>
  </si>
  <si>
    <t>542201 - Perdagangan Impor Beras</t>
  </si>
  <si>
    <t>542202 - Perdagangan Impor Gula</t>
  </si>
  <si>
    <t>542209 - Perdagangan Impor Makanan, Minuman, dan Tembakau Lainnya</t>
  </si>
  <si>
    <t xml:space="preserve">543100 - Perdagangan Impor Tekstil, Pakaian Jadi, dan Kulit </t>
  </si>
  <si>
    <t xml:space="preserve">543900 - Perdagangan Impor Barang-barang Keperluan Rumah Tangga lainnya </t>
  </si>
  <si>
    <t xml:space="preserve">544100 - Perdagangan Impor Bahan Bakar Gas, Cair, dan Padat Serta Produk Sejenis </t>
  </si>
  <si>
    <t xml:space="preserve">544200 - Perdagangan Impor Logam dan Bijih Logam </t>
  </si>
  <si>
    <t>544301 - Perdagangan Impor Besi Beton</t>
  </si>
  <si>
    <t>544309 - Perdagangan Impor Bahan-bahan Konstruksi Lainnya</t>
  </si>
  <si>
    <t>544901 - Perdagangan Impor Pupuk dan Obat Hama</t>
  </si>
  <si>
    <t>544902 - Perdagangan Impor Farmasi</t>
  </si>
  <si>
    <t>544909 - Perdagangan Impor Barang Antara Lainnya</t>
  </si>
  <si>
    <t>545001 - Perdagangan Impor Suku Cadang Industri</t>
  </si>
  <si>
    <t>545009 - Perdagangan Impor Suku Cadang Mesin-mesin, Suku Cadang dan Perlengkapannya Lainnya</t>
  </si>
  <si>
    <t xml:space="preserve">549000 - Perdagangan Impor Lainnya </t>
  </si>
  <si>
    <t xml:space="preserve">551100 - Hotel Bintang </t>
  </si>
  <si>
    <t xml:space="preserve">551200 - Hotel Melati </t>
  </si>
  <si>
    <t xml:space="preserve">551900 - Jasa Akomodasi Lainnya </t>
  </si>
  <si>
    <t>552009 - Penyediaan Makan Minum Lainnya</t>
  </si>
  <si>
    <t xml:space="preserve">552100 - Restoran / Rumah Makan </t>
  </si>
  <si>
    <t xml:space="preserve">601000 - Angkutan Jalan Rel </t>
  </si>
  <si>
    <t>602100 - Angkutan Jalan Dalam Trayek Untuk Penumpang</t>
  </si>
  <si>
    <t xml:space="preserve">602200 - Angkutan Jalan Tidak Dalam Trayek Untuk Penumpang </t>
  </si>
  <si>
    <t xml:space="preserve">602300 - Angkutan Jalan Untuk Barang </t>
  </si>
  <si>
    <t xml:space="preserve">603000 - Angkutan Dengan Saluran Pipa </t>
  </si>
  <si>
    <t xml:space="preserve">611100 - Angkutan Laut Domestik </t>
  </si>
  <si>
    <t xml:space="preserve">611200 - Angkutan Laut Internasional </t>
  </si>
  <si>
    <t xml:space="preserve">612100 - Angkutan Sungai dan Danau </t>
  </si>
  <si>
    <t xml:space="preserve">612200 - Angkutan Penyeberangan Domestik </t>
  </si>
  <si>
    <t xml:space="preserve">621000 - Angkutan Udara Berjadwal </t>
  </si>
  <si>
    <t xml:space="preserve">622000 - Angkutan Udara Tidak Berjadwal </t>
  </si>
  <si>
    <t xml:space="preserve">623000 - Angkutan Udara Khusus </t>
  </si>
  <si>
    <t xml:space="preserve">631000 - Jasa Pelayanan Bongkar Muat Barang </t>
  </si>
  <si>
    <t xml:space="preserve">632000 - Pergudangan, Jasa Cold Storage, dan Jasa Wilayah Berikat </t>
  </si>
  <si>
    <t xml:space="preserve">633000 - Jasa Penunjang Angkutan Kecuali Jasa Bongkar Muat dan Pergudangan </t>
  </si>
  <si>
    <t xml:space="preserve">634000 - Jasa Perjalanan Wisata </t>
  </si>
  <si>
    <t xml:space="preserve">635000 - Jasa Pengiriman dan Pengepakan </t>
  </si>
  <si>
    <t>641000 - Pos Nasional, Unit Pelayanan Pos dan Jasa Kurir</t>
  </si>
  <si>
    <t xml:space="preserve">642000 - Jaringan Telekomunikasi </t>
  </si>
  <si>
    <t xml:space="preserve">643000 - Jasa Telekomunikasi </t>
  </si>
  <si>
    <t>644000 - Telekomunikasi Khusus</t>
  </si>
  <si>
    <t>651000 - Perantara Moneter (Bank)</t>
  </si>
  <si>
    <t>659001 - Perantara Keuangan Lainnya (Non Bank) Leasing</t>
  </si>
  <si>
    <t>659009 - Perantara Keuangan Lainnya (Non Bank) Selain Leasing</t>
  </si>
  <si>
    <t xml:space="preserve">660000 - Asuransi dan Dana Pensiun </t>
  </si>
  <si>
    <t xml:space="preserve">671000 - Jasa Penunjang Perantara Keuangan Kecuali Asuransi dan Dana Pensiun </t>
  </si>
  <si>
    <t xml:space="preserve">672000 - Jasa Penunjang Asuransi dan dana Pensiun </t>
  </si>
  <si>
    <t>701001 - Real Estate Perumahan Sederhana - Perumnas</t>
  </si>
  <si>
    <t>701002 - Real Estate Perumahan Sederhana - Selain Perumnas s.d. Tipe 21</t>
  </si>
  <si>
    <t>701003 - Real Estate Perumahan Sederhana - Selain Perumnas s.d. Tipe 22 s.d. 70</t>
  </si>
  <si>
    <t>701004 - Real Estate Perumahan Menengah, Besar Atau Mewah (Tipe Diatas 70)</t>
  </si>
  <si>
    <t>701005 - Real Estate Perumahan Flat / Apartemen</t>
  </si>
  <si>
    <t>701006 - Real Estate Gedung Perbelanjaan (Mal, Plaza)</t>
  </si>
  <si>
    <t>701007 - Real Estate Gedung Perkantoran</t>
  </si>
  <si>
    <t>701008 - Real Estate Gedung Rumah Toko (Ruko) atau Rumah Kantor (Rukan)</t>
  </si>
  <si>
    <t>701009 - Real Estate Lainnya</t>
  </si>
  <si>
    <t xml:space="preserve">702000 - Real Estate Atas Dasar Balas Jasa (Fee) Atau Kontrak </t>
  </si>
  <si>
    <t xml:space="preserve">703000 - Kawasan Pariwisata dan Penyediaan Sarana Wisata Tirta Kawasan Pariwisata </t>
  </si>
  <si>
    <t xml:space="preserve">711100 - Persewaan Alat Transportasi Darat </t>
  </si>
  <si>
    <t>711200 - Persewaan Alat Transportasi Air</t>
  </si>
  <si>
    <t xml:space="preserve">711300 - Persewaan Alat Transportasi Udara </t>
  </si>
  <si>
    <t xml:space="preserve">712100 - Persewaan Mesin Pertanian dan Peralatannya </t>
  </si>
  <si>
    <t>712200 - Persewaan Mesin Konstruksi dan Teknik Sipil dan Peralatannya</t>
  </si>
  <si>
    <t>712300 - Persewaan Mesin Kantor dan Peralatannya (Termasuk Komputer)</t>
  </si>
  <si>
    <t>712900 - Persewaan Mesin Lainnya dan Peralatannya yang Tidak Diklasifikasikan di Tempat Lain</t>
  </si>
  <si>
    <t>713000 - Persewaan Barang-barang Keperluan Rumah Tangga dan Pribadi yang Tidak Diklasifikasikan di Tempat Lain</t>
  </si>
  <si>
    <t xml:space="preserve">721000 - Jasa Konsultasi Piranti Keras (Hardware Consulting) </t>
  </si>
  <si>
    <t xml:space="preserve">722000 - Jasa Konsultasi Piranti Lunak (Software Consulting) </t>
  </si>
  <si>
    <t xml:space="preserve">723000 - Pengolahan Data </t>
  </si>
  <si>
    <t xml:space="preserve">724000 - Jasa Kegiatan Data Base </t>
  </si>
  <si>
    <t xml:space="preserve">725000 - Perawatan dan Reparasi Mesin-mesin Kantor, Akuntansi, dan Komputer </t>
  </si>
  <si>
    <t xml:space="preserve">729000 - Kegiatan Lain yang Berkaitan Dengan Komputer </t>
  </si>
  <si>
    <t xml:space="preserve">731000 - Penelitian dan Pengembangan Ilmu Pengetahuan Alam dan Teknologi </t>
  </si>
  <si>
    <t xml:space="preserve">732000 - Penelitian dan Pengembangan Ilmu Pengetahuan Sosial dan Humaniora </t>
  </si>
  <si>
    <t xml:space="preserve">741000 - Jasa Hukum, Akuntansi dan Pembukuan, Konsultasi Pajak, Penelitian Pasar, dan Konsultasi Bisnis dan Manajemen </t>
  </si>
  <si>
    <t xml:space="preserve">742000 - Jasa Konsultasi Arsitek, Kegiatan Teknik dan Rekayasa, Serta Analisis dan Testing </t>
  </si>
  <si>
    <t xml:space="preserve">743000 - Jasa Periklanan </t>
  </si>
  <si>
    <t>749001 - Pedagang Valuta Asing</t>
  </si>
  <si>
    <t>749009 - Jasa Perusahaan Lainnya</t>
  </si>
  <si>
    <t xml:space="preserve">751000 - Administrasi Pemerintahan, dan Kebijaksanaan Ekonomi dan Sosial </t>
  </si>
  <si>
    <t>752000 - Hubungan Luar Negeri, Pertahanan, dan Keamanan</t>
  </si>
  <si>
    <t xml:space="preserve">753000 - Jaminan Sosial Wajib </t>
  </si>
  <si>
    <t xml:space="preserve">801000 - Jasa Pendidikan Dasar </t>
  </si>
  <si>
    <t xml:space="preserve">802000 - Jasa Pendidikan Menengah </t>
  </si>
  <si>
    <t xml:space="preserve">803000 - Jasa Pendidikan Tinggi </t>
  </si>
  <si>
    <t xml:space="preserve">804000 - Jasa Pendidikan Lainnya </t>
  </si>
  <si>
    <t>851001 - Jasa Kesehatan Manusia - Rumah sakit</t>
  </si>
  <si>
    <t>851002 - Jasa Kesehatan Manusia - Poliklinik / Rumah Bersalin</t>
  </si>
  <si>
    <t>851003 - Jasa Kesehatan Manusia - Tempat Perawatan / Pengobatan</t>
  </si>
  <si>
    <t>851004 - Jasa Kesehatan Manusia - Profesi Dokter</t>
  </si>
  <si>
    <t xml:space="preserve">852000 - Jasa Kesehatan Hewan </t>
  </si>
  <si>
    <t xml:space="preserve">853000 - Jasa Kegiatan Sosial </t>
  </si>
  <si>
    <t xml:space="preserve">900000 - Jasa Kebersihan </t>
  </si>
  <si>
    <t xml:space="preserve">910000 - Organisasi Bisnis, Pengusaha dan Profesional </t>
  </si>
  <si>
    <t xml:space="preserve">912000 - Organisasi Buruh </t>
  </si>
  <si>
    <t xml:space="preserve">919000 - Organisasi Lainnya </t>
  </si>
  <si>
    <t xml:space="preserve">921000 - Kegiatan Perfilman, Radio, Televisi, dan Hiburan Lainnya </t>
  </si>
  <si>
    <t xml:space="preserve">922000 - Kegiatan Kantor Berita </t>
  </si>
  <si>
    <t xml:space="preserve">923000 - Perpustakaan, Arsip, Museum, dan Kegiatan Kebudayaan Lainnya </t>
  </si>
  <si>
    <t>930000 - Jasa Kegiatan Lainnya</t>
  </si>
  <si>
    <t xml:space="preserve">950000 - Jasa Perorangan yang Melayani Rumah Tangga </t>
  </si>
  <si>
    <t>990000 - Badan Internasional dan Badan Ekstra Internasional Lainnya</t>
  </si>
  <si>
    <t>Nama pasangan (suami / istri)</t>
  </si>
  <si>
    <r>
      <t>(</t>
    </r>
    <r>
      <rPr>
        <i/>
        <sz val="10"/>
        <color indexed="8"/>
        <rFont val="Calibri"/>
        <family val="2"/>
      </rPr>
      <t>hanya untuk debitur perorangan</t>
    </r>
    <r>
      <rPr>
        <sz val="10"/>
        <color indexed="8"/>
        <rFont val="Calibri"/>
        <family val="2"/>
      </rPr>
      <t>)</t>
    </r>
  </si>
  <si>
    <t>Jan</t>
  </si>
  <si>
    <t>Feb</t>
  </si>
  <si>
    <t>Mar</t>
  </si>
  <si>
    <t>Apr</t>
  </si>
  <si>
    <t>Mei</t>
  </si>
  <si>
    <t>Jun</t>
  </si>
  <si>
    <t>Jul</t>
  </si>
  <si>
    <t>Agust</t>
  </si>
  <si>
    <t>Sep</t>
  </si>
  <si>
    <t>Okt</t>
  </si>
  <si>
    <t>Nop</t>
  </si>
  <si>
    <t>Des</t>
  </si>
  <si>
    <t>INFORMASI DEMIGRAFI</t>
  </si>
  <si>
    <t>Tenor Fasilitas -untuk fasilitas baru  (tahun)</t>
  </si>
  <si>
    <t>Tujuan Pinjaman</t>
  </si>
  <si>
    <t>Untuk one obligor, tambahan</t>
  </si>
  <si>
    <t>Nama Debitur 2</t>
  </si>
  <si>
    <t>Nama Debitur 3</t>
  </si>
  <si>
    <t>PRK 1</t>
  </si>
  <si>
    <t>PRK 2</t>
  </si>
  <si>
    <t>PRK 3</t>
  </si>
  <si>
    <t>PRK 4</t>
  </si>
  <si>
    <t>PRK 5</t>
  </si>
  <si>
    <t>PB 1</t>
  </si>
  <si>
    <t>PB 2</t>
  </si>
  <si>
    <t>PB 3</t>
  </si>
  <si>
    <t>PB 4</t>
  </si>
  <si>
    <t>PB 5</t>
  </si>
  <si>
    <t>PAB 1</t>
  </si>
  <si>
    <t>PAB 2</t>
  </si>
  <si>
    <t>PAB 3</t>
  </si>
  <si>
    <t>PAB 4</t>
  </si>
  <si>
    <t>PAB 5</t>
  </si>
  <si>
    <t>PAB 6</t>
  </si>
  <si>
    <t>PAB 7</t>
  </si>
  <si>
    <t>PAB 8</t>
  </si>
  <si>
    <t>PAB 9</t>
  </si>
  <si>
    <t>PAB 10</t>
  </si>
  <si>
    <t>(masukkan tahun SIUP dan tahun TDP dimana usaha pertama kali didaftarkan)</t>
  </si>
  <si>
    <r>
      <t xml:space="preserve">DPD </t>
    </r>
    <r>
      <rPr>
        <sz val="10"/>
        <color indexed="8"/>
        <rFont val="Calibri"/>
        <family val="2"/>
      </rPr>
      <t xml:space="preserve">tertinggi dalam 3 bulan terakhir </t>
    </r>
    <r>
      <rPr>
        <b/>
        <sz val="10"/>
        <color indexed="8"/>
        <rFont val="Calibri"/>
        <family val="2"/>
      </rPr>
      <t>(hari)</t>
    </r>
  </si>
  <si>
    <t>Pinjaman modal kerja yang tidak di take over</t>
  </si>
  <si>
    <t>Gadai</t>
  </si>
  <si>
    <t>Tanggal Akta Pendirian</t>
  </si>
  <si>
    <t>Proposed</t>
  </si>
  <si>
    <t>Approved</t>
  </si>
  <si>
    <t>Total Fasilitas</t>
  </si>
  <si>
    <t>Total Nilai Pasar</t>
  </si>
  <si>
    <t>% Total Fasilitas terhadap  Rekomendasi Limit berdasarkan CLD</t>
  </si>
  <si>
    <t>Jumlah Karyawan</t>
  </si>
  <si>
    <t>Total Yang Disetujui</t>
  </si>
  <si>
    <t>Total Yang Disetujui (dalam Rp)</t>
  </si>
  <si>
    <t>Tenor Fasilitas -untuk fasilitas baru (tahun)</t>
  </si>
  <si>
    <t>Total Limit Yang Disetujui (Proposed)</t>
  </si>
  <si>
    <t>Deviasi Limit (Proposed)</t>
  </si>
  <si>
    <t>Proyeksi Laba Usaha (Proposed)</t>
  </si>
  <si>
    <t>Proyeksi CPLTD (Proposed)</t>
  </si>
  <si>
    <t>DSR Projection (Proposed)</t>
  </si>
  <si>
    <t>Total Limit Yang Diajukan Berdasarkan Kriteria CLD (Proposed)</t>
  </si>
  <si>
    <t>Nilai Criteria 1 - Loan to Value (approved)</t>
  </si>
  <si>
    <t>Hasil Criteria 1 - Loan to Value (approved)</t>
  </si>
  <si>
    <t>Nilai Criteria 2 - Clean Limit (approved)</t>
  </si>
  <si>
    <t>Hasil Criteria 2 - Clean Limit (approved)</t>
  </si>
  <si>
    <t>Nilai Criteria 3 - % Penjualan Bersih per tahun (approved)</t>
  </si>
  <si>
    <t>Hasil Criteria 3 - % Penjualan Bersih per tahun (approved)</t>
  </si>
  <si>
    <t>Hasil (approved)</t>
  </si>
  <si>
    <t>Total Limit Yang Disetujui (approved)</t>
  </si>
  <si>
    <t>Deviasi Limit (approved)</t>
  </si>
  <si>
    <t>Proyeksi Laba Usaha (approved)</t>
  </si>
  <si>
    <t>Proyeksi Pengeluaran Bunga (approved)</t>
  </si>
  <si>
    <t>Proyeksi CPLTD (approved)</t>
  </si>
  <si>
    <t>DSR Projection (approved)</t>
  </si>
  <si>
    <t>Total Limit Yang Diajukan Berdasarkan Kriteria CLD (approved)</t>
  </si>
  <si>
    <t>APPID 2</t>
  </si>
  <si>
    <t>Fasilitas Debitur 2</t>
  </si>
  <si>
    <t>APPID 3</t>
  </si>
  <si>
    <t>Balikpapan Sudirman</t>
  </si>
  <si>
    <t>Bandung Burangrang 1</t>
  </si>
  <si>
    <t>Bandung Burangrang 2</t>
  </si>
  <si>
    <t>Banjarmasin A. Yani</t>
  </si>
  <si>
    <t>Bogor Padjajaran</t>
  </si>
  <si>
    <t>Cirebon Wahidin</t>
  </si>
  <si>
    <t>Denpasar Teuku Umar</t>
  </si>
  <si>
    <t>Jakarta Cililitan</t>
  </si>
  <si>
    <t>Jakarta Kelapa Gading</t>
  </si>
  <si>
    <t>Jakarta Mangga Dua</t>
  </si>
  <si>
    <t>Jakarta Panglima Polim</t>
  </si>
  <si>
    <t>Jakarta Pecenongan</t>
  </si>
  <si>
    <t>Jakarta Taman Palem</t>
  </si>
  <si>
    <t>Jambi Talang Banjar</t>
  </si>
  <si>
    <t>Kediri Katamso</t>
  </si>
  <si>
    <t>Kudus Sudirman</t>
  </si>
  <si>
    <t>Lampung Wolter M</t>
  </si>
  <si>
    <t>Madiun Salak</t>
  </si>
  <si>
    <t>Makassar Alaudin</t>
  </si>
  <si>
    <t>Makassar Bawakaraeng</t>
  </si>
  <si>
    <t>Malang Sutoyo</t>
  </si>
  <si>
    <t>Manado Sam Ratulangi</t>
  </si>
  <si>
    <t>Mataram</t>
  </si>
  <si>
    <t>Medan Gatsu</t>
  </si>
  <si>
    <t>Medan Putri Hijau 1</t>
  </si>
  <si>
    <t>Medan Putri Hijau 2</t>
  </si>
  <si>
    <t>Padang</t>
  </si>
  <si>
    <t>Palembang Cinde</t>
  </si>
  <si>
    <t>Palembang Sudirman</t>
  </si>
  <si>
    <t>Palu Masomba</t>
  </si>
  <si>
    <t>Pematangsiantar Sutomo</t>
  </si>
  <si>
    <t>Purwokerto Pasar Wage</t>
  </si>
  <si>
    <t>Samarinda Pahlawan 1</t>
  </si>
  <si>
    <t>Samarinda Pahlawan 2</t>
  </si>
  <si>
    <t>Semarang MT Haryono 1</t>
  </si>
  <si>
    <t>Semarang MT Haryono 2</t>
  </si>
  <si>
    <t>Surakarta Slamet Riyadi</t>
  </si>
  <si>
    <t>Surabaya Bukit Darmo Golf</t>
  </si>
  <si>
    <t>Surabaya Indrapura</t>
  </si>
  <si>
    <t>Surabaya Kertajaya</t>
  </si>
  <si>
    <t>Surabaya Mulyosari</t>
  </si>
  <si>
    <t>Tangerang Merdeka</t>
  </si>
  <si>
    <t>Yogya Bintaran</t>
  </si>
  <si>
    <t>Pinjaman atas nama &amp; hubungan dengan debitur</t>
  </si>
  <si>
    <t>Tanggal mulai akad awal</t>
  </si>
  <si>
    <t>Dibuat oleh</t>
  </si>
  <si>
    <t>Total Plafond PB - all bank (Rp Juta)</t>
  </si>
  <si>
    <t>Total Outstanding PB - all bank (Rp Juta)</t>
  </si>
  <si>
    <t>Bekasi</t>
  </si>
  <si>
    <t>Jakarta Kebon Jeruk Intercon</t>
  </si>
  <si>
    <t>Jakarta Pluit</t>
  </si>
  <si>
    <t>Pontianak</t>
  </si>
  <si>
    <t>Surabaya Kedungdoro</t>
  </si>
  <si>
    <t>Source</t>
  </si>
  <si>
    <t>KETERANGAN</t>
  </si>
  <si>
    <t>INDUSTRY GROUP</t>
  </si>
  <si>
    <t>Coding1</t>
  </si>
  <si>
    <t xml:space="preserve">Industri Pakan Ternak </t>
  </si>
  <si>
    <t>ANIMALS, FISHERIES AND FARMING</t>
  </si>
  <si>
    <t>ANIMALS</t>
  </si>
  <si>
    <t xml:space="preserve">Pembibitan dan Budidaya Sapi Potong </t>
  </si>
  <si>
    <t xml:space="preserve">Pembibitan dan Budidaya Domba dan Kambing Potong </t>
  </si>
  <si>
    <t>Pembibitan dan Budidaya Ternak Perah</t>
  </si>
  <si>
    <t>Pembibitan dan Budidaya Babi</t>
  </si>
  <si>
    <t>Pembibitan dan Budidaya Unggas</t>
  </si>
  <si>
    <t xml:space="preserve">Kombinasi Pertanian Atau Perkebunan Dengan Peternakan (Mixed Farming) </t>
  </si>
  <si>
    <t xml:space="preserve">Perburuan Penangkapan dan Penangkaran Satwa Liar </t>
  </si>
  <si>
    <t xml:space="preserve">Industri Pemotongan Hewan </t>
  </si>
  <si>
    <t>Perdagangan Besar Dalam Negeri Binatang Hidup</t>
  </si>
  <si>
    <t>Perdagangan Ekspor Binatang Hidup</t>
  </si>
  <si>
    <t>Penangkapan Ikan Tuna</t>
  </si>
  <si>
    <t>Penangkapan Ikan Lainnya</t>
  </si>
  <si>
    <t xml:space="preserve">Penangkapan Udang Laut </t>
  </si>
  <si>
    <t>Penangkapan Crustacea Lainnya di Laut</t>
  </si>
  <si>
    <t>Budidaya Biota Laut Udang</t>
  </si>
  <si>
    <t>Budidaya Biota Laut Tuna</t>
  </si>
  <si>
    <t>Budidaya Biota Laut Rumput Laut</t>
  </si>
  <si>
    <t>Budidaya Biota Laut Lainnya</t>
  </si>
  <si>
    <t xml:space="preserve">Pembenihan Biota Laut </t>
  </si>
  <si>
    <t xml:space="preserve">Penangkapan Ikan di Perairan Umum </t>
  </si>
  <si>
    <t xml:space="preserve">Penangkapan Crustacea, Mollusca, dan Biota Lainnya di Perairan Umum </t>
  </si>
  <si>
    <t>Budidaya Biota Air Tawar Udang</t>
  </si>
  <si>
    <t>Budidaya Biota Air Tawar Lainnya</t>
  </si>
  <si>
    <t>Budidaya Biota Air Payau Udang</t>
  </si>
  <si>
    <t>Budidaya Biota Air Payau Lainnya</t>
  </si>
  <si>
    <t xml:space="preserve">Pembenihan Biota Air Tawar dan Air Payau </t>
  </si>
  <si>
    <t xml:space="preserve">Jasa Sarana Produksi Perikanan Laut </t>
  </si>
  <si>
    <t xml:space="preserve">Jasa Sarana Produksi Perikanan Darat </t>
  </si>
  <si>
    <t>Jasa Perikanan Lainnya</t>
  </si>
  <si>
    <t>Perdagangan Besar Dalam Negeri Hasil Perikanan</t>
  </si>
  <si>
    <t>Perdagangan Ekspor Hasil Perikanan</t>
  </si>
  <si>
    <t>Perdagangan Ekspor Udang Olahan</t>
  </si>
  <si>
    <t xml:space="preserve">Pertanian Padi </t>
  </si>
  <si>
    <t>Pertanian Palawija Jagung</t>
  </si>
  <si>
    <t>Pertanian Palawija Ketela pohon</t>
  </si>
  <si>
    <t>Pertanian Palawija Ubi jalar</t>
  </si>
  <si>
    <t>Pertanian Palawija Umbi-umbian lainnya</t>
  </si>
  <si>
    <t>Pertanian Palawija Kacang tanah</t>
  </si>
  <si>
    <t>Pertanian Palawija Kedele</t>
  </si>
  <si>
    <t>Pertanian Palawija Kacang-kacangan lainnya</t>
  </si>
  <si>
    <t xml:space="preserve">Perkebunan Tebu dan Tanaman Pemanis Lainnya </t>
  </si>
  <si>
    <t xml:space="preserve">Perkebunan Tanaman Minyak Atsiri </t>
  </si>
  <si>
    <t xml:space="preserve">Perkebunan Tanaman Lainnya yang Tidak Diklasifikasikan di Tempat Lain </t>
  </si>
  <si>
    <t>Pertanian Hortikultura Sayuran yang dipanen Sekali Bawang Merah</t>
  </si>
  <si>
    <t>Pertanian Hortikultura Sayuran yang dipanen Sekali Lainnya</t>
  </si>
  <si>
    <t xml:space="preserve">Pertanian Hortikultura Sayuran yang dipanen Lebih dari Sekali </t>
  </si>
  <si>
    <t>Pertanian Hortikultura Bunga-bungaan Anggrek</t>
  </si>
  <si>
    <t>Pertanian Hortikultura Bunga-bungaan Lainnya</t>
  </si>
  <si>
    <t xml:space="preserve">Pertanian Tanaman Hias Lainnya </t>
  </si>
  <si>
    <t xml:space="preserve">Pembibitan dan Pembenihan Hortikultura Sayuran dan Bunga-bungaan </t>
  </si>
  <si>
    <t>Pertanian Buah-buahan Musiman Jeruk</t>
  </si>
  <si>
    <t>Pertanian Buah-buahan Musiman Lainnya</t>
  </si>
  <si>
    <t>Pertanian Buah-buahan Sepanjang Tahun Pisang</t>
  </si>
  <si>
    <t>Pertanian Buah-buahan Sepanjang Tahun Lainnya</t>
  </si>
  <si>
    <t xml:space="preserve">Perkebunan Kelapa </t>
  </si>
  <si>
    <t>Industri Kendaraan Bermotor Roda Empat Atau Lebih</t>
  </si>
  <si>
    <t>AUTOMOTIVE &amp; COMPONENT</t>
  </si>
  <si>
    <t>AUTOMOTIVE</t>
  </si>
  <si>
    <t>Industri Karoseri Kendaraan Bermotor Roda Empat Atau Lebih</t>
  </si>
  <si>
    <t>Industri Perlengkapan dan Komponen Kendaraan Bermotor Roda Empat Atau Lebih</t>
  </si>
  <si>
    <t xml:space="preserve">Industri Kendaraan Bermotor Roda Dua dan Tiga Serta Komponen dan Perlengkapannya </t>
  </si>
  <si>
    <t>Penjualan Mobil</t>
  </si>
  <si>
    <t xml:space="preserve">Penjualan Suku Cadang dan Aksesoris Mobil </t>
  </si>
  <si>
    <t>Penjualan Sepeda Motor</t>
  </si>
  <si>
    <t>Penjualan Suku Cadang dan Aksesoris Sepeda Motor</t>
  </si>
  <si>
    <t>Rumah Tangga untuk Pemilikan Kendaraan Bermotor - Rumah Tangga untuk Pemilikan Mobil Roda Empat</t>
  </si>
  <si>
    <t>Rumah Tangga untuk Pemilikan Kendaraan Bermotor - Rumah Tangga untuk Pemilikan Sepeda Bermotor</t>
  </si>
  <si>
    <t>Rumah Tangga untuk Pemilikan Kendaraan Bermotor - Rumah Tangga untuk Pemilikan Truk dan Kendaraan Bermotor Roda Enam atau Lebih</t>
  </si>
  <si>
    <t>Rumah Tangga untuk Pemilikan Kendaraan Bermotor - Rumah Tangga untuk Pemilikan Kendaraan Bermotor Lainnya</t>
  </si>
  <si>
    <t xml:space="preserve">Industri Bahan Baku Pemberantas Hama dan Pemberantas Hama Termasuk Zat Pengatur Tumbuh </t>
  </si>
  <si>
    <t>CHEMICAL</t>
  </si>
  <si>
    <t xml:space="preserve">Industri Cat, Pernis dan Lak </t>
  </si>
  <si>
    <t xml:space="preserve">Industri Minyak Atsiri </t>
  </si>
  <si>
    <t xml:space="preserve">Industri Bahan Kimia dan Barang Kimia Lainnya </t>
  </si>
  <si>
    <t xml:space="preserve">Industri Serat Buatan </t>
  </si>
  <si>
    <t xml:space="preserve">Industri Kimia Dasar, Kecuali Pupuk </t>
  </si>
  <si>
    <t xml:space="preserve">Industri Pupuk </t>
  </si>
  <si>
    <t>Perdagangan Impor Pupuk dan Obat Hama</t>
  </si>
  <si>
    <t xml:space="preserve">Perdagangan Eceran Bahan Kimia, Farmasi, Kosmetik, dan Alat Laboratorium </t>
  </si>
  <si>
    <t xml:space="preserve">Perdagangan Eceran Kaki Lima Bahan Kimia, Frmasi, Kosmetik, dan Alat Laboratorium </t>
  </si>
  <si>
    <t>Perdagangan Dalam Negeri Pupuk dan Obat Hama</t>
  </si>
  <si>
    <t xml:space="preserve">Perkebunan Tanaman Obat / Bahan Farmasi </t>
  </si>
  <si>
    <t xml:space="preserve">Industri Farmasi dan Jamu </t>
  </si>
  <si>
    <t>Perdagangan Impor Farmasi</t>
  </si>
  <si>
    <t>Pertambangan Batubara, Penggalian Gambut, dan Gasifikasi Batubara</t>
  </si>
  <si>
    <t>COAL, MINING &amp; QUARRYING</t>
  </si>
  <si>
    <t>COAL</t>
  </si>
  <si>
    <t xml:space="preserve">Pembuatan Briket Batubara </t>
  </si>
  <si>
    <t xml:space="preserve">Industri Barang-barang dari Batubara </t>
  </si>
  <si>
    <t xml:space="preserve">Pertambangan Bijih Uranium dan Thorium </t>
  </si>
  <si>
    <t xml:space="preserve">Pertambangan Pasir Besi dan Bijih Besi </t>
  </si>
  <si>
    <t xml:space="preserve">Pertambangan Bijih Timah </t>
  </si>
  <si>
    <t xml:space="preserve">Pertambangan Bijih Bauksit </t>
  </si>
  <si>
    <t xml:space="preserve">Pertambangan Bijih Tembaga </t>
  </si>
  <si>
    <t xml:space="preserve">Pertambangan Bijih Nikel </t>
  </si>
  <si>
    <t>Pertambangan Emas</t>
  </si>
  <si>
    <t xml:space="preserve">Pertambangan Perak </t>
  </si>
  <si>
    <t xml:space="preserve">Bahan Galian Lainnya yang Tidak Mengandung Bijih Besi </t>
  </si>
  <si>
    <t>Penggalian Batu-batuan, Tanah Liat dan Pasir</t>
  </si>
  <si>
    <t xml:space="preserve">Pertambangan Mineral, Bahan Kimia dan Bahan Pupuk </t>
  </si>
  <si>
    <t xml:space="preserve">Ekstraksi Garam </t>
  </si>
  <si>
    <t>Pertambangan dan Penggalian Lainnya</t>
  </si>
  <si>
    <t xml:space="preserve">Industri Barang-barang dari Batu </t>
  </si>
  <si>
    <t xml:space="preserve">Industri Barang-barang dari Asbes </t>
  </si>
  <si>
    <t>Industri Barang-barang Galian Bukan Logam Lainnya</t>
  </si>
  <si>
    <t>Perdagangan Ekspor Hasil Tambang Setengah Jadi</t>
  </si>
  <si>
    <t>Perdagangan Tembakau</t>
  </si>
  <si>
    <t>COMODITY</t>
  </si>
  <si>
    <t>Perdagangan Cengkeh</t>
  </si>
  <si>
    <t>Perdagangan Ekspor Tembakau</t>
  </si>
  <si>
    <t>Perdagangan Impor Cengkeh</t>
  </si>
  <si>
    <t>Industri Minyak Goreng dari Kelapa Sawit Mentah</t>
  </si>
  <si>
    <t xml:space="preserve">Industri Minyak Goreng dari Biji Kelapa Sawit </t>
  </si>
  <si>
    <t>Perdagangan Kelapa dan Kelapa Sawit</t>
  </si>
  <si>
    <t>Perdagangan Dalam Negeri Minyak Kelapa Sawit</t>
  </si>
  <si>
    <t>Perdagangan Ekspor Biji Kelapa Sawit</t>
  </si>
  <si>
    <t>Perdagangan Ekspor Minyak Kelapa Sawit Mentah</t>
  </si>
  <si>
    <t>Perdagangan Ekspor Minyak Biji Kelapa Sawit</t>
  </si>
  <si>
    <t xml:space="preserve">Industri Pengasapan Karet </t>
  </si>
  <si>
    <t xml:space="preserve">Industri Remilling Karet </t>
  </si>
  <si>
    <t xml:space="preserve">Industri Karet Remah (CRUMBer) </t>
  </si>
  <si>
    <t xml:space="preserve">Industri Barang-barang lain dari Karet </t>
  </si>
  <si>
    <t>Perdagangan Jagung</t>
  </si>
  <si>
    <t>Perdagangan Lada</t>
  </si>
  <si>
    <t>Perdagangan Ekspor Teh</t>
  </si>
  <si>
    <t>Perdagangan Ekspor Kopi Bubuk</t>
  </si>
  <si>
    <t>Perdagangan Ekspor Bijih Timah</t>
  </si>
  <si>
    <t>Perdagangan Ekspor Kopi Bijian</t>
  </si>
  <si>
    <t>Perdagangan Ekspor Lada</t>
  </si>
  <si>
    <t>Perdagangan Ekspor Bungkil Kopra</t>
  </si>
  <si>
    <t>Perdagangan Impor Biji Gandum</t>
  </si>
  <si>
    <t>Perdagangan Impor Jagung</t>
  </si>
  <si>
    <t>Perdagangan Impor Kacang Kedelai</t>
  </si>
  <si>
    <t>Perdagangan Impor Beras</t>
  </si>
  <si>
    <t>Perdagangan Impor Gula</t>
  </si>
  <si>
    <t>Perdagangan Dalam Negeri Beras</t>
  </si>
  <si>
    <t>Perdagangan Dalam Negeri Gula</t>
  </si>
  <si>
    <t>Perdagangan Dalam Negeri Kopi</t>
  </si>
  <si>
    <t>Perdagangan Dalam Negeri Teh</t>
  </si>
  <si>
    <t>Perdagangan Dalam Negeri Kopra</t>
  </si>
  <si>
    <t>Perdagangan Besar Dalam Negeri Hasil Pertanian Lainnya</t>
  </si>
  <si>
    <t>Perdagangan Ekspor Hasil Tanaman Pangan dan Perkebunan</t>
  </si>
  <si>
    <t>Perdagangan Ekspor Bahan Baku Hasil Pertanian Lainnya</t>
  </si>
  <si>
    <t>Perdagangan Ekspor Hasil Pertanian, Perkebunan, dan Kehutanan Lainnya</t>
  </si>
  <si>
    <t>Perdagangan Impor Bahan Baku Hasil Pertanian, dan Binatang Hidup Lainnya</t>
  </si>
  <si>
    <t>Perdagangan Kapas</t>
  </si>
  <si>
    <t>Konstruksi Gedung Perbelanjaan Lainnya</t>
  </si>
  <si>
    <t>CONSTRUCTION</t>
  </si>
  <si>
    <t>Penyiapan Tanah Pemukiman Transmigrasi (PTPT)</t>
  </si>
  <si>
    <t>Pencetakan Lahan Sawah</t>
  </si>
  <si>
    <t>Penyiapan Lahan Lainnya</t>
  </si>
  <si>
    <t>Konstruksi Perumahan Sederhana - Bank Tabungan Negara</t>
  </si>
  <si>
    <t>Konstruksi Perumahan Sederhana - Perumnas</t>
  </si>
  <si>
    <t>Konstruksi Perumahan Sederhana - Lainnya Tipe s.d. 21</t>
  </si>
  <si>
    <t>Konstruksi Perumahan Sederhana - Lainnya Tipe 22 s.d. 70</t>
  </si>
  <si>
    <t>Konstruksi Perumahan Menengah, Besar, Mewah (Tipe Diatas 70)</t>
  </si>
  <si>
    <t xml:space="preserve">Konstruksi Gedung Perkantoran </t>
  </si>
  <si>
    <t xml:space="preserve">Konstruksi Gedung Industri </t>
  </si>
  <si>
    <t>Konstruksi Gedung Perbelanjaan Pasar Inpres</t>
  </si>
  <si>
    <t xml:space="preserve">Konstruksi Gedung Lainnya </t>
  </si>
  <si>
    <t>Bangunan Jalan Raya</t>
  </si>
  <si>
    <t>Bangunan Jalan Tol</t>
  </si>
  <si>
    <t>Bangunan Jalan Jembatan dan Landasan</t>
  </si>
  <si>
    <t xml:space="preserve">Bangunan Jalan dan Jembatan Kereta Api </t>
  </si>
  <si>
    <t>Bangunan Pengairan (Irigasi)</t>
  </si>
  <si>
    <t>Bangunan Dermaga (Pelabuhan)</t>
  </si>
  <si>
    <t xml:space="preserve">Bangunan Sipil Lainnya </t>
  </si>
  <si>
    <t>Konstruksi Bangunan Listrik Pedesaan</t>
  </si>
  <si>
    <t>Konstruksi Bangunan Elektrikal dan Komunikasi Lainnya</t>
  </si>
  <si>
    <t xml:space="preserve">Konstruksi Khusus </t>
  </si>
  <si>
    <t xml:space="preserve">Instalasi Gedung </t>
  </si>
  <si>
    <t xml:space="preserve">Instalasi Bangunan Sipil </t>
  </si>
  <si>
    <t xml:space="preserve">Penyelesaian Konstruksi Gedung </t>
  </si>
  <si>
    <t xml:space="preserve">Penghancur Bangunan Dengan Operatornya </t>
  </si>
  <si>
    <t>Perdagangan Dalam Negeri Bahan-bahan Konstruksi Lainnya</t>
  </si>
  <si>
    <t>Perdagangan Ekspor Jasa Konstruksi</t>
  </si>
  <si>
    <t>Perdagangan Impor Bahan-bahan Konstruksi Lainnya</t>
  </si>
  <si>
    <t>Jasa Penunjang Perantara Keuangan Lainnya</t>
  </si>
  <si>
    <t>CONSULTING &amp; SERVICE INDUSTRY</t>
  </si>
  <si>
    <t>CONSULTING</t>
  </si>
  <si>
    <t xml:space="preserve">K.3.1. Jasa Konsultasi Piranti Keras (Hardware Consulting) </t>
  </si>
  <si>
    <t xml:space="preserve">K.3.2. Jasa Konsultasi Piranti Lunak (Software Consulting) </t>
  </si>
  <si>
    <t xml:space="preserve">K.3.3. Pengolahan Data </t>
  </si>
  <si>
    <t xml:space="preserve">K.3.4. Jasa Kegiatan Data Base </t>
  </si>
  <si>
    <t xml:space="preserve">K.3.5. Perawatan dan Reparasi Mesin-mesin Kantor, Akuntansi, dan Komputer </t>
  </si>
  <si>
    <t xml:space="preserve">K.3.9. Kegiatan Lain yang Berkaitan Dengan Komputer </t>
  </si>
  <si>
    <t xml:space="preserve">K.4.1. Penelitian dan Pengembangan Ilmu Pengetahuan Alam dan Teknologi </t>
  </si>
  <si>
    <t xml:space="preserve">K.4.2. Penelitian dan Pengembangan Ilmu Pengetahuan Sosial dan Humaniora </t>
  </si>
  <si>
    <t xml:space="preserve">K.5.1. Jasa Hukum, Akuntansi dan Pembukuan, Konsultasi Pajak, Penelitian Pasar, dan Konsultasi Bisnis dan Manajemen </t>
  </si>
  <si>
    <t xml:space="preserve">K.5.2. Jasa Konsultasi Arsitek, Kegiatan Teknik dan Rekayasa, Serta Analisis dan Testing </t>
  </si>
  <si>
    <t xml:space="preserve">M.1.1. Jasa Pendidikan Dasar </t>
  </si>
  <si>
    <t xml:space="preserve">M.1.2. Jasa Pendidikan Menengah </t>
  </si>
  <si>
    <t xml:space="preserve">M.1.3. Jasa Pendidikan Tinggi </t>
  </si>
  <si>
    <t xml:space="preserve">M.1.4. Jasa Pendidikan Lainnya </t>
  </si>
  <si>
    <t>J.1.1. Perantara Moneter (Bank)</t>
  </si>
  <si>
    <t>Perantara Keuangan Lainnya (Non Bank) Leasing</t>
  </si>
  <si>
    <t>Perantara Keuangan Lainnya (Non Bank) Selain Leasing</t>
  </si>
  <si>
    <t xml:space="preserve">J.2.1. Asuransi dan Dana Pensiun </t>
  </si>
  <si>
    <t>Jasa Penukaran Mata Uang atau Pedagang Valuta Asing (Money Changer)</t>
  </si>
  <si>
    <t xml:space="preserve">J.3.2. Jasa Penunjang Asuransi dan dana Pensiun </t>
  </si>
  <si>
    <t>Bukan Lapangan Usaha Lainnya</t>
  </si>
  <si>
    <t xml:space="preserve">Jasa Pertanian, Perkebunan dan Peternakan </t>
  </si>
  <si>
    <t xml:space="preserve">Pengadaan dan Penyaluran Air Bersih </t>
  </si>
  <si>
    <t xml:space="preserve">I.1.3. Angkutan Dengan Saluran Pipa </t>
  </si>
  <si>
    <t xml:space="preserve">I.4.1. Jasa Pelayanan Bongkar Muat Barang </t>
  </si>
  <si>
    <t xml:space="preserve">I.4.3. Jasa Penunjang Angkutan Kecuali Jasa Bongkar Muat dan Pergudangan </t>
  </si>
  <si>
    <t>Jasa Perusahaan Lainnya</t>
  </si>
  <si>
    <t xml:space="preserve">L.1.1. Administrasi Pemerintahan, dan Kebijaksanaan Ekonomi dan Sosial </t>
  </si>
  <si>
    <t>L.1.2. Hubungan Luar Negeri, Pertahanan, dan Keamanan</t>
  </si>
  <si>
    <t xml:space="preserve">L.1.3. Jaminan Sosial Wajib </t>
  </si>
  <si>
    <t xml:space="preserve">N.1.2. Jasa Kesehatan Hewan </t>
  </si>
  <si>
    <t xml:space="preserve">N.1.3. Jasa Kegiatan Sosial </t>
  </si>
  <si>
    <t xml:space="preserve">O.1.1. Jasa Kebersihan </t>
  </si>
  <si>
    <t xml:space="preserve">O.2.1. Organisasi Bisnis, Pengusaha dan Profesional </t>
  </si>
  <si>
    <t xml:space="preserve">O.2.2. Organisasi Buruh </t>
  </si>
  <si>
    <t xml:space="preserve">O.2.3. Organisasi Lainnya </t>
  </si>
  <si>
    <t>O.4.1. Jasa Kegiatan Lainnya</t>
  </si>
  <si>
    <t xml:space="preserve">P.1.1. Jasa Perorangan yang Melayani Rumah Tangga </t>
  </si>
  <si>
    <t>Q.1.1. Badan Internasional dan Badan Ekstra Internasional Lainnya</t>
  </si>
  <si>
    <t xml:space="preserve">I.4.2. Pergudangan, Jasa Cold Storage, dan Jasa Wilayah Berikat </t>
  </si>
  <si>
    <t xml:space="preserve">I.4.4. Jasa Perjalanan Wisata </t>
  </si>
  <si>
    <t xml:space="preserve">K.1.3. Kawasan Pariwisata dan Penyediaan Sarana Wisata Tirta Kawasan Pariwisata </t>
  </si>
  <si>
    <t xml:space="preserve">Perdagangan Besar Berdasarkan Balas Jasa (Fee) Atau Kontrak </t>
  </si>
  <si>
    <t xml:space="preserve">Perdagangan Ekspor Berdasarkan Balas Jasa (Fee) Atau Kontrak </t>
  </si>
  <si>
    <t xml:space="preserve">Perdagangan Impor Berdasarkan Balas Jasa (Fee) Atau Kontrak </t>
  </si>
  <si>
    <t xml:space="preserve">Perdagangan Eceran Berbagai Macam Barang yang Didominasi Oleh Barang Bukan Makanan, Minuman dan Tembakau </t>
  </si>
  <si>
    <t>Perdagangan Ekspor Kulit</t>
  </si>
  <si>
    <t xml:space="preserve">Perdagangan Eceran Tekstil, Pakaian Jadi, Alas Kaki, dan Barang Keperluan Pribadi </t>
  </si>
  <si>
    <t xml:space="preserve">lndustri Pengeringan dan Pengolahan Tembakau </t>
  </si>
  <si>
    <t>Industri Rokok</t>
  </si>
  <si>
    <t xml:space="preserve">Industri Bumbu Rokok Serta Kelengkapan Rokok Lainnya </t>
  </si>
  <si>
    <t>Perdagangan Dalam Negeri Rokok</t>
  </si>
  <si>
    <t>Perdagangan Dalam Negeri Garam</t>
  </si>
  <si>
    <t xml:space="preserve">Industri Sabun dan Bahan Pembersih Keperluan Rumah Tangga, Kosmetik dan Sejenisnya </t>
  </si>
  <si>
    <t xml:space="preserve">Industri Semen, Kapur dan Gips, Serta Barang-barang dari Semen, dan Kapur </t>
  </si>
  <si>
    <t>Perdagangan Dalam Negeri Semen</t>
  </si>
  <si>
    <t>Perdagangan Ekspor Tekstil</t>
  </si>
  <si>
    <t xml:space="preserve">Perdagangan Eceran Kaki Lima Tekstil, Pakaian Jadi, Alas Kaki, dan Barang Keperluan Pribadi </t>
  </si>
  <si>
    <t xml:space="preserve">Perdagangan Besar Tekstil, Pakaian Jadi, dan Kulit </t>
  </si>
  <si>
    <t xml:space="preserve">Perdagangan Impor Tekstil, Pakaian Jadi, dan Kulit </t>
  </si>
  <si>
    <t xml:space="preserve">Perdagangan Eceran Bahan Konstruksi </t>
  </si>
  <si>
    <t>Perdagangan Ekspor Bahan-bahan Konstruksi (kecuali Bahan Hasil Penggalian) Lainnya</t>
  </si>
  <si>
    <t xml:space="preserve">Perdagangan Karet </t>
  </si>
  <si>
    <t>CRUMB</t>
  </si>
  <si>
    <t>Perdagangan Ekspor Karet</t>
  </si>
  <si>
    <t xml:space="preserve">Industri Kabel Listrik dan Telepon </t>
  </si>
  <si>
    <t>ELECTRICITY</t>
  </si>
  <si>
    <t xml:space="preserve">Industri Motor Listrik, Generator, dan Transformator </t>
  </si>
  <si>
    <t>Industri Peralatan Pengontrol dan Pendistribusian Listrik</t>
  </si>
  <si>
    <t xml:space="preserve">Industri Akumulator Listrik dan Batu Baterai </t>
  </si>
  <si>
    <t>Industri Bola Lampu Pijar dan Lampu Penerangan</t>
  </si>
  <si>
    <t xml:space="preserve">Industri Peralatan Listrik yang Tidak Diklasifikasikan di Tempat lain </t>
  </si>
  <si>
    <t>Ketenagalistrikan Pedesaan</t>
  </si>
  <si>
    <t>Ketenagalistrikan Lainnya</t>
  </si>
  <si>
    <t xml:space="preserve">Uap dan Air Panas </t>
  </si>
  <si>
    <t xml:space="preserve">Industri Tabung dan Katup Elektronik Serta Komponen Elektronik lainnya </t>
  </si>
  <si>
    <t xml:space="preserve">Industri Alat-alat Pertanian, Pertukangan, Pemotong, dan Peralatan lainnya dari Logam </t>
  </si>
  <si>
    <t xml:space="preserve">Industri Mesin-mesin Umum </t>
  </si>
  <si>
    <t xml:space="preserve">Industri Mesin Pertanian dan Kehutanan, Serta Jasa Penunjang Pemeliharaan dan Perbaikannya </t>
  </si>
  <si>
    <t xml:space="preserve">Industri Mesin-mesin Untuk Pertambangan, Penggalian dan Konstruksi </t>
  </si>
  <si>
    <t xml:space="preserve">lndustri Mesin Untuk Pengolahan Makanan, Minuman dan Tembakau </t>
  </si>
  <si>
    <t xml:space="preserve">Industri Mesin-mesin Tekstil, Produk Tekstil, dan Barang-barang dari Kulit </t>
  </si>
  <si>
    <t>Industri Mesin-mesin Khusus Lainnya</t>
  </si>
  <si>
    <t>Industri Mesin dan Peralatan Kantor, Akuntansi, dan Pengolahan Data</t>
  </si>
  <si>
    <t xml:space="preserve">Perdagangan Besar Mesin-mesin, Suku Cadang dan Perlengkapannya </t>
  </si>
  <si>
    <t xml:space="preserve">Perdagangan Ekspor Mesin-mesin, Suku Cadang dan Perlengkapannya </t>
  </si>
  <si>
    <t>Perdagangan Impor Suku Cadang Industri</t>
  </si>
  <si>
    <t>Perdagangan Impor Suku Cadang Mesin-mesin, Suku Cadang dan Perlengkapannya Lainnya</t>
  </si>
  <si>
    <t xml:space="preserve">Perdagangan Eceran Mesin-mesin (Kecuali Mobil dan Sepeda Motor) dan Suku Cadang (Onderdil), Termasuk Alat-alat TRANSPORTsi </t>
  </si>
  <si>
    <t xml:space="preserve">Industri Logam Dasar Bukan Besi </t>
  </si>
  <si>
    <t>FABRICATED METAL, STEEL &amp; OTHER BASIC INDUSTRY</t>
  </si>
  <si>
    <t>FABRICATED</t>
  </si>
  <si>
    <t xml:space="preserve">Industri pengecoran Logam Bukan Besi dan Baja </t>
  </si>
  <si>
    <t xml:space="preserve">Industri Barang Logam yang Tidak Diklasifikasikan di Tempat Lain </t>
  </si>
  <si>
    <t>Perdagangan Ekspor Bijih Logam Selain Timah</t>
  </si>
  <si>
    <t>Perdagangan Ekspor Logam dan Bijih Logam (hasil Pertambangan dan Penggalian) Lainnya</t>
  </si>
  <si>
    <t xml:space="preserve">G.5.4.2. Perdagangan Impor Logam dan Bijih Logam </t>
  </si>
  <si>
    <t xml:space="preserve">Industri Logam Dasar Besi dan Baja </t>
  </si>
  <si>
    <t>Industri Pengecoran Besi dan Baja</t>
  </si>
  <si>
    <t xml:space="preserve">Industri Barang-barang Logam Siap Pasang Untuk Bangunan, Pembuatan Tangki, dan Generator Uap </t>
  </si>
  <si>
    <t xml:space="preserve">Perdagangan Besar Logam dan Bijih Logam </t>
  </si>
  <si>
    <t>Perdagangan Dalam Negeri Besi Beton</t>
  </si>
  <si>
    <t>Perdagangan Impor Besi Beton</t>
  </si>
  <si>
    <t xml:space="preserve">Industri Kemasan dan Kotak dari Kertas dan Karton </t>
  </si>
  <si>
    <t xml:space="preserve">Industri Barang dari Kertas dan Kartan yang Tidak Diklasifikasikan di Tempat Lain </t>
  </si>
  <si>
    <t xml:space="preserve">Industri Gelas dan Barang dari Gelas </t>
  </si>
  <si>
    <t xml:space="preserve">Industri Barang-barang dari Porselin </t>
  </si>
  <si>
    <t xml:space="preserve">Industri Pengolahan Tanah Liat / Keramik </t>
  </si>
  <si>
    <t xml:space="preserve">Daur Ulang Barang-barang Logam </t>
  </si>
  <si>
    <t xml:space="preserve">Daur Ulang Barang-barang Bukan logam </t>
  </si>
  <si>
    <t>Perdagangan Eceran Komoditi Makanan dari Hasil Pertanian</t>
  </si>
  <si>
    <t>FOOD</t>
  </si>
  <si>
    <t xml:space="preserve">Perdagangan Eceran Komoditi Makanan, Minuman, Atau Tembakau Hasil Industri Pengolahan </t>
  </si>
  <si>
    <t xml:space="preserve">Perdagangan Eceran Kaki Lima Komoditi Makanan, Minuman Hasil Industri Pengolahan </t>
  </si>
  <si>
    <t xml:space="preserve">Industri Pengolahan dan Pengawetan Daging </t>
  </si>
  <si>
    <t xml:space="preserve">Industri Pengolahan dan Pengawetan Ikan dan Biota Perairan Lainnya </t>
  </si>
  <si>
    <t xml:space="preserve">Industri Pengolahan, Pengawetan Buah-buahan dan Sayuran </t>
  </si>
  <si>
    <t xml:space="preserve">Industri Minyak Mentah (Minyak Makan) dari Nabati dan Hewani </t>
  </si>
  <si>
    <t xml:space="preserve">lndustri Minyak Goreng dari Kelapa </t>
  </si>
  <si>
    <t xml:space="preserve">Industri Susu dan Makanan dari Susu </t>
  </si>
  <si>
    <t xml:space="preserve">Industri Penggilingan Padi dan Penyosohan Beras </t>
  </si>
  <si>
    <t xml:space="preserve">lndustri Kopra </t>
  </si>
  <si>
    <t>Industri Penggilingan Lainnya</t>
  </si>
  <si>
    <t xml:space="preserve">Industri Tepung dan Pati </t>
  </si>
  <si>
    <t xml:space="preserve">Industri Roti dan Sejenisnya </t>
  </si>
  <si>
    <t xml:space="preserve">Industri Gula dan Pengolahan Gula </t>
  </si>
  <si>
    <t xml:space="preserve">Industri Coklat dan Kernbang Gula </t>
  </si>
  <si>
    <t xml:space="preserve">Industri Makaroni, Mie, Spagheti, Bihun, So'un dan Sejenisnya </t>
  </si>
  <si>
    <t xml:space="preserve">Industri Pengolahan Teh </t>
  </si>
  <si>
    <t xml:space="preserve">Industri Pengolahan Kopi </t>
  </si>
  <si>
    <t xml:space="preserve">lndustri Kecap </t>
  </si>
  <si>
    <t xml:space="preserve">lndustri Tempe dan Tahu </t>
  </si>
  <si>
    <t>lndustri Makanan yang Tidak Diklasifikasikan di Tempat Lain</t>
  </si>
  <si>
    <t xml:space="preserve">Industri Minuman </t>
  </si>
  <si>
    <t>Perdagangan Dalam Negeri Makanan, Minuman dan Tembakau Lainnya</t>
  </si>
  <si>
    <t>Perdagangan Ekspor Makanan dan Minuman Lainnya</t>
  </si>
  <si>
    <t>Perdagangan Ekspor Hewan yang Sudah Diolah</t>
  </si>
  <si>
    <t>Perdagangan Ekspor Bahan Makanan Lainnya</t>
  </si>
  <si>
    <t>H.1.2.9. Penyediaan Makan Minum Lainnya</t>
  </si>
  <si>
    <t xml:space="preserve">H.1.2.1. Restoran / Rumah Makan </t>
  </si>
  <si>
    <t xml:space="preserve">Perdagangan Eceran Berbagai Macam Barang yang Didominasi Makanan, Minuman dan Tembakau </t>
  </si>
  <si>
    <t xml:space="preserve">Pengusahaan Hutan Alam </t>
  </si>
  <si>
    <t>FORESTRY</t>
  </si>
  <si>
    <t xml:space="preserve">Pengusahaan Hasil Hutan Selain Kayu </t>
  </si>
  <si>
    <t xml:space="preserve">Jasa Kehutanan </t>
  </si>
  <si>
    <t xml:space="preserve">Usaha Kehutanan Lainnya </t>
  </si>
  <si>
    <t>Perdagangan Kayu</t>
  </si>
  <si>
    <t>Perdagangan Besar Dalam Negeri Hasil Kehutanan dan Perburuan Lainnya</t>
  </si>
  <si>
    <t>Perdagangan Ekspor Kayu</t>
  </si>
  <si>
    <t>Perdagangan Ekspor Rotan</t>
  </si>
  <si>
    <t>Perdagangan Ekspor Hasil Hutan Selain Kayu dan Rotan</t>
  </si>
  <si>
    <t xml:space="preserve">Industri Peralatan Rumah Tangga yang Tidak Diklasifikasikan di Tempat Lain </t>
  </si>
  <si>
    <t>HOME</t>
  </si>
  <si>
    <t xml:space="preserve">Perdagangan Besar Barang-barang Keperluan Rumah Tangga lainnya </t>
  </si>
  <si>
    <t xml:space="preserve">Perdagangan Ekspor Barang-barang Keperluan Rumah Tangga Lainnya </t>
  </si>
  <si>
    <t xml:space="preserve">G.5.3.9. Perdagangan Impor Barang-barang Keperluan Rumah Tangga lainnya </t>
  </si>
  <si>
    <t xml:space="preserve">Perdagangan Eceran Perlengkapan Rumah Tangga dan Perlengkapan Dapur </t>
  </si>
  <si>
    <t xml:space="preserve">Perdagangan Eceran Kaki Lima Perlengkapan Rumah Tangga dan Perlengkapan Dapur </t>
  </si>
  <si>
    <t xml:space="preserve">Industri Peralatan Kedokteran, dan Peralatan Untuk Mengukur, Memeriksa, Menguji, dan Bagian Lainnya, Kecuali Alat-alat Optik </t>
  </si>
  <si>
    <t>HOSPITAL</t>
  </si>
  <si>
    <t xml:space="preserve">Industri Instrumen Optik dan Peralatan Fotografi </t>
  </si>
  <si>
    <t>Jasa Kesehatan Manusia - Rumah sakit</t>
  </si>
  <si>
    <t>Jasa Kesehatan Manusia - Poliklinik / Rumah Bersalin</t>
  </si>
  <si>
    <t>Jasa Kesehatan Manusia - Tempat Perawatan / Pengobatan</t>
  </si>
  <si>
    <t>Jasa Kesehatan Manusia - Profesi Dokter</t>
  </si>
  <si>
    <t xml:space="preserve">H.1.1.1. Hotel Bintang </t>
  </si>
  <si>
    <t>HOTEL</t>
  </si>
  <si>
    <t xml:space="preserve">H.1.1.2. Hotel Melati </t>
  </si>
  <si>
    <t xml:space="preserve">H.1.1.9. Jasa Akomodasi Lainnya </t>
  </si>
  <si>
    <t>Industri Kulit dan Barang dari Kulit (Termasuk Kulit Buatan)</t>
  </si>
  <si>
    <t>LEATHER</t>
  </si>
  <si>
    <t xml:space="preserve">Industri Alas Kaki </t>
  </si>
  <si>
    <t xml:space="preserve">Industri Barang Jadi Tekstil dan Permadani </t>
  </si>
  <si>
    <t xml:space="preserve">Industri Pakaian Jadi dan perlengkapannya, Kecuali Pakaian Jadi Berbulu </t>
  </si>
  <si>
    <t xml:space="preserve">Industri Pakaian Jadi Barang Jadi dari Kulit Berbulu dan Pencelupan Bulu </t>
  </si>
  <si>
    <t>Perdagangan Ekspor Pakaian Jadi</t>
  </si>
  <si>
    <t xml:space="preserve">Industri Pemintalan, Pertenunan, Pengolahan Akhir Tekstil </t>
  </si>
  <si>
    <t xml:space="preserve">Industri Perajutan Industri Perajutan </t>
  </si>
  <si>
    <t xml:space="preserve">Industri Kapuk </t>
  </si>
  <si>
    <t xml:space="preserve">Pertambangan Minyak dan Gas Bumi </t>
  </si>
  <si>
    <t>OIL</t>
  </si>
  <si>
    <t xml:space="preserve">Pengusahaan Tenaga Panas Bumi </t>
  </si>
  <si>
    <t xml:space="preserve">Jasa Pertambangan Minyak dan Gas Bumi </t>
  </si>
  <si>
    <t xml:space="preserve">Industri Pengilangan Minyak Bumi, Pengolahan Gas Bumi, dan Industri Barang-barang dari Hasil Pengilangan Minyak Bumi </t>
  </si>
  <si>
    <t xml:space="preserve">Pengolahan Bahan Bakar Nuklir (Nuclear Fuel) </t>
  </si>
  <si>
    <t xml:space="preserve">Gas </t>
  </si>
  <si>
    <t xml:space="preserve">Perdagangan Eceran Bahan Bakar Kendaraan </t>
  </si>
  <si>
    <t xml:space="preserve">Perdagangan Besar Bahan Bakar Gas, Cair, dan Padat, Serta Produk Sejenis </t>
  </si>
  <si>
    <t xml:space="preserve">Perdagangan Eceran Bahan Bakar dan Minyak Pelumas </t>
  </si>
  <si>
    <t xml:space="preserve">Perdagangan Ekspor Bahan Bakar Gas, Cair, dan Padat Serta Produk Sejenis </t>
  </si>
  <si>
    <t xml:space="preserve">G.5.4.1. Perdagangan Impor Bahan Bakar Gas, Cair, dan Padat Serta Produk Sejenis </t>
  </si>
  <si>
    <t>Perdagangan Eceran Kaki Lima Bahan Bakar dan Pelumas</t>
  </si>
  <si>
    <t xml:space="preserve">Perdagangan Eceran Barang-barang Kerajinan, Mainan Anak-anak, dan Lukisan </t>
  </si>
  <si>
    <t>OTHERS</t>
  </si>
  <si>
    <t xml:space="preserve">Perdagangan Eceran Kaki Lima barang-barang kerajinan, mainan anak-anak, dan ILlkisan </t>
  </si>
  <si>
    <t>Perdagangan Ekspor Barang Kerajinan selain dari Kayu dan Rotan</t>
  </si>
  <si>
    <t xml:space="preserve">Perdagangan Eceran Komoditi Lainnya (Bukan Makanan, Minuman, Atau Tembakau) </t>
  </si>
  <si>
    <t xml:space="preserve">Perdagangan Eceran Kaki Lima Komoditi dari Hasil Pertanian </t>
  </si>
  <si>
    <t xml:space="preserve">Perdagangan Eceran Kaki Lima Barang-Barang Bekas </t>
  </si>
  <si>
    <t xml:space="preserve">Perdagangan Eceran Kaki Lima Lainnya </t>
  </si>
  <si>
    <t xml:space="preserve">Perdagangan Eceran Keliling </t>
  </si>
  <si>
    <t>Perdagangan Dalam Negeri Barang Antara Lainnya</t>
  </si>
  <si>
    <t xml:space="preserve">Perdagangan Dalam Negeri yang Tidak Diklasifikasikan di Tempat Lain </t>
  </si>
  <si>
    <t xml:space="preserve">Perdagangan Ekspor Produk Antara (Intermediate Products), Barang-barang Bekas dan Sisa-sisa Tak Terpakai (Scrap) </t>
  </si>
  <si>
    <t>Perdagangan Ekspor Barang Setengah Jadi Lainnya</t>
  </si>
  <si>
    <t xml:space="preserve">Perdagangan Ekspor yang Tidak Diklasifikasikan di Tempat Lain </t>
  </si>
  <si>
    <t>Perdagangan Impor Barang Antara Lainnya</t>
  </si>
  <si>
    <t xml:space="preserve">G.5.9. Perdagangan Impor Lainnya </t>
  </si>
  <si>
    <t xml:space="preserve">Perdagangan Eceran Melalui Media </t>
  </si>
  <si>
    <t>Rumah Tangga untuk Pemilikan Peralatan Rumah Tangga Lainnya - Rumah Tangga untuk Pemilikan Furnitur dan Peralatan Rumah Tangga</t>
  </si>
  <si>
    <t>Rumah Tangga untuk Pemilikan Peralatan Rumah Tangga Lainnya - Rumah Tangga untuk Pemilikan Televisi, Radio, dan Alat Elektronik</t>
  </si>
  <si>
    <t>Rumah Tangga untuk Pemilikan Peralatan Rumah Tangga Lainnya - Rumah Tangga untuk Pemilikan Komputer dan Alat Komunikasi</t>
  </si>
  <si>
    <t>Rumah Tangga untuk Pemilikan Peralatan Rumah Tangga Lainnya - Rumah Tangga untuk Pemilikan Peralatan Lainnya</t>
  </si>
  <si>
    <t>Perdagangan Eceran Komoditi Bukan Makanan, Minuman atau Tembakau - Perdagangan Eceran Barang Bekas</t>
  </si>
  <si>
    <t>Industri Jam, Lonceng, dan Sejenisnya</t>
  </si>
  <si>
    <t>Industri Pengolahan Lainnya</t>
  </si>
  <si>
    <t>Rumah Tangga untuk Keperluan yang Tidak Diklasifikasikan di Tempat Lain  - Rumah Tangga untuk Keperluan Multiguna</t>
  </si>
  <si>
    <t xml:space="preserve">Rumah Tangga untuk Keperluan yang Tidak Diklasifikasikan di Tempat Lain  - Rumah Tangga untuk Keperluan yang Tidak Diklasifikasikan di Tempat Lain </t>
  </si>
  <si>
    <t xml:space="preserve">Perkebunan Kelapa Sawit </t>
  </si>
  <si>
    <t>PLANTATION</t>
  </si>
  <si>
    <t>Perkebunan Tanaman Kopi</t>
  </si>
  <si>
    <t xml:space="preserve">Perkebunan Tanaman Teh </t>
  </si>
  <si>
    <t>Perkebunan Tanaman Coklat (Kakao)</t>
  </si>
  <si>
    <t xml:space="preserve">Perkebunan Jambu Mete </t>
  </si>
  <si>
    <t xml:space="preserve">Perkebunan Lada </t>
  </si>
  <si>
    <t>Perkebunan Tanaman Rempah Panili</t>
  </si>
  <si>
    <t>Perkebunan Tanaman Rempah Pala</t>
  </si>
  <si>
    <t>Perkebunan Tanaman Rempah yang Tidak Diklasifikasikan di Tempat Lain</t>
  </si>
  <si>
    <t xml:space="preserve">Perkebunan Karet dan Penghasil Getah Lainnya </t>
  </si>
  <si>
    <t xml:space="preserve">Perkebunan Tanaman Bahan Baku Tekstil dan Sejenisnya </t>
  </si>
  <si>
    <t xml:space="preserve">Perkebunan Tembakau </t>
  </si>
  <si>
    <t xml:space="preserve">Perkebunan Cengkeh </t>
  </si>
  <si>
    <t>Industri Plastik dan Karet Buatan</t>
  </si>
  <si>
    <t>PLASTIC</t>
  </si>
  <si>
    <t xml:space="preserve">Industri Barang dari Plastik </t>
  </si>
  <si>
    <t>Industri Bubur Kertas (Pulp), Kertas dan Karton / Paper Board</t>
  </si>
  <si>
    <t>Perdagangan Dalam Negeri Kertas Koran</t>
  </si>
  <si>
    <t xml:space="preserve">Perdagangan Eceran Kertas, Barang-barang dari Kertas, Alat Tulis, Barang Cetakan, Alat Olahraga, Alat Musik, Alat Fotografi, Komputer </t>
  </si>
  <si>
    <t xml:space="preserve">Perdagangan Eceran Kaki Lirna Kertas, Barang-Barang dari Kertas, Alat Tulis, Barang Cetakan, Alat Olah Raga, Alat Musik, Alat Fotografi, dan Komputer </t>
  </si>
  <si>
    <t xml:space="preserve">K.5.3. Jasa Periklanan </t>
  </si>
  <si>
    <t>PRINTING</t>
  </si>
  <si>
    <t xml:space="preserve">Reproduksi Media Rekaman, Film, dan Video </t>
  </si>
  <si>
    <t xml:space="preserve">Industri Radio, Televisi, Alat-alat Rekaman Suara dan Gambar, dan Sejenisnya </t>
  </si>
  <si>
    <t xml:space="preserve">O.3.1. Kegiatan Perfilman, Radio, Televisi, dan Hiburan Lainnya </t>
  </si>
  <si>
    <t xml:space="preserve">O.3.2. Kegiatan Kantor Berita </t>
  </si>
  <si>
    <t xml:space="preserve">O.3.3. Perpustakaan, Arsip, Museum, dan Kegiatan Kebudayaan Lainnya </t>
  </si>
  <si>
    <t xml:space="preserve">Industri Penerbitan </t>
  </si>
  <si>
    <t xml:space="preserve">Industri Percetakan dan Kegiatan yang Berkaitan Dengan Pencetakan Termasuk Reproduksi / Cetak Ulang) </t>
  </si>
  <si>
    <t>Real Estate Perumahan Sederhana - Perumnas</t>
  </si>
  <si>
    <t>PROPERTIES &amp; REAL ESTATE</t>
  </si>
  <si>
    <t>PROPERTIES</t>
  </si>
  <si>
    <t>Real Estate Perumahan Sederhana - Selain Perumnas s.d. Tipe 21</t>
  </si>
  <si>
    <t>Real Estate Perumahan Sederhana - Selain Perumnas s.d. Tipe 22 s.d. 70</t>
  </si>
  <si>
    <t>Real Estate Perumahan Menengah, Besar Atau Mewah (Tipe Diatas 70)</t>
  </si>
  <si>
    <t>Real Estate Perumahan Flat / Apartemen</t>
  </si>
  <si>
    <t>Real Estate Gedung Perbelanjaan (Mal, Plaza)</t>
  </si>
  <si>
    <t>Real Estate Gedung Perkantoran</t>
  </si>
  <si>
    <t>Real Estate Gedung Rumah Toko (Ruko) atau Rumah Kantor (Rukan)</t>
  </si>
  <si>
    <t>Real Estate Lainnya</t>
  </si>
  <si>
    <t xml:space="preserve">K.1.2. Real Estate Atas Dasar Balas Jasa (Fee) Atau Kontrak </t>
  </si>
  <si>
    <t>Rumah Tangga untuk Pemilikan Perumahan - Rumah Tangga untuk Pemilikan Rumah Tinggal - Rumah Tangga untuk Pemilikan Rumah Tinggal s.d. Tipe 21</t>
  </si>
  <si>
    <t>Rumah Tangga untuk Pemilikan Perumahan - Rumah Tangga untuk Pemilikan Rumah Tinggal - Rumah Tangga untuk Pemilikan Rumah Tinggal Tipe 22 s.d. 70</t>
  </si>
  <si>
    <t>Rumah Tangga untuk Pemilikan Perumahan - Rumah Tangga untuk Pemilikan Rumah Tinggal - Rumah Tangga untuk Pemilikan Rumah Tinggal Tipe Diatas 70</t>
  </si>
  <si>
    <t>Rumah Tangga untuk Pemilikan Flat atau Apartemen - Rumah Tangga untuk Pemilikan Flat atau Apartemen s.d. Tipe 21</t>
  </si>
  <si>
    <t>Rumah Tangga untuk Pemilikan Flat atau Apartemen - Rumah Tangga untuk Pemilikan Flat atau Apartemen Tipe 22 s.d. 70</t>
  </si>
  <si>
    <t>Rumah Tangga untuk Pemilikan Flat atau Apartemen - Rumah Tangga untuk Pemilikan Flat atau Apartemen Tipe Diatas 70</t>
  </si>
  <si>
    <t>Rumah Tangga untuk Pemilikan Rumah Toko (Ruko) atau Rumah Kantor (Rukan) - Rumah Tangga untuk Pemilikan Rumah Toko (Ruko) atau Rumah Kantor (Rukan)</t>
  </si>
  <si>
    <t xml:space="preserve">K.2.1.1. Persewaan Alat TRANSPORTsi Darat </t>
  </si>
  <si>
    <t>RENTAL</t>
  </si>
  <si>
    <t xml:space="preserve">K.2.1.3. Persewaan Alat TRANSPORTsi Udara </t>
  </si>
  <si>
    <t xml:space="preserve">K.2.2.1. Persewaan Mesin Pertanian dan Peralatannya </t>
  </si>
  <si>
    <t>K.2.2.2. Persewaan Mesin Konstruksi dan Teknik Sipil dan Peralatannya</t>
  </si>
  <si>
    <t xml:space="preserve">K.2.2.3. Persewaan Mesin Kantor dan Peralatannya (Termasuk Komputer) </t>
  </si>
  <si>
    <t xml:space="preserve">K.2.2.4. Persewaan Mesin Lainnya dan Peralatannya yang Tidak Diklasifikasikan di Tempat Lain </t>
  </si>
  <si>
    <t xml:space="preserve">K.2.3. Persewaan Barang-barang Keperluan Rumah Tangga dan Pribadi yang Tidak Diklasifikasikan di Tempat Lain </t>
  </si>
  <si>
    <t>Industri Pembuatan dan Perbaikan Kapal dan Perahu</t>
  </si>
  <si>
    <t>K.2.1.2. Persewaan Alat TRANSPORTsi Air</t>
  </si>
  <si>
    <t>Industri Alat Transmisi Komunikasi</t>
  </si>
  <si>
    <t>TELECOM</t>
  </si>
  <si>
    <t xml:space="preserve">I.5.2. Jaringan Telekomunikasi </t>
  </si>
  <si>
    <t xml:space="preserve">I.5.3. Jasa Telekomunikasi </t>
  </si>
  <si>
    <t>I.5.4. Telekomunikasi Khusus</t>
  </si>
  <si>
    <t>I.5.1. Pos Nasional, Unit Pelayanan Pos dan Jasa Kurir</t>
  </si>
  <si>
    <t>TRANSPORT</t>
  </si>
  <si>
    <t xml:space="preserve">Industri Kereta Api, Bagian-bagian dan Perlengkapannya, Serta Perbaikan Kereta Api </t>
  </si>
  <si>
    <t xml:space="preserve">Industri Pesawat Terbang dan Perlengkapannya Serta Perbaikan Pesawat Terbang </t>
  </si>
  <si>
    <t xml:space="preserve">Industri Alat Angkut yang Tidak Diklasifikasikan di Tempat Lain </t>
  </si>
  <si>
    <t xml:space="preserve">I.1.1. Angkutan Jalan Rel </t>
  </si>
  <si>
    <t>I.1.2.1. Angkutan Jalan Dalam Trayek Untuk Penumpang</t>
  </si>
  <si>
    <t xml:space="preserve">I.1.2.2. Angkutan Jalan Tidak Dalam Trayek Untuk Penumpang </t>
  </si>
  <si>
    <t xml:space="preserve">I.1.2.3. Angkutan Jalan Untuk Barang </t>
  </si>
  <si>
    <t xml:space="preserve">I.3.1. Angkutan Udara Berjadwal </t>
  </si>
  <si>
    <t xml:space="preserve">I.3.2. Angkutan Udara Tidak Berjadwal </t>
  </si>
  <si>
    <t xml:space="preserve">I.3.3. Angkutan Udara Khusus </t>
  </si>
  <si>
    <t xml:space="preserve">I.4.5. Jasa Pengiriman dan Pengepakan </t>
  </si>
  <si>
    <t xml:space="preserve">I.2.1.1. Angkutan Laut Domestik </t>
  </si>
  <si>
    <t xml:space="preserve">I.2.1.2. Angkutan Laut Internasional </t>
  </si>
  <si>
    <t xml:space="preserve">I.2.2.1. Angkutan Sungai dan Danau </t>
  </si>
  <si>
    <t xml:space="preserve">I.2.2.2. Angkutan Penyeberangan Domestik </t>
  </si>
  <si>
    <t xml:space="preserve">Pengusahaan Hutan Tanaman </t>
  </si>
  <si>
    <t>WOOD</t>
  </si>
  <si>
    <t xml:space="preserve">Industri Penggergajian dan Pengawetan Kayu, Rotan, Bambu, dan Sejenisnya </t>
  </si>
  <si>
    <t xml:space="preserve">Industri Kayu Lapis, Veneer, dan Sejenisnya </t>
  </si>
  <si>
    <t>Industri Anyam-anyaman, Kerajinan, Ukiran dari Kayu, dan Industri Barang Lain dari Kayu</t>
  </si>
  <si>
    <t>Perdagangan Ekspor Kayu Lapis</t>
  </si>
  <si>
    <t>Perdagangan Ekspor Kayu Gergajian</t>
  </si>
  <si>
    <t>Perdagangan Ekspor Barang Kerajinan dari Kayu dan Rotan</t>
  </si>
  <si>
    <t xml:space="preserve">Industri Furnitur </t>
  </si>
  <si>
    <t>WOOD PRODUCT</t>
  </si>
  <si>
    <t>OTHERS INDUSTRY</t>
  </si>
  <si>
    <t>COMODITY INDUSTRY</t>
  </si>
  <si>
    <t>FOOD &amp; BEVERAGE</t>
  </si>
  <si>
    <t>PRINTING, MEDIA &amp; ADVERTISING</t>
  </si>
  <si>
    <t>TRANSPORTATION AND COURIER SERVICE</t>
  </si>
  <si>
    <t>TELECOMMUNICATION</t>
  </si>
  <si>
    <t>RENTAL SERVICE</t>
  </si>
  <si>
    <t>PLASTIC, PULP &amp; PAPER</t>
  </si>
  <si>
    <t xml:space="preserve">OIL &amp; GAS </t>
  </si>
  <si>
    <t>HOTEL, RESTAURANT &amp; ACCOMMODATION SERVICE</t>
  </si>
  <si>
    <t>HOSPITAL &amp; MEDICAL EQUIPMENT</t>
  </si>
  <si>
    <t>HOME APPLIANCES</t>
  </si>
  <si>
    <t>Perdagangan Impor Makanan, Minuman, dan Tembakau Lainnya</t>
  </si>
  <si>
    <t>ELECTRICITY, ENGINE &amp; MACHINERIES</t>
  </si>
  <si>
    <t>CRUMB RUBBER</t>
  </si>
  <si>
    <t>Perdagangan Ekspor Batu Bara (incl. local trading)</t>
  </si>
  <si>
    <t>CHEMICAL &amp; PHARMACEUTICAL</t>
  </si>
  <si>
    <t>153300</t>
  </si>
  <si>
    <t>012110</t>
  </si>
  <si>
    <t>012191</t>
  </si>
  <si>
    <t>012192</t>
  </si>
  <si>
    <t>012210</t>
  </si>
  <si>
    <t>012291</t>
  </si>
  <si>
    <t>013000</t>
  </si>
  <si>
    <t>015000</t>
  </si>
  <si>
    <t>151110</t>
  </si>
  <si>
    <t>512120</t>
  </si>
  <si>
    <t>532120</t>
  </si>
  <si>
    <t>050111</t>
  </si>
  <si>
    <t>050119</t>
  </si>
  <si>
    <t>050121</t>
  </si>
  <si>
    <t>050122</t>
  </si>
  <si>
    <t>050190</t>
  </si>
  <si>
    <t>050211</t>
  </si>
  <si>
    <t>050212</t>
  </si>
  <si>
    <t>050213</t>
  </si>
  <si>
    <t>050219</t>
  </si>
  <si>
    <t>050220</t>
  </si>
  <si>
    <t>050310</t>
  </si>
  <si>
    <t>050320</t>
  </si>
  <si>
    <t>050411</t>
  </si>
  <si>
    <t>050419</t>
  </si>
  <si>
    <t>050421</t>
  </si>
  <si>
    <t>050429</t>
  </si>
  <si>
    <t>050490</t>
  </si>
  <si>
    <t>050510</t>
  </si>
  <si>
    <t>050580</t>
  </si>
  <si>
    <t>050590</t>
  </si>
  <si>
    <t>512130</t>
  </si>
  <si>
    <t>532130</t>
  </si>
  <si>
    <t>532201</t>
  </si>
  <si>
    <t>011110</t>
  </si>
  <si>
    <t>011121</t>
  </si>
  <si>
    <t>011122</t>
  </si>
  <si>
    <t>011123</t>
  </si>
  <si>
    <t>011124</t>
  </si>
  <si>
    <t>011125</t>
  </si>
  <si>
    <t>011126</t>
  </si>
  <si>
    <t>011129</t>
  </si>
  <si>
    <t>011130</t>
  </si>
  <si>
    <t>011180</t>
  </si>
  <si>
    <t>011190</t>
  </si>
  <si>
    <t>011211</t>
  </si>
  <si>
    <t>011219</t>
  </si>
  <si>
    <t>011220</t>
  </si>
  <si>
    <t>011231</t>
  </si>
  <si>
    <t>011239</t>
  </si>
  <si>
    <t>011240</t>
  </si>
  <si>
    <t>011250</t>
  </si>
  <si>
    <t>011311</t>
  </si>
  <si>
    <t>011319</t>
  </si>
  <si>
    <t>011321</t>
  </si>
  <si>
    <t>011329</t>
  </si>
  <si>
    <t>011330</t>
  </si>
  <si>
    <t>341000</t>
  </si>
  <si>
    <t>342000</t>
  </si>
  <si>
    <t>343000</t>
  </si>
  <si>
    <t>359100</t>
  </si>
  <si>
    <t>501000</t>
  </si>
  <si>
    <t>502000</t>
  </si>
  <si>
    <t>503001</t>
  </si>
  <si>
    <t>503002</t>
  </si>
  <si>
    <t>002100</t>
  </si>
  <si>
    <t>002200</t>
  </si>
  <si>
    <t>002300</t>
  </si>
  <si>
    <t>002900</t>
  </si>
  <si>
    <t>242100</t>
  </si>
  <si>
    <t>242200</t>
  </si>
  <si>
    <t>242940</t>
  </si>
  <si>
    <t>242990</t>
  </si>
  <si>
    <t>243000</t>
  </si>
  <si>
    <t>241100</t>
  </si>
  <si>
    <t>241200</t>
  </si>
  <si>
    <t>544901</t>
  </si>
  <si>
    <t>523100</t>
  </si>
  <si>
    <t>525300</t>
  </si>
  <si>
    <t>514901</t>
  </si>
  <si>
    <t>011170</t>
  </si>
  <si>
    <t>242300</t>
  </si>
  <si>
    <t>544902</t>
  </si>
  <si>
    <t>101000</t>
  </si>
  <si>
    <t>102000</t>
  </si>
  <si>
    <t>231000</t>
  </si>
  <si>
    <t>534203</t>
  </si>
  <si>
    <t>120000</t>
  </si>
  <si>
    <t>131000</t>
  </si>
  <si>
    <t>132010</t>
  </si>
  <si>
    <t>132020</t>
  </si>
  <si>
    <t>132030</t>
  </si>
  <si>
    <t>132040</t>
  </si>
  <si>
    <t>132061</t>
  </si>
  <si>
    <t>132062</t>
  </si>
  <si>
    <t>132090</t>
  </si>
  <si>
    <t>141000</t>
  </si>
  <si>
    <t>142100</t>
  </si>
  <si>
    <t>142200</t>
  </si>
  <si>
    <t>142900</t>
  </si>
  <si>
    <t>265000</t>
  </si>
  <si>
    <t>266000</t>
  </si>
  <si>
    <t>269000</t>
  </si>
  <si>
    <t>539023</t>
  </si>
  <si>
    <t>512112</t>
  </si>
  <si>
    <t>512114</t>
  </si>
  <si>
    <t>532204</t>
  </si>
  <si>
    <t>539013</t>
  </si>
  <si>
    <t>542101</t>
  </si>
  <si>
    <t>151440</t>
  </si>
  <si>
    <t>151450</t>
  </si>
  <si>
    <t>512116</t>
  </si>
  <si>
    <t>512206</t>
  </si>
  <si>
    <t>532111</t>
  </si>
  <si>
    <t>539016</t>
  </si>
  <si>
    <t>539017</t>
  </si>
  <si>
    <t>251210</t>
  </si>
  <si>
    <t>251220</t>
  </si>
  <si>
    <t>251230</t>
  </si>
  <si>
    <t>251900</t>
  </si>
  <si>
    <t>512111</t>
  </si>
  <si>
    <t>512115</t>
  </si>
  <si>
    <t>532202</t>
  </si>
  <si>
    <t>532203</t>
  </si>
  <si>
    <t>534201</t>
  </si>
  <si>
    <t>539012</t>
  </si>
  <si>
    <t>539015</t>
  </si>
  <si>
    <t>539018</t>
  </si>
  <si>
    <t>542102</t>
  </si>
  <si>
    <t>542103</t>
  </si>
  <si>
    <t>542104</t>
  </si>
  <si>
    <t>542201</t>
  </si>
  <si>
    <t>542202</t>
  </si>
  <si>
    <t>512201</t>
  </si>
  <si>
    <t>512202</t>
  </si>
  <si>
    <t>512203</t>
  </si>
  <si>
    <t>512204</t>
  </si>
  <si>
    <t>512207</t>
  </si>
  <si>
    <t>512119</t>
  </si>
  <si>
    <t>532112</t>
  </si>
  <si>
    <t>532119</t>
  </si>
  <si>
    <t>539019</t>
  </si>
  <si>
    <t>542109</t>
  </si>
  <si>
    <t>512117</t>
  </si>
  <si>
    <t>452149</t>
  </si>
  <si>
    <t>451001</t>
  </si>
  <si>
    <t>451002</t>
  </si>
  <si>
    <t>451009</t>
  </si>
  <si>
    <t>452111</t>
  </si>
  <si>
    <t>452112</t>
  </si>
  <si>
    <t>452113</t>
  </si>
  <si>
    <t>452114</t>
  </si>
  <si>
    <t>452115</t>
  </si>
  <si>
    <t>452120</t>
  </si>
  <si>
    <t>452130</t>
  </si>
  <si>
    <t>452141</t>
  </si>
  <si>
    <t>452190</t>
  </si>
  <si>
    <t>452211</t>
  </si>
  <si>
    <t>452212</t>
  </si>
  <si>
    <t>452213</t>
  </si>
  <si>
    <t>452220</t>
  </si>
  <si>
    <t>452240</t>
  </si>
  <si>
    <t>452270</t>
  </si>
  <si>
    <t>452290</t>
  </si>
  <si>
    <t>452301</t>
  </si>
  <si>
    <t>452309</t>
  </si>
  <si>
    <t>452400</t>
  </si>
  <si>
    <t>453100</t>
  </si>
  <si>
    <t>453200</t>
  </si>
  <si>
    <t>454000</t>
  </si>
  <si>
    <t>455000</t>
  </si>
  <si>
    <t>514309</t>
  </si>
  <si>
    <t>539034</t>
  </si>
  <si>
    <t>544309</t>
  </si>
  <si>
    <t>671002</t>
  </si>
  <si>
    <t>721000</t>
  </si>
  <si>
    <t>722000</t>
  </si>
  <si>
    <t>723000</t>
  </si>
  <si>
    <t>724000</t>
  </si>
  <si>
    <t>725000</t>
  </si>
  <si>
    <t>729000</t>
  </si>
  <si>
    <t>731000</t>
  </si>
  <si>
    <t>732000</t>
  </si>
  <si>
    <t>741000</t>
  </si>
  <si>
    <t>742000</t>
  </si>
  <si>
    <t>801000</t>
  </si>
  <si>
    <t>802000</t>
  </si>
  <si>
    <t>803000</t>
  </si>
  <si>
    <t>804000</t>
  </si>
  <si>
    <t>651000</t>
  </si>
  <si>
    <t>659001</t>
  </si>
  <si>
    <t>659009</t>
  </si>
  <si>
    <t>660000</t>
  </si>
  <si>
    <t>671001</t>
  </si>
  <si>
    <t>672000</t>
  </si>
  <si>
    <t>009000</t>
  </si>
  <si>
    <t>014000</t>
  </si>
  <si>
    <t>410000</t>
  </si>
  <si>
    <t>603000</t>
  </si>
  <si>
    <t>631000</t>
  </si>
  <si>
    <t>633000</t>
  </si>
  <si>
    <t>749000</t>
  </si>
  <si>
    <t>751000</t>
  </si>
  <si>
    <t>752000</t>
  </si>
  <si>
    <t>753000</t>
  </si>
  <si>
    <t>852000</t>
  </si>
  <si>
    <t>853000</t>
  </si>
  <si>
    <t>900000</t>
  </si>
  <si>
    <t>910000</t>
  </si>
  <si>
    <t>912000</t>
  </si>
  <si>
    <t>919000</t>
  </si>
  <si>
    <t>930000</t>
  </si>
  <si>
    <t>950000</t>
  </si>
  <si>
    <t>990000</t>
  </si>
  <si>
    <t>632000</t>
  </si>
  <si>
    <t>634000</t>
  </si>
  <si>
    <t>703000</t>
  </si>
  <si>
    <t>511000</t>
  </si>
  <si>
    <t>531000</t>
  </si>
  <si>
    <t>541000</t>
  </si>
  <si>
    <t>521900</t>
  </si>
  <si>
    <t>533103</t>
  </si>
  <si>
    <t>523200</t>
  </si>
  <si>
    <t>160010</t>
  </si>
  <si>
    <t>160050</t>
  </si>
  <si>
    <t>160090</t>
  </si>
  <si>
    <t>512208</t>
  </si>
  <si>
    <t>512205</t>
  </si>
  <si>
    <t>242400</t>
  </si>
  <si>
    <t>264000</t>
  </si>
  <si>
    <t>514301</t>
  </si>
  <si>
    <t>533101</t>
  </si>
  <si>
    <t>525400</t>
  </si>
  <si>
    <t>513100</t>
  </si>
  <si>
    <t>543100</t>
  </si>
  <si>
    <t>523400</t>
  </si>
  <si>
    <t>534309</t>
  </si>
  <si>
    <t>512113</t>
  </si>
  <si>
    <t>539014</t>
  </si>
  <si>
    <t>313000</t>
  </si>
  <si>
    <t>311000</t>
  </si>
  <si>
    <t>312000</t>
  </si>
  <si>
    <t>314000</t>
  </si>
  <si>
    <t>315000</t>
  </si>
  <si>
    <t>319000</t>
  </si>
  <si>
    <t>401001</t>
  </si>
  <si>
    <t>401002</t>
  </si>
  <si>
    <t>403000</t>
  </si>
  <si>
    <t>321000</t>
  </si>
  <si>
    <t>289300</t>
  </si>
  <si>
    <t>291000</t>
  </si>
  <si>
    <t>292100</t>
  </si>
  <si>
    <t>292400</t>
  </si>
  <si>
    <t>292500</t>
  </si>
  <si>
    <t>292600</t>
  </si>
  <si>
    <t>292900</t>
  </si>
  <si>
    <t>300000</t>
  </si>
  <si>
    <t>515000</t>
  </si>
  <si>
    <t>535000</t>
  </si>
  <si>
    <t>545001</t>
  </si>
  <si>
    <t>545009</t>
  </si>
  <si>
    <t>523700</t>
  </si>
  <si>
    <t>272000</t>
  </si>
  <si>
    <t>273200</t>
  </si>
  <si>
    <t>289900</t>
  </si>
  <si>
    <t>534202</t>
  </si>
  <si>
    <t>534209</t>
  </si>
  <si>
    <t>544200</t>
  </si>
  <si>
    <t>271000</t>
  </si>
  <si>
    <t>273100</t>
  </si>
  <si>
    <t>281000</t>
  </si>
  <si>
    <t>514200</t>
  </si>
  <si>
    <t>514302</t>
  </si>
  <si>
    <t>544301</t>
  </si>
  <si>
    <t>210200</t>
  </si>
  <si>
    <t>210900</t>
  </si>
  <si>
    <t>261000</t>
  </si>
  <si>
    <t>262000</t>
  </si>
  <si>
    <t>263000</t>
  </si>
  <si>
    <t>371000</t>
  </si>
  <si>
    <t>372000</t>
  </si>
  <si>
    <t>522100</t>
  </si>
  <si>
    <t>522200</t>
  </si>
  <si>
    <t>525200</t>
  </si>
  <si>
    <t>151120</t>
  </si>
  <si>
    <t>151200</t>
  </si>
  <si>
    <t>151300</t>
  </si>
  <si>
    <t>151410</t>
  </si>
  <si>
    <t>151430</t>
  </si>
  <si>
    <t>152000</t>
  </si>
  <si>
    <t>153110</t>
  </si>
  <si>
    <t>153180</t>
  </si>
  <si>
    <t>153190</t>
  </si>
  <si>
    <t>153200</t>
  </si>
  <si>
    <t>154100</t>
  </si>
  <si>
    <t>154200</t>
  </si>
  <si>
    <t>154300</t>
  </si>
  <si>
    <t>154400</t>
  </si>
  <si>
    <t>154911</t>
  </si>
  <si>
    <t>154912</t>
  </si>
  <si>
    <t>154930</t>
  </si>
  <si>
    <t>154940</t>
  </si>
  <si>
    <t>154990</t>
  </si>
  <si>
    <t>155000</t>
  </si>
  <si>
    <t>512209</t>
  </si>
  <si>
    <t>532209</t>
  </si>
  <si>
    <t>539021</t>
  </si>
  <si>
    <t>539022</t>
  </si>
  <si>
    <t>542209</t>
  </si>
  <si>
    <t>552009</t>
  </si>
  <si>
    <t>552100</t>
  </si>
  <si>
    <t>521100</t>
  </si>
  <si>
    <t>020200</t>
  </si>
  <si>
    <t>020300</t>
  </si>
  <si>
    <t>020400</t>
  </si>
  <si>
    <t>020500</t>
  </si>
  <si>
    <t>512141</t>
  </si>
  <si>
    <t>512149</t>
  </si>
  <si>
    <t>532141</t>
  </si>
  <si>
    <t>532142</t>
  </si>
  <si>
    <t>532149</t>
  </si>
  <si>
    <t>293000</t>
  </si>
  <si>
    <t>513900</t>
  </si>
  <si>
    <t>533900</t>
  </si>
  <si>
    <t>543900</t>
  </si>
  <si>
    <t>523300</t>
  </si>
  <si>
    <t>525500</t>
  </si>
  <si>
    <t>331000</t>
  </si>
  <si>
    <t>332000</t>
  </si>
  <si>
    <t>851001</t>
  </si>
  <si>
    <t>851002</t>
  </si>
  <si>
    <t>851003</t>
  </si>
  <si>
    <t>851004</t>
  </si>
  <si>
    <t>551100</t>
  </si>
  <si>
    <t>551200</t>
  </si>
  <si>
    <t>551900</t>
  </si>
  <si>
    <t>191000</t>
  </si>
  <si>
    <t>192000</t>
  </si>
  <si>
    <t>172000</t>
  </si>
  <si>
    <t>181000</t>
  </si>
  <si>
    <t>182000</t>
  </si>
  <si>
    <t>533102</t>
  </si>
  <si>
    <t>171000</t>
  </si>
  <si>
    <t>173000</t>
  </si>
  <si>
    <t>174000</t>
  </si>
  <si>
    <t>111010</t>
  </si>
  <si>
    <t>111020</t>
  </si>
  <si>
    <t>112000</t>
  </si>
  <si>
    <t>232000</t>
  </si>
  <si>
    <t>233000</t>
  </si>
  <si>
    <t>402000</t>
  </si>
  <si>
    <t>504000</t>
  </si>
  <si>
    <t>514100</t>
  </si>
  <si>
    <t>523500</t>
  </si>
  <si>
    <t>534100</t>
  </si>
  <si>
    <t>544100</t>
  </si>
  <si>
    <t>525600</t>
  </si>
  <si>
    <t>523800</t>
  </si>
  <si>
    <t>525800</t>
  </si>
  <si>
    <t>539032</t>
  </si>
  <si>
    <t>523900</t>
  </si>
  <si>
    <t>525100</t>
  </si>
  <si>
    <t>525900</t>
  </si>
  <si>
    <t>526000</t>
  </si>
  <si>
    <t>527200</t>
  </si>
  <si>
    <t>514909</t>
  </si>
  <si>
    <t>519009</t>
  </si>
  <si>
    <t>534900</t>
  </si>
  <si>
    <t>539029</t>
  </si>
  <si>
    <t>539039</t>
  </si>
  <si>
    <t>544909</t>
  </si>
  <si>
    <t>549000</t>
  </si>
  <si>
    <t>527100</t>
  </si>
  <si>
    <t>003100</t>
  </si>
  <si>
    <t>003200</t>
  </si>
  <si>
    <t>003300</t>
  </si>
  <si>
    <t>003900</t>
  </si>
  <si>
    <t>524000</t>
  </si>
  <si>
    <t>333000</t>
  </si>
  <si>
    <t>369000</t>
  </si>
  <si>
    <t>004100</t>
  </si>
  <si>
    <t>004900</t>
  </si>
  <si>
    <t>011340</t>
  </si>
  <si>
    <t>011351</t>
  </si>
  <si>
    <t>011352</t>
  </si>
  <si>
    <t>011353</t>
  </si>
  <si>
    <t>011360</t>
  </si>
  <si>
    <t>011370</t>
  </si>
  <si>
    <t>011391</t>
  </si>
  <si>
    <t>011392</t>
  </si>
  <si>
    <t>011399</t>
  </si>
  <si>
    <t>011150</t>
  </si>
  <si>
    <t>011160</t>
  </si>
  <si>
    <t>011140</t>
  </si>
  <si>
    <t>011380</t>
  </si>
  <si>
    <t>241300</t>
  </si>
  <si>
    <t>252000</t>
  </si>
  <si>
    <t>210100</t>
  </si>
  <si>
    <t>519001</t>
  </si>
  <si>
    <t>523600</t>
  </si>
  <si>
    <t>525700</t>
  </si>
  <si>
    <t>743000</t>
  </si>
  <si>
    <t>223000</t>
  </si>
  <si>
    <t>323000</t>
  </si>
  <si>
    <t>921000</t>
  </si>
  <si>
    <t>922000</t>
  </si>
  <si>
    <t>923000</t>
  </si>
  <si>
    <t>221000</t>
  </si>
  <si>
    <t>222000</t>
  </si>
  <si>
    <t>701001</t>
  </si>
  <si>
    <t>701002</t>
  </si>
  <si>
    <t>701003</t>
  </si>
  <si>
    <t>701004</t>
  </si>
  <si>
    <t>701005</t>
  </si>
  <si>
    <t>701006</t>
  </si>
  <si>
    <t>701007</t>
  </si>
  <si>
    <t>701008</t>
  </si>
  <si>
    <t>701009</t>
  </si>
  <si>
    <t>702000</t>
  </si>
  <si>
    <t>001110</t>
  </si>
  <si>
    <t>001120</t>
  </si>
  <si>
    <t>001130</t>
  </si>
  <si>
    <t>001210</t>
  </si>
  <si>
    <t>001220</t>
  </si>
  <si>
    <t>001230</t>
  </si>
  <si>
    <t>001300</t>
  </si>
  <si>
    <t>711100</t>
  </si>
  <si>
    <t>711300</t>
  </si>
  <si>
    <t>712100</t>
  </si>
  <si>
    <t>712200</t>
  </si>
  <si>
    <t>712300</t>
  </si>
  <si>
    <t>712900</t>
  </si>
  <si>
    <t>713000</t>
  </si>
  <si>
    <t>351000</t>
  </si>
  <si>
    <t>711200</t>
  </si>
  <si>
    <t>322000</t>
  </si>
  <si>
    <t>642000</t>
  </si>
  <si>
    <t>643000</t>
  </si>
  <si>
    <t>644000</t>
  </si>
  <si>
    <t>641000</t>
  </si>
  <si>
    <t>352000</t>
  </si>
  <si>
    <t>353000</t>
  </si>
  <si>
    <t>359900</t>
  </si>
  <si>
    <t>601000</t>
  </si>
  <si>
    <t>602100</t>
  </si>
  <si>
    <t>602200</t>
  </si>
  <si>
    <t>602300</t>
  </si>
  <si>
    <t>621000</t>
  </si>
  <si>
    <t>622000</t>
  </si>
  <si>
    <t>623000</t>
  </si>
  <si>
    <t>635000</t>
  </si>
  <si>
    <t>611100</t>
  </si>
  <si>
    <t>611200</t>
  </si>
  <si>
    <t>612100</t>
  </si>
  <si>
    <t>612200</t>
  </si>
  <si>
    <t>020100</t>
  </si>
  <si>
    <t>201000</t>
  </si>
  <si>
    <t>202100</t>
  </si>
  <si>
    <t>202900</t>
  </si>
  <si>
    <t>534301</t>
  </si>
  <si>
    <t>539011</t>
  </si>
  <si>
    <t>539031</t>
  </si>
  <si>
    <t>361000</t>
  </si>
  <si>
    <t>Industri Pakan Ternak  - 153300</t>
  </si>
  <si>
    <t>Pembibitan dan Budidaya Sapi Potong  - 012110</t>
  </si>
  <si>
    <t>Pembibitan dan Budidaya Domba dan Kambing Potong  - 012191</t>
  </si>
  <si>
    <t>Pembibitan dan Budidaya Ternak Perah - 012192</t>
  </si>
  <si>
    <t>Pembibitan dan Budidaya Babi - 012210</t>
  </si>
  <si>
    <t>Pembibitan dan Budidaya Unggas - 012291</t>
  </si>
  <si>
    <t>Kombinasi Pertanian Atau Perkebunan Dengan Peternakan (Mixed Farming)  - 013000</t>
  </si>
  <si>
    <t>Perburuan Penangkapan dan Penangkaran Satwa Liar  - 015000</t>
  </si>
  <si>
    <t>Industri Pemotongan Hewan  - 151110</t>
  </si>
  <si>
    <t>Perdagangan Besar Dalam Negeri Binatang Hidup - 512120</t>
  </si>
  <si>
    <t>Perdagangan Ekspor Binatang Hidup - 532120</t>
  </si>
  <si>
    <t>Penangkapan Ikan Tuna - 050111</t>
  </si>
  <si>
    <t>Penangkapan Ikan Lainnya - 050119</t>
  </si>
  <si>
    <t>Penangkapan Udang Laut  - 050121</t>
  </si>
  <si>
    <t>Penangkapan Crustacea Lainnya di Laut - 050122</t>
  </si>
  <si>
    <t>Budidaya Biota Laut Udang - 050211</t>
  </si>
  <si>
    <t>Budidaya Biota Laut Tuna - 050212</t>
  </si>
  <si>
    <t>Budidaya Biota Laut Rumput Laut - 050213</t>
  </si>
  <si>
    <t>Budidaya Biota Laut Lainnya - 050219</t>
  </si>
  <si>
    <t>Pembenihan Biota Laut  - 050220</t>
  </si>
  <si>
    <t>Penangkapan Ikan di Perairan Umum  - 050310</t>
  </si>
  <si>
    <t>Penangkapan Crustacea, Mollusca, dan Biota Lainnya di Perairan Umum  - 050320</t>
  </si>
  <si>
    <t>Budidaya Biota Air Tawar Udang - 050411</t>
  </si>
  <si>
    <t>Budidaya Biota Air Tawar Lainnya - 050419</t>
  </si>
  <si>
    <t>Budidaya Biota Air Payau Udang - 050421</t>
  </si>
  <si>
    <t>Budidaya Biota Air Payau Lainnya - 050429</t>
  </si>
  <si>
    <t>Pembenihan Biota Air Tawar dan Air Payau  - 050490</t>
  </si>
  <si>
    <t>Jasa Sarana Produksi Perikanan Laut  - 050510</t>
  </si>
  <si>
    <t>Jasa Sarana Produksi Perikanan Darat  - 050580</t>
  </si>
  <si>
    <t>Jasa Perikanan Lainnya - 050590</t>
  </si>
  <si>
    <t>Perdagangan Besar Dalam Negeri Hasil Perikanan - 512130</t>
  </si>
  <si>
    <t>Perdagangan Ekspor Hasil Perikanan - 532130</t>
  </si>
  <si>
    <t>Perdagangan Ekspor Udang Olahan - 532201</t>
  </si>
  <si>
    <t>Pertanian Padi  - 011110</t>
  </si>
  <si>
    <t>Pertanian Palawija Jagung - 011121</t>
  </si>
  <si>
    <t>Pertanian Palawija Ketela pohon - 011122</t>
  </si>
  <si>
    <t>Pertanian Palawija Ubi jalar - 011123</t>
  </si>
  <si>
    <t>Pertanian Palawija Umbi-umbian lainnya - 011124</t>
  </si>
  <si>
    <t>Pertanian Palawija Kacang tanah - 011125</t>
  </si>
  <si>
    <t>Pertanian Palawija Kedele - 011126</t>
  </si>
  <si>
    <t>Pertanian Palawija Kacang-kacangan lainnya - 011129</t>
  </si>
  <si>
    <t>Perkebunan Tebu dan Tanaman Pemanis Lainnya  - 011130</t>
  </si>
  <si>
    <t>Perkebunan Tanaman Minyak Atsiri  - 011180</t>
  </si>
  <si>
    <t>Perkebunan Tanaman Lainnya yang Tidak Diklasifikasikan di Tempat Lain  - 011190</t>
  </si>
  <si>
    <t>Pertanian Hortikultura Sayuran yang dipanen Sekali Bawang Merah - 011211</t>
  </si>
  <si>
    <t>Pertanian Hortikultura Sayuran yang dipanen Sekali Lainnya - 011219</t>
  </si>
  <si>
    <t>Pertanian Hortikultura Sayuran yang dipanen Lebih dari Sekali  - 011220</t>
  </si>
  <si>
    <t>Pertanian Hortikultura Bunga-bungaan Anggrek - 011231</t>
  </si>
  <si>
    <t>Pertanian Hortikultura Bunga-bungaan Lainnya - 011239</t>
  </si>
  <si>
    <t>Pertanian Tanaman Hias Lainnya  - 011240</t>
  </si>
  <si>
    <t>Pembibitan dan Pembenihan Hortikultura Sayuran dan Bunga-bungaan  - 011250</t>
  </si>
  <si>
    <t>Pertanian Buah-buahan Musiman Jeruk - 011311</t>
  </si>
  <si>
    <t>Pertanian Buah-buahan Musiman Lainnya - 011319</t>
  </si>
  <si>
    <t>Pertanian Buah-buahan Sepanjang Tahun Pisang - 011321</t>
  </si>
  <si>
    <t>Pertanian Buah-buahan Sepanjang Tahun Lainnya - 011329</t>
  </si>
  <si>
    <t>Perkebunan Kelapa  - 011330</t>
  </si>
  <si>
    <t>Industri Kendaraan Bermotor Roda Empat Atau Lebih - 341000</t>
  </si>
  <si>
    <t>Industri Karoseri Kendaraan Bermotor Roda Empat Atau Lebih - 342000</t>
  </si>
  <si>
    <t>Industri Perlengkapan dan Komponen Kendaraan Bermotor Roda Empat Atau Lebih - 343000</t>
  </si>
  <si>
    <t>Industri Kendaraan Bermotor Roda Dua dan Tiga Serta Komponen dan Perlengkapannya  - 359100</t>
  </si>
  <si>
    <t>Penjualan Mobil - 501000</t>
  </si>
  <si>
    <t>Penjualan Suku Cadang dan Aksesoris Mobil  - 502000</t>
  </si>
  <si>
    <t>Penjualan Sepeda Motor - 503001</t>
  </si>
  <si>
    <t>Penjualan Suku Cadang dan Aksesoris Sepeda Motor - 503002</t>
  </si>
  <si>
    <t>Rumah Tangga untuk Pemilikan Kendaraan Bermotor - Rumah Tangga untuk Pemilikan Mobil Roda Empat - 002100</t>
  </si>
  <si>
    <t>Rumah Tangga untuk Pemilikan Kendaraan Bermotor - Rumah Tangga untuk Pemilikan Sepeda Bermotor - 002200</t>
  </si>
  <si>
    <t>Rumah Tangga untuk Pemilikan Kendaraan Bermotor - Rumah Tangga untuk Pemilikan Truk dan Kendaraan Bermotor Roda Enam atau Lebih - 002300</t>
  </si>
  <si>
    <t>Rumah Tangga untuk Pemilikan Kendaraan Bermotor - Rumah Tangga untuk Pemilikan Kendaraan Bermotor Lainnya - 002900</t>
  </si>
  <si>
    <t>Industri Bahan Baku Pemberantas Hama dan Pemberantas Hama Termasuk Zat Pengatur Tumbuh  - 242100</t>
  </si>
  <si>
    <t>Industri Cat, Pernis dan Lak  - 242200</t>
  </si>
  <si>
    <t>Industri Minyak Atsiri  - 242940</t>
  </si>
  <si>
    <t>Industri Bahan Kimia dan Barang Kimia Lainnya  - 242990</t>
  </si>
  <si>
    <t>Industri Serat Buatan  - 243000</t>
  </si>
  <si>
    <t>Industri Kimia Dasar, Kecuali Pupuk  - 241100</t>
  </si>
  <si>
    <t>Industri Pupuk  - 241200</t>
  </si>
  <si>
    <t>Perdagangan Impor Pupuk dan Obat Hama - 544901</t>
  </si>
  <si>
    <t>Perdagangan Eceran Bahan Kimia, Farmasi, Kosmetik, dan Alat Laboratorium  - 523100</t>
  </si>
  <si>
    <t>Perdagangan Dalam Negeri Pupuk dan Obat Hama - 514901</t>
  </si>
  <si>
    <t>Perkebunan Tanaman Obat / Bahan Farmasi  - 011170</t>
  </si>
  <si>
    <t>Industri Farmasi dan Jamu  - 242300</t>
  </si>
  <si>
    <t>Perdagangan Impor Farmasi - 544902</t>
  </si>
  <si>
    <t>Pertambangan Batubara, Penggalian Gambut, dan Gasifikasi Batubara - 101000</t>
  </si>
  <si>
    <t>Pembuatan Briket Batubara  - 102000</t>
  </si>
  <si>
    <t>Industri Barang-barang dari Batubara  - 231000</t>
  </si>
  <si>
    <t>Perdagangan Ekspor Batu Bara (incl. local trading) - 534203</t>
  </si>
  <si>
    <t>Pertambangan Bijih Uranium dan Thorium  - 120000</t>
  </si>
  <si>
    <t>Pertambangan Pasir Besi dan Bijih Besi  - 131000</t>
  </si>
  <si>
    <t>Pertambangan Bijih Timah  - 132010</t>
  </si>
  <si>
    <t>Pertambangan Bijih Bauksit  - 132020</t>
  </si>
  <si>
    <t>Pertambangan Bijih Tembaga  - 132030</t>
  </si>
  <si>
    <t>Pertambangan Bijih Nikel  - 132040</t>
  </si>
  <si>
    <t>Pertambangan Emas - 132061</t>
  </si>
  <si>
    <t>Pertambangan Perak  - 132062</t>
  </si>
  <si>
    <t>Bahan Galian Lainnya yang Tidak Mengandung Bijih Besi  - 132090</t>
  </si>
  <si>
    <t>Penggalian Batu-batuan, Tanah Liat dan Pasir - 141000</t>
  </si>
  <si>
    <t>Pertambangan Mineral, Bahan Kimia dan Bahan Pupuk  - 142100</t>
  </si>
  <si>
    <t>Ekstraksi Garam  - 142200</t>
  </si>
  <si>
    <t>Pertambangan dan Penggalian Lainnya - 142900</t>
  </si>
  <si>
    <t>Industri Barang-barang dari Batu  - 265000</t>
  </si>
  <si>
    <t>Industri Barang-barang dari Asbes  - 266000</t>
  </si>
  <si>
    <t>Industri Barang-barang Galian Bukan Logam Lainnya - 269000</t>
  </si>
  <si>
    <t>Perdagangan Ekspor Hasil Tambang Setengah Jadi - 539023</t>
  </si>
  <si>
    <t>Perdagangan Tembakau - 512112</t>
  </si>
  <si>
    <t>Perdagangan Cengkeh - 512114</t>
  </si>
  <si>
    <t>Perdagangan Ekspor Tembakau - 532204</t>
  </si>
  <si>
    <t>Perdagangan Ekspor Tembakau - 539013</t>
  </si>
  <si>
    <t>Perdagangan Impor Cengkeh - 542101</t>
  </si>
  <si>
    <t>Industri Minyak Goreng dari Kelapa Sawit Mentah - 151440</t>
  </si>
  <si>
    <t>Industri Minyak Goreng dari Biji Kelapa Sawit  - 151450</t>
  </si>
  <si>
    <t>Perdagangan Kelapa dan Kelapa Sawit - 512116</t>
  </si>
  <si>
    <t>Perdagangan Dalam Negeri Minyak Kelapa Sawit - 512206</t>
  </si>
  <si>
    <t>Perdagangan Ekspor Biji Kelapa Sawit - 532111</t>
  </si>
  <si>
    <t>Perdagangan Ekspor Minyak Kelapa Sawit Mentah - 539016</t>
  </si>
  <si>
    <t>Perdagangan Ekspor Minyak Biji Kelapa Sawit - 539017</t>
  </si>
  <si>
    <t>Industri Pengasapan Karet  - 251210</t>
  </si>
  <si>
    <t>Industri Remilling Karet  - 251220</t>
  </si>
  <si>
    <t>Industri Karet Remah (CRUMBer)  - 251230</t>
  </si>
  <si>
    <t>Industri Barang-barang lain dari Karet  - 251900</t>
  </si>
  <si>
    <t>Perdagangan Jagung - 512111</t>
  </si>
  <si>
    <t>Perdagangan Lada - 512115</t>
  </si>
  <si>
    <t>Perdagangan Ekspor Teh - 532202</t>
  </si>
  <si>
    <t>Perdagangan Ekspor Kopi Bubuk - 532203</t>
  </si>
  <si>
    <t>Perdagangan Ekspor Bijih Timah - 534201</t>
  </si>
  <si>
    <t>Perdagangan Ekspor Kopi Bijian - 539012</t>
  </si>
  <si>
    <t>Perdagangan Ekspor Lada - 539015</t>
  </si>
  <si>
    <t>Perdagangan Ekspor Bungkil Kopra - 539018</t>
  </si>
  <si>
    <t>Perdagangan Impor Biji Gandum - 542102</t>
  </si>
  <si>
    <t>Perdagangan Impor Jagung - 542103</t>
  </si>
  <si>
    <t>Perdagangan Impor Kacang Kedelai - 542104</t>
  </si>
  <si>
    <t>Perdagangan Impor Beras - 542201</t>
  </si>
  <si>
    <t>Perdagangan Impor Gula - 542202</t>
  </si>
  <si>
    <t>Perdagangan Dalam Negeri Beras - 512201</t>
  </si>
  <si>
    <t>Perdagangan Dalam Negeri Gula - 512202</t>
  </si>
  <si>
    <t>Perdagangan Dalam Negeri Kopi - 512203</t>
  </si>
  <si>
    <t>Perdagangan Dalam Negeri Teh - 512204</t>
  </si>
  <si>
    <t>Perdagangan Dalam Negeri Kopra - 512207</t>
  </si>
  <si>
    <t>Perdagangan Besar Dalam Negeri Hasil Pertanian Lainnya - 512119</t>
  </si>
  <si>
    <t>Perdagangan Ekspor Hasil Tanaman Pangan dan Perkebunan - 532112</t>
  </si>
  <si>
    <t>Perdagangan Ekspor Bahan Baku Hasil Pertanian Lainnya - 532119</t>
  </si>
  <si>
    <t>Perdagangan Ekspor Hasil Pertanian, Perkebunan, dan Kehutanan Lainnya - 539019</t>
  </si>
  <si>
    <t>Perdagangan Impor Bahan Baku Hasil Pertanian, dan Binatang Hidup Lainnya - 542109</t>
  </si>
  <si>
    <t>Perdagangan Kapas - 512117</t>
  </si>
  <si>
    <t>Konstruksi Gedung Perbelanjaan Lainnya - 452149</t>
  </si>
  <si>
    <t>Penyiapan Tanah Pemukiman Transmigrasi (PTPT) - 451001</t>
  </si>
  <si>
    <t>Pencetakan Lahan Sawah - 451002</t>
  </si>
  <si>
    <t>Penyiapan Lahan Lainnya - 451009</t>
  </si>
  <si>
    <t>Konstruksi Perumahan Sederhana - Bank Tabungan Negara - 452111</t>
  </si>
  <si>
    <t>Konstruksi Perumahan Sederhana - Perumnas - 452112</t>
  </si>
  <si>
    <t>Konstruksi Perumahan Sederhana - Lainnya Tipe s.d. 21 - 452113</t>
  </si>
  <si>
    <t>Konstruksi Perumahan Sederhana - Lainnya Tipe 22 s.d. 70 - 452114</t>
  </si>
  <si>
    <t>Konstruksi Perumahan Menengah, Besar, Mewah (Tipe Diatas 70) - 452115</t>
  </si>
  <si>
    <t>Konstruksi Gedung Perkantoran  - 452120</t>
  </si>
  <si>
    <t>Konstruksi Gedung Industri  - 452130</t>
  </si>
  <si>
    <t>Konstruksi Gedung Perbelanjaan Pasar Inpres - 452141</t>
  </si>
  <si>
    <t>Konstruksi Gedung Lainnya  - 452190</t>
  </si>
  <si>
    <t>Bangunan Jalan Raya - 452211</t>
  </si>
  <si>
    <t>Bangunan Jalan Tol - 452212</t>
  </si>
  <si>
    <t>Bangunan Jalan Jembatan dan Landasan - 452213</t>
  </si>
  <si>
    <t>Bangunan Jalan dan Jembatan Kereta Api  - 452220</t>
  </si>
  <si>
    <t>Bangunan Pengairan (Irigasi) - 452240</t>
  </si>
  <si>
    <t>Bangunan Dermaga (Pelabuhan) - 452270</t>
  </si>
  <si>
    <t>Bangunan Sipil Lainnya  - 452290</t>
  </si>
  <si>
    <t>Konstruksi Bangunan Listrik Pedesaan - 452301</t>
  </si>
  <si>
    <t>Konstruksi Bangunan Elektrikal dan Komunikasi Lainnya - 452309</t>
  </si>
  <si>
    <t>Konstruksi Khusus  - 452400</t>
  </si>
  <si>
    <t>Instalasi Gedung  - 453100</t>
  </si>
  <si>
    <t>Instalasi Bangunan Sipil  - 453200</t>
  </si>
  <si>
    <t>Penyelesaian Konstruksi Gedung  - 454000</t>
  </si>
  <si>
    <t>Penghancur Bangunan Dengan Operatornya  - 455000</t>
  </si>
  <si>
    <t>BUILDING MATERIAL</t>
  </si>
  <si>
    <t>Perdagangan Dalam Negeri Bahan-bahan Konstruksi Lainnya - 514309</t>
  </si>
  <si>
    <t>BUILDING</t>
  </si>
  <si>
    <t>Perdagangan Ekspor Jasa Konstruksi - 539034</t>
  </si>
  <si>
    <t>Perdagangan Impor Bahan-bahan Konstruksi Lainnya - 544309</t>
  </si>
  <si>
    <t>Jasa Penunjang Perantara Keuangan Lainnya - 671002</t>
  </si>
  <si>
    <t>K.3.1. Jasa Konsultasi Piranti Keras (Hardware Consulting)  - 721000</t>
  </si>
  <si>
    <t>K.3.2. Jasa Konsultasi Piranti Lunak (Software Consulting)  - 722000</t>
  </si>
  <si>
    <t>K.3.3. Pengolahan Data  - 723000</t>
  </si>
  <si>
    <t>K.3.4. Jasa Kegiatan Data Base  - 724000</t>
  </si>
  <si>
    <t>K.3.5. Perawatan dan Reparasi Mesin-mesin Kantor, Akuntansi, dan Komputer  - 725000</t>
  </si>
  <si>
    <t>K.3.9. Kegiatan Lain yang Berkaitan Dengan Komputer  - 729000</t>
  </si>
  <si>
    <t>K.4.1. Penelitian dan Pengembangan Ilmu Pengetahuan Alam dan Teknologi  - 731000</t>
  </si>
  <si>
    <t>K.4.2. Penelitian dan Pengembangan Ilmu Pengetahuan Sosial dan Humaniora  - 732000</t>
  </si>
  <si>
    <t>K.5.1. Jasa Hukum, Akuntansi dan Pembukuan, Konsultasi Pajak, Penelitian Pasar, dan Konsultasi Bisnis dan Manajemen  - 741000</t>
  </si>
  <si>
    <t>K.5.2. Jasa Konsultasi Arsitek, Kegiatan Teknik dan Rekayasa, Serta Analisis dan Testing  - 742000</t>
  </si>
  <si>
    <t>M.1.1. Jasa Pendidikan Dasar  - 801000</t>
  </si>
  <si>
    <t>M.1.2. Jasa Pendidikan Menengah  - 802000</t>
  </si>
  <si>
    <t>M.1.3. Jasa Pendidikan Tinggi  - 803000</t>
  </si>
  <si>
    <t>M.1.4. Jasa Pendidikan Lainnya  - 804000</t>
  </si>
  <si>
    <t>J.1.1. Perantara Moneter (Bank) - 651000</t>
  </si>
  <si>
    <t>Perantara Keuangan Lainnya (Non Bank) Leasing - 659001</t>
  </si>
  <si>
    <t>Perantara Keuangan Lainnya (Non Bank) Selain Leasing - 659009</t>
  </si>
  <si>
    <t>J.2.1. Asuransi dan Dana Pensiun  - 660000</t>
  </si>
  <si>
    <t>Jasa Penukaran Mata Uang atau Pedagang Valuta Asing (Money Changer) - 671001</t>
  </si>
  <si>
    <t>J.3.2. Jasa Penunjang Asuransi dan dana Pensiun  - 672000</t>
  </si>
  <si>
    <t>Bukan Lapangan Usaha Lainnya - 009000</t>
  </si>
  <si>
    <t>Jasa Pertanian, Perkebunan dan Peternakan  - 014000</t>
  </si>
  <si>
    <t>Pengadaan dan Penyaluran Air Bersih  - 410000</t>
  </si>
  <si>
    <t>I.1.3. Angkutan Dengan Saluran Pipa  - 603000</t>
  </si>
  <si>
    <t>I.4.1. Jasa Pelayanan Bongkar Muat Barang  - 631000</t>
  </si>
  <si>
    <t>I.4.3. Jasa Penunjang Angkutan Kecuali Jasa Bongkar Muat dan Pergudangan  - 633000</t>
  </si>
  <si>
    <t>Jasa Perusahaan Lainnya - 749000</t>
  </si>
  <si>
    <t>L.1.1. Administrasi Pemerintahan, dan Kebijaksanaan Ekonomi dan Sosial  - 751000</t>
  </si>
  <si>
    <t>L.1.2. Hubungan Luar Negeri, Pertahanan, dan Keamanan - 752000</t>
  </si>
  <si>
    <t>L.1.3. Jaminan Sosial Wajib  - 753000</t>
  </si>
  <si>
    <t>N.1.2. Jasa Kesehatan Hewan  - 852000</t>
  </si>
  <si>
    <t>N.1.3. Jasa Kegiatan Sosial  - 853000</t>
  </si>
  <si>
    <t>O.1.1. Jasa Kebersihan  - 900000</t>
  </si>
  <si>
    <t>O.2.1. Organisasi Bisnis, Pengusaha dan Profesional  - 910000</t>
  </si>
  <si>
    <t>O.2.2. Organisasi Buruh  - 912000</t>
  </si>
  <si>
    <t>O.2.3. Organisasi Lainnya  - 919000</t>
  </si>
  <si>
    <t>O.4.1. Jasa Kegiatan Lainnya - 930000</t>
  </si>
  <si>
    <t>P.1.1. Jasa Perorangan yang Melayani Rumah Tangga  - 950000</t>
  </si>
  <si>
    <t>Q.1.1. Badan Internasional dan Badan Ekstra Internasional Lainnya - 990000</t>
  </si>
  <si>
    <t>I.4.2. Pergudangan, Jasa Cold Storage, dan Jasa Wilayah Berikat  - 632000</t>
  </si>
  <si>
    <t>I.4.4. Jasa Perjalanan Wisata  - 634000</t>
  </si>
  <si>
    <t>K.1.3. Kawasan Pariwisata dan Penyediaan Sarana Wisata Tirta Kawasan Pariwisata  - 703000</t>
  </si>
  <si>
    <t>Perdagangan Besar Berdasarkan Balas Jasa (Fee) Atau Kontrak  - 511000</t>
  </si>
  <si>
    <t>Perdagangan Ekspor Berdasarkan Balas Jasa (Fee) Atau Kontrak  - 531000</t>
  </si>
  <si>
    <t>Perdagangan Impor Berdasarkan Balas Jasa (Fee) Atau Kontrak  - 541000</t>
  </si>
  <si>
    <t>Perdagangan Eceran Berbagai Macam Barang yang Didominasi Oleh Barang Bukan Makanan, Minuman dan Tembakau  - 521900</t>
  </si>
  <si>
    <t>Perdagangan Ekspor Kulit - 533103</t>
  </si>
  <si>
    <t>Perdagangan Eceran Tekstil, Pakaian Jadi, Alas Kaki, dan Barang Keperluan Pribadi  - 523200</t>
  </si>
  <si>
    <t>lndustri Pengeringan dan Pengolahan Tembakau  - 160010</t>
  </si>
  <si>
    <t>Industri Rokok - 160050</t>
  </si>
  <si>
    <t>Industri Bumbu Rokok Serta Kelengkapan Rokok Lainnya  - 160090</t>
  </si>
  <si>
    <t>Perdagangan Dalam Negeri Rokok - 512208</t>
  </si>
  <si>
    <t>Perdagangan Dalam Negeri Garam - 512205</t>
  </si>
  <si>
    <t>Industri Sabun dan Bahan Pembersih Keperluan Rumah Tangga, Kosmetik dan Sejenisnya  - 242400</t>
  </si>
  <si>
    <t>Industri Semen, Kapur dan Gips, Serta Barang-barang dari Semen, dan Kapur  - 264000</t>
  </si>
  <si>
    <t>Perdagangan Dalam Negeri Semen - 514301</t>
  </si>
  <si>
    <t>Perdagangan Ekspor Tekstil - 533101</t>
  </si>
  <si>
    <t>Perdagangan Eceran Kaki Lima Tekstil, Pakaian Jadi, Alas Kaki, dan Barang Keperluan Pribadi  - 525400</t>
  </si>
  <si>
    <t>Perdagangan Besar Tekstil, Pakaian Jadi, dan Kulit  - 513100</t>
  </si>
  <si>
    <t>Perdagangan Impor Tekstil, Pakaian Jadi, dan Kulit  - 543100</t>
  </si>
  <si>
    <t>Perdagangan Eceran Bahan Konstruksi  - 523400</t>
  </si>
  <si>
    <t>Perdagangan Ekspor Bahan-bahan Konstruksi (kecuali Bahan Hasil Penggalian) Lainnya - 534309</t>
  </si>
  <si>
    <t>Perdagangan Karet  - 512113</t>
  </si>
  <si>
    <t>Perdagangan Ekspor Karet - 539014</t>
  </si>
  <si>
    <t>Industri Kabel Listrik dan Telepon  - 313000</t>
  </si>
  <si>
    <t>Industri Motor Listrik, Generator, dan Transformator  - 311000</t>
  </si>
  <si>
    <t>Industri Peralatan Pengontrol dan Pendistribusian Listrik - 312000</t>
  </si>
  <si>
    <t>Industri Akumulator Listrik dan Batu Baterai  - 314000</t>
  </si>
  <si>
    <t>Industri Bola Lampu Pijar dan Lampu Penerangan - 315000</t>
  </si>
  <si>
    <t>Industri Peralatan Listrik yang Tidak Diklasifikasikan di Tempat lain  - 319000</t>
  </si>
  <si>
    <t>Ketenagalistrikan Pedesaan - 401001</t>
  </si>
  <si>
    <t>Ketenagalistrikan Lainnya - 401002</t>
  </si>
  <si>
    <t>Uap dan Air Panas  - 403000</t>
  </si>
  <si>
    <t>Industri Tabung dan Katup Elektronik Serta Komponen Elektronik lainnya  - 321000</t>
  </si>
  <si>
    <t>Industri Alat-alat Pertanian, Pertukangan, Pemotong, dan Peralatan lainnya dari Logam  - 289300</t>
  </si>
  <si>
    <t>Industri Mesin-mesin Umum  - 291000</t>
  </si>
  <si>
    <t>Industri Mesin Pertanian dan Kehutanan, Serta Jasa Penunjang Pemeliharaan dan Perbaikannya  - 292100</t>
  </si>
  <si>
    <t>Industri Mesin-mesin Untuk Pertambangan, Penggalian dan Konstruksi  - 292400</t>
  </si>
  <si>
    <t>lndustri Mesin Untuk Pengolahan Makanan, Minuman dan Tembakau  - 292500</t>
  </si>
  <si>
    <t>Industri Mesin-mesin Tekstil, Produk Tekstil, dan Barang-barang dari Kulit  - 292600</t>
  </si>
  <si>
    <t>Industri Mesin-mesin Khusus Lainnya - 292900</t>
  </si>
  <si>
    <t>Industri Mesin dan Peralatan Kantor, Akuntansi, dan Pengolahan Data - 300000</t>
  </si>
  <si>
    <t>Perdagangan Besar Mesin-mesin, Suku Cadang dan Perlengkapannya  - 515000</t>
  </si>
  <si>
    <t>Perdagangan Ekspor Mesin-mesin, Suku Cadang dan Perlengkapannya  - 535000</t>
  </si>
  <si>
    <t>Perdagangan Impor Suku Cadang Industri - 545001</t>
  </si>
  <si>
    <t>Perdagangan Impor Suku Cadang Mesin-mesin, Suku Cadang dan Perlengkapannya Lainnya - 545009</t>
  </si>
  <si>
    <t>Perdagangan Eceran Mesin-mesin (Kecuali Mobil dan Sepeda Motor) dan Suku Cadang (Onderdil), Termasuk Alat-alat TRANSPORTsi  - 523700</t>
  </si>
  <si>
    <t>Industri Logam Dasar Bukan Besi  - 272000</t>
  </si>
  <si>
    <t>Industri pengecoran Logam Bukan Besi dan Baja  - 273200</t>
  </si>
  <si>
    <t>Industri Barang Logam yang Tidak Diklasifikasikan di Tempat Lain  - 289900</t>
  </si>
  <si>
    <t>Perdagangan Ekspor Bijih Logam Selain Timah - 534202</t>
  </si>
  <si>
    <t>Perdagangan Ekspor Logam dan Bijih Logam (hasil Pertambangan dan Penggalian) Lainnya - 534209</t>
  </si>
  <si>
    <t>G.5.4.2. Perdagangan Impor Logam dan Bijih Logam  - 544200</t>
  </si>
  <si>
    <t>Industri Logam Dasar Besi dan Baja  - 271000</t>
  </si>
  <si>
    <t>Industri Pengecoran Besi dan Baja - 273100</t>
  </si>
  <si>
    <t>Industri Barang-barang Logam Siap Pasang Untuk Bangunan, Pembuatan Tangki, dan Generator Uap  - 281000</t>
  </si>
  <si>
    <t>Perdagangan Besar Logam dan Bijih Logam  - 514200</t>
  </si>
  <si>
    <t>Perdagangan Dalam Negeri Besi Beton - 514302</t>
  </si>
  <si>
    <t>Perdagangan Impor Besi Beton - 544301</t>
  </si>
  <si>
    <t>Industri Kemasan dan Kotak dari Kertas dan Karton  - 210200</t>
  </si>
  <si>
    <t>Industri Barang dari Kertas dan Kartan yang Tidak Diklasifikasikan di Tempat Lain  - 210900</t>
  </si>
  <si>
    <t>Industri Gelas dan Barang dari Gelas  - 261000</t>
  </si>
  <si>
    <t>Industri Barang-barang dari Porselin  - 262000</t>
  </si>
  <si>
    <t>Industri Pengolahan Tanah Liat / Keramik  - 263000</t>
  </si>
  <si>
    <t>Daur Ulang Barang-barang Logam  - 371000</t>
  </si>
  <si>
    <t>Daur Ulang Barang-barang Bukan logam  - 372000</t>
  </si>
  <si>
    <t>Perdagangan Eceran Komoditi Makanan dari Hasil Pertanian - 522100</t>
  </si>
  <si>
    <t>Perdagangan Eceran Komoditi Makanan, Minuman, Atau Tembakau Hasil Industri Pengolahan  - 522200</t>
  </si>
  <si>
    <t>Perdagangan Eceran Kaki Lima Komoditi Makanan, Minuman Hasil Industri Pengolahan  - 525200</t>
  </si>
  <si>
    <t>Industri Pengolahan dan Pengawetan Daging  - 151120</t>
  </si>
  <si>
    <t>Industri Pengolahan dan Pengawetan Ikan dan Biota Perairan Lainnya  - 151200</t>
  </si>
  <si>
    <t>Industri Pengolahan, Pengawetan Buah-buahan dan Sayuran  - 151300</t>
  </si>
  <si>
    <t>Industri Minyak Mentah (Minyak Makan) dari Nabati dan Hewani  - 151410</t>
  </si>
  <si>
    <t>lndustri Minyak Goreng dari Kelapa  - 151430</t>
  </si>
  <si>
    <t>Industri Susu dan Makanan dari Susu  - 152000</t>
  </si>
  <si>
    <t>Industri Penggilingan Padi dan Penyosohan Beras  - 153110</t>
  </si>
  <si>
    <t>lndustri Kopra  - 153180</t>
  </si>
  <si>
    <t>Industri Penggilingan Lainnya - 153190</t>
  </si>
  <si>
    <t>Industri Tepung dan Pati  - 153200</t>
  </si>
  <si>
    <t>Industri Roti dan Sejenisnya  - 154100</t>
  </si>
  <si>
    <t>Industri Gula dan Pengolahan Gula  - 154200</t>
  </si>
  <si>
    <t>Industri Coklat dan Kernbang Gula  - 154300</t>
  </si>
  <si>
    <t>Industri Makaroni, Mie, Spagheti, Bihun, So'un dan Sejenisnya  - 154400</t>
  </si>
  <si>
    <t>Industri Pengolahan Teh  - 154911</t>
  </si>
  <si>
    <t>Industri Pengolahan Kopi  - 154912</t>
  </si>
  <si>
    <t>lndustri Kecap  - 154930</t>
  </si>
  <si>
    <t>lndustri Tempe dan Tahu  - 154940</t>
  </si>
  <si>
    <t>lndustri Makanan yang Tidak Diklasifikasikan di Tempat Lain - 154990</t>
  </si>
  <si>
    <t>Industri Minuman  - 155000</t>
  </si>
  <si>
    <t>Perdagangan Dalam Negeri Makanan, Minuman dan Tembakau Lainnya - 512209</t>
  </si>
  <si>
    <t>Perdagangan Ekspor Makanan dan Minuman Lainnya - 532209</t>
  </si>
  <si>
    <t>Perdagangan Ekspor Hewan yang Sudah Diolah - 539021</t>
  </si>
  <si>
    <t>Perdagangan Ekspor Bahan Makanan Lainnya - 539022</t>
  </si>
  <si>
    <t>Perdagangan Impor Makanan, Minuman, dan Tembakau Lainnya - 542209</t>
  </si>
  <si>
    <t>H.1.2.9. Penyediaan Makan Minum Lainnya - 552009</t>
  </si>
  <si>
    <t>H.1.2.1. Restoran / Rumah Makan  - 552100</t>
  </si>
  <si>
    <t>Perdagangan Eceran Berbagai Macam Barang yang Didominasi Makanan, Minuman dan Tembakau  - 521100</t>
  </si>
  <si>
    <t>Pengusahaan Hutan Alam  - 020200</t>
  </si>
  <si>
    <t>Pengusahaan Hasil Hutan Selain Kayu  - 020300</t>
  </si>
  <si>
    <t>Jasa Kehutanan  - 020400</t>
  </si>
  <si>
    <t>Usaha Kehutanan Lainnya  - 020500</t>
  </si>
  <si>
    <t>Perdagangan Kayu - 512141</t>
  </si>
  <si>
    <t>Perdagangan Besar Dalam Negeri Hasil Kehutanan dan Perburuan Lainnya - 512149</t>
  </si>
  <si>
    <t>Perdagangan Ekspor Kayu - 532141</t>
  </si>
  <si>
    <t>Perdagangan Ekspor Rotan - 532142</t>
  </si>
  <si>
    <t>Perdagangan Ekspor Hasil Hutan Selain Kayu dan Rotan - 532149</t>
  </si>
  <si>
    <t>Industri Peralatan Rumah Tangga yang Tidak Diklasifikasikan di Tempat Lain  - 293000</t>
  </si>
  <si>
    <t>Perdagangan Besar Barang-barang Keperluan Rumah Tangga lainnya  - 513900</t>
  </si>
  <si>
    <t>Perdagangan Ekspor Barang-barang Keperluan Rumah Tangga Lainnya  - 533900</t>
  </si>
  <si>
    <t>G.5.3.9. Perdagangan Impor Barang-barang Keperluan Rumah Tangga lainnya  - 543900</t>
  </si>
  <si>
    <t>Perdagangan Eceran Perlengkapan Rumah Tangga dan Perlengkapan Dapur  - 523300</t>
  </si>
  <si>
    <t>Perdagangan Eceran Kaki Lima Perlengkapan Rumah Tangga dan Perlengkapan Dapur  - 525500</t>
  </si>
  <si>
    <t>Industri Peralatan Kedokteran, dan Peralatan Untuk Mengukur, Memeriksa, Menguji, dan Bagian Lainnya, Kecuali Alat-alat Optik  - 331000</t>
  </si>
  <si>
    <t>Industri Instrumen Optik dan Peralatan Fotografi  - 332000</t>
  </si>
  <si>
    <t>Jasa Kesehatan Manusia - Rumah sakit - 851001</t>
  </si>
  <si>
    <t>Jasa Kesehatan Manusia - Poliklinik / Rumah Bersalin - 851002</t>
  </si>
  <si>
    <t>Jasa Kesehatan Manusia - Tempat Perawatan / Pengobatan - 851003</t>
  </si>
  <si>
    <t>Jasa Kesehatan Manusia - Profesi Dokter - 851004</t>
  </si>
  <si>
    <t>H.1.1.1. Hotel Bintang  - 551100</t>
  </si>
  <si>
    <t>H.1.1.2. Hotel Melati  - 551200</t>
  </si>
  <si>
    <t>H.1.1.9. Jasa Akomodasi Lainnya  - 551900</t>
  </si>
  <si>
    <t>Industri Kulit dan Barang dari Kulit (Termasuk Kulit Buatan) - 191000</t>
  </si>
  <si>
    <t>Industri Alas Kaki  - 192000</t>
  </si>
  <si>
    <t>Industri Barang Jadi Tekstil dan Permadani  - 172000</t>
  </si>
  <si>
    <t>Industri Pakaian Jadi dan perlengkapannya, Kecuali Pakaian Jadi Berbulu  - 181000</t>
  </si>
  <si>
    <t>Industri Pakaian Jadi Barang Jadi dari Kulit Berbulu dan Pencelupan Bulu  - 182000</t>
  </si>
  <si>
    <t>Perdagangan Ekspor Pakaian Jadi - 533102</t>
  </si>
  <si>
    <t>Industri Pemintalan, Pertenunan, Pengolahan Akhir Tekstil  - 171000</t>
  </si>
  <si>
    <t>Industri Perajutan Industri Perajutan  - 173000</t>
  </si>
  <si>
    <t>Industri Kapuk  - 174000</t>
  </si>
  <si>
    <t>Pertambangan Minyak dan Gas Bumi  - 111010</t>
  </si>
  <si>
    <t>Pengusahaan Tenaga Panas Bumi  - 111020</t>
  </si>
  <si>
    <t>Jasa Pertambangan Minyak dan Gas Bumi  - 112000</t>
  </si>
  <si>
    <t>Industri Pengilangan Minyak Bumi, Pengolahan Gas Bumi, dan Industri Barang-barang dari Hasil Pengilangan Minyak Bumi  - 232000</t>
  </si>
  <si>
    <t>Pengolahan Bahan Bakar Nuklir (Nuclear Fuel)  - 233000</t>
  </si>
  <si>
    <t>Gas  - 402000</t>
  </si>
  <si>
    <t>Perdagangan Eceran Bahan Bakar Kendaraan  - 504000</t>
  </si>
  <si>
    <t>Perdagangan Besar Bahan Bakar Gas, Cair, dan Padat, Serta Produk Sejenis  - 514100</t>
  </si>
  <si>
    <t>Perdagangan Eceran Bahan Bakar dan Minyak Pelumas  - 523500</t>
  </si>
  <si>
    <t>Perdagangan Ekspor Bahan Bakar Gas, Cair, dan Padat Serta Produk Sejenis  - 534100</t>
  </si>
  <si>
    <t>G.5.4.1. Perdagangan Impor Bahan Bakar Gas, Cair, dan Padat Serta Produk Sejenis  - 544100</t>
  </si>
  <si>
    <t>Perdagangan Eceran Kaki Lima Bahan Bakar dan Pelumas - 525600</t>
  </si>
  <si>
    <t>Perdagangan Eceran Barang-barang Kerajinan, Mainan Anak-anak, dan Lukisan  - 523800</t>
  </si>
  <si>
    <t>Perdagangan Eceran Kaki Lima barang-barang kerajinan, mainan anak-anak, dan ILlkisan  - 525800</t>
  </si>
  <si>
    <t>Perdagangan Ekspor Barang Kerajinan selain dari Kayu dan Rotan - 539032</t>
  </si>
  <si>
    <t>Perdagangan Eceran Komoditi Lainnya (Bukan Makanan, Minuman, Atau Tembakau)  - 523900</t>
  </si>
  <si>
    <t>Perdagangan Eceran Kaki Lima Komoditi dari Hasil Pertanian  - 525100</t>
  </si>
  <si>
    <t>Perdagangan Eceran Kaki Lima Barang-Barang Bekas  - 525900</t>
  </si>
  <si>
    <t>Perdagangan Eceran Kaki Lima Lainnya  - 526000</t>
  </si>
  <si>
    <t>Perdagangan Eceran Keliling  - 527200</t>
  </si>
  <si>
    <t>Perdagangan Dalam Negeri Barang Antara Lainnya - 514909</t>
  </si>
  <si>
    <t>Perdagangan Dalam Negeri yang Tidak Diklasifikasikan di Tempat Lain  - 519009</t>
  </si>
  <si>
    <t>Perdagangan Ekspor Produk Antara (Intermediate Products), Barang-barang Bekas dan Sisa-sisa Tak Terpakai (Scrap)  - 534900</t>
  </si>
  <si>
    <t>Perdagangan Ekspor Barang Setengah Jadi Lainnya - 539029</t>
  </si>
  <si>
    <t>Perdagangan Ekspor yang Tidak Diklasifikasikan di Tempat Lain  - 539039</t>
  </si>
  <si>
    <t>Perdagangan Impor Barang Antara Lainnya - 544909</t>
  </si>
  <si>
    <t>G.5.9. Perdagangan Impor Lainnya  - 549000</t>
  </si>
  <si>
    <t>Perdagangan Eceran Melalui Media  - 527100</t>
  </si>
  <si>
    <t>Rumah Tangga untuk Pemilikan Peralatan Rumah Tangga Lainnya - Rumah Tangga untuk Pemilikan Furnitur dan Peralatan Rumah Tangga - 003100</t>
  </si>
  <si>
    <t>Rumah Tangga untuk Pemilikan Peralatan Rumah Tangga Lainnya - Rumah Tangga untuk Pemilikan Televisi, Radio, dan Alat Elektronik - 003200</t>
  </si>
  <si>
    <t>Rumah Tangga untuk Pemilikan Peralatan Rumah Tangga Lainnya - Rumah Tangga untuk Pemilikan Komputer dan Alat Komunikasi - 003300</t>
  </si>
  <si>
    <t>Rumah Tangga untuk Pemilikan Peralatan Rumah Tangga Lainnya - Rumah Tangga untuk Pemilikan Peralatan Lainnya - 003900</t>
  </si>
  <si>
    <t>Perdagangan Eceran Komoditi Bukan Makanan, Minuman atau Tembakau - Perdagangan Eceran Barang Bekas - 524000</t>
  </si>
  <si>
    <t>Industri Jam, Lonceng, dan Sejenisnya - 333000</t>
  </si>
  <si>
    <t>Industri Pengolahan Lainnya - 369000</t>
  </si>
  <si>
    <t>Rumah Tangga untuk Keperluan yang Tidak Diklasifikasikan di Tempat Lain  - Rumah Tangga untuk Keperluan Multiguna - 004100</t>
  </si>
  <si>
    <t>Rumah Tangga untuk Keperluan yang Tidak Diklasifikasikan di Tempat Lain  - Rumah Tangga untuk Keperluan yang Tidak Diklasifikasikan di Tempat Lain  - 004900</t>
  </si>
  <si>
    <t>Perkebunan Kelapa Sawit  - 011340</t>
  </si>
  <si>
    <t>Perkebunan Tanaman Kopi - 011351</t>
  </si>
  <si>
    <t>Perkebunan Tanaman Teh  - 011352</t>
  </si>
  <si>
    <t>Perkebunan Tanaman Coklat (Kakao) - 011353</t>
  </si>
  <si>
    <t>Perkebunan Jambu Mete  - 011360</t>
  </si>
  <si>
    <t>Perkebunan Lada  - 011370</t>
  </si>
  <si>
    <t>Perkebunan Tanaman Rempah Panili - 011391</t>
  </si>
  <si>
    <t>Perkebunan Tanaman Rempah Pala - 011392</t>
  </si>
  <si>
    <t>Perkebunan Tanaman Rempah yang Tidak Diklasifikasikan di Tempat Lain - 011399</t>
  </si>
  <si>
    <t>Perkebunan Karet dan Penghasil Getah Lainnya  - 011150</t>
  </si>
  <si>
    <t>Perkebunan Tanaman Bahan Baku Tekstil dan Sejenisnya  - 011160</t>
  </si>
  <si>
    <t>Perkebunan Tembakau  - 011140</t>
  </si>
  <si>
    <t>Perkebunan Cengkeh  - 011380</t>
  </si>
  <si>
    <t>Industri Plastik dan Karet Buatan - 241300</t>
  </si>
  <si>
    <t>Industri Barang dari Plastik  - 252000</t>
  </si>
  <si>
    <t>Industri Bubur Kertas (Pulp), Kertas dan Karton / Paper Board - 210100</t>
  </si>
  <si>
    <t>Perdagangan Dalam Negeri Kertas Koran - 519001</t>
  </si>
  <si>
    <t>Perdagangan Eceran Kertas, Barang-barang dari Kertas, Alat Tulis, Barang Cetakan, Alat Olahraga, Alat Musik, Alat Fotografi, Komputer  - 523600</t>
  </si>
  <si>
    <t>Perdagangan Eceran Kaki Lirna Kertas, Barang-Barang dari Kertas, Alat Tulis, Barang Cetakan, Alat Olah Raga, Alat Musik, Alat Fotografi, dan Komputer  - 525700</t>
  </si>
  <si>
    <t>K.5.3. Jasa Periklanan  - 743000</t>
  </si>
  <si>
    <t>Reproduksi Media Rekaman, Film, dan Video  - 223000</t>
  </si>
  <si>
    <t>Industri Radio, Televisi, Alat-alat Rekaman Suara dan Gambar, dan Sejenisnya  - 323000</t>
  </si>
  <si>
    <t>O.3.1. Kegiatan Perfilman, Radio, Televisi, dan Hiburan Lainnya  - 921000</t>
  </si>
  <si>
    <t>O.3.2. Kegiatan Kantor Berita  - 922000</t>
  </si>
  <si>
    <t>O.3.3. Perpustakaan, Arsip, Museum, dan Kegiatan Kebudayaan Lainnya  - 923000</t>
  </si>
  <si>
    <t>Industri Penerbitan  - 221000</t>
  </si>
  <si>
    <t>Industri Percetakan dan Kegiatan yang Berkaitan Dengan Pencetakan Termasuk Reproduksi / Cetak Ulang)  - 222000</t>
  </si>
  <si>
    <t>Real Estate Perumahan Sederhana - Perumnas - 701001</t>
  </si>
  <si>
    <t>Real Estate Perumahan Sederhana - Selain Perumnas s.d. Tipe 21 - 701002</t>
  </si>
  <si>
    <t>Real Estate Perumahan Sederhana - Selain Perumnas s.d. Tipe 22 s.d. 70 - 701003</t>
  </si>
  <si>
    <t>Real Estate Perumahan Menengah, Besar Atau Mewah (Tipe Diatas 70) - 701004</t>
  </si>
  <si>
    <t>Real Estate Perumahan Flat / Apartemen - 701005</t>
  </si>
  <si>
    <t>Real Estate Gedung Perbelanjaan (Mal, Plaza) - 701006</t>
  </si>
  <si>
    <t>Real Estate Gedung Perkantoran - 701007</t>
  </si>
  <si>
    <t>Real Estate Gedung Rumah Toko (Ruko) atau Rumah Kantor (Rukan) - 701008</t>
  </si>
  <si>
    <t>Real Estate Lainnya - 701009</t>
  </si>
  <si>
    <t>K.1.2. Real Estate Atas Dasar Balas Jasa (Fee) Atau Kontrak  - 702000</t>
  </si>
  <si>
    <t>Rumah Tangga untuk Pemilikan Perumahan - Rumah Tangga untuk Pemilikan Rumah Tinggal - Rumah Tangga untuk Pemilikan Rumah Tinggal s.d. Tipe 21 - 001110</t>
  </si>
  <si>
    <t>Rumah Tangga untuk Pemilikan Perumahan - Rumah Tangga untuk Pemilikan Rumah Tinggal - Rumah Tangga untuk Pemilikan Rumah Tinggal Tipe 22 s.d. 70 - 001120</t>
  </si>
  <si>
    <t>Rumah Tangga untuk Pemilikan Perumahan - Rumah Tangga untuk Pemilikan Rumah Tinggal - Rumah Tangga untuk Pemilikan Rumah Tinggal Tipe Diatas 70 - 001130</t>
  </si>
  <si>
    <t>Rumah Tangga untuk Pemilikan Flat atau Apartemen - Rumah Tangga untuk Pemilikan Flat atau Apartemen s.d. Tipe 21 - 001210</t>
  </si>
  <si>
    <t>Rumah Tangga untuk Pemilikan Flat atau Apartemen - Rumah Tangga untuk Pemilikan Flat atau Apartemen Tipe 22 s.d. 70 - 001220</t>
  </si>
  <si>
    <t>Rumah Tangga untuk Pemilikan Flat atau Apartemen - Rumah Tangga untuk Pemilikan Flat atau Apartemen Tipe Diatas 70 - 001230</t>
  </si>
  <si>
    <t>Rumah Tangga untuk Pemilikan Rumah Toko (Ruko) atau Rumah Kantor (Rukan) - Rumah Tangga untuk Pemilikan Rumah Toko (Ruko) atau Rumah Kantor (Rukan) - 001300</t>
  </si>
  <si>
    <t>K.2.1.1. Persewaan Alat TRANSPORTsi Darat  - 711100</t>
  </si>
  <si>
    <t>K.2.1.3. Persewaan Alat TRANSPORTsi Udara  - 711300</t>
  </si>
  <si>
    <t>K.2.2.1. Persewaan Mesin Pertanian dan Peralatannya  - 712100</t>
  </si>
  <si>
    <t>K.2.2.2. Persewaan Mesin Konstruksi dan Teknik Sipil dan Peralatannya - 712200</t>
  </si>
  <si>
    <t>K.2.2.3. Persewaan Mesin Kantor dan Peralatannya (Termasuk Komputer)  - 712300</t>
  </si>
  <si>
    <t>K.2.2.4. Persewaan Mesin Lainnya dan Peralatannya yang Tidak Diklasifikasikan di Tempat Lain  - 712900</t>
  </si>
  <si>
    <t>K.2.3. Persewaan Barang-barang Keperluan Rumah Tangga dan Pribadi yang Tidak Diklasifikasikan di Tempat Lain  - 713000</t>
  </si>
  <si>
    <t>Industri Pembuatan dan Perbaikan Kapal dan Perahu - 351000</t>
  </si>
  <si>
    <t>K.2.1.2. Persewaan Alat TRANSPORTsi Air - 711200</t>
  </si>
  <si>
    <t>Industri Alat Transmisi Komunikasi - 322000</t>
  </si>
  <si>
    <t>I.5.2. Jaringan Telekomunikasi  - 642000</t>
  </si>
  <si>
    <t>I.5.3. Jasa Telekomunikasi  - 643000</t>
  </si>
  <si>
    <t>I.5.4. Telekomunikasi Khusus - 644000</t>
  </si>
  <si>
    <t>I.5.1. Pos Nasional, Unit Pelayanan Pos dan Jasa Kurir - 641000</t>
  </si>
  <si>
    <t>Industri Kereta Api, Bagian-bagian dan Perlengkapannya, Serta Perbaikan Kereta Api  - 352000</t>
  </si>
  <si>
    <t>Industri Pesawat Terbang dan Perlengkapannya Serta Perbaikan Pesawat Terbang  - 353000</t>
  </si>
  <si>
    <t>Industri Alat Angkut yang Tidak Diklasifikasikan di Tempat Lain  - 359900</t>
  </si>
  <si>
    <t>I.1.1. Angkutan Jalan Rel  - 601000</t>
  </si>
  <si>
    <t>I.1.2.1. Angkutan Jalan Dalam Trayek Untuk Penumpang - 602100</t>
  </si>
  <si>
    <t>I.1.2.2. Angkutan Jalan Tidak Dalam Trayek Untuk Penumpang  - 602200</t>
  </si>
  <si>
    <t>I.1.2.3. Angkutan Jalan Untuk Barang  - 602300</t>
  </si>
  <si>
    <t>I.3.1. Angkutan Udara Berjadwal  - 621000</t>
  </si>
  <si>
    <t>I.3.2. Angkutan Udara Tidak Berjadwal  - 622000</t>
  </si>
  <si>
    <t>I.3.3. Angkutan Udara Khusus  - 623000</t>
  </si>
  <si>
    <t>I.4.5. Jasa Pengiriman dan Pengepakan  - 635000</t>
  </si>
  <si>
    <t>I.2.1.1. Angkutan Laut Domestik  - 611100</t>
  </si>
  <si>
    <t>I.2.1.2. Angkutan Laut Internasional  - 611200</t>
  </si>
  <si>
    <t>I.2.2.1. Angkutan Sungai dan Danau  - 612100</t>
  </si>
  <si>
    <t>I.2.2.2. Angkutan Penyeberangan Domestik  - 612200</t>
  </si>
  <si>
    <t>Pengusahaan Hutan Tanaman  - 020100</t>
  </si>
  <si>
    <t>Industri Penggergajian dan Pengawetan Kayu, Rotan, Bambu, dan Sejenisnya  - 201000</t>
  </si>
  <si>
    <t>Industri Kayu Lapis, Veneer, dan Sejenisnya  - 202100</t>
  </si>
  <si>
    <t>Industri Anyam-anyaman, Kerajinan, Ukiran dari Kayu, dan Industri Barang Lain dari Kayu - 202900</t>
  </si>
  <si>
    <t>Perdagangan Ekspor Kayu Lapis - 534301</t>
  </si>
  <si>
    <t>Perdagangan Ekspor Kayu Gergajian - 539011</t>
  </si>
  <si>
    <t>Perdagangan Ekspor Barang Kerajinan dari Kayu dan Rotan - 539031</t>
  </si>
  <si>
    <t>Industri Furnitur  - 361000</t>
  </si>
  <si>
    <t>9900</t>
  </si>
  <si>
    <t>Jasa-jasa sosial/masyarakat -  Lainnya</t>
  </si>
  <si>
    <t>9950</t>
  </si>
  <si>
    <t>Lain-lain - Perumahan</t>
  </si>
  <si>
    <t>9962</t>
  </si>
  <si>
    <t>Kendaraan Bermotor Roda 4</t>
  </si>
  <si>
    <t>9963</t>
  </si>
  <si>
    <t>Kendaraan Bermotor Roda 2</t>
  </si>
  <si>
    <t>9961</t>
  </si>
  <si>
    <t>Kendaraan Bermotor Roda &gt; 4</t>
  </si>
  <si>
    <t>9960</t>
  </si>
  <si>
    <t>Lain-lain - Kendaraan</t>
  </si>
  <si>
    <t>9970</t>
  </si>
  <si>
    <t>Lain-lain - Alat Rumah Tangga</t>
  </si>
  <si>
    <t>9990</t>
  </si>
  <si>
    <t>Lain-lain, Lainnya</t>
  </si>
  <si>
    <t>1111</t>
  </si>
  <si>
    <t>Tanaman Pangan - Padi</t>
  </si>
  <si>
    <t>1117</t>
  </si>
  <si>
    <t>Tanaman Pangan - Palawija -  Jagung</t>
  </si>
  <si>
    <t>1119</t>
  </si>
  <si>
    <t>Tanaman Pangan - Palawija -  lainnya</t>
  </si>
  <si>
    <t>1116</t>
  </si>
  <si>
    <t>Tanaman Pangan - Palawija - Umbi-umbian</t>
  </si>
  <si>
    <t>1115</t>
  </si>
  <si>
    <t>Tanaman Pangan - Palawija - Kacang-kacangan</t>
  </si>
  <si>
    <t>1148</t>
  </si>
  <si>
    <t>Perkebunan Tebu</t>
  </si>
  <si>
    <t>1144</t>
  </si>
  <si>
    <t>Perkebunan Tembakau</t>
  </si>
  <si>
    <t>1141</t>
  </si>
  <si>
    <t>Perkebunan Karet</t>
  </si>
  <si>
    <t>1159</t>
  </si>
  <si>
    <t>Perkebunan lainnya</t>
  </si>
  <si>
    <t>1130</t>
  </si>
  <si>
    <t>Tanaman Pangan - Hortikultura</t>
  </si>
  <si>
    <t>1142</t>
  </si>
  <si>
    <t>Perkebunan Kelapa</t>
  </si>
  <si>
    <t>1145</t>
  </si>
  <si>
    <t>Perkebunan Kelapa Sawit</t>
  </si>
  <si>
    <t>1143</t>
  </si>
  <si>
    <t>Perkebunan Kopi</t>
  </si>
  <si>
    <t>1147</t>
  </si>
  <si>
    <t>Perkebunan Teh</t>
  </si>
  <si>
    <t>1153</t>
  </si>
  <si>
    <t>Perkebunan Kakao/ Coklat</t>
  </si>
  <si>
    <t>1146</t>
  </si>
  <si>
    <t>Perkebunan Lada</t>
  </si>
  <si>
    <t>1150</t>
  </si>
  <si>
    <t>Perkebunan Cengkeh</t>
  </si>
  <si>
    <t>1151</t>
  </si>
  <si>
    <t>Perkebunan Panili</t>
  </si>
  <si>
    <t>1152</t>
  </si>
  <si>
    <t>Perkebunan Pala</t>
  </si>
  <si>
    <t>1172</t>
  </si>
  <si>
    <t>Peternakan Sapi</t>
  </si>
  <si>
    <t>1179</t>
  </si>
  <si>
    <t>Peternakan lainnya</t>
  </si>
  <si>
    <t>1171</t>
  </si>
  <si>
    <t>Peternakan Unggas</t>
  </si>
  <si>
    <t>1370</t>
  </si>
  <si>
    <t>Sarana Peternakan</t>
  </si>
  <si>
    <t>1200</t>
  </si>
  <si>
    <t>Perburuan</t>
  </si>
  <si>
    <t>1180</t>
  </si>
  <si>
    <t>Kehutanan dan Pemotongan Kayu (logging)</t>
  </si>
  <si>
    <t>1380</t>
  </si>
  <si>
    <t>Sarana Kehutanan</t>
  </si>
  <si>
    <t>1163</t>
  </si>
  <si>
    <t>Perikanan Laut - Lainnya</t>
  </si>
  <si>
    <t>1161</t>
  </si>
  <si>
    <t>Perikanan Laut - Udang</t>
  </si>
  <si>
    <t>1164</t>
  </si>
  <si>
    <t>Perikanan Darat - Udang</t>
  </si>
  <si>
    <t>1166</t>
  </si>
  <si>
    <t>Perikanan Darat - Lainnya</t>
  </si>
  <si>
    <t>1167</t>
  </si>
  <si>
    <t>Perikanan Payau - Udang</t>
  </si>
  <si>
    <t>1169</t>
  </si>
  <si>
    <t>Perikanan Payau - Lainnya</t>
  </si>
  <si>
    <t>1360</t>
  </si>
  <si>
    <t>Sarana Perikanan</t>
  </si>
  <si>
    <t>2300</t>
  </si>
  <si>
    <t>Pertambangan Batubara</t>
  </si>
  <si>
    <t>2100</t>
  </si>
  <si>
    <t>Pertambangan Minyak dan Gas Bumi</t>
  </si>
  <si>
    <t>2900</t>
  </si>
  <si>
    <t>Pertambangan Barang Tambang Lainnya</t>
  </si>
  <si>
    <t>2210</t>
  </si>
  <si>
    <t>Pertambangan Biji Logam - Timah</t>
  </si>
  <si>
    <t>2230</t>
  </si>
  <si>
    <t>Pertambangan Biji Logam - Bauksit</t>
  </si>
  <si>
    <t>2240</t>
  </si>
  <si>
    <t>Pertambangan Biji Logam - Tembaga</t>
  </si>
  <si>
    <t>2220</t>
  </si>
  <si>
    <t>Pertambangan Biji Logam - Nikel</t>
  </si>
  <si>
    <t>2290</t>
  </si>
  <si>
    <t>Pertambangan Biji Logam - Lainnya</t>
  </si>
  <si>
    <t>3990</t>
  </si>
  <si>
    <t>Industri - Lainnya</t>
  </si>
  <si>
    <t>3149</t>
  </si>
  <si>
    <t>Industri - Minyak Tumbuhan Lainnya</t>
  </si>
  <si>
    <t>3141</t>
  </si>
  <si>
    <t>Industri - Minyak Kelapa Sawit Mentah</t>
  </si>
  <si>
    <t>3142</t>
  </si>
  <si>
    <t>Industri - Minyak Biji Kelapa Sawit</t>
  </si>
  <si>
    <t>3190</t>
  </si>
  <si>
    <t>Industri - Makanan Lainnya</t>
  </si>
  <si>
    <t>3130</t>
  </si>
  <si>
    <t>Penggilingan Padi (huller)</t>
  </si>
  <si>
    <t>3200</t>
  </si>
  <si>
    <t>Industri - Makanan Ternak dan Ikan</t>
  </si>
  <si>
    <t>3120</t>
  </si>
  <si>
    <t>Industri - Gula</t>
  </si>
  <si>
    <t>3160</t>
  </si>
  <si>
    <t>Industri - Minuman</t>
  </si>
  <si>
    <t>3170</t>
  </si>
  <si>
    <t>Industri - Tembakau</t>
  </si>
  <si>
    <t>3180</t>
  </si>
  <si>
    <t>Industri - Rokok</t>
  </si>
  <si>
    <t>3310</t>
  </si>
  <si>
    <t>Industri - Tekstil</t>
  </si>
  <si>
    <t>3330</t>
  </si>
  <si>
    <t>Industri - Kulit</t>
  </si>
  <si>
    <t>3490</t>
  </si>
  <si>
    <t>Industri - Kayu Lainnya</t>
  </si>
  <si>
    <t>3530</t>
  </si>
  <si>
    <t>Industri - Bahan Kertas (Pulp)</t>
  </si>
  <si>
    <t>3520</t>
  </si>
  <si>
    <t>Industri - Percetakan dan Penerbitan</t>
  </si>
  <si>
    <t>3510</t>
  </si>
  <si>
    <t>Industri - Kertas dan Hasil-hasil Kertas</t>
  </si>
  <si>
    <t>3610</t>
  </si>
  <si>
    <t>Industri - Pupuk/Obat Hama</t>
  </si>
  <si>
    <t>3620</t>
  </si>
  <si>
    <t>Industri - Farmasi</t>
  </si>
  <si>
    <t>3680</t>
  </si>
  <si>
    <t>Industri - Minyak Atsiri</t>
  </si>
  <si>
    <t>3640</t>
  </si>
  <si>
    <t>Industri - Hasil Kimia Lainnya</t>
  </si>
  <si>
    <t>3660</t>
  </si>
  <si>
    <t>Industri - Crumb Rubber</t>
  </si>
  <si>
    <t>3670</t>
  </si>
  <si>
    <t>Industri - Hasil Karet Lainnya</t>
  </si>
  <si>
    <t>3630</t>
  </si>
  <si>
    <t>Industri - Plastik</t>
  </si>
  <si>
    <t>3890</t>
  </si>
  <si>
    <t>Industri Logam Dasar - Lainnya</t>
  </si>
  <si>
    <t>3730</t>
  </si>
  <si>
    <t>Industri Pengolahan Hasil Tambang Bukan Logam, selain Hasil Minyak Bumi &amp; Batu Bara - Keramik</t>
  </si>
  <si>
    <t>3710</t>
  </si>
  <si>
    <t>Industri Pengolahan Hasil Tambang Bukan Logam, selain Hasil Minyak Bumi &amp; Batu Bara - Semen</t>
  </si>
  <si>
    <t>4110</t>
  </si>
  <si>
    <t>Listrik Pedesaan</t>
  </si>
  <si>
    <t>4190</t>
  </si>
  <si>
    <t>Listrik Lainnya</t>
  </si>
  <si>
    <t>4200</t>
  </si>
  <si>
    <t>Gas</t>
  </si>
  <si>
    <t>4300</t>
  </si>
  <si>
    <t>Air</t>
  </si>
  <si>
    <t>5300</t>
  </si>
  <si>
    <t>Konstruksi - Penyiapan Tanah Pemukiman Transmigrasi</t>
  </si>
  <si>
    <t>5400</t>
  </si>
  <si>
    <t>Konstruksi - Pencetakan Sawah</t>
  </si>
  <si>
    <t>5110</t>
  </si>
  <si>
    <t>Konstruksi - Perumahan Sederhana BTN</t>
  </si>
  <si>
    <t>5120</t>
  </si>
  <si>
    <t>Konstruksi - Perumahan Sederhana PERUMNAS</t>
  </si>
  <si>
    <t>5190</t>
  </si>
  <si>
    <t>Konstruksi - Perumahan Sederhana lainnya</t>
  </si>
  <si>
    <t>5990</t>
  </si>
  <si>
    <t>Konstruksi - Lainnya</t>
  </si>
  <si>
    <t>5200</t>
  </si>
  <si>
    <t>Konstruksi - Pasar Inpres</t>
  </si>
  <si>
    <t>5500</t>
  </si>
  <si>
    <t>Konstruksi - Jalan Raya dan Jembatan</t>
  </si>
  <si>
    <t>5700</t>
  </si>
  <si>
    <t>Konstruksi - Irigasi</t>
  </si>
  <si>
    <t>5600</t>
  </si>
  <si>
    <t>Konstruksi - Pelabuhan</t>
  </si>
  <si>
    <t>5810</t>
  </si>
  <si>
    <t>Konstruksi - Listrik Pedesaan</t>
  </si>
  <si>
    <t>5890</t>
  </si>
  <si>
    <t>Konstruksi - Listrik lainnya</t>
  </si>
  <si>
    <t>6500</t>
  </si>
  <si>
    <t>Perdagangan Eceran</t>
  </si>
  <si>
    <t>6231</t>
  </si>
  <si>
    <t>Impor Bukan dlm.rangka Bantuan Luar Negeri - Suku Cadang Kend.Bermotor</t>
  </si>
  <si>
    <t>6490</t>
  </si>
  <si>
    <t>Distribusi lainnya</t>
  </si>
  <si>
    <t>6312</t>
  </si>
  <si>
    <t>Pembelian &amp; Pengumpulan Brg. Dagangan Dlm.Neg. : Jagung</t>
  </si>
  <si>
    <t>6322</t>
  </si>
  <si>
    <t>Pembelian &amp; Pengumpulan Brg. Dagangan Dlm.Neg. : Tembakau</t>
  </si>
  <si>
    <t>6316</t>
  </si>
  <si>
    <t>Pembelian &amp; Pengumpulan Brg. Dagangan Dlm.Neg. : Karet</t>
  </si>
  <si>
    <t>6320</t>
  </si>
  <si>
    <t>Pembelian &amp; Pengumpulan Brg. Dagangan Dlm.Neg. : Cengkeh</t>
  </si>
  <si>
    <t>6321</t>
  </si>
  <si>
    <t>Pembelian &amp; Pengumpulan Brg. Dagangan Dlm.Neg. : Lada</t>
  </si>
  <si>
    <t>6317</t>
  </si>
  <si>
    <t>Pembelian &amp; Pengumpulan Brg. Dagangan Dlm.Neg. : Kelapa Sawit</t>
  </si>
  <si>
    <t>6318</t>
  </si>
  <si>
    <t>Pembelian &amp; Pengumpulan Brg. Dagangan Dlm.Neg. : Kapas</t>
  </si>
  <si>
    <t>6390</t>
  </si>
  <si>
    <t>Pembelian &amp; Pengumpulan Brg. Dagangan Dlm.Neg. : Lainnya</t>
  </si>
  <si>
    <t>6325</t>
  </si>
  <si>
    <t>Pembelian &amp; Pengumpulan Brg. Dagangan Dlm.Neg. : Hewan hidup &amp; Hasilnya</t>
  </si>
  <si>
    <t>6315</t>
  </si>
  <si>
    <t>Pembelian &amp; Pengumpulan Brg. Dagangan Dlm.Neg. : Kayu</t>
  </si>
  <si>
    <t>6311</t>
  </si>
  <si>
    <t>Pembelian &amp; Pengumpulan Brg. Dagangan Dlm.Neg. : Beras</t>
  </si>
  <si>
    <t>6314</t>
  </si>
  <si>
    <t>Pembelian &amp; Pengumpulan Brg. Dagangan Dlm.Neg. : Stok Gula</t>
  </si>
  <si>
    <t>6323</t>
  </si>
  <si>
    <t>Pembelian &amp; Pengumpulan Brg. Dagangan Dlm.Neg. : Kopi</t>
  </si>
  <si>
    <t>6324</t>
  </si>
  <si>
    <t>Pembelian &amp; Pengumpulan Brg. Dagangan Dlm.Neg. : Teh</t>
  </si>
  <si>
    <t>6313</t>
  </si>
  <si>
    <t>Pembelian &amp; Pengumpulan Brg. Dagangan Dlm.Neg. : Garam</t>
  </si>
  <si>
    <t>6319</t>
  </si>
  <si>
    <t>Pembelian &amp; Pengumpulan Brg. Dagangan Dlm.Neg. : Kopra</t>
  </si>
  <si>
    <t>6411</t>
  </si>
  <si>
    <t>Distribusi Semen</t>
  </si>
  <si>
    <t>6414</t>
  </si>
  <si>
    <t>Distribusi Besi Beton</t>
  </si>
  <si>
    <t>6412</t>
  </si>
  <si>
    <t>Distribusi Pupuk/Obat Hama</t>
  </si>
  <si>
    <t>6415</t>
  </si>
  <si>
    <t>Distribusi Kertas Koran</t>
  </si>
  <si>
    <t>6137</t>
  </si>
  <si>
    <t>Ekspor Barang Setengah Jadi Biji Kelapa Sawit</t>
  </si>
  <si>
    <t>6129</t>
  </si>
  <si>
    <t>Ekspor Bahan Baku lainnya</t>
  </si>
  <si>
    <t>6115</t>
  </si>
  <si>
    <t>Ekspor Bahan Baku Hasil Tanaman Pangan &amp; Perkebunan</t>
  </si>
  <si>
    <t>6116</t>
  </si>
  <si>
    <t>Ekspor Bahan Baku Hewan Hidup &amp; Hasilnya</t>
  </si>
  <si>
    <t>6112</t>
  </si>
  <si>
    <t>Ekspor Bahan Baku Kayu</t>
  </si>
  <si>
    <t>6113</t>
  </si>
  <si>
    <t>Ekspor Bahan Baku Rotan</t>
  </si>
  <si>
    <t>6114</t>
  </si>
  <si>
    <t>Ekspor Bahan Baku Hutan selain kayu dan rotan</t>
  </si>
  <si>
    <t>6165</t>
  </si>
  <si>
    <t>Ekspor Barang Jadi Udang</t>
  </si>
  <si>
    <t>6162</t>
  </si>
  <si>
    <t>Ekspor Barang Jadi Teh</t>
  </si>
  <si>
    <t>6163</t>
  </si>
  <si>
    <t>Ekspor Barang Jadi Kopi Bubuk</t>
  </si>
  <si>
    <t>6133</t>
  </si>
  <si>
    <t>Ekspor Barang Setengah Jadi Tembakau</t>
  </si>
  <si>
    <t>6179</t>
  </si>
  <si>
    <t>Ekspor Barang Jadi lainnya</t>
  </si>
  <si>
    <t>6169</t>
  </si>
  <si>
    <t>Ekspor Barang Jadi Tekstil</t>
  </si>
  <si>
    <t>6170</t>
  </si>
  <si>
    <t>Ekspor Barang Jadi Sandang Selain Tekstil</t>
  </si>
  <si>
    <t>6117</t>
  </si>
  <si>
    <t>Ekspor Bahan Baku Bijih Timah</t>
  </si>
  <si>
    <t>6118</t>
  </si>
  <si>
    <t>Ekspor Bahan Baku Bijih Logam selain Timah</t>
  </si>
  <si>
    <t>6119</t>
  </si>
  <si>
    <t>Ekspor Bahan Baku Batubara</t>
  </si>
  <si>
    <t>6161</t>
  </si>
  <si>
    <t>Ekspor Barang Jadi Kayu Lapis &amp; Sejenisnya</t>
  </si>
  <si>
    <t>6190</t>
  </si>
  <si>
    <t>Ekspor Jasa-jasa - Lainnya</t>
  </si>
  <si>
    <t>6131</t>
  </si>
  <si>
    <t>Ekspor Barang Setengah Jadi Kayu Gergajian</t>
  </si>
  <si>
    <t>6132</t>
  </si>
  <si>
    <t>Ekspor Barang Setengah Jadi Kopi Biji</t>
  </si>
  <si>
    <t>6134</t>
  </si>
  <si>
    <t>Ekspor Barang Setengah Jadi Karet</t>
  </si>
  <si>
    <t>6135</t>
  </si>
  <si>
    <t>Ekspor Barang Setengah Jadi Lada</t>
  </si>
  <si>
    <t>6136</t>
  </si>
  <si>
    <t>Ekspor Barang Setengah Jadi Minyak Kelapa Sawit Mentah</t>
  </si>
  <si>
    <t>6138</t>
  </si>
  <si>
    <t>Ekspor Barang Setengah Jadi Bungkil Kopra</t>
  </si>
  <si>
    <t>6139</t>
  </si>
  <si>
    <t>Ekspor Barang Setengah Jadi Hasil Tnm.Pangan &amp; Perkebunan Lainnya</t>
  </si>
  <si>
    <t>6140</t>
  </si>
  <si>
    <t>Ekspor Barang Setengah Jadi Hewan yg Sudah Diolah</t>
  </si>
  <si>
    <t>6141</t>
  </si>
  <si>
    <t>Ekspor Barang Setengah Jadi Bahan Makanan Lainnya</t>
  </si>
  <si>
    <t>6142</t>
  </si>
  <si>
    <t>Ekspor Barang Setengah Jadi Hasil Tambang</t>
  </si>
  <si>
    <t>6159</t>
  </si>
  <si>
    <t>Ekspor Barang Setengah Jadi lainnya</t>
  </si>
  <si>
    <t>6180</t>
  </si>
  <si>
    <t>Ekspor Jasa-jasa - Konstruksi</t>
  </si>
  <si>
    <t>6224</t>
  </si>
  <si>
    <t>Impor Bukan dlm.rangka Bantuan Luar Negeri - Cengkeh</t>
  </si>
  <si>
    <t>6227</t>
  </si>
  <si>
    <t>Impor Bukan dlm.rangka Bantuan Luar Negeri - Biji Gandum</t>
  </si>
  <si>
    <t>6228</t>
  </si>
  <si>
    <t>Impor Bukan dlm.rangka Bantuan Luar Negeri - Jagung</t>
  </si>
  <si>
    <t>6229</t>
  </si>
  <si>
    <t>Impor Bukan dlm.rangka Bantuan Luar Negeri - Kacang Kedele</t>
  </si>
  <si>
    <t>6219</t>
  </si>
  <si>
    <t>Impor dlm.rangka Bantuan Luar Negeri - Lainnya</t>
  </si>
  <si>
    <t>6225</t>
  </si>
  <si>
    <t>Impor Bukan dlm.rangka Bantuan Luar Negeri - Beras</t>
  </si>
  <si>
    <t>6226</t>
  </si>
  <si>
    <t>Impor Bukan dlm.rangka Bantuan Luar Negeri - Gula</t>
  </si>
  <si>
    <t>6239</t>
  </si>
  <si>
    <t>Impor Bukan dlm.rangka Bantuan Luar Negeri - Lainnya</t>
  </si>
  <si>
    <t>6222</t>
  </si>
  <si>
    <t>Impor Bukan dlm.rangka Bantuan Luar Negeri - Besi Beton</t>
  </si>
  <si>
    <t>6221</t>
  </si>
  <si>
    <t>Impor Bukan dlm.rangka Bantuan Luar Negeri - Pupuk dan Obat Hama</t>
  </si>
  <si>
    <t>6230</t>
  </si>
  <si>
    <t>Impor Bukan dlm.rangka Bantuan Luar Negeri - Farmasi</t>
  </si>
  <si>
    <t>6232</t>
  </si>
  <si>
    <t>Impor Bukan dlm.rangka Bantuan Luar Negeri - Suku Cadang Industri</t>
  </si>
  <si>
    <t>6620</t>
  </si>
  <si>
    <t>Hotel</t>
  </si>
  <si>
    <t>8900</t>
  </si>
  <si>
    <t>Jasa-jasa Dunia Usaha - Lainnya</t>
  </si>
  <si>
    <t>6610</t>
  </si>
  <si>
    <t>Restoran</t>
  </si>
  <si>
    <t>7110</t>
  </si>
  <si>
    <t>Pengangkutan Umum Darat</t>
  </si>
  <si>
    <t>7000</t>
  </si>
  <si>
    <t>Pengangkutan, Pergudangan, Komunikasi</t>
  </si>
  <si>
    <t>7130</t>
  </si>
  <si>
    <t>Pengangkutan Umum Laut</t>
  </si>
  <si>
    <t>7120</t>
  </si>
  <si>
    <t>Pengangkutan Umum Sungai</t>
  </si>
  <si>
    <t>7140</t>
  </si>
  <si>
    <t>Pengangkutan Umum Udara</t>
  </si>
  <si>
    <t>7300</t>
  </si>
  <si>
    <t>Pergudangan</t>
  </si>
  <si>
    <t>7200</t>
  </si>
  <si>
    <t>Biro Perjalanan</t>
  </si>
  <si>
    <t>7400</t>
  </si>
  <si>
    <t>Komunikasi</t>
  </si>
  <si>
    <t>8111</t>
  </si>
  <si>
    <t>Jasa-jasa Dunia Usaha - Perumahan Sederhana PERUMNAS</t>
  </si>
  <si>
    <t>8119</t>
  </si>
  <si>
    <t>Jasa-jasa Dunia Usaha - Perumahan Sederhana selain PERUMNAS</t>
  </si>
  <si>
    <t>8190</t>
  </si>
  <si>
    <t>Jasa-jasa Dunia Usaha - Real Estate Lainnya</t>
  </si>
  <si>
    <t>9390</t>
  </si>
  <si>
    <t>Jasa-jasa sosial/masyarakat - Pendidikan Lainnya</t>
  </si>
  <si>
    <t>9310</t>
  </si>
  <si>
    <t>Jasa-jasa sosial/masyarakat - Pendidikan - Perguruan Tinggi</t>
  </si>
  <si>
    <t>9220</t>
  </si>
  <si>
    <t>Jasa-jasa sosial/masyarakat - Kesehatan - Tempat Perawatan/Pengobatan</t>
  </si>
  <si>
    <t>9210</t>
  </si>
  <si>
    <t>Jasa-jasa sosial/masyarakat - Kesehatan - Profesi</t>
  </si>
  <si>
    <t>9100</t>
  </si>
  <si>
    <t>Jasa-jasa sosial/masyarakat - Hiburan dan Kebudayaan</t>
  </si>
  <si>
    <t>SID DESC</t>
  </si>
  <si>
    <t>Industri - Makanan Ternak dan Ikan - 3200</t>
  </si>
  <si>
    <t>Peternakan Sapi - 1172</t>
  </si>
  <si>
    <t>Peternakan lainnya - 1179</t>
  </si>
  <si>
    <t>Peternakan Unggas - 1171</t>
  </si>
  <si>
    <t>Perburuan - 1200</t>
  </si>
  <si>
    <t>Industri - Lainnya - 3990</t>
  </si>
  <si>
    <t>Pembelian &amp; Pengumpulan Brg. Dagangan Dlm.Neg. : Hewan hidup &amp; Hasilnya - 6325</t>
  </si>
  <si>
    <t>Ekspor Bahan Baku Hewan Hidup &amp; Hasilnya - 6116</t>
  </si>
  <si>
    <t>Perikanan Laut - Lainnya - 1163</t>
  </si>
  <si>
    <t>Perikanan Laut - Udang - 1161</t>
  </si>
  <si>
    <t>Perikanan Darat - Udang - 1164</t>
  </si>
  <si>
    <t>Perikanan Darat - Lainnya - 1166</t>
  </si>
  <si>
    <t>Perikanan Payau - Udang - 1167</t>
  </si>
  <si>
    <t>Perikanan Payau - Lainnya - 1169</t>
  </si>
  <si>
    <t>Sarana Perikanan - 1360</t>
  </si>
  <si>
    <t>Ekspor Bahan Baku Hasil Tanaman Pangan &amp; Perkebunan - 6115</t>
  </si>
  <si>
    <t>Ekspor Barang Jadi Udang - 6165</t>
  </si>
  <si>
    <t>Tanaman Pangan - Padi - 1111</t>
  </si>
  <si>
    <t>Tanaman Pangan - Palawija -  Jagung - 1117</t>
  </si>
  <si>
    <t>Tanaman Pangan - Palawija -  lainnya - 1119</t>
  </si>
  <si>
    <t>Tanaman Pangan - Palawija - Umbi-umbian - 1116</t>
  </si>
  <si>
    <t>Tanaman Pangan - Palawija - Kacang-kacangan - 1115</t>
  </si>
  <si>
    <t>Perkebunan Tebu - 1148</t>
  </si>
  <si>
    <t>Perkebunan lainnya - 1159</t>
  </si>
  <si>
    <t>Tanaman Pangan - Hortikultura - 1130</t>
  </si>
  <si>
    <t>Perkebunan Kelapa - 1142</t>
  </si>
  <si>
    <t>Perdagangan Eceran - 6500</t>
  </si>
  <si>
    <t>Impor Bukan dlm.rangka Bantuan Luar Negeri - Suku Cadang Kend.Bermotor - 6231</t>
  </si>
  <si>
    <t>Kendaraan Bermotor Roda 4 - 9962</t>
  </si>
  <si>
    <t>Kendaraan Bermotor Roda 2 - 9963</t>
  </si>
  <si>
    <t>Kendaraan Bermotor Roda &gt; 4 - 9961</t>
  </si>
  <si>
    <t>Lain-lain - Kendaraan - 9960</t>
  </si>
  <si>
    <t>Industri - Minyak Atsiri - 3680</t>
  </si>
  <si>
    <t>Industri - Hasil Kimia Lainnya - 3640</t>
  </si>
  <si>
    <t>Industri - Pupuk/Obat Hama - 3610</t>
  </si>
  <si>
    <t>Impor Bukan dlm.rangka Bantuan Luar Negeri - Pupuk dan Obat Hama - 6221</t>
  </si>
  <si>
    <t>Distribusi Pupuk/Obat Hama - 6412</t>
  </si>
  <si>
    <t>Industri - Farmasi - 3620</t>
  </si>
  <si>
    <t>Impor Bukan dlm.rangka Bantuan Luar Negeri - Farmasi - 6230</t>
  </si>
  <si>
    <t>Pertambangan Batubara - 2300</t>
  </si>
  <si>
    <t>Industri - Percetakan dan Penerbitan - 3520</t>
  </si>
  <si>
    <t>Ekspor Bahan Baku Batubara - 6119</t>
  </si>
  <si>
    <t>Pertambangan Barang Tambang Lainnya - 2900</t>
  </si>
  <si>
    <t>Pertambangan Biji Logam - Timah - 2210</t>
  </si>
  <si>
    <t>Pertambangan Biji Logam - Bauksit - 2230</t>
  </si>
  <si>
    <t>Pertambangan Biji Logam - Tembaga - 2240</t>
  </si>
  <si>
    <t>Pertambangan Biji Logam - Nikel - 2220</t>
  </si>
  <si>
    <t>Pertambangan Biji Logam - Lainnya - 2290</t>
  </si>
  <si>
    <t>Ekspor Barang Setengah Jadi Hasil Tambang - 6142</t>
  </si>
  <si>
    <t>Pembelian &amp; Pengumpulan Brg. Dagangan Dlm.Neg. : Tembakau - 6322</t>
  </si>
  <si>
    <t>Pembelian &amp; Pengumpulan Brg. Dagangan Dlm.Neg. : Cengkeh - 6320</t>
  </si>
  <si>
    <t>Ekspor Barang Setengah Jadi Tembakau - 6133</t>
  </si>
  <si>
    <t>Impor Bukan dlm.rangka Bantuan Luar Negeri - Cengkeh - 6224</t>
  </si>
  <si>
    <t>Industri - Minyak Kelapa Sawit Mentah - 3141</t>
  </si>
  <si>
    <t>Industri - Minyak Biji Kelapa Sawit - 3142</t>
  </si>
  <si>
    <t>Pembelian &amp; Pengumpulan Brg. Dagangan Dlm.Neg. : Kelapa Sawit - 6317</t>
  </si>
  <si>
    <t>Ekspor Barang Setengah Jadi Biji Kelapa Sawit - 6137</t>
  </si>
  <si>
    <t>Ekspor Barang Setengah Jadi Minyak Kelapa Sawit Mentah - 6136</t>
  </si>
  <si>
    <t>Industri - Crumb Rubber - 3660</t>
  </si>
  <si>
    <t>Industri - Hasil Karet Lainnya - 3670</t>
  </si>
  <si>
    <t>Pembelian &amp; Pengumpulan Brg. Dagangan Dlm.Neg. : Jagung - 6312</t>
  </si>
  <si>
    <t>Pembelian &amp; Pengumpulan Brg. Dagangan Dlm.Neg. : Lada - 6321</t>
  </si>
  <si>
    <t>Ekspor Barang Jadi Teh - 6162</t>
  </si>
  <si>
    <t>Ekspor Barang Jadi Kopi Bubuk - 6163</t>
  </si>
  <si>
    <t>Ekspor Bahan Baku Bijih Timah - 6117</t>
  </si>
  <si>
    <t>Ekspor Barang Setengah Jadi Kopi Biji - 6132</t>
  </si>
  <si>
    <t>Ekspor Barang Setengah Jadi Lada - 6135</t>
  </si>
  <si>
    <t>Ekspor Barang Setengah Jadi Bungkil Kopra - 6138</t>
  </si>
  <si>
    <t>Impor Bukan dlm.rangka Bantuan Luar Negeri - Biji Gandum - 6227</t>
  </si>
  <si>
    <t>Impor Bukan dlm.rangka Bantuan Luar Negeri - Jagung - 6228</t>
  </si>
  <si>
    <t>Impor Bukan dlm.rangka Bantuan Luar Negeri - Kacang Kedele - 6229</t>
  </si>
  <si>
    <t>Impor Bukan dlm.rangka Bantuan Luar Negeri - Beras - 6225</t>
  </si>
  <si>
    <t>Impor Bukan dlm.rangka Bantuan Luar Negeri - Gula - 6226</t>
  </si>
  <si>
    <t>Pembelian &amp; Pengumpulan Brg. Dagangan Dlm.Neg. : Beras - 6311</t>
  </si>
  <si>
    <t>Pembelian &amp; Pengumpulan Brg. Dagangan Dlm.Neg. : Stok Gula - 6314</t>
  </si>
  <si>
    <t>Pembelian &amp; Pengumpulan Brg. Dagangan Dlm.Neg. : Kopi - 6323</t>
  </si>
  <si>
    <t>Pembelian &amp; Pengumpulan Brg. Dagangan Dlm.Neg. : Teh - 6324</t>
  </si>
  <si>
    <t>Pembelian &amp; Pengumpulan Brg. Dagangan Dlm.Neg. : Kopra - 6319</t>
  </si>
  <si>
    <t>Pembelian &amp; Pengumpulan Brg. Dagangan Dlm.Neg. : Lainnya - 6390</t>
  </si>
  <si>
    <t>Ekspor Bahan Baku lainnya - 6129</t>
  </si>
  <si>
    <t>Ekspor Barang Setengah Jadi Hasil Tnm.Pangan &amp; Perkebunan Lainnya - 6139</t>
  </si>
  <si>
    <t>Impor dlm.rangka Bantuan Luar Negeri - Lainnya - 6219</t>
  </si>
  <si>
    <t>Pembelian &amp; Pengumpulan Brg. Dagangan Dlm.Neg. : Kapas - 6318</t>
  </si>
  <si>
    <t>Konstruksi - Lainnya - 5990</t>
  </si>
  <si>
    <t>Konstruksi - Penyiapan Tanah Pemukiman Transmigrasi - 5300</t>
  </si>
  <si>
    <t>Konstruksi - Pencetakan Sawah - 5400</t>
  </si>
  <si>
    <t>Konstruksi - Perumahan Sederhana BTN - 5110</t>
  </si>
  <si>
    <t>Konstruksi - Perumahan Sederhana PERUMNAS - 5120</t>
  </si>
  <si>
    <t>Konstruksi - Perumahan Sederhana lainnya - 5190</t>
  </si>
  <si>
    <t>Konstruksi - Pasar Inpres - 5200</t>
  </si>
  <si>
    <t>Konstruksi - Jalan Raya dan Jembatan - 5500</t>
  </si>
  <si>
    <t>Konstruksi - Irigasi - 5700</t>
  </si>
  <si>
    <t>Konstruksi - Pelabuhan - 5600</t>
  </si>
  <si>
    <t>Konstruksi - Listrik Pedesaan - 5810</t>
  </si>
  <si>
    <t>Konstruksi - Listrik lainnya - 5890</t>
  </si>
  <si>
    <t>Distribusi lainnya - 6490</t>
  </si>
  <si>
    <t>Ekspor Jasa-jasa - Konstruksi - 6180</t>
  </si>
  <si>
    <t>Impor Bukan dlm.rangka Bantuan Luar Negeri - Lainnya - 6239</t>
  </si>
  <si>
    <t>Jasa-jasa Dunia Usaha - Lainnya - 8900</t>
  </si>
  <si>
    <t>Jasa-jasa sosial/masyarakat - Pendidikan Lainnya - 9390</t>
  </si>
  <si>
    <t>Jasa-jasa sosial/masyarakat - Pendidikan - Perguruan Tinggi - 9310</t>
  </si>
  <si>
    <t>Lain-lain, Lainnya - 9990</t>
  </si>
  <si>
    <t>Sarana Peternakan - 1370</t>
  </si>
  <si>
    <t>Air - 4300</t>
  </si>
  <si>
    <t>Pengangkutan, Pergudangan, Komunikasi - 7000</t>
  </si>
  <si>
    <t>Jasa-jasa sosial/masyarakat -  Lainnya - 9900</t>
  </si>
  <si>
    <t>Jasa-jasa sosial/masyarakat - Kesehatan - Profesi - 9210</t>
  </si>
  <si>
    <t>Pergudangan - 7300</t>
  </si>
  <si>
    <t>Biro Perjalanan - 7200</t>
  </si>
  <si>
    <t>Jasa-jasa Dunia Usaha - Real Estate Lainnya - 8190</t>
  </si>
  <si>
    <t>Ekspor Jasa-jasa - Lainnya - 6190</t>
  </si>
  <si>
    <t>Ekspor Barang Jadi lainnya - 6179</t>
  </si>
  <si>
    <t>Industri - Tembakau - 3170</t>
  </si>
  <si>
    <t>Industri - Rokok - 3180</t>
  </si>
  <si>
    <t>Pembelian &amp; Pengumpulan Brg. Dagangan Dlm.Neg. : Garam - 6313</t>
  </si>
  <si>
    <t>Industri Pengolahan Hasil Tambang Bukan Logam, selain Hasil Minyak Bumi &amp; Batu Bara - Semen - 3710</t>
  </si>
  <si>
    <t>Distribusi Semen - 6411</t>
  </si>
  <si>
    <t>Ekspor Barang Jadi Tekstil - 6169</t>
  </si>
  <si>
    <t>Pembelian &amp; Pengumpulan Brg. Dagangan Dlm.Neg. : Karet - 6316</t>
  </si>
  <si>
    <t>Ekspor Barang Setengah Jadi Karet - 6134</t>
  </si>
  <si>
    <t>Listrik Pedesaan - 4110</t>
  </si>
  <si>
    <t>Listrik Lainnya - 4190</t>
  </si>
  <si>
    <t>Gas - 4200</t>
  </si>
  <si>
    <t>Impor Bukan dlm.rangka Bantuan Luar Negeri - Suku Cadang Industri - 6232</t>
  </si>
  <si>
    <t>Ekspor Bahan Baku Bijih Logam selain Timah - 6118</t>
  </si>
  <si>
    <t>Distribusi Besi Beton - 6414</t>
  </si>
  <si>
    <t>Impor Bukan dlm.rangka Bantuan Luar Negeri - Besi Beton - 6222</t>
  </si>
  <si>
    <t>Industri Logam Dasar - Lainnya - 3890</t>
  </si>
  <si>
    <t>Industri Pengolahan Hasil Tambang Bukan Logam, selain Hasil Minyak Bumi &amp; Batu Bara - Keramik - 3730</t>
  </si>
  <si>
    <t>Industri - Minyak Tumbuhan Lainnya - 3149</t>
  </si>
  <si>
    <t>Industri - Makanan Lainnya - 3190</t>
  </si>
  <si>
    <t>Penggilingan Padi (huller) - 3130</t>
  </si>
  <si>
    <t>Industri - Gula - 3120</t>
  </si>
  <si>
    <t>Industri - Minuman - 3160</t>
  </si>
  <si>
    <t>Ekspor Barang Setengah Jadi Hewan yg Sudah Diolah - 6140</t>
  </si>
  <si>
    <t>Ekspor Barang Setengah Jadi Bahan Makanan Lainnya - 6141</t>
  </si>
  <si>
    <t>Restoran - 6610</t>
  </si>
  <si>
    <t>Kehutanan dan Pemotongan Kayu (logging) - 1180</t>
  </si>
  <si>
    <t>Sarana Kehutanan - 1380</t>
  </si>
  <si>
    <t>Pembelian &amp; Pengumpulan Brg. Dagangan Dlm.Neg. : Kayu - 6315</t>
  </si>
  <si>
    <t>Ekspor Bahan Baku Kayu - 6112</t>
  </si>
  <si>
    <t>Ekspor Bahan Baku Rotan - 6113</t>
  </si>
  <si>
    <t>Ekspor Bahan Baku Hutan selain kayu dan rotan - 6114</t>
  </si>
  <si>
    <t>Jasa-jasa sosial/masyarakat - Kesehatan - Tempat Perawatan/Pengobatan - 9220</t>
  </si>
  <si>
    <t>Hotel - 6620</t>
  </si>
  <si>
    <t>Industri - Kulit - 3330</t>
  </si>
  <si>
    <t>Industri - Tekstil - 3310</t>
  </si>
  <si>
    <t>Ekspor Barang Jadi Sandang Selain Tekstil - 6170</t>
  </si>
  <si>
    <t>Pertambangan Minyak dan Gas Bumi - 2100</t>
  </si>
  <si>
    <t>Ekspor Barang Jadi Kayu Lapis &amp; Sejenisnya - 6161</t>
  </si>
  <si>
    <t>Ekspor Barang Setengah Jadi lainnya - 6159</t>
  </si>
  <si>
    <t>Lain-lain - Alat Rumah Tangga - 9970</t>
  </si>
  <si>
    <t>Perkebunan Kelapa Sawit - 1145</t>
  </si>
  <si>
    <t>Perkebunan Kopi - 1143</t>
  </si>
  <si>
    <t>Perkebunan Teh - 1147</t>
  </si>
  <si>
    <t>Perkebunan Kakao/ Coklat - 1153</t>
  </si>
  <si>
    <t>Perkebunan Lada - 1146</t>
  </si>
  <si>
    <t>Perkebunan Panili - 1151</t>
  </si>
  <si>
    <t>Perkebunan Pala - 1152</t>
  </si>
  <si>
    <t>Perkebunan Karet - 1141</t>
  </si>
  <si>
    <t>Perkebunan Tembakau - 1144</t>
  </si>
  <si>
    <t>Perkebunan Cengkeh - 1150</t>
  </si>
  <si>
    <t>Industri - Plastik - 3630</t>
  </si>
  <si>
    <t>Industri - Bahan Kertas (Pulp) - 3530</t>
  </si>
  <si>
    <t>Distribusi Kertas Koran - 6415</t>
  </si>
  <si>
    <t>Jasa-jasa sosial/masyarakat - Hiburan dan Kebudayaan - 9100</t>
  </si>
  <si>
    <t>Industri - Kertas dan Hasil-hasil Kertas - 3510</t>
  </si>
  <si>
    <t>Jasa-jasa Dunia Usaha - Perumahan Sederhana PERUMNAS - 8111</t>
  </si>
  <si>
    <t>Jasa-jasa Dunia Usaha - Perumahan Sederhana selain PERUMNAS - 8119</t>
  </si>
  <si>
    <t>Lain-lain - Perumahan - 9950</t>
  </si>
  <si>
    <t>Komunikasi - 7400</t>
  </si>
  <si>
    <t>Pengangkutan Umum Darat - 7110</t>
  </si>
  <si>
    <t>Pengangkutan Umum Udara - 7140</t>
  </si>
  <si>
    <t>Pengangkutan Umum Laut - 7130</t>
  </si>
  <si>
    <t>Pengangkutan Umum Sungai - 7120</t>
  </si>
  <si>
    <t>Industri - Kayu Lainnya - 3490</t>
  </si>
  <si>
    <t>Ekspor Barang Setengah Jadi Kayu Gergajian - 6131</t>
  </si>
  <si>
    <t>Debtor</t>
  </si>
  <si>
    <t>Line Of Business</t>
  </si>
  <si>
    <t>Region / Area</t>
  </si>
  <si>
    <t>QCA / Grade</t>
  </si>
  <si>
    <t>Date Prepared</t>
  </si>
  <si>
    <t>Facility</t>
  </si>
  <si>
    <t>Exist</t>
  </si>
  <si>
    <t>Notes</t>
  </si>
  <si>
    <t>Tujuan:</t>
  </si>
  <si>
    <t>Membutuhkan persetujuan ke SME Business Head dikarenakan :</t>
  </si>
  <si>
    <t>Alasan</t>
  </si>
  <si>
    <t>Mitigasi / Positive Points</t>
  </si>
  <si>
    <t>Description</t>
  </si>
  <si>
    <t>Omzet / Sales in Bio IDR</t>
  </si>
  <si>
    <t>Net Operation Profit</t>
  </si>
  <si>
    <t>Receivable</t>
  </si>
  <si>
    <t>Inventory</t>
  </si>
  <si>
    <t>Account Payable</t>
  </si>
  <si>
    <t>WI</t>
  </si>
  <si>
    <t>% Pembiayaan WI</t>
  </si>
  <si>
    <t>Debitur mempunyai fasilitas kredit sbb :</t>
  </si>
  <si>
    <t>Bank</t>
  </si>
  <si>
    <t>Jenis</t>
  </si>
  <si>
    <t>Memo Review</t>
  </si>
  <si>
    <t>REVIEW MEMO</t>
  </si>
  <si>
    <t>Manufacture</t>
  </si>
  <si>
    <t>Pembuatan Tepung Tapioka</t>
  </si>
  <si>
    <t>Pembuatan Tepung Tapioka &amp; berbagai bahan dasar lainnya seperti kacang, sekoteng,tauco untuk keperluan industri makanan</t>
  </si>
  <si>
    <t>Service</t>
  </si>
  <si>
    <t>Kontraktor</t>
  </si>
  <si>
    <t>Kontraktor Bangunan &amp; Mekanikal Elektrikal</t>
  </si>
  <si>
    <t>Trading</t>
  </si>
  <si>
    <t>Perdagangan alat alat Laboratorium</t>
  </si>
  <si>
    <t>Perdagangan Peralatan Laboratorium, Elektrikal dan Mekanikal, Peralatan Kesahatan</t>
  </si>
  <si>
    <t>Alat Tulis Kantor</t>
  </si>
  <si>
    <t>Calon debitur memiliki 2 toko yang menjual ATK kepada end user/retail dengan konsep swalayan</t>
  </si>
  <si>
    <t>trading alat berat</t>
  </si>
  <si>
    <t>Alat berat yang dimaksud adalah untuk pembangunan konstruksi seperti concrete pump truck dan truck mixer. merk yang dijual yaitu mitsubishi, komatsu, isuzu, kobelco, hino, nissan, dsb.</t>
  </si>
  <si>
    <t>trading</t>
  </si>
  <si>
    <t>trading pakaian dan perlengkapan bayi dengan nama Toko Sejati</t>
  </si>
  <si>
    <t>Trading Tinta mesin cetak</t>
  </si>
  <si>
    <t>Usaha perdagangan di bidang Tinta Cetak</t>
  </si>
  <si>
    <t>Minuman Serbuk dalam kemasan</t>
  </si>
  <si>
    <t>PT. Luhani Handayani memproduksi minuman serbuk dalam kemasan sachet; khususnya minuman serbuk berkarbonasi</t>
  </si>
  <si>
    <t>Tour and Travel</t>
  </si>
  <si>
    <t>Jasa Tour, Ticekting, Travel dan Cargo</t>
  </si>
  <si>
    <t>Distributor Audio dan variasi mobil</t>
  </si>
  <si>
    <t>Trading audio dan accesoris mobil</t>
  </si>
  <si>
    <t>Industri</t>
  </si>
  <si>
    <t>industri mainan anak-anak dari plastik</t>
  </si>
  <si>
    <t>Rental Angkutan</t>
  </si>
  <si>
    <t>Persewaan Transportasi Angkutan Darat (Truck)</t>
  </si>
  <si>
    <t>Industri Kardus dan Boks</t>
  </si>
  <si>
    <t>Suplier</t>
  </si>
  <si>
    <t>Suplier mainan anak-anak</t>
  </si>
  <si>
    <t>Terpal</t>
  </si>
  <si>
    <t>Distributor Terpal</t>
  </si>
  <si>
    <t>Trading Komoditas</t>
  </si>
  <si>
    <t>Trading Beras dan Palawija</t>
  </si>
  <si>
    <t>Perdagangan Kaca</t>
  </si>
  <si>
    <t>Trading Bahan Kimia</t>
  </si>
  <si>
    <t>Trading Bahan Kimia Essence</t>
  </si>
  <si>
    <t>Trading Mobil Niaga</t>
  </si>
  <si>
    <t>Trading Mobil Niaga dan Truck</t>
  </si>
  <si>
    <t>Perdagangan Mesin</t>
  </si>
  <si>
    <t>Perdagangan Mesin dan Spare Part Mesin</t>
  </si>
  <si>
    <t>Trading Bahan Bangunan</t>
  </si>
  <si>
    <t>Trading Bahan Bangunan (Pintu PVC, Asbes, Sanitary)</t>
  </si>
  <si>
    <t>Distributor</t>
  </si>
  <si>
    <t>Distributor Alat-Alat Listrik dan Rumah Tangga</t>
  </si>
  <si>
    <t>Ban Kendaraan Roda 4/ lebih</t>
  </si>
  <si>
    <t>Melayani dan menjual ban vulkanisir, serta menjual ban baru merek "Maxis"</t>
  </si>
  <si>
    <t>Tradng Batubara</t>
  </si>
  <si>
    <t>Trading Batubara</t>
  </si>
  <si>
    <t>Distributor Asbes</t>
  </si>
  <si>
    <t>Distributor Oli</t>
  </si>
  <si>
    <t>Distributor Oli Pelumas Mobil dan Motor</t>
  </si>
  <si>
    <t>Perdagangan Kertas &amp; Beras</t>
  </si>
  <si>
    <t>Perdagangan Beras dan Kaca</t>
  </si>
  <si>
    <t>Trading Oli dan Bengkel Oli</t>
  </si>
  <si>
    <t>Perdagangan Sepeda</t>
  </si>
  <si>
    <t>Calon Debitur merupakan distributor sepeda</t>
  </si>
  <si>
    <t>Desaign Interior</t>
  </si>
  <si>
    <t>Pembuatan mebel dan desaign interior untuk rumah tinggal, kantor, rumah makan, hotel dll.</t>
  </si>
  <si>
    <t>Perdagangan ATK</t>
  </si>
  <si>
    <t>Perdagangan alat tulis kantor dan buku</t>
  </si>
  <si>
    <t>Trading kertas dan undangan</t>
  </si>
  <si>
    <t>Usaha bergerak di trading kertas dan undangan</t>
  </si>
  <si>
    <t>Digital Printing</t>
  </si>
  <si>
    <t>CV Mangrove International adalah Perusahaan yang bergerak di bidang Digital Printing dan Offset serta Produsen &amp; Trading Merchandise dan Kaos. Digital Printing meliputi kegiatan Jasa percetakan yang dikategorikan maks 1 rim ke bawah. Dan Offset adalah Jas</t>
  </si>
  <si>
    <t>Perdagangan Logam Bekas</t>
  </si>
  <si>
    <t>CV Logam Kalasan yg bergerak dibidang Perdagangan Logam Bekas (Jual Beli Logam Bekas) sekaligus produksi Batangan Logam Aluminium (Ingot) dan Batangan Logam Kuningan (Kepala Kompor)</t>
  </si>
  <si>
    <t>Marmer dan Granit</t>
  </si>
  <si>
    <t>Perdagangan Marmer, Granit dan Batu Alam</t>
  </si>
  <si>
    <t>Percetakan digital printing</t>
  </si>
  <si>
    <t>Industri Percetakan digital printing dan trading bahan-bahan percetakan</t>
  </si>
  <si>
    <t>Garment</t>
  </si>
  <si>
    <t>Industri Garment pakaian anak dan celana dalam</t>
  </si>
  <si>
    <t>Trading Kain</t>
  </si>
  <si>
    <t>Trading kain tekstil rajut (kaos) dan tenun</t>
  </si>
  <si>
    <t>Trading Computer dan Asesoris</t>
  </si>
  <si>
    <t>Cadeb. Heru Wibawa memiliki usaha sejak tahun 2003 dengan nama Pitstop Computer (menjadi CV pada 2011) yang bergerak dibidang Trading Computer &amp; Asesoris. Dalam hal ini spesifikasi produknya antara lain, Notebook/Laptop (porsi penjualan berkisar 50%), Sma</t>
  </si>
  <si>
    <t>Trading Seluller &amp; Asesoris dan Furniture</t>
  </si>
  <si>
    <t>Cadeb Martin Budihartana memiliki usaha yang bergerak dibidang Trading seluller, Modem dan perlengkapannya. Antara lain produknya sbb Handphone, Modem, Tablet, Staterpack, Voucher, Pulsa, dan Device produk Smartfren dimana Cadeb adalah selaku Distributor</t>
  </si>
  <si>
    <t>perdagangan barang bekas</t>
  </si>
  <si>
    <t>Perdagangan tulang sapi, dan bulu ayam untuk bahan pakan ternak dan kertas ( kardus dan HVS )</t>
  </si>
  <si>
    <t>Trading HP dan Sembako</t>
  </si>
  <si>
    <t>Calon debitur bergerak di bidang usaha trading handphone sjk Th 2000 dan trading sembako yg merupakan usaha keluarga sjk Th. 1989</t>
  </si>
  <si>
    <t>Perdagangan Alat-alat Kesehatan</t>
  </si>
  <si>
    <t>Perdagangan Alat-alat Laboratorium, Farmasi dan Kesehatan</t>
  </si>
  <si>
    <t>Produksi Selang dan plastik</t>
  </si>
  <si>
    <t>Debitur adalah pengusuha yang bergerak di bidang produksi selang untuk pertanian dan plastik (tas kresek)</t>
  </si>
  <si>
    <t>Otomotif</t>
  </si>
  <si>
    <t>Dealer Yamaha "Cahya Motor" (97%), bengkel dan apparel (3%)</t>
  </si>
  <si>
    <t>Dealer Honda "Marco Motor"</t>
  </si>
  <si>
    <t>Penjualan Mainan Grosir/retail</t>
  </si>
  <si>
    <t>Trading alat rumah tangga</t>
  </si>
  <si>
    <t>trading alat rumah tangga grosir dan eceran</t>
  </si>
  <si>
    <t>Distributor dan trading minuman Cheers</t>
  </si>
  <si>
    <t>Debitur adalah pengusuha yang bergerak di bidang trading dan distributor minuman Cheers</t>
  </si>
  <si>
    <t>Supplier ATK dan RT</t>
  </si>
  <si>
    <t>Suplier perlengkapan kantor dan rumah tangga di berbagai instansi</t>
  </si>
  <si>
    <t>ekspedisi</t>
  </si>
  <si>
    <t>Jasa ekspedisi baik port to port maupun door to door dan juga melayani eksportir umum.</t>
  </si>
  <si>
    <t>Trading Perhiasan Emas &amp; Perak</t>
  </si>
  <si>
    <t>Usaha Ymk adalah trading perhiasan emas &amp; Perak seperti Kalung, cincin dll. Selain ymk juga membuat perhiasan.</t>
  </si>
  <si>
    <t>Pembuatan Conveyor</t>
  </si>
  <si>
    <t>pembuatan conveyor, meliputi design&amp;build, elektrikal, mekanik, serta sistemnya</t>
  </si>
  <si>
    <t>Pembuatan Alat suku cadang</t>
  </si>
  <si>
    <t>Pembuatan Mesin, Spare parts dan Alat-alat Teknik Industri</t>
  </si>
  <si>
    <t>Perdagangan bahan kimia</t>
  </si>
  <si>
    <t>usaha bergerak di bidang pengadaan bahan kimia dan water treatment</t>
  </si>
  <si>
    <t>Pelayaran/Transportasi Laut</t>
  </si>
  <si>
    <t>PELAYARAN PERINTIS / ANGKUTAN LAUT PERINTIS KERJASAMA DENGAN PIHAK DEPARTEMEN PERHUBUNGAN</t>
  </si>
  <si>
    <t>Transporter ( Jasa Pengiriman )</t>
  </si>
  <si>
    <t>Jasa Pengiriman barang dan angkutan</t>
  </si>
  <si>
    <t>Trading Sparepart</t>
  </si>
  <si>
    <t>Trad. Sparepart mesin pabrik pengolahan kayu dan rekanan cadeb rata-2 produksinya untuk skala eksport</t>
  </si>
  <si>
    <t>Trading Pompa Air</t>
  </si>
  <si>
    <t>Usaha Ymk ini bergerak di Bidang Trading Pompa baik Pompa Industri maupun Pompa Rumah Tangga</t>
  </si>
  <si>
    <t>Penjualan ATK &amp; Kertas Potong</t>
  </si>
  <si>
    <t>Semi grosir penjualan ATK dan penjualan kertas potong</t>
  </si>
  <si>
    <t>KONTRAKTOR</t>
  </si>
  <si>
    <t>Jasa Pembangunan Kantor dan Gedung Gudang</t>
  </si>
  <si>
    <t>Distribusi Cons Goods</t>
  </si>
  <si>
    <t>Distributor produk dari PT Sinar Sosro</t>
  </si>
  <si>
    <t>Trading Emas</t>
  </si>
  <si>
    <t>Toko Emas</t>
  </si>
  <si>
    <t>Kontarktor Jalan Raya dan Pembuatan Jembatan, Trading Aspal dan Persewaan Alat Berat</t>
  </si>
  <si>
    <t>Industri panel Listrik</t>
  </si>
  <si>
    <t>Pembuatan Panel Listrik untuk keperluan pabrik/industri/gudang dan pembuatan berdasarkan order yang diperoleh</t>
  </si>
  <si>
    <t>Trading Sparepart Kapal</t>
  </si>
  <si>
    <t>Trading Sparepart Kapal seperti Nozzle,bearing,ring tembaga dll</t>
  </si>
  <si>
    <t>Distributor consumer goods</t>
  </si>
  <si>
    <t>Distributor consumer goods non mamin</t>
  </si>
  <si>
    <t>Trading Plastik, Tisu, karet</t>
  </si>
  <si>
    <t>cadeb menjual plastik untuk bungkus makanan, sendok plastik, sedotan, tisu, karet, lilin, dan lainnya.</t>
  </si>
  <si>
    <t>Trading Mainan Anak-anak</t>
  </si>
  <si>
    <t>Trading mainan anak-anak seperti Robot2an, Mobil2an, Catur, Boneka2, Bola, Kartu dll</t>
  </si>
  <si>
    <t>Manufacture mainan</t>
  </si>
  <si>
    <t>industri wahana permainan anak2 (kereta kelinci, odong2, komedi putar, coin operated toy)</t>
  </si>
  <si>
    <t>Trading Solar Energy / peralatan PLTS</t>
  </si>
  <si>
    <t>ybs menjual Solar Energy/peralatan PLTS dimana alat tersebut digunakan sebagai pengganti listrik dengan daya yang didapat dari sinar matahari</t>
  </si>
  <si>
    <t>Trading Besi</t>
  </si>
  <si>
    <t>Usaha Ymk bergerak di Bidang Trading aneka besi seperti besi beton, besi siku dll</t>
  </si>
  <si>
    <t>Trading Elektronik</t>
  </si>
  <si>
    <t>Trading Kipas Angin, Blower</t>
  </si>
  <si>
    <t>Industri Sovenir &amp; Aksesoris</t>
  </si>
  <si>
    <t>Industri Sovenir , Aksesoris dan keramik, Perak, DLL</t>
  </si>
  <si>
    <t>Trading Sepatu dan Sandal</t>
  </si>
  <si>
    <t>trading sepatu sandal impor (20%)+ trading sepatu sandal rakitan (70%) + produksi sepatu sandal (10%)</t>
  </si>
  <si>
    <t>Trading Perhiasan Emas</t>
  </si>
  <si>
    <t>Trading perhiasan emas seperti Cincin, Kalung, Gelang dll</t>
  </si>
  <si>
    <t>Trading minyak kelapa sawit</t>
  </si>
  <si>
    <t>usaha cadeb adalah trading kopra, minyak kelapa, olein, dan bungkil kelapa.</t>
  </si>
  <si>
    <t>Produksi botol plastik</t>
  </si>
  <si>
    <t>Manufacture Sandal</t>
  </si>
  <si>
    <t>Manufacture beberapa jenis sandal japit</t>
  </si>
  <si>
    <t>wholesales dan retail trading</t>
  </si>
  <si>
    <t>trading mur dan baut dengan skala grosir. Perbandingan grosir: eceran adalah 85: 15. Cadeb sangat mementingkan kelengkapan&amp; kualitas barang</t>
  </si>
  <si>
    <t>Pavling Block</t>
  </si>
  <si>
    <t>Menjual aneka pavling blok, pasir, batu kerikil guli.</t>
  </si>
  <si>
    <t>Workshop alat berat dan trading</t>
  </si>
  <si>
    <t>Usaha yang dijalankan oleh cadeb bergerak dibidang workshop alat berat dan trading alat-alat berat</t>
  </si>
  <si>
    <t>Perdagangan Cat dan Material</t>
  </si>
  <si>
    <t>Peternakan Ayam Petelur Ras</t>
  </si>
  <si>
    <t>CV. PTB Poultry Farm adlh peternakan ayam petelur ras.</t>
  </si>
  <si>
    <t>Trading Alat Teknik</t>
  </si>
  <si>
    <t>Recoll Sellery, Selang Vibrator, Police Line, Travolas, Meteran, dll</t>
  </si>
  <si>
    <t>General Supplier &amp; Spare Parts peralatan teknik PKS</t>
  </si>
  <si>
    <t>Produksi</t>
  </si>
  <si>
    <t>Cat</t>
  </si>
  <si>
    <t>Kontruksi</t>
  </si>
  <si>
    <t>Kontraktor perumahan (Civil Engineering).</t>
  </si>
  <si>
    <t>Kontraktor PT.Perkebunan Nusantara III</t>
  </si>
  <si>
    <t>Keramik &amp; Sanitary</t>
  </si>
  <si>
    <t>Trading bahan-bahan pokok</t>
  </si>
  <si>
    <t>Penjualan atau grosir kebutuhan bahan-bahan pokok dan bahan-bahan pembuat kue</t>
  </si>
  <si>
    <t>Trading Sembako</t>
  </si>
  <si>
    <t>Minuman kemasan, tepung, garam, tas asoi, kacang, bihun, dll</t>
  </si>
  <si>
    <t>Trading Komputer</t>
  </si>
  <si>
    <t>PAKAN TERNAK</t>
  </si>
  <si>
    <t>Usaha cadeb bergerak dibidang penjualan pakan ternak khususnya untuk ayam (poultry shop) yang bernama UD Surya Unggas.</t>
  </si>
  <si>
    <t>Bahan Bangunan</t>
  </si>
  <si>
    <t>Perdagangan Semen, Pasir, Kerikil, batu, Cat, Besi, Kosen, Kayu,keramik, engsel dan alat pertukangan lainnya</t>
  </si>
  <si>
    <t>Trading Oli</t>
  </si>
  <si>
    <t>Perdagangan oli, dan kebanyakan oli yang dijual adalah Oli Agip produksi Itali.</t>
  </si>
  <si>
    <t>JASA PENGANGKUTAN</t>
  </si>
  <si>
    <t>JASA PENGANGKUTAN/ESKPEDISI</t>
  </si>
  <si>
    <t>Trading fiberglass, water treatment, water tank dan alat-alat tehnik</t>
  </si>
  <si>
    <t>Penjualan alat-alat dan mesin depot air terdiri dari tanki, fiberglass, galon air, filter air dan sebagainya</t>
  </si>
  <si>
    <t>Penjualan segala jenis cat</t>
  </si>
  <si>
    <t>Percetakan dan perdagangan</t>
  </si>
  <si>
    <t>Percetakan dan perdagangan Sparepart Mesin cetak</t>
  </si>
  <si>
    <t>Mesin Jahit</t>
  </si>
  <si>
    <t>Penjualan Mesin Jahit</t>
  </si>
  <si>
    <t>Inject Plastik</t>
  </si>
  <si>
    <t>Manufacture inject plastik</t>
  </si>
  <si>
    <t>Jasa Pengangkutan dan Perdagangan Karet</t>
  </si>
  <si>
    <t>Jasa Pengakutan Barang dan perdagangan Karet</t>
  </si>
  <si>
    <t>Perdagangan pestisida untuk tanaman dan bibit tanaman (merk Crash, Fujiwan,Duacis,Zenaca dll )</t>
  </si>
  <si>
    <t>Perdagangan Electronic</t>
  </si>
  <si>
    <t>Perdagangan Barang Elektronik</t>
  </si>
  <si>
    <t>SPBU</t>
  </si>
  <si>
    <t>Penjualan BBM ( Bensin, Solar dan Premium ) --&gt; SPBU</t>
  </si>
  <si>
    <t>Perdagangan Textile</t>
  </si>
  <si>
    <t>Perdagangan Sarung , Sprei , Karpet , Selimut</t>
  </si>
  <si>
    <t>Penjualan Aluminium Composite Panel (ACP)</t>
  </si>
  <si>
    <t>Trading Aksesoris HP</t>
  </si>
  <si>
    <t>Jual Beli Aksesoris HP dan Laptop</t>
  </si>
  <si>
    <t>Trading Kayu</t>
  </si>
  <si>
    <t>Penjualan Kayu Veneer dan Kayu Parket.</t>
  </si>
  <si>
    <t>Trading Cat, keramik, closet, pipa, dan bahan bangunan lainnya.</t>
  </si>
  <si>
    <t>Trading sepatu dan sandal</t>
  </si>
  <si>
    <t>Trading sepatu dan sandal wanita dan pria</t>
  </si>
  <si>
    <t>Trading Bahan Konstruksi</t>
  </si>
  <si>
    <t>Penjualan gypsum merk Jayaboard dan bahan pendukung lainnya.</t>
  </si>
  <si>
    <t>Trading Kain/Tekstil</t>
  </si>
  <si>
    <t>Penjualan kain bahan untuk industri garmen (tekstil)</t>
  </si>
  <si>
    <t>Perdagangan Bahan Konstruksi</t>
  </si>
  <si>
    <t>Perdagangan eceran bahan-bahan konstruksi (Toko Bahan Bangunan)</t>
  </si>
  <si>
    <t>Suku cadang &amp; Aksesoris Mobil</t>
  </si>
  <si>
    <t>Penjualan Suku Cadang &amp; Aksesoris Mobil</t>
  </si>
  <si>
    <t>Barang Bekas</t>
  </si>
  <si>
    <t>Trading besi, logam, dan oli bekas</t>
  </si>
  <si>
    <t>Trading TBS</t>
  </si>
  <si>
    <t>Perdagangan TBS dari pengumpul dan petani sawit untuk dijual ke Pabrik Kelapa Sawit</t>
  </si>
  <si>
    <t>Trading Pupuk Pestisida</t>
  </si>
  <si>
    <t>Trading pestisida,insektisida, fungisida dan herbisida</t>
  </si>
  <si>
    <t>Trading bahan bangunan</t>
  </si>
  <si>
    <t>Semen, batu, pasir, pipa, cat, triplek, kayu dan bahan bangunan lainnya</t>
  </si>
  <si>
    <t>Pupuk dan Pestisida, TBS</t>
  </si>
  <si>
    <t>Jasa Bengkel</t>
  </si>
  <si>
    <t>Bengkel Mesin &amp; Body Repair (Mobil)</t>
  </si>
  <si>
    <t>Showroom Mobil</t>
  </si>
  <si>
    <t>Showroom Mobil Besar/Truck</t>
  </si>
  <si>
    <t>Perdagangan Barang Bekas</t>
  </si>
  <si>
    <t>Usaha yang dijalankan oleh cadeb adalah perdagangan barang bekas berupa logam dan lainnya</t>
  </si>
  <si>
    <t>Peternakan Ayam petelur dan pakan ternak</t>
  </si>
  <si>
    <t>Usaha bergerak dibidang peternakan ayam petelur dan pakan ternak, usaha sudah berjalan lebih dari 20 tahun yang dikelola oleh Cadeb sendiri.</t>
  </si>
  <si>
    <t>Trading Alat-Alat &amp; Sparepart</t>
  </si>
  <si>
    <t>Trading Alat-Alat/ Sparepart Mesin untuk Tukang Bangunan</t>
  </si>
  <si>
    <t>Trading Segala Jenis Pipa PVC</t>
  </si>
  <si>
    <t>Cafe &amp; Trading</t>
  </si>
  <si>
    <t>Cafe &amp; Penjualan Boneka Teddy Bear</t>
  </si>
  <si>
    <t>Penjualan Ban Mobil Dump Truck</t>
  </si>
  <si>
    <t>Trading Ban Mobil Dump Truck/Bus besar</t>
  </si>
  <si>
    <t>Trading besi baru &amp; bekas</t>
  </si>
  <si>
    <t>Jual beli segala jenis pipa, besi, plat bekas/baru, menerima tempahan serta pemotongan besi &amp; pembangunan konstruksi besi/gudang.</t>
  </si>
  <si>
    <t>PERDAGANGAN</t>
  </si>
  <si>
    <t>PERDAGANGAN DAN DISTRIBUSI CONSUMER GOODS</t>
  </si>
  <si>
    <t>TRADING</t>
  </si>
  <si>
    <t>PERDAGANGAN DAN DISTRIBUSI HP DAN AKSESORISNYA</t>
  </si>
  <si>
    <t>Perdagangan palawija, khususnya jagung dan beras</t>
  </si>
  <si>
    <t>PERDAGANGAN LAMPU DAN PERALATAN LISTRIK LAINNYA</t>
  </si>
  <si>
    <t>Jasa Angkutan Barang ( Truk )</t>
  </si>
  <si>
    <t>Jasa Angkutan Darat - Angkutan Barang dengan Truk</t>
  </si>
  <si>
    <t>Toko Besi Setia Logam</t>
  </si>
  <si>
    <t>Perdagangan Barang</t>
  </si>
  <si>
    <t>Distributor alat-alat listrik</t>
  </si>
  <si>
    <t>Perdagangan Komputer</t>
  </si>
  <si>
    <t>Perdagangan dan Distribusi Komputer serta Accesoris Komputer.</t>
  </si>
  <si>
    <t>Perdagangan</t>
  </si>
  <si>
    <t>Distributor Semen Tiga Roda</t>
  </si>
  <si>
    <t>Ekspedisi</t>
  </si>
  <si>
    <t>Pengangkutan barang di pelabuhan.</t>
  </si>
  <si>
    <t>Industri Bahan Makanan</t>
  </si>
  <si>
    <t>Perdagangan Barang eceran industri bahan makanan roti,mie, dan saos lombok.</t>
  </si>
  <si>
    <t>Komputer, Aksesoris, dan Aervice</t>
  </si>
  <si>
    <t>Pembangunan dan Renovasi Rumah baik yang memiliki surat perjanjian maupun tidak</t>
  </si>
  <si>
    <t>Sparepart</t>
  </si>
  <si>
    <t>Penjualan sparepart Motor</t>
  </si>
  <si>
    <t>Perdagangan barang</t>
  </si>
  <si>
    <t>Pakaian jadi</t>
  </si>
  <si>
    <t>Perdagangan Barang Campuran</t>
  </si>
  <si>
    <t>Perdagangan Perhiasan dan Aksesoris</t>
  </si>
  <si>
    <t>Distributor Pupuk</t>
  </si>
  <si>
    <t>Distributor Pupuk Kaltim untuk daerah kab. Soppeng</t>
  </si>
  <si>
    <t>Elektronik</t>
  </si>
  <si>
    <t>Perdagangan kamera, lensa, aksesories lainnya</t>
  </si>
  <si>
    <t>Toko Bahan Bangunan</t>
  </si>
  <si>
    <t>Penyalur dan distributor gas elpiji dan barang-barang keperluan rumah tangga yang memakai bahan bahan gas.</t>
  </si>
  <si>
    <t>Usaha Penjualan Bahan Bangunan</t>
  </si>
  <si>
    <t>Perdagangan Bahan Bangunan berupa Besi, Tripleks, Cat dan Bahan konstruksi Lainnya.</t>
  </si>
  <si>
    <t>Semen, besi beton, seng, keramik, pipa, dll.</t>
  </si>
  <si>
    <t>Pabrik Mie</t>
  </si>
  <si>
    <t>Jasa Konstruksi</t>
  </si>
  <si>
    <t>Ybs mendesign dan membangun rumah tinggal, tempat kost, hotel/wisma, ruko by order</t>
  </si>
  <si>
    <t>Perdagangan barang campuran berupa minuman ringan, Aqua, snack dan lain-lain</t>
  </si>
  <si>
    <t>Perdagangan Mesin-mesin Pertanian</t>
  </si>
  <si>
    <t>Perdagangan Bahan Bangunan</t>
  </si>
  <si>
    <t>Komputer, aksesoris, spere part dan service komputer</t>
  </si>
  <si>
    <t>Perdagangan Mobil Baru dan Bekas</t>
  </si>
  <si>
    <t>Handphone dan Ascessorisnya</t>
  </si>
  <si>
    <t>suku cadang sepeda motor dan aksesoris</t>
  </si>
  <si>
    <t>Kontraktor jasa pelaksana konstruksi ( aspal dan beton)</t>
  </si>
  <si>
    <t>Beras</t>
  </si>
  <si>
    <t>Pembangunan Rumah yang telah memiliki surat perjanjian</t>
  </si>
  <si>
    <t>Perdagangan bahan bangunan</t>
  </si>
  <si>
    <t>Perdagangan semen, besi beton, cat, seng, alat-alat listrik, tegel, dll</t>
  </si>
  <si>
    <t>Perdagangan Sendal dan Sepatu</t>
  </si>
  <si>
    <t>UD Harco</t>
  </si>
  <si>
    <t>Perdagangan Eceran dan grosir hasil peternakan (ayam) dan telur</t>
  </si>
  <si>
    <t>Perdagangan Bahan Bangunan dan Perkakas</t>
  </si>
  <si>
    <t>Toko Aneka Plakban</t>
  </si>
  <si>
    <t>Alat Tulis Kantor (ATK) &amp; Fotocopy</t>
  </si>
  <si>
    <t>Toko Vimin Elektronik</t>
  </si>
  <si>
    <t>Barang Elektronik</t>
  </si>
  <si>
    <t>Sendal dan Sepatu</t>
  </si>
  <si>
    <t>Handphone dan Assesories</t>
  </si>
  <si>
    <t>Perdagangan Barang Eceran dan partai</t>
  </si>
  <si>
    <t>Peradgangan Niro Granite</t>
  </si>
  <si>
    <t>Distributor Niro Granite</t>
  </si>
  <si>
    <t>Perdagangan Barang Elektronik Rumah Tangga</t>
  </si>
  <si>
    <t>Beton Campur</t>
  </si>
  <si>
    <t>Pabrik beton campur</t>
  </si>
  <si>
    <t>Pabrik</t>
  </si>
  <si>
    <t>Pabrik pecah batu</t>
  </si>
  <si>
    <t>Perdagangan Karung</t>
  </si>
  <si>
    <t>Perdagangan obat-obatan</t>
  </si>
  <si>
    <t>Perdagangan obat dalam skala menengah</t>
  </si>
  <si>
    <t>Industri dan Perdagangan</t>
  </si>
  <si>
    <t>Industri dan Perdagangan Furniture Rumah Tangga</t>
  </si>
  <si>
    <t>Perdagangan bahan bangunan dalam skala menengah</t>
  </si>
  <si>
    <t>Perdagangan alat-alat pertukangan</t>
  </si>
  <si>
    <t>Penjualan Pakaian</t>
  </si>
  <si>
    <t>Penjualan pakaian olahraga &amp; pakaian jadiseperti baju tidurdan baju bayi</t>
  </si>
  <si>
    <t>Perdagangan Aki dan Spare part</t>
  </si>
  <si>
    <t>Jasa Pengurusan Transportasi</t>
  </si>
  <si>
    <t>Ekspedisi darat Rute Makassar, Kendari, dan sebaliknya</t>
  </si>
  <si>
    <t>Perdagangan alat pertukangan</t>
  </si>
  <si>
    <t>kunci, tang, palu, obeng, dll</t>
  </si>
  <si>
    <t>Distributor Semen</t>
  </si>
  <si>
    <t>Distributor Semen Bosowa</t>
  </si>
  <si>
    <t>Perdagangan alat pertanian</t>
  </si>
  <si>
    <t>Perdagangan mesin dan alat pertanian</t>
  </si>
  <si>
    <t>Eceran dan Grosir</t>
  </si>
  <si>
    <t>Perdagangan Gorden</t>
  </si>
  <si>
    <t>Alat-alat pertukangan</t>
  </si>
  <si>
    <t>Alat Alat Tehnikal Pertukangan</t>
  </si>
  <si>
    <t>Perdagangan Alat-alat Listrik dan Besi</t>
  </si>
  <si>
    <t>Perdagangan dan Distribusi Alat-alat Listrik dan Besi</t>
  </si>
  <si>
    <t>Penjualan Handpone</t>
  </si>
  <si>
    <t>Penjualan handphone semua merk</t>
  </si>
  <si>
    <t>perdagangan Kaos kaki</t>
  </si>
  <si>
    <t>perdagangan kaos kaki dan pakaian dalam wanita dan pria</t>
  </si>
  <si>
    <t>Perdagangan alat listrik</t>
  </si>
  <si>
    <t>Alat-alat Listrik</t>
  </si>
  <si>
    <t>Perdagangan Makanan (Distribusi Kacang)</t>
  </si>
  <si>
    <t>Perdagangan Pipa, Spandex, Fiber dan Cat</t>
  </si>
  <si>
    <t>Perdagangan alat-alat pertukangan dan sanitary</t>
  </si>
  <si>
    <t>Perdagangan Consumer Goods</t>
  </si>
  <si>
    <t>Distributor produk Consumer Goods</t>
  </si>
  <si>
    <t>Komanditer &amp; perdagangan umum</t>
  </si>
  <si>
    <t>kontraktor bangunan, leveransir dan pengadaan barang dan jasa</t>
  </si>
  <si>
    <t>Penjualan Bahan Bangunan</t>
  </si>
  <si>
    <t>Penjualan bahan-bahan bangunan seperti pipa, perkakas bangunan, dan lain-lain</t>
  </si>
  <si>
    <t>Alat Alat Rumah Tangga</t>
  </si>
  <si>
    <t>Perdagangan pakaian</t>
  </si>
  <si>
    <t>Pakaian jadi wanita</t>
  </si>
  <si>
    <t>Perdagangan bahan bangunan yang bukan distributor</t>
  </si>
  <si>
    <t>Penyewaan Alat Berat</t>
  </si>
  <si>
    <t>Penyewaan alat berat</t>
  </si>
  <si>
    <t>Perdagangan skim coat</t>
  </si>
  <si>
    <t>Perdagangan Consumer goods</t>
  </si>
  <si>
    <t>Perdagangan Makanan dan Minuman Ringan</t>
  </si>
  <si>
    <t>Penjualan Barang Electronic</t>
  </si>
  <si>
    <t>Penjualan barang electronic dan spring bed dan perlengkapan kebutuhan rumah tangga lainnya, dan mainan anak2.</t>
  </si>
  <si>
    <t>Perdagangan Barang dan Bahan Bangunan</t>
  </si>
  <si>
    <t>Trading Accessories Dll</t>
  </si>
  <si>
    <t>Trading Mainan Accessories dan Barang Lain Sejenis.</t>
  </si>
  <si>
    <t>Trading Hasil Bumi (PALAWIJA)</t>
  </si>
  <si>
    <t>Trading bahan bangunan konstruksi</t>
  </si>
  <si>
    <t>Perdagangan Bahan Bangunan, Konstruksi (Pagar, Kusen, Jendela Dll), Baja Ringan, Stainless Steel dan Jasa Sumur Bor</t>
  </si>
  <si>
    <t>Meubel dan Furniture</t>
  </si>
  <si>
    <t>Perdagangan sekaligus manufacturing produk produk meubel dan furniture (Sofa, Spring Bed, Meja, Lemari dll Sejenisnya)</t>
  </si>
  <si>
    <t>Distributor Bahan Bangunan</t>
  </si>
  <si>
    <t>Usaha bergerak di bidang distrtibutor bahan bangunan dan ybs memiliki Depo bangunan di beberapa kota di Jatim</t>
  </si>
  <si>
    <t>Perdagangan buku</t>
  </si>
  <si>
    <t>Perdagangan buku sekolah khususnya buku LKS untuk SD, SMP, SMA dan SMK</t>
  </si>
  <si>
    <t>Toko Bangunan</t>
  </si>
  <si>
    <t>Usaha Ybs bergerak dalam bidang toko bangunan, Ybs merupakan agen penyalur semen gresik, holcim, tiga roda dan merah putih</t>
  </si>
  <si>
    <t>Perdagangan Besar</t>
  </si>
  <si>
    <t>Usaha bergerak dalam bidang perdagangan besar palawija, beras, gula merah, hasil peternakan (telur)</t>
  </si>
  <si>
    <t>Perdagangan Onderdil Motor</t>
  </si>
  <si>
    <t>Usaha Ybs bergerak dalam bidang perdagangan onderdil motor</t>
  </si>
  <si>
    <t>Manufacturing Sparepart</t>
  </si>
  <si>
    <t>Mnaufacturing Sparepart otomotif, alat berat, dan elektronik.</t>
  </si>
  <si>
    <t>Safety Footwear &amp; Work Boots</t>
  </si>
  <si>
    <t>Manufactur dan trading safety footwear dan work boots</t>
  </si>
  <si>
    <t>Percetakan, Penerbitan menggunakan Mesin Printing Digital dan Digital Offset</t>
  </si>
  <si>
    <t>Manufacture &amp; Kontraktor Conveyor &amp; SILO</t>
  </si>
  <si>
    <t>PT. Teknik lancar mandiri bergerak dibidang konstruksi, manufaktur dan perakitan Conveyor dan SILO</t>
  </si>
  <si>
    <t>Kontraktor Mekanikal dan Elektrikal</t>
  </si>
  <si>
    <t>Perdagangan Barang dan Jasa</t>
  </si>
  <si>
    <t>Usaha perdagangan sparepart motor</t>
  </si>
  <si>
    <t>Supply chain management partner (Distributor karton box)</t>
  </si>
  <si>
    <t>Injection Plastic dan Molding</t>
  </si>
  <si>
    <t>Injection Plastik dan Molding</t>
  </si>
  <si>
    <t>Distributor Consumer Goods</t>
  </si>
  <si>
    <t>Desain dan produksi spanduk, baner, neon box, papan nama, display produk, branding produk dll.</t>
  </si>
  <si>
    <t>Jasa Kontraktor</t>
  </si>
  <si>
    <t>Jasa kontraktor PetroChina</t>
  </si>
  <si>
    <t>pengelolaan limbah minyak sawit</t>
  </si>
  <si>
    <t>PT. CITRA PRIMA EKASHAKTI bergerak dibidang pengolahan dan trading limbah minyak kelapa sawit</t>
  </si>
  <si>
    <t>Konveksi</t>
  </si>
  <si>
    <t>Bordir + Outlet Rumah Makan</t>
  </si>
  <si>
    <t>Jasa perhotelan</t>
  </si>
  <si>
    <t>Usaha Jasa Perhotelan</t>
  </si>
  <si>
    <t>Perdagangan Motor bekas</t>
  </si>
  <si>
    <t>Penjuala Motor Bekas, bik secara Leasing maupun cash</t>
  </si>
  <si>
    <t>Manfaktur Kotak Impra</t>
  </si>
  <si>
    <t>Pembuatan kotak dengan bahan dasar impra sheet untuk kemasan dalm industri otomotif dan elektronik.</t>
  </si>
  <si>
    <t>Perdagangan Bahan Tehnik dan Bangunan</t>
  </si>
  <si>
    <t>Perdagangan dan service</t>
  </si>
  <si>
    <t>CCTV, Komputer dan Software</t>
  </si>
  <si>
    <t>Perdagangan alat eletronik</t>
  </si>
  <si>
    <t>perdagangan spare parts dan ban</t>
  </si>
  <si>
    <t>Supplier Spare Parts Kendaraan motor roda dua seperti oli,ban dll</t>
  </si>
  <si>
    <t>Trading Ayam</t>
  </si>
  <si>
    <t>Kontraktor Pekerjaan Konstruksi Bangunan</t>
  </si>
  <si>
    <t>Big Trader</t>
  </si>
  <si>
    <t>Perdagangan bahan bangunan dan distributor besi</t>
  </si>
  <si>
    <t>Perdagangan Cat &amp; Besi</t>
  </si>
  <si>
    <t>Perdagangan berbagai jenis cat dan bahan-bahan besi bengkel teralis</t>
  </si>
  <si>
    <t>Trading Ban</t>
  </si>
  <si>
    <t>Trading Vulkanisir ban dan Ban Baru</t>
  </si>
  <si>
    <t>Retail ATK, Alat Lukis dan Digital Printing</t>
  </si>
  <si>
    <t>Usaha Retail ATK, Digtal Printing dan Alat Lukis</t>
  </si>
  <si>
    <t>Trading Banking Equipment</t>
  </si>
  <si>
    <t>Trading dan rental banking equipment</t>
  </si>
  <si>
    <t>Stationary</t>
  </si>
  <si>
    <t>Produksi &amp; trading stationary</t>
  </si>
  <si>
    <t>Industri karbon aktif</t>
  </si>
  <si>
    <t>Industri karbon aktif yang digunakan sebagai bahan perjernih atau penetral senyawa agar menjadi bersih.</t>
  </si>
  <si>
    <t>Rental dan jual alat berat</t>
  </si>
  <si>
    <t>Persewaan (50%) dan Penjualan (50%) alat berat</t>
  </si>
  <si>
    <t>General Supplier</t>
  </si>
  <si>
    <t>General supplier untuk rumah sakit</t>
  </si>
  <si>
    <t>Trading tas &amp; koper</t>
  </si>
  <si>
    <t>distributor snack</t>
  </si>
  <si>
    <t>usaha trading makanan ringan Snack, seperti wafer, permen, makanan ringan dan jenis snak lainnya</t>
  </si>
  <si>
    <t>Trading tas</t>
  </si>
  <si>
    <t>Trading peralatan dan Bahan Bangunan</t>
  </si>
  <si>
    <t>Trading Consumer Good</t>
  </si>
  <si>
    <t>Trading berbagai kebutuhan pokok konsumen misalnya air minum kemasan, susu, gula, minyak goreng, lilin dll</t>
  </si>
  <si>
    <t>Trading karton box</t>
  </si>
  <si>
    <t>Kontraktor pembangunan/ pemeliharaan/ pengadaan barang</t>
  </si>
  <si>
    <t>Toko Cat</t>
  </si>
  <si>
    <t>Trading Cat (Mobil, Tembok), Oplosan, Thinner dan perlengkapan untuk mobil seperti : Sabun mobil, Kaca Film, Amplas, dll.</t>
  </si>
  <si>
    <t>Home Living Furniture &amp; Decorations</t>
  </si>
  <si>
    <t>Perdagangan Khusus Furniture, Accesories (Pernak-Pernik), Busana dan Tas Wanita</t>
  </si>
  <si>
    <t>Chemical</t>
  </si>
  <si>
    <t>Usaha cadeb merupakan trading bahan kimia yang digunakan untuk pembersih air hasil buangan pengolahan limbah industri</t>
  </si>
  <si>
    <t>Usaha cadeb merupakan manufacture bahan kimia untuk pembersih air buangan hasil industri limbah</t>
  </si>
  <si>
    <t>Kontraktor, Design Interior &amp; Percetakan</t>
  </si>
  <si>
    <t>Trading Audio &amp; Video Mobil</t>
  </si>
  <si>
    <t>Trading kaca film dan audio video mobil dengan berbagai merk seperti "JSL", "Alpine", "Perfection","Kenwood", "Johnson", dll.</t>
  </si>
  <si>
    <t>Perusahaan Minuman Kemasan</t>
  </si>
  <si>
    <t>Memproduksi minuman kemasan jenis teh kemudian dipasarkan</t>
  </si>
  <si>
    <t>Accesories garmen</t>
  </si>
  <si>
    <t>Produksi perlengkapan garmen seperti tali tas, tali kur, kulit untuk merk celana jeans, kerah untuk kaos.</t>
  </si>
  <si>
    <t>Trading Komponen dari Besi</t>
  </si>
  <si>
    <t>Trading Komponen yang terbuat dari besi seperti kawat untuk antena, kawat untuk partisi dalam kulkas, dll.</t>
  </si>
  <si>
    <t>Helmet</t>
  </si>
  <si>
    <t>Jual Helmet (Grosir dan Eceran)</t>
  </si>
  <si>
    <t>Konveksi Baju Olahraga</t>
  </si>
  <si>
    <t>Produksi dan Trading baju khusus olah raga</t>
  </si>
  <si>
    <t>Manufacture tas &amp; Trading Tas Import</t>
  </si>
  <si>
    <t>Manufacture Tas Merk Sendiri &amp; Trading tas import</t>
  </si>
  <si>
    <t>Trading aneka kue</t>
  </si>
  <si>
    <t>CV Panyileukan bergerak di bidang perdaganan aneka kue terutama brownies kukus dan aneka pastry</t>
  </si>
  <si>
    <t>Industri pengolahan Kapas &amp; Nylon</t>
  </si>
  <si>
    <t>Produksi pengolahan kapas untuk disupply ke industri lain dan pengolahan bijih nylon menjadi benang nilon dan jaring</t>
  </si>
  <si>
    <t>Trading Chemical "bahan pewarna &amp; bahan pelembut"</t>
  </si>
  <si>
    <t>Trading Minuman dan Konveksi</t>
  </si>
  <si>
    <t>Trading minuman tea bubble merk i-cup Produk minuman lisensi dari Taiwan dan Konveksi Merk Distro Redux</t>
  </si>
  <si>
    <t>Textile serbet dan handuk</t>
  </si>
  <si>
    <t>Produksi Serbet dan Handuk</t>
  </si>
  <si>
    <t>Jual Beli Kendaraan Niaga</t>
  </si>
  <si>
    <t>Menerima Kendaraan Niaga Bekas dari Pabrik-Pabrik di Bandung kemudian diservice kembali dan di jual kembali.</t>
  </si>
  <si>
    <t>Trading alas kaki</t>
  </si>
  <si>
    <t>Trading Sepatu Boots, Sandal, dan Safety Shoes</t>
  </si>
  <si>
    <t>Trading Alat - alat Bangunan</t>
  </si>
  <si>
    <t>perusahaan AMDK</t>
  </si>
  <si>
    <t>Ybs dibawah bendera perusahaan milik pribadi PT Agrin Nusantara dengan penjualan Air Minum Dalam Kemasan (galon)</t>
  </si>
  <si>
    <t>Trading hp &amp; accessories hp</t>
  </si>
  <si>
    <t>Trading alat-alat kesehatan</t>
  </si>
  <si>
    <t>Trading Kayu Olahan</t>
  </si>
  <si>
    <t>Trading Kayu Olahan seperti Tripleks,MDF, Block Board, Ply Woods</t>
  </si>
  <si>
    <t>Gordyn</t>
  </si>
  <si>
    <t>(Kain Bahan Gordyn, Macam-macam Rel &amp; Aksesoris Gordyn)</t>
  </si>
  <si>
    <t>Jual Beli Truk Bekas</t>
  </si>
  <si>
    <t>Jual Beli Truk bekas</t>
  </si>
  <si>
    <t>Textile - Weaving</t>
  </si>
  <si>
    <t>Kain furing (daleman pakaian), kain gordyn dan kain pembungkus kasur busa.</t>
  </si>
  <si>
    <t>Trading Kain dan Bahan Kaos</t>
  </si>
  <si>
    <t>Trading kemasan makanan</t>
  </si>
  <si>
    <t>Trading kemasan makanan yg terbuat dari plastik &amp; kertas</t>
  </si>
  <si>
    <t>Trading pintu besi dan komponennya</t>
  </si>
  <si>
    <t>Trading pintu Besi, Sliding, Folding, Door Tracks dan Stays</t>
  </si>
  <si>
    <t>Grosir sembako</t>
  </si>
  <si>
    <t>Grosir perdagangan kebutuhan bahan pokok</t>
  </si>
  <si>
    <t>Distributor kain</t>
  </si>
  <si>
    <t>Distributor kain katun dan rayon</t>
  </si>
  <si>
    <t>Jasa Pengiriman Barang</t>
  </si>
  <si>
    <t>Produksi Kapas Majun</t>
  </si>
  <si>
    <t>Produksi Kapas majun, cleaning kapas &amp; Trading kapas dan Benang</t>
  </si>
  <si>
    <t>Garment Pakaian seperti T-Shirt, Kemeja, Celana, Jaket dan sweater.</t>
  </si>
  <si>
    <t>Trading atap baja ringan</t>
  </si>
  <si>
    <t>Ybs melakukan trading atap baja ringan untuk pabrik,mall, pom bensin, dll, ybs biasanya melakukan trading dengan kontraktor</t>
  </si>
  <si>
    <t>Produksi dan Trading Furniture</t>
  </si>
  <si>
    <t>Kniting</t>
  </si>
  <si>
    <t>Ybs memproduksi kain kaos</t>
  </si>
  <si>
    <t>Konveksi celana jeans &amp; pakaian</t>
  </si>
  <si>
    <t>Produksi celana jeans dan pakaian, Konveksi</t>
  </si>
  <si>
    <t>Toko Besi &amp; Bangunan</t>
  </si>
  <si>
    <t>Trading Toko besi &amp; bangunan, produk yang dijual antara lain : cat, gembok, kunci, asbes, pipa, semen, besi, keramik, dll.</t>
  </si>
  <si>
    <t>Produksi sprei dan bed cover</t>
  </si>
  <si>
    <t>Cadeb membuat sprei dan bed cover dan menjualnya secara grosir</t>
  </si>
  <si>
    <t>Trading Spare Part</t>
  </si>
  <si>
    <t>Spare Part Motor (kendaraan roda dua)</t>
  </si>
  <si>
    <t>Garment yang memproduksi Kaos</t>
  </si>
  <si>
    <t>Trading Gordyn</t>
  </si>
  <si>
    <t>Trading Kain Gordyn</t>
  </si>
  <si>
    <t>Produsen single part</t>
  </si>
  <si>
    <t>Memproduksi single part untuk industri, seperti alat kesehatan, kompor gas, kendaraan bermotor</t>
  </si>
  <si>
    <t>PT Generindo merupakan perusahaan yang bergerak dalam bidang distributor genset</t>
  </si>
  <si>
    <t>Trading elektronik</t>
  </si>
  <si>
    <t>Usaha bergerak dibidang trading elektronik, fokus utama pada penjualan kamera dan peralatan komputer</t>
  </si>
  <si>
    <t>Trading besi</t>
  </si>
  <si>
    <t>Perdagangan besi untuk bahan konstruksi bangunan</t>
  </si>
  <si>
    <t>Trading Mesin Laundry</t>
  </si>
  <si>
    <t>Distributor dan trading mesin laundry</t>
  </si>
  <si>
    <t>Pengolahan Plastik</t>
  </si>
  <si>
    <t>konveksi dan sablon kaos</t>
  </si>
  <si>
    <t>melakukan konveksi dan penjualan kaos polos dan kaos sablon</t>
  </si>
  <si>
    <t>konveksi celana dalam</t>
  </si>
  <si>
    <t>melakukan konveksi celana dalam sesuai pesanan dari customernya</t>
  </si>
  <si>
    <t>Trading Polowijo</t>
  </si>
  <si>
    <t>Usaha bergerak di bidang trading polowijo yaitu beras dan jagung.</t>
  </si>
  <si>
    <t>Distributor solar dan oli pertamina</t>
  </si>
  <si>
    <t>Transportir Solar dan Distributor Olie</t>
  </si>
  <si>
    <t>Distributor Minuman Cap Badak</t>
  </si>
  <si>
    <t>Cadeb merupakan distributor alat-alat listrik seperti lampu, kabel, isolasi, steker dll.</t>
  </si>
  <si>
    <t>Perdagangan Pakaian</t>
  </si>
  <si>
    <t>Perdagangan Grosir dan eceran Pakaian Jadi</t>
  </si>
  <si>
    <t>Distributor Beras, Bogasari Area Sumatera Selatan, Sagu, minyak dll. ( Sembilan Bahan Pokok)</t>
  </si>
  <si>
    <t>Perdagangan Spare part</t>
  </si>
  <si>
    <t>Perdagangan Sparepart Mobil dan Motor</t>
  </si>
  <si>
    <t>Perdagangan plastik</t>
  </si>
  <si>
    <t>Perdagangan plastik secara grosir (box plastik, karpet amdal, tikar, tali rafia, dll.)</t>
  </si>
  <si>
    <t>Distributor Bawang</t>
  </si>
  <si>
    <t>Menjual hasil bumi (bawang merah, putih, bombay, bawang Pakistan, Birma dan Thiland) dalam skala besar</t>
  </si>
  <si>
    <t>Perdagangan bahan banguna</t>
  </si>
  <si>
    <t>Perdagangan bahan bangunan seperti keramik, cat, genteng, pipa, semen, dll.</t>
  </si>
  <si>
    <t>Perdagangan buah sawit ( TBS)</t>
  </si>
  <si>
    <t>Perdagangan buah sawit (TBS) ke pabrik- pabrik pengolah TBS</t>
  </si>
  <si>
    <t>Telekomunikasi</t>
  </si>
  <si>
    <t>Cadeb adalah owner dan key person dari CV Palam Mobile Telecomindo (PMT) yang merupakan Master Patner Tri (MP3) yaitu skema kerjasama jual putus antara HCPT (Hutchison CP Tellecomunication, PT) dengan PMT yang memiliki satu jalur distribusi penjualan stat</t>
  </si>
  <si>
    <t>Peternakan Ayam Telur</t>
  </si>
  <si>
    <t>Menjual telur ayam</t>
  </si>
  <si>
    <t>Trading Beras</t>
  </si>
  <si>
    <t>Perdagangan Beras</t>
  </si>
  <si>
    <t>Variasi Mobil</t>
  </si>
  <si>
    <t>Usaha cadeb bergerak di bidang jasa variasi mobil niaga &amp; pribadi dengan nama "Kartika Variasi" dengan EBIT dan HPP masing 18%, 80%</t>
  </si>
  <si>
    <t>Alat listrik dan Lampu</t>
  </si>
  <si>
    <t>menjual alat2 listrik</t>
  </si>
  <si>
    <t>Trading Bahan Bangunan,Ekspedisi</t>
  </si>
  <si>
    <t>Trading Bahan Bangunan dan Angkutan Darat Untuk Barang</t>
  </si>
  <si>
    <t>Distributor semen</t>
  </si>
  <si>
    <t>Distributor semen merah putih dan juga perdagangan semen merk lain seperti semen baturaja, tiga roda, semen padang, dll</t>
  </si>
  <si>
    <t>Cadeb merupakan perusahaan yang bergerak dalam bidang general supplier untuk perusahaan-perusahaan yang ada di Balikpapan. Barang daganganb yang disupply meliputi bahan kimia, peralatan mekanikal elektrikal termasuk peralatan kantor.</t>
  </si>
  <si>
    <t>Trading Sparepart dan Jasa Transportasi</t>
  </si>
  <si>
    <t>Cadeb merupakan perusahaan yang bergerak di bidang trading spareparts Heavy equipment, heavy truck dan jasa transportasi. Usaha berjalan sudah cukup lama yaitu sejak tahun 2008. Key person adalah sdr. Sariman dalam menjalankan usaha trading spareparts dan</t>
  </si>
  <si>
    <t>Kontraktor dan Jasa Rental Alat Berat</t>
  </si>
  <si>
    <t>CV. Diya Sarana Utama adalah perusahaan yang bergerak di bidang kontraktor untuk perusahaan sawit dan juga jasa rental alat berat. Proyek yang dikerjakan adalah land clearing, pekerjaan pengerasan jalan, dan juga pembukaan jalan untuk akses ke lahan perke</t>
  </si>
  <si>
    <t>Jasa Rental Alat Berat &amp; Trading Batu Palu</t>
  </si>
  <si>
    <t>CV. Tiga Bunga Sakti adalah perusahaan yang bergerak di bidang jasa rental alat berat untuk perusahaan perkebunan kelapa sawit. Cadeb melayani berbagai jenis permintaan alat berat yang terdiri dari Excavator, Compactor, dan Bulldozer. Selain itu juga cade</t>
  </si>
  <si>
    <t>Perdagangan accu dan peralatan pendukungnya, coolant water, dan grees</t>
  </si>
  <si>
    <t>Cadeb merupakan perusahaan yang bergerak di bidang perdagangan accu dan peralatan pendukungnya, coolant water, dan grees. Saat ini cadeb memiliki dua outlet eksisting yang berada di Balikpapan dan Banjarmasin. Usaha yang dijalankan sudah berjalan sejak ta</t>
  </si>
  <si>
    <t>General Contractor dan Mining</t>
  </si>
  <si>
    <t>Cadeb merupakan shareholder majority dari beberapa group usaha yang dimiliknya antara lain: PT. Karya Kembar Bersama (Rental Alat Berat); PT. Rimba Makmur Lestari (Pemilik Hutan Tanam Industri); PT. Indoka Mining Resources (Rental Alat Berat); PT. Subur B</t>
  </si>
  <si>
    <t>General Contractor &amp; Supplier</t>
  </si>
  <si>
    <t>General Contractor &amp; Supplier Oil &amp; Gas Industri</t>
  </si>
  <si>
    <t>Trading dan Pengolahan Bahan Kimia untuk water treathment</t>
  </si>
  <si>
    <t>Trading bahan - bahan kimia khususnya untuk pembersih air, sering digunakan oleh perusahaan tambang, PDAM , dan hotel hotel di Balikpapan, Samarinda, Berau dan beberapa kota lainnya di Kal-Tim.</t>
  </si>
  <si>
    <t>Trading Cat otomotif</t>
  </si>
  <si>
    <t>Trading cat otomotif dan derivatifnya berbagai merek cat seperti Akzonobel (Sikkens), Danapaint (Danagloss), Avian Paint, dll.</t>
  </si>
  <si>
    <t>Distributor pakan ternak, trading ayam potong / ayam afkir, serta jasa angkutan.</t>
  </si>
  <si>
    <t>Distributor/trader pakan ternak, ayam potong / afkir dan jasa angkutan (transportasi).</t>
  </si>
  <si>
    <t>cut, bend dan roll untuk besi/baja</t>
  </si>
  <si>
    <t>Pekerjaan khusus terhadap logam dan barang dari logam</t>
  </si>
  <si>
    <t>Bahan bangunan</t>
  </si>
  <si>
    <t>Toko yang menjual semua jenis material untuk bahan bangunan</t>
  </si>
  <si>
    <t>Trading sparepart untuk kendaraan roda 4 dan truk</t>
  </si>
  <si>
    <t>Perdagangan Sembako</t>
  </si>
  <si>
    <t>Perdagangan kebutuhan Sembako</t>
  </si>
  <si>
    <t>Perdagangan Spare part roda 2</t>
  </si>
  <si>
    <t>sebagai supplier spare part roda 2 untuk semua jenis motor dan berbagai merk.</t>
  </si>
  <si>
    <t>Subyek mendatangkan beras dari Sulawesi dan menjual kembali beras tersebut kepada para langganan/Toko di Samarinda &amp; Sekitarnya.</t>
  </si>
  <si>
    <t>Penjualan bahan - bahan bangunan dengan produk utama adalah keramik dan saniter</t>
  </si>
  <si>
    <t>General supplier &amp; Contractor</t>
  </si>
  <si>
    <t>Trading Tandon Buah Segar (Tbs) khusus buah sawit</t>
  </si>
  <si>
    <t>Penjualan Finishing Item untuk Bangunan seperti Sanitair, Keramik, Plafon, Semen Dekorasi, dll.</t>
  </si>
  <si>
    <t>Jasa Catering</t>
  </si>
  <si>
    <t>Jasa Boga / Catering</t>
  </si>
  <si>
    <t>Trading Emas (perhiasan)</t>
  </si>
  <si>
    <t>Perdagangan bahan - bahan bangunan seperti : semen, besi beton, cat,batu bata, keramik dll.</t>
  </si>
  <si>
    <t>Sembako</t>
  </si>
  <si>
    <t>Perdagangan segala macam plastik</t>
  </si>
  <si>
    <t>Sdr. Antoni merupakan pengusaha muda yang cukup aktif dan kreatif. Ybs menjalankan usaha perdagangan plastik dalam skala besar sejak tahun 1999. Usaha yang dijalankan adalah sebagai penyalur segala jenis plastik kepada toko-toko, dan kawasan perdagangan d</t>
  </si>
  <si>
    <t>Manufaktur Mesin Industri</t>
  </si>
  <si>
    <t>Manufaktur Mesin Industri dan fabrikasi</t>
  </si>
  <si>
    <t>Manufaktur Spare Part</t>
  </si>
  <si>
    <t>Manufaktur Spare Part, Molding</t>
  </si>
  <si>
    <t>Jasa Percetakan Digital.</t>
  </si>
  <si>
    <t>PT. Primagraphia Digital bergerak di bidang percetakan digital printing dengan didukung oleh kapasitas produksi yang sangat besar meliputi lebih dari 30 mesin large format.</t>
  </si>
  <si>
    <t>Kontraktor Sipil</t>
  </si>
  <si>
    <t>Usaha bergerak dibidang jasa kontraktor pembangunan / sipil , suplier, elektrikal.</t>
  </si>
  <si>
    <t>Trading Plywood</t>
  </si>
  <si>
    <t>Usaha cadeb bergerak dibidang trading Plywood, cadeb merupakan salah satu dari 3 agen yang ada di Pd. Bambu.</t>
  </si>
  <si>
    <t>Trading Alat Komputer dan Elektronik</t>
  </si>
  <si>
    <t>Trading Alat Komputer dan Elektronik seperti laptop, pc, LED monitor, proyektor, dan lainnya.</t>
  </si>
  <si>
    <t>Jasa Pengeboran untuk perusahaan minyak dan gas</t>
  </si>
  <si>
    <t>Jasa pengeboran dan rental alat untuk perusahaan minyak dan gas</t>
  </si>
  <si>
    <t>Trading sparepart</t>
  </si>
  <si>
    <t>menjual sparepart mobil ke Jakarta, Lampung dan Kalimantan</t>
  </si>
  <si>
    <t>Trading Besi Baja</t>
  </si>
  <si>
    <t>Trading dan Manufacturing Besi Baja</t>
  </si>
  <si>
    <t>Manufacturing Karton Kemasan</t>
  </si>
  <si>
    <t>Produsen Kemasan dari Karton &amp; Impraboard</t>
  </si>
  <si>
    <t>Trading F &amp; B</t>
  </si>
  <si>
    <t>Trading Food and Beverage</t>
  </si>
  <si>
    <t>Manf Spare Part</t>
  </si>
  <si>
    <t>Manufacturing Spare Part Otomotif, Alat Berat</t>
  </si>
  <si>
    <t>Manufacturing Pisau Industri</t>
  </si>
  <si>
    <t>Produsen Pisau Industri (pisau pond)</t>
  </si>
  <si>
    <t>Logistic</t>
  </si>
  <si>
    <t>Logistic / Jasa Pengantar</t>
  </si>
  <si>
    <t>Manufacture Picture Frame</t>
  </si>
  <si>
    <t>Produksi dan Ekspor Frame yang terbuat dari Kayu</t>
  </si>
  <si>
    <t>Offset dan Digital Printing</t>
  </si>
  <si>
    <t>Percetakan, Offset dan Digital Printing di bidang advertising</t>
  </si>
  <si>
    <t>Distibutor Kertas</t>
  </si>
  <si>
    <t>Distributor Kertas</t>
  </si>
  <si>
    <t>Trading dan Manufaktur</t>
  </si>
  <si>
    <t>Trading Sparepart komponen Elektrikal dan Packaging ; Produksi Eletrikal (Manufaktur)</t>
  </si>
  <si>
    <t>Trading Komputer, Sparepart Komputer, dan ATK</t>
  </si>
  <si>
    <t>Trading Barang Plastik</t>
  </si>
  <si>
    <t>Retail dan distributor barang-barang plastik</t>
  </si>
  <si>
    <t>General Trading</t>
  </si>
  <si>
    <t>Ybs merupakan Perusahaan yang bergerak dalam bidang general trading, namun lebih khusus ke arah tools</t>
  </si>
  <si>
    <t>Industri atap baja</t>
  </si>
  <si>
    <t>Industri atap baja, pintu galvalum</t>
  </si>
  <si>
    <t>Cold Storage ikan udang</t>
  </si>
  <si>
    <t>Perdagangan ikan &amp; udang serta hasil laut lainnya</t>
  </si>
  <si>
    <t>Kontraktor mekanikal &amp; mesin</t>
  </si>
  <si>
    <t>Jasa perbaikan, dan pembuatan konstruksi pendukung mesin dalam produksi pabrik-pabrik</t>
  </si>
  <si>
    <t>Jasa Pengangkutan Barang</t>
  </si>
  <si>
    <t>Jasa Pengangkutan Barang khususnya angkutan darat / truck</t>
  </si>
  <si>
    <t>Perdagangan obat &amp; sembako</t>
  </si>
  <si>
    <t>Apotek, dan toko aneka kebutuhan rumah tangga (toko kelontong)</t>
  </si>
  <si>
    <t>Trading Accessories mobil</t>
  </si>
  <si>
    <t>Perdagangan accessories mobil</t>
  </si>
  <si>
    <t>Toko Mesin dan Alat Tekhnik</t>
  </si>
  <si>
    <t>Cadeb merupakan Supplier untuk mesin dan alat2 tekhnik dan industri, merk Bosch, Karcher, Kobe, Ultra dll</t>
  </si>
  <si>
    <t>Jasa Kontraktor Pembangunan</t>
  </si>
  <si>
    <t>Main Dealer Ban</t>
  </si>
  <si>
    <t>Distributor Ban Wilayah Sumatera Utara-Nangroe Aceh Darussalam-Sumatera Barat</t>
  </si>
  <si>
    <t>Trading Alat alat dan bahan bangunan</t>
  </si>
  <si>
    <t>Barang yang dijual cadeb spt: Pipa PVC, Cat, Lem, Paku, dll.</t>
  </si>
  <si>
    <t>Trading alat-alat listrik, panel listrik dll</t>
  </si>
  <si>
    <t>Trading Minyak Curah</t>
  </si>
  <si>
    <t>Tradng Minyak Makan Curah</t>
  </si>
  <si>
    <t>Penjualan alat alat teknik mesin</t>
  </si>
  <si>
    <t>penjualan alat - alat mesin seperti kopling, dinamo, kompressor, gear box</t>
  </si>
  <si>
    <t>Trading bawang</t>
  </si>
  <si>
    <t>Mayoritas menjual Bawang merah yang berasal dari Jawa dan India, namun debitur juga menjual bawang putih.</t>
  </si>
  <si>
    <t>Percetakan</t>
  </si>
  <si>
    <t>Cetakan berupa kotak kue/roti, undangan, shopping bag, katalog, brosur, dll.</t>
  </si>
  <si>
    <t>Jual sparepart elektronik</t>
  </si>
  <si>
    <t>menjual sparepart elektronik</t>
  </si>
  <si>
    <t>Manufacture &amp; Trading</t>
  </si>
  <si>
    <t>Produksi dan trading aspahlt (hot mix).</t>
  </si>
  <si>
    <t>Trading Alat-alat Kesehatan</t>
  </si>
  <si>
    <t>Trading Generator, alat-alat Pertanian</t>
  </si>
  <si>
    <t>Trading Palawija</t>
  </si>
  <si>
    <t>Elektronik Trading</t>
  </si>
  <si>
    <t>Perdagangan barang elektronik impor (speaker, flash disk, alarm, mp3player dan lain - lain).</t>
  </si>
  <si>
    <t>Perdagangan Aksesoris HP dan barang elektronik lainnya.</t>
  </si>
  <si>
    <t>Trading alat kesehatan dan perlengkapan bayi</t>
  </si>
  <si>
    <t>Manufaktur</t>
  </si>
  <si>
    <t>Manufaktur dan trading plastik yang khusus digunakan untuk bidang usaha agrikultur</t>
  </si>
  <si>
    <t>Franchise</t>
  </si>
  <si>
    <t>Franchise Alfa</t>
  </si>
  <si>
    <t>Trading Garment dan Tekstile</t>
  </si>
  <si>
    <t>Trading Barang Elektronik</t>
  </si>
  <si>
    <t>Usaha cadeb bergerak di bidang trading barang-barang elektronik</t>
  </si>
  <si>
    <t>Trading Tekstil / Kain</t>
  </si>
  <si>
    <t>Usaha cadeb bergerak di bidang trading tekstil/ kain</t>
  </si>
  <si>
    <t>Trading Barang</t>
  </si>
  <si>
    <t>Komputer dan Accesories</t>
  </si>
  <si>
    <t>Trading textil</t>
  </si>
  <si>
    <t>Trading bahan sprei</t>
  </si>
  <si>
    <t>Komponen Listrik</t>
  </si>
  <si>
    <t>Trading barang</t>
  </si>
  <si>
    <t>Trading suku cadang kendaraan bermotor</t>
  </si>
  <si>
    <t>konstruksi bangunan sipil</t>
  </si>
  <si>
    <t>konstruksi bangunan sipil lainnya YTDL, jasa reparasi peralatan lainnya</t>
  </si>
  <si>
    <t>Manufacture dan Trading</t>
  </si>
  <si>
    <t>Pembuat dan pedagang kasur serta barang-barang furniture lain.</t>
  </si>
  <si>
    <t>perdagangan spare part</t>
  </si>
  <si>
    <t>perdagangan spare part alat berat</t>
  </si>
  <si>
    <t>Perdagangan Eceran dan Grosir</t>
  </si>
  <si>
    <t>Perdagangan barang campuran dan botol bekas</t>
  </si>
  <si>
    <t>Penginapan dan perdagangan campuran</t>
  </si>
  <si>
    <t>pabrik air minum merk Lestari</t>
  </si>
  <si>
    <t>Pabrik Air minum merk Lestari</t>
  </si>
  <si>
    <t>Eksport Ikan dan Perdagangan Campuran</t>
  </si>
  <si>
    <t>Perdagangan mesin-mesin dan spare part kapal.</t>
  </si>
  <si>
    <t>Trading Accesoris dan mainan anak-anak</t>
  </si>
  <si>
    <t>Usaha Ymk menggunakan izin usaha “SUKSES CROWN” didirikan sejak tahun 2006. Ymk sebagai Key Person dibantu oleh Isteri (Pengelola Keuangan)</t>
  </si>
  <si>
    <t>Ymk adalah Key Person dibantu oleh Isteri Ymk sebagai pengelola keuangan, adapun sistem penjualan terdiri dari penjualan cash dan kredit.</t>
  </si>
  <si>
    <t>Trading Pakaian Jadi</t>
  </si>
  <si>
    <t>perdagangan pakaian jadi (konveksi) terutama baju muslim dan accesoris serta perlengkapannya seperti jilbab, mukena , kopiah, sajadah dll</t>
  </si>
  <si>
    <t>Perdagangan Palawija</t>
  </si>
  <si>
    <t>Distributor Palawija dan Hasil bumi</t>
  </si>
  <si>
    <t>Perdagangan barang elektronik, alat-alat listrik, seluler (HP, Gadget &amp; Accesories)</t>
  </si>
  <si>
    <t>Perdagangan Barang Logam</t>
  </si>
  <si>
    <t>Perdagangan barang-barang dari logam seperti pipa stainless, ornamen pintu, poly carbonat, cat, alat teknik, galvalum</t>
  </si>
  <si>
    <t>Kontraktor Listrik &amp; Toko Listrik</t>
  </si>
  <si>
    <t>Perdagangan Kayu Balok/Papan/Kusen Pintu</t>
  </si>
  <si>
    <t>Perdagangan grosir dan eceran tas, sepatu dan sandal</t>
  </si>
  <si>
    <t>Perdagangan pakan ternak ayam dan anak ayam (kuthuk)</t>
  </si>
  <si>
    <t>Perdagangan Grosir &amp; Ritail Alat-alat Games, Rental Play Station serta Warnet &amp; Game Online</t>
  </si>
  <si>
    <t>Trading Alat-alat Pertanian</t>
  </si>
  <si>
    <t>Trading mesin pertanian, alat pertanian, perlengkapan rumah tangga dan mesin lainnya</t>
  </si>
  <si>
    <t>Perdagangan hasil percetakan dan penerbitan</t>
  </si>
  <si>
    <t>Grosir makanan snack</t>
  </si>
  <si>
    <t>Perdagangan makanan ringan/snack &amp; minuman</t>
  </si>
  <si>
    <t>Perdagangan Kayu Jadi (Papan, Kusen, Pintu, dll) dan Mobil Bekas (Mobil Penumpang)</t>
  </si>
  <si>
    <t>Perdagangan/server pulsa</t>
  </si>
  <si>
    <t>Perdagangan pulsa seluler semua operator dan pulsa/token listrik PLN</t>
  </si>
  <si>
    <t>Variasi Mobil dan suku cadang kendaraan roda dua</t>
  </si>
  <si>
    <t>PERDAGANGAN BARANG</t>
  </si>
  <si>
    <t>TRANSAKSI PERDAGANGAN BAHAN BANGUNAN</t>
  </si>
  <si>
    <t>Dagang Mesin &amp; Suku Cadang</t>
  </si>
  <si>
    <t>Perdagangan Mesin &amp; Suku Cadang</t>
  </si>
  <si>
    <t>TRANSAKSI JUAL-BELI KOMPUTER DAN PERLENGKAPANNYA</t>
  </si>
  <si>
    <t>TRANSAKSI PERDAGANGAN ATK, KOMPUTER DAN PERLENGKAPANNYA</t>
  </si>
  <si>
    <t>Dagang Suku Cadang Kendaraan</t>
  </si>
  <si>
    <t>Transaksi Perdagangan Alat Kendaraan Bermotor Roda Dua dan Roda Empat</t>
  </si>
  <si>
    <t>Penjualan Sparepart Mobil Eceran Maupun Grosir</t>
  </si>
  <si>
    <t>Usaha cadeb bergerak didistributor tisu tessa, Sohun, Air Minum kemasan merek Nestle, Kobe, Kapal Api, Makarizo, Popok Bayi dan Teh Teeds</t>
  </si>
  <si>
    <t>Perd. Alat Motor</t>
  </si>
  <si>
    <t>Penjualan Spare Part, Sevice dan Variasi kendaraan bermotor</t>
  </si>
  <si>
    <t>Perd Bahan Bangunan</t>
  </si>
  <si>
    <t>Cadeb menjual bahan bangunan dan 80% barang yg dijual adalah keramik</t>
  </si>
  <si>
    <t>usaha cadeb bergerak dibidang perdagangan bahan bangunan seperti tegel, semen, besi dan bahan bangunan lainnya dimana cadeb melayani pembelian secara eceran dan partai</t>
  </si>
  <si>
    <t>Perd.Sembako</t>
  </si>
  <si>
    <t>Cadeb merupakan distributor perdagangan beras dengan berbagai macam jenis dan merek dengan penjualan secara grosir dan eceran</t>
  </si>
  <si>
    <t>Swalayan, kontraktor dan Developer</t>
  </si>
  <si>
    <t>Usaha Cadeb adalah Swalayan Sanya, Kontraktor (Pek Fisik dan Pengadaan dan Developer</t>
  </si>
  <si>
    <t>Perd.Bahan Bangunan</t>
  </si>
  <si>
    <t>Cadeb menjual bahan bangunan 80% berupa keramik sisanya berupa produk bahan bangunan lainnya.</t>
  </si>
  <si>
    <t>Perd.pakan Ternak &amp; distributor telur ayam ras</t>
  </si>
  <si>
    <t>Cadeb menjual Berbagai Macam pakan ternak dan obat - obatan ternak,antara lain,Telur,Bibit Ayam,Dedak,Jagung ,dsb. Cadeb menjual telur ayam secara partai dan eceran.</t>
  </si>
  <si>
    <t>usaha cadeb bergerak dibidang perdagangan bahan bangunan seperti Semen, Keramik, Besi dan bahan bangunan lainnya secara eceran.</t>
  </si>
  <si>
    <t>Cadeb menjual aneka bahan bangunan antara lain, semen, cat, besi, pipa, Gypsum Elephant, A + Product, Holo, Plamir Biglion, dsb</t>
  </si>
  <si>
    <t>Perdagangan Barang Bangunan</t>
  </si>
  <si>
    <t>Perdagangan barang bangunan, Cadeb melayani pembelian secara eceran dan partai, merupakan Distributor Besi Hollo.</t>
  </si>
  <si>
    <t>perdagangan Bahan Bangunan</t>
  </si>
  <si>
    <t>usaha cadeb bergerak dibidang perdagangan bahan bangunan seperti semen, tegel, besi, pipa dan bahan bangunan lainnya dengan penjualan secara eceran</t>
  </si>
  <si>
    <t>Perdagangan Barang Kosmetik</t>
  </si>
  <si>
    <t>Usaha Cadeb merupakan Distributor barang kosmetik seperti produk Viva, Marina, Casablanca, Herocyn, Parfum Esplanade dan Parfum Sychelle.</t>
  </si>
  <si>
    <t>Cadeb memperdagangkan berbagai jenis bahan bangunan seperti semen,besi,cat,plamir,dsb secara eceran.</t>
  </si>
  <si>
    <t>Perd.Peralatan Nelayan</t>
  </si>
  <si>
    <t>Cadeb memperdagangkan aneka perlengkapan nelayan (Jaring, Pukat, Mesin Kapal, Cat, Oli,Kail, baling2 kapal, dll)</t>
  </si>
  <si>
    <t>Laboratorium Klinik</t>
  </si>
  <si>
    <t>PT. Maxima Laboratory bergerak dibidang jasa pelayanan laboratorium klinik dengan fasilitas pemeriksaan laboratorium dan non laboratorium yang lengkap dan modern</t>
  </si>
  <si>
    <t>Perdagangan Sembako dan Barang Campuran</t>
  </si>
  <si>
    <t>Usaha cadeb bergerak dibidang perdagangan sembako dan barang campuran dengan sistem penjualan secara eceran dan partai</t>
  </si>
  <si>
    <t>Jasa angkutan barang dan mobilisasi unit alat berat.</t>
  </si>
  <si>
    <t>PT. Hajatrans adalah perusahaan dalam bidang jasa transportasi angkutan barang, dan mobilisasi unit alat berat. Dimana bisnis ini awalnya hanaya berbentuk CV ( akta no 37 tertanggal. 17 Maret 2006 ) dan di tahun 2013 ( akta no 55 tertanggal 15 Mei 2013 )</t>
  </si>
  <si>
    <t>Distributor Peralatan Listrik</t>
  </si>
  <si>
    <t>CV. Chaya Abadi adalah perusahaan yang bergerak dalam bidang distributor beberapa produk peralatan listrik,kabel, lampu dan produk -produk lainnya yang terkait dengan peralatan listrik lainnya. Dan bisnis ini sudah mulai dirintis sejak tahun 2006. Dimana</t>
  </si>
  <si>
    <t>Transportir Pupuk</t>
  </si>
  <si>
    <t>PT. Nusantara Prima Kencana pada awalnya didirikan pada tahun 2011 sesuai dengan akte pendirian No. 6 tanggal 09 Desember 2011. Pada tahun 2014 terjadi perubahan pengurus sesuai dengan akte perubahan No.4 tanggal 16 Januari 2014 dimana pegurusnya terdiri</t>
  </si>
  <si>
    <t>Showroom Jual Beli Sepeda Motor Bekas</t>
  </si>
  <si>
    <t>Subyek usaha Jual Beli motor secund yang saat ini masih excist dan terus berkembang dan terus meningkat omzet penjualannya.</t>
  </si>
  <si>
    <t>Spare Part motor, mobil dan alat berat</t>
  </si>
  <si>
    <t>UD. Green Diesel Makmur adalah perusahaan perorangan yang bergerak dibidang penjualan spare part dan filter alat berat dengan merk Caterpillar, Komatsu, dan Volvo. Sesuai akta pendirian UD. Green Diesel Makmur berdiri pada tanggal 22 Nopember 2012. Pengur</t>
  </si>
  <si>
    <t>Perdagangan barang furniture dan elektronik</t>
  </si>
  <si>
    <t>CV. Marlion pada awalnya didirikan pada tahun 2003 sesuai dengan akte pendirian No. 19 tanggal 04 Juni 2003. Pada tahun 2011 terjadi perubahan pengurus sesuai dengan akte perubahan No.23 tanggal 09 Mei 2011 dimana pegurusnya terdiri Bpk. Armin Pane dan Lu</t>
  </si>
  <si>
    <t>Toko Fakta Jaya yang dimiliki oleh Bapak Agus Budiono adalah Usaha yang bergerak dalam bidang perdagangan Bahan Bangunan. Dimana bisnis ini berjalan sejak tahun 1992 hingga saat ini. Tempat usaha yang dimiliki berlokasi di Jl. KH. Wahid Hasyim KEl. Sempaj</t>
  </si>
  <si>
    <t>Perdagangan Keramik dan Bahan Bangunan</t>
  </si>
  <si>
    <t>Subyek adalah pengusaha jual beli Keramik dan bahan bangunan yang berada di wilayah Palaran -Samarinda Seberang</t>
  </si>
  <si>
    <t>ATK dan Alat-alat listrik</t>
  </si>
  <si>
    <t>Perdagangan ATK dan Alat-alat Listrik</t>
  </si>
  <si>
    <t>Jasa kontraktor penanaman dan teknik sipil</t>
  </si>
  <si>
    <t>Jasa transportasi</t>
  </si>
  <si>
    <t>Jasa transportasi angkutan laut</t>
  </si>
  <si>
    <t>Perdagangan dan ditribusi triplek (plywood)</t>
  </si>
  <si>
    <t>Perdagangan Bahan Pertanian</t>
  </si>
  <si>
    <t>Perdagangan berbagai jenis bahan pertanian</t>
  </si>
  <si>
    <t>Perbankan</t>
  </si>
  <si>
    <t xml:space="preserve">Bank Perkreditan Rakyat </t>
  </si>
  <si>
    <t>Trading dan commodity</t>
  </si>
  <si>
    <t>Ybs adl Distributor resmi dari PT XL Axiata sejak thn 2009(Produk XL berupa pulsa fisik, pulsa tronik, modem dan hp building) dan penjualan pulsa ALL operator lainya.(exclude XL)</t>
  </si>
  <si>
    <t xml:space="preserve">Distributor Besi </t>
  </si>
  <si>
    <t>Pharmaceutical</t>
  </si>
  <si>
    <t>Trading Obat-obatan ke seluruh Indonesia Khususnya Indonesia Timur</t>
  </si>
  <si>
    <t>Distributor Besi</t>
  </si>
  <si>
    <t>Distributor dan trading besi untuk bangunan</t>
  </si>
  <si>
    <t>Usahan yang dibiayai BPTN kali ini adalah Trading bahan bangunan (80%) dan Pabrik Vulkanisir Ban (20%)</t>
  </si>
  <si>
    <t>Industri lainnya</t>
  </si>
  <si>
    <t>Manufacture Plastik</t>
  </si>
  <si>
    <t>Engine, Machineries And Tools</t>
  </si>
  <si>
    <t>Mesin diesel, Sparepart Teknik, Genset, AC Generator, Chain Saw, Hidrolik Press, dll</t>
  </si>
  <si>
    <t>Construction</t>
  </si>
  <si>
    <t xml:space="preserve">Perdagangan Bahan Bangunan </t>
  </si>
  <si>
    <t>Kontraktor jasa pelaksanaan konstruksi (khususnya di bidang pengairan)</t>
  </si>
  <si>
    <t>Penjualan bahan bangunan seperti besi, semen, pipa dll</t>
  </si>
  <si>
    <t>Home Appliances</t>
  </si>
  <si>
    <t>Trading perabotan/peralatan rumah tangga/barang pecah belah misalnya piring, gelas, ember, tempat payung</t>
  </si>
  <si>
    <t xml:space="preserve">Dealer Mobil dan jasa service kendaraan </t>
  </si>
  <si>
    <t>Perdagangan dan distribusi</t>
  </si>
  <si>
    <t>Perdagangan dan distribusi alat-alat rumah tangga</t>
  </si>
  <si>
    <t>Perdagangan Umum</t>
  </si>
  <si>
    <t>Produksi Makanan Kemasan (Bakso dan Sosis)</t>
  </si>
  <si>
    <t>Basic Metal - Steel</t>
  </si>
  <si>
    <t>Usaha cadeb merupakanmanufacture dalam pembuatan dan perakitan backwall, asbak, tong sampah, sebagai advertising bagi produsen rokok</t>
  </si>
  <si>
    <t>Wholesales And Retail  Trading</t>
  </si>
  <si>
    <t>Distributor Holcim, Bogasari, SMART, Mulia Keramik</t>
  </si>
  <si>
    <t>Manufaktur Botol Plastik</t>
  </si>
  <si>
    <t>Cadeb bergerak dibidang produksi botol plastik untuk industri Oli dan kosmetik</t>
  </si>
  <si>
    <t>Usaha bergerak dibidang penjualan tas,sandal, sepatu secara retail dan wholesales.</t>
  </si>
  <si>
    <t>Trading Limbah Kertas</t>
  </si>
  <si>
    <t>Cadeb bergerak dibidang trading limbah kertas (Kardus, HVS, Duplex, Karton Box,dll)</t>
  </si>
  <si>
    <t>Food and Beverage</t>
  </si>
  <si>
    <t>Berdagang sembako</t>
  </si>
  <si>
    <t>Paper Packaging &amp; Corrugated</t>
  </si>
  <si>
    <t>Trading Kertas</t>
  </si>
  <si>
    <t>Electronics And Component</t>
  </si>
  <si>
    <t>Industri knitting (perajutan)</t>
  </si>
  <si>
    <t>Printing</t>
  </si>
  <si>
    <t>Debitur melakukan jasa percetakan untuk mencetak brosur, buku, banner, kalender, dll</t>
  </si>
  <si>
    <t xml:space="preserve">Ymk membuat pakaian wanita dan anak dengan merk Novel Mice ( cewek ) dan OnePlus ( anak cewek ) </t>
  </si>
  <si>
    <t xml:space="preserve">Trading Bahan Bangunan , SPBU, Kontraktor Sipil dan Sewa Alat Berat </t>
  </si>
  <si>
    <t>Perdagangan tepung tapioka , petis , garam , tepung gaplek , gula , tetes</t>
  </si>
  <si>
    <t xml:space="preserve">istributor resmi dari PT.XL Axiata sejak thn 2006 (Produk XL berupa pulsa fisik, pulsa elektronik, modem dan hp bundling) </t>
  </si>
  <si>
    <t>Sektor Usaha</t>
  </si>
  <si>
    <t>Jenis usaha</t>
  </si>
  <si>
    <t>Kode Sekom</t>
  </si>
  <si>
    <t>Industry BI</t>
  </si>
  <si>
    <t>Pengelompokan Industry</t>
  </si>
  <si>
    <t>Alasan Tidak Disetujui Sesuai Pengajuan</t>
  </si>
  <si>
    <t>Product Program</t>
  </si>
  <si>
    <t>i-SME</t>
  </si>
  <si>
    <t>Jenis Angsuran</t>
  </si>
  <si>
    <t>Kode Produk</t>
  </si>
  <si>
    <t>Source of Debtor</t>
  </si>
  <si>
    <t>Relationship</t>
  </si>
  <si>
    <t>RBL</t>
  </si>
  <si>
    <t>ABL</t>
  </si>
  <si>
    <t>RM</t>
  </si>
  <si>
    <t>RCM</t>
  </si>
  <si>
    <t>RSM</t>
  </si>
  <si>
    <t>RQAM</t>
  </si>
  <si>
    <t>Head Office</t>
  </si>
  <si>
    <t>Referral</t>
  </si>
  <si>
    <t>Supplier</t>
  </si>
  <si>
    <t>Buyer</t>
  </si>
  <si>
    <t>Partner</t>
  </si>
  <si>
    <t>Keluarga / Kerabat</t>
  </si>
  <si>
    <t>KJPP</t>
  </si>
  <si>
    <t>Notaris</t>
  </si>
  <si>
    <t>Insurance</t>
  </si>
  <si>
    <t>Community</t>
  </si>
  <si>
    <t>BM / RM Bank Lain</t>
  </si>
  <si>
    <t>Appraisal Cabang</t>
  </si>
  <si>
    <t>ACM Cabang</t>
  </si>
  <si>
    <t>ASM Cabang</t>
  </si>
  <si>
    <t>Legal &amp; Doc Cabang</t>
  </si>
  <si>
    <t>Canvassing</t>
  </si>
  <si>
    <t>Lokasi</t>
  </si>
  <si>
    <t>Recommended / Proposesd LTV</t>
  </si>
  <si>
    <t>Proposed Facility
(LTV x Nilai Pasar)</t>
  </si>
  <si>
    <t>LTV Proposed</t>
  </si>
  <si>
    <t>Region</t>
  </si>
  <si>
    <t>Type</t>
  </si>
  <si>
    <t>Area iSME</t>
  </si>
  <si>
    <t>Jenis Cabang Induk</t>
  </si>
  <si>
    <t>Region 1</t>
  </si>
  <si>
    <t>Purna Bakti</t>
  </si>
  <si>
    <t>Jl. Dewi Sartika No. 46, Kel. Cililitan, Kec. Kramat Jati, Jakarta Timur - 13640</t>
  </si>
  <si>
    <t>Sinaya</t>
  </si>
  <si>
    <t>Jl. Panglima Polim Raya No. 67 A-B, Kebayoran Baru, Kelurahan Melawai, Kecamatan Kebayoran Baru, Jakarta Selatan 12160</t>
  </si>
  <si>
    <t>Jl. Pecenongan No. 82 B, Jakarta Pusat</t>
  </si>
  <si>
    <t>Purna Bakti / FBC</t>
  </si>
  <si>
    <t>Jl. Merdeka no. 53 Tangerang</t>
  </si>
  <si>
    <t>Jl. Raya Pajajaran No.63 Bogor</t>
  </si>
  <si>
    <t>Rukan Kelapa Gading Jl. Raya Boulevard Barat, Blok LC 7 No. 8-9, Kelapa Gading, Jakarta Utara 14240</t>
  </si>
  <si>
    <t>Taman Palem Lestari Blok D1 No. 1 E – F, Cengkareng – Jakarta Barat 11730</t>
  </si>
  <si>
    <t>Wisma Eka Jiwa No. RM/16 Jl. Arteri Mangga Dua, Jakarta Pusat 10730</t>
  </si>
  <si>
    <t>Bekasi 1</t>
  </si>
  <si>
    <t>Jl. Jendral Ahmad Yani, Ruko Bekasi Mas Blok A No. 6 Bekasi</t>
  </si>
  <si>
    <t>Komplek Ruko Intercon Plaza Kebon Jeruk, Blok A No 6, Kembangan, Jakarta Barat - 11630</t>
  </si>
  <si>
    <t>Komplek CBD Pluit, Blok S No. 6 Jl. Pluit Selatan Raya, Jakarta Utara 14440</t>
  </si>
  <si>
    <t>Jakarta Cempaka Mas</t>
  </si>
  <si>
    <t>Jl.Letjen. Suprapto Blok A/34 Komplek Ruko Mega Grosir Cempaka Mas 10640</t>
  </si>
  <si>
    <t>Jakarta Mampang</t>
  </si>
  <si>
    <t xml:space="preserve">Jl. Mampang Raya No. 56-B Jakarta Selatan </t>
  </si>
  <si>
    <t>Cyber 2</t>
  </si>
  <si>
    <t xml:space="preserve">Jl. HR Rasuna Said Blok X-5 No 13, Jakarta 12950 </t>
  </si>
  <si>
    <t>Region 2</t>
  </si>
  <si>
    <t>Jl. Putri Hijau No. 20 Medan</t>
  </si>
  <si>
    <t>Jl. Gatot Subroto No. 189 D-E Medan 20112</t>
  </si>
  <si>
    <t>Medan Cirebon 1</t>
  </si>
  <si>
    <t>Jl. Cirebon No. 35 &amp; 37 Medan</t>
  </si>
  <si>
    <t>Medan Cirebon 2</t>
  </si>
  <si>
    <t>Jl. Sutomo No. 5/II Pematang Siantar</t>
  </si>
  <si>
    <t>Pekanbaru Riau 1</t>
  </si>
  <si>
    <t>Jl. Riau No.21 A Pekanbaru 28292</t>
  </si>
  <si>
    <t>Pekanbaru Riau 2</t>
  </si>
  <si>
    <t>Region 3</t>
  </si>
  <si>
    <t>MUR</t>
  </si>
  <si>
    <t>Jl. Orang Kayo Hitam No. 50 RT 024/RW 003 Kel. Budiman Kec. Jambi Timur. Jambi 36145</t>
  </si>
  <si>
    <t>Jl. Kolonel Atmo No. 581/1119-1120 - Palembang</t>
  </si>
  <si>
    <t>Jl. Jend. Sudirman No. 16 Palembang</t>
  </si>
  <si>
    <t>Jl. Wolter Mongonsidi No.15 Bandar Lampung</t>
  </si>
  <si>
    <t>Region 4</t>
  </si>
  <si>
    <t>Jl. Burangrang 26 Bandung</t>
  </si>
  <si>
    <t>Jl. Dr.Wahidin Sudirohusodo 72 Cirebon</t>
  </si>
  <si>
    <t>Bandung Kopo</t>
  </si>
  <si>
    <t>Jl. Kopo No. 50 B - Bandung</t>
  </si>
  <si>
    <t>Region 5</t>
  </si>
  <si>
    <t>Jl. MT. Haryono No. 715 Semarang</t>
  </si>
  <si>
    <t>Jl. P. Sudirman 117A Kudus</t>
  </si>
  <si>
    <t xml:space="preserve">Jl. Brigjen Katamso Ruko Gede Ps Wage Blok B7-8. Purwokerto Timur RT.01/RW.04 - 53114 </t>
  </si>
  <si>
    <t>Jl. Brigjen Slamet Riyadi No. 526 Surakarta</t>
  </si>
  <si>
    <t>Jl. Bintaran Tengah No.15 Yogyakarta</t>
  </si>
  <si>
    <t>Region 6</t>
  </si>
  <si>
    <t>Jl. Indrapura No.1 EFG Surabaya</t>
  </si>
  <si>
    <t>Jl. Kertajaya  30 Surabaya - 60282</t>
  </si>
  <si>
    <t>Jl. Salak Raya 65 Madiun</t>
  </si>
  <si>
    <t>Jl.  Brigjen Katamso  32 Kediri</t>
  </si>
  <si>
    <t>Stand Alone</t>
  </si>
  <si>
    <t>Jl. Raya Mulyosari Blok FF 78D Kel. Kalisari Kec. Mulyorejo Kota Surabaya</t>
  </si>
  <si>
    <t>Jl. Letjend Sutoyo 56 Malang</t>
  </si>
  <si>
    <t>Jl. Teuku Umar No. 9, Denpasar - 80114</t>
  </si>
  <si>
    <t>Jl. Pejanggik No. 67 Cakranegara, Mataram</t>
  </si>
  <si>
    <t>Kompleks Office Park Bukit Darmo Golf B2 No. 19 Surabaya</t>
  </si>
  <si>
    <t>Jl. Kedungdoro No. 74-3B Surabaya</t>
  </si>
  <si>
    <t>Region 7</t>
  </si>
  <si>
    <t>Jl. Jenderal Sudirman No. 43 ABC Klandasan Balikpapan 76111</t>
  </si>
  <si>
    <t>Jl. Pahlawan No, 08 C RT 26, Kel. Dadi Mulya, Kec. Samarinda Ulu, Samarinda</t>
  </si>
  <si>
    <t>Jl. Jend A. Yani No. 240 Km 3,5 Banjarmasin</t>
  </si>
  <si>
    <t>Pontianak Gajah Mada</t>
  </si>
  <si>
    <t>Jl. Achmad Yani Kelurahan Parit Tokaya Pontianak Selatan Pontianak Kalimantan Barat</t>
  </si>
  <si>
    <t>Region 8</t>
  </si>
  <si>
    <t>Jl. G.Bawakaraeng 170-176 Ujung Pandang</t>
  </si>
  <si>
    <t>Jl. Emy Saelan No. 31, Kel. Tatura Utara Kec. Palu Selatan - Palu</t>
  </si>
  <si>
    <t>Kendari Mandonga</t>
  </si>
  <si>
    <t>Jl. Saranani No. 42 Kel. Korumba. Kec Mandonga - Kendari</t>
  </si>
  <si>
    <t>Jl. Sultan Alauddin Komp. Ruko Alauddin Plaza No. 3 Makassar</t>
  </si>
  <si>
    <t>Jl. Dr.Sam Ratulangi 100-102 Manado</t>
  </si>
  <si>
    <t>Makassar Perintis</t>
  </si>
  <si>
    <t>Jl. Perintis Kemerdekaan A/3 Kel. Daya Kec. Biringkanaya 90241</t>
  </si>
  <si>
    <t>Area</t>
  </si>
  <si>
    <t>Jakarta</t>
  </si>
  <si>
    <t>Tangerang</t>
  </si>
  <si>
    <t>Bogor</t>
  </si>
  <si>
    <t>Medan</t>
  </si>
  <si>
    <t>Pematang Siantar</t>
  </si>
  <si>
    <t>Pekanbaru</t>
  </si>
  <si>
    <t>Jambi</t>
  </si>
  <si>
    <t>Palembang</t>
  </si>
  <si>
    <t>Lampung</t>
  </si>
  <si>
    <t>Bandung</t>
  </si>
  <si>
    <t>Cirebon</t>
  </si>
  <si>
    <t>Semarang</t>
  </si>
  <si>
    <t>Kudus</t>
  </si>
  <si>
    <t>Purwokerto</t>
  </si>
  <si>
    <t>Surakarta</t>
  </si>
  <si>
    <t>Yogya</t>
  </si>
  <si>
    <t>Surabaya</t>
  </si>
  <si>
    <t>Madiun</t>
  </si>
  <si>
    <t>Kediri</t>
  </si>
  <si>
    <t>Malang</t>
  </si>
  <si>
    <t>Denpasar</t>
  </si>
  <si>
    <t>Balikpapan</t>
  </si>
  <si>
    <t>Samarinda</t>
  </si>
  <si>
    <t>Banjarmasin</t>
  </si>
  <si>
    <t>Makassar</t>
  </si>
  <si>
    <t>Palu</t>
  </si>
  <si>
    <t>Kendari</t>
  </si>
  <si>
    <t>Manado</t>
  </si>
  <si>
    <t>Ibukota</t>
  </si>
  <si>
    <t>Jawa Barat</t>
  </si>
  <si>
    <t>Sumatera Utara</t>
  </si>
  <si>
    <t>Sumatera Barat</t>
  </si>
  <si>
    <t>Riau</t>
  </si>
  <si>
    <t>Sumatera Selatan</t>
  </si>
  <si>
    <t>Bengkulu</t>
  </si>
  <si>
    <t>Bandar Lampung</t>
  </si>
  <si>
    <t>Kepulauan Bangka Belitung</t>
  </si>
  <si>
    <t>Pangkal Pinang</t>
  </si>
  <si>
    <t>Kepulauan Riau</t>
  </si>
  <si>
    <t>Tanjung Pinang</t>
  </si>
  <si>
    <t>Jawa</t>
  </si>
  <si>
    <t>Yogyakarta</t>
  </si>
  <si>
    <t>Jawa Tengah</t>
  </si>
  <si>
    <t>Jawa Timur</t>
  </si>
  <si>
    <t>Banten</t>
  </si>
  <si>
    <t>Serang</t>
  </si>
  <si>
    <t>Sunda Kecil</t>
  </si>
  <si>
    <t>Bali</t>
  </si>
  <si>
    <t>Nusa Tenggara Timur</t>
  </si>
  <si>
    <t>Kupang</t>
  </si>
  <si>
    <t>Nusa Tenggara Barat</t>
  </si>
  <si>
    <t>Kalimantan</t>
  </si>
  <si>
    <t>Kalimantan Barat</t>
  </si>
  <si>
    <t>Kalimantan Tengah</t>
  </si>
  <si>
    <t>Palangka Raya</t>
  </si>
  <si>
    <t>Kalimantan Selatan</t>
  </si>
  <si>
    <t>Kalimantan Timur</t>
  </si>
  <si>
    <t>Kalimantan Utara</t>
  </si>
  <si>
    <t>Tanjung Selor</t>
  </si>
  <si>
    <t>Sulawesi</t>
  </si>
  <si>
    <t>Sulawesi Utara</t>
  </si>
  <si>
    <t>Sulawesi Tengah</t>
  </si>
  <si>
    <t>Sulawesi Selatan</t>
  </si>
  <si>
    <t>Sulawesi Tenggara</t>
  </si>
  <si>
    <t>Sulawesi Barat</t>
  </si>
  <si>
    <t>Mamuju</t>
  </si>
  <si>
    <t>Gorontalo</t>
  </si>
  <si>
    <t>Maluku</t>
  </si>
  <si>
    <t>Ambon</t>
  </si>
  <si>
    <t>Maluku Utara</t>
  </si>
  <si>
    <t>Sofifi</t>
  </si>
  <si>
    <t>Papua</t>
  </si>
  <si>
    <t>Jayapura</t>
  </si>
  <si>
    <t>Papua Barat</t>
  </si>
  <si>
    <t>Manokwari</t>
  </si>
  <si>
    <t>Ket</t>
  </si>
  <si>
    <t>DPD 3 bulan terakhir</t>
  </si>
  <si>
    <t>&gt;30 Hari, DPD 1x</t>
  </si>
  <si>
    <t>&gt;30 Hari, DPD 2x</t>
  </si>
  <si>
    <t>&gt;30 Hari, DPD &gt;2x</t>
  </si>
  <si>
    <t>REKOMENDASI LTV</t>
  </si>
  <si>
    <t>Penjelasan justifikasi atas LTV yang diberikan</t>
  </si>
  <si>
    <t>-</t>
  </si>
  <si>
    <t/>
  </si>
  <si>
    <t>Lama Hubungan (Tahun)</t>
  </si>
  <si>
    <t>Tangerang Selatan</t>
  </si>
  <si>
    <t>Depok</t>
  </si>
  <si>
    <t>Tier 2</t>
  </si>
  <si>
    <t>Tier 1</t>
  </si>
  <si>
    <t>Verifikasi dilakukan melalui Trade Checking</t>
  </si>
  <si>
    <t>Verifikasi dilakukan melalui Document Checking</t>
  </si>
  <si>
    <t>Verifikasi dilakukan melalui Market Checking</t>
  </si>
  <si>
    <t>Tier 1Relationship</t>
  </si>
  <si>
    <t>Tier 1Referral</t>
  </si>
  <si>
    <t>Tier 1Canvassing</t>
  </si>
  <si>
    <t>Tier 1Scouting</t>
  </si>
  <si>
    <t>Tier 1walk in customer</t>
  </si>
  <si>
    <t>Tier 2Relationship</t>
  </si>
  <si>
    <t>Tier 2Referral</t>
  </si>
  <si>
    <t>Tier 2Canvassing</t>
  </si>
  <si>
    <t>Tier 2Scouting</t>
  </si>
  <si>
    <t>Tier 2walk in customer</t>
  </si>
  <si>
    <t>Duri</t>
  </si>
  <si>
    <t>Tier 3Relationship</t>
  </si>
  <si>
    <t>Tier 3Referral</t>
  </si>
  <si>
    <t>Tier 3Canvassing</t>
  </si>
  <si>
    <t>Tier 3Scouting</t>
  </si>
  <si>
    <t>Tier 3walk in customer</t>
  </si>
  <si>
    <t>Banda Aceh</t>
  </si>
  <si>
    <t>Lhokseumawe</t>
  </si>
  <si>
    <t>Binjai</t>
  </si>
  <si>
    <t>Tebing Tinggi</t>
  </si>
  <si>
    <t>Kab. Deliserdang</t>
  </si>
  <si>
    <t>Bukit Tinggi</t>
  </si>
  <si>
    <t>Dumai</t>
  </si>
  <si>
    <t>Batam</t>
  </si>
  <si>
    <t>Tanjungpinang</t>
  </si>
  <si>
    <t>Pangkalpinang</t>
  </si>
  <si>
    <t>Lubuk Linggau</t>
  </si>
  <si>
    <t>Prabumulih</t>
  </si>
  <si>
    <t>Baturaja</t>
  </si>
  <si>
    <t>Bandarlampung</t>
  </si>
  <si>
    <t>Metro</t>
  </si>
  <si>
    <t>Jakarta Barat</t>
  </si>
  <si>
    <t>Jakarta Pusat</t>
  </si>
  <si>
    <t>Jakarta Selatan</t>
  </si>
  <si>
    <t>Jakarta Timur</t>
  </si>
  <si>
    <t>Jakarta Utara</t>
  </si>
  <si>
    <t>Karawang</t>
  </si>
  <si>
    <t>Kota/Kab Bandung</t>
  </si>
  <si>
    <t>Cimahi</t>
  </si>
  <si>
    <t>Tasikmalaya</t>
  </si>
  <si>
    <t>Sukabumi</t>
  </si>
  <si>
    <t>Garut</t>
  </si>
  <si>
    <t>Purwakarta</t>
  </si>
  <si>
    <t>Subang</t>
  </si>
  <si>
    <t>Tegal</t>
  </si>
  <si>
    <t>Kab. Sukoharjo</t>
  </si>
  <si>
    <t>Magelang</t>
  </si>
  <si>
    <t>Salatiga</t>
  </si>
  <si>
    <t>Kab. Banjarnegara</t>
  </si>
  <si>
    <t>Kab. Banyumas</t>
  </si>
  <si>
    <t>Kab. Blora</t>
  </si>
  <si>
    <t>Kab. Cilacap</t>
  </si>
  <si>
    <t>Kab. Klaten</t>
  </si>
  <si>
    <t>Kab. Kudus</t>
  </si>
  <si>
    <t>Kab. Bantul</t>
  </si>
  <si>
    <t>Kab. Sleman</t>
  </si>
  <si>
    <t>Kab. Gresik</t>
  </si>
  <si>
    <t>Kab. Sidoarjo</t>
  </si>
  <si>
    <t>Kota/Kab Kediri</t>
  </si>
  <si>
    <t>Mojokerto</t>
  </si>
  <si>
    <t>Probolinggo</t>
  </si>
  <si>
    <t>Kab. Badung</t>
  </si>
  <si>
    <t>Kab. Gianyar</t>
  </si>
  <si>
    <t>Kab. Lombok Barat</t>
  </si>
  <si>
    <t>Kab. Lombok Tengah</t>
  </si>
  <si>
    <t>Kab. Lombok Timur</t>
  </si>
  <si>
    <t>Kab. Lombok Utara</t>
  </si>
  <si>
    <t>Singkawang</t>
  </si>
  <si>
    <t>Kab. Ketapang</t>
  </si>
  <si>
    <t>Palangkaraya</t>
  </si>
  <si>
    <t>Banjar Baru</t>
  </si>
  <si>
    <t>Tarakan</t>
  </si>
  <si>
    <t>Kotamobagu</t>
  </si>
  <si>
    <t>Bitung</t>
  </si>
  <si>
    <t>Tomohon</t>
  </si>
  <si>
    <t>Kab. Banggai</t>
  </si>
  <si>
    <t>Makasar</t>
  </si>
  <si>
    <t>Kab. Gowa</t>
  </si>
  <si>
    <t>Pare-Pare</t>
  </si>
  <si>
    <t>Palopo</t>
  </si>
  <si>
    <t>Kab. Bulukumba</t>
  </si>
  <si>
    <t>Kab. Maros</t>
  </si>
  <si>
    <t>Ternate</t>
  </si>
  <si>
    <t>Sorong</t>
  </si>
  <si>
    <t>Kab. Manokwari</t>
  </si>
  <si>
    <t>Kab. Bekasi</t>
  </si>
  <si>
    <t>Kab. Bogor</t>
  </si>
  <si>
    <t>Kab. Tangerang</t>
  </si>
  <si>
    <t>Kab. Pekalongan</t>
  </si>
  <si>
    <t>R2</t>
  </si>
  <si>
    <t>R1</t>
  </si>
  <si>
    <t>R3</t>
  </si>
  <si>
    <t>R4</t>
  </si>
  <si>
    <t>R5</t>
  </si>
  <si>
    <t>R6</t>
  </si>
  <si>
    <t>R7</t>
  </si>
  <si>
    <t>R8</t>
  </si>
  <si>
    <t>R8 - Kab. Manokwari</t>
  </si>
  <si>
    <t>R1 - Kota Karawang</t>
  </si>
  <si>
    <t>R1 - Kota Tangerang Selatan</t>
  </si>
  <si>
    <t>R1 - Kota Jakarta Barat</t>
  </si>
  <si>
    <t>R1 - Kota Jakarta Pusat</t>
  </si>
  <si>
    <t>R1 - Kota Jakarta Selatan</t>
  </si>
  <si>
    <t>R1 - Kota Jakarta Timur</t>
  </si>
  <si>
    <t>R1 - Kota Jakarta Utara</t>
  </si>
  <si>
    <t>R1 - Kota Depok</t>
  </si>
  <si>
    <t>R2 - Kota Banda Aceh</t>
  </si>
  <si>
    <t>R2 - Kota Lhokseumawe</t>
  </si>
  <si>
    <t>R2 - Kota Medan</t>
  </si>
  <si>
    <t>R2 - Kota Binjai</t>
  </si>
  <si>
    <t>R2 - Kota Pematang Siantar</t>
  </si>
  <si>
    <t>R2 - Kota Tebing Tinggi</t>
  </si>
  <si>
    <t>R2 - Kota Padang</t>
  </si>
  <si>
    <t>R2 - Kota Bukit Tinggi</t>
  </si>
  <si>
    <t>R2 - Kota Pekanbaru</t>
  </si>
  <si>
    <t>R2 - Kota Dumai</t>
  </si>
  <si>
    <t>R2 - Kota Duri</t>
  </si>
  <si>
    <t>R2 - Kota Tanjungpinang</t>
  </si>
  <si>
    <t>R2 - Kota Pangkalpinang</t>
  </si>
  <si>
    <t>R3 - Kota Jambi</t>
  </si>
  <si>
    <t>R3 - Kota Batam</t>
  </si>
  <si>
    <t>R3 - Kota Palembang</t>
  </si>
  <si>
    <t>R3 - Kota Lubuk Linggau</t>
  </si>
  <si>
    <t>R3 - Kota Prabumulih</t>
  </si>
  <si>
    <t>R3 - Kota Baturaja</t>
  </si>
  <si>
    <t>R3 - Kota Bengkulu</t>
  </si>
  <si>
    <t>R3 - Kota Bandarlampung</t>
  </si>
  <si>
    <t>R3 - Kota Metro</t>
  </si>
  <si>
    <t>R4 - Kota Cirebon</t>
  </si>
  <si>
    <t>R4 - Kota Cimahi</t>
  </si>
  <si>
    <t>R4 - Kota Tasikmalaya</t>
  </si>
  <si>
    <t>R4 - Kota Sukabumi</t>
  </si>
  <si>
    <t>R4 - Kota Garut</t>
  </si>
  <si>
    <t>R4 - Kota Purwakarta</t>
  </si>
  <si>
    <t>R4 - Kota Subang</t>
  </si>
  <si>
    <t>R5 - Kota Semarang</t>
  </si>
  <si>
    <t>R5 - Kota Surakarta</t>
  </si>
  <si>
    <t>R5 - Kota Tegal</t>
  </si>
  <si>
    <t>R5 - Kota Purwokerto</t>
  </si>
  <si>
    <t>R5 - Kota Magelang</t>
  </si>
  <si>
    <t>R5 - Kota Salatiga</t>
  </si>
  <si>
    <t>R5 - Kota Yogyakarta</t>
  </si>
  <si>
    <t>R6 - Kota Surabaya</t>
  </si>
  <si>
    <t>R6 - Kota Malang</t>
  </si>
  <si>
    <t>R6 - Kota Madiun</t>
  </si>
  <si>
    <t>R6 - Kota Mojokerto</t>
  </si>
  <si>
    <t>R6 - Kota Probolinggo</t>
  </si>
  <si>
    <t>R6 - Kota Denpasar</t>
  </si>
  <si>
    <t>R6 - Kota Mataram</t>
  </si>
  <si>
    <t>R6 - Kota Kupang</t>
  </si>
  <si>
    <t>R7 - Kota Pontianak</t>
  </si>
  <si>
    <t>R7 - Kota Singkawang</t>
  </si>
  <si>
    <t>R7 - Kota Palangkaraya</t>
  </si>
  <si>
    <t>R7 - Kota Banjarmasin</t>
  </si>
  <si>
    <t>R7 - Kota Banjar Baru</t>
  </si>
  <si>
    <t>R7 - Kota Samarinda</t>
  </si>
  <si>
    <t>R7 - Kota Balikpapan</t>
  </si>
  <si>
    <t>R7 - Kota Tarakan</t>
  </si>
  <si>
    <t>R8 - Kota Manado</t>
  </si>
  <si>
    <t>R8 - Kota Kotamobagu</t>
  </si>
  <si>
    <t>R8 - Kota Bitung</t>
  </si>
  <si>
    <t>R8 - Kota Tomohon</t>
  </si>
  <si>
    <t>R8 - Kota Palu</t>
  </si>
  <si>
    <t>R8 - Kota Makasar</t>
  </si>
  <si>
    <t>R8 - Kota Pare-Pare</t>
  </si>
  <si>
    <t>R8 - Kota Palopo</t>
  </si>
  <si>
    <t>R8 - Kota Kendari</t>
  </si>
  <si>
    <t>R8 - Kota Gorontalo</t>
  </si>
  <si>
    <t>R8 - Kota Ambon</t>
  </si>
  <si>
    <t>R8 - Kota Ternate</t>
  </si>
  <si>
    <t>R8 - Kota Jayapura</t>
  </si>
  <si>
    <t>R8 - Kota Sorong</t>
  </si>
  <si>
    <t>R2 - Kab. Deliserdang</t>
  </si>
  <si>
    <t>R5 - Kab. Sukoharjo</t>
  </si>
  <si>
    <t>R5 - Kab. Banjarnegara</t>
  </si>
  <si>
    <t>R5 - Kab. Banyumas</t>
  </si>
  <si>
    <t>R5 - Kab. Blora</t>
  </si>
  <si>
    <t>R5 - Kab. Cilacap</t>
  </si>
  <si>
    <t>R5 - Kab. Klaten</t>
  </si>
  <si>
    <t>R5 - Kab. Kudus</t>
  </si>
  <si>
    <t>R5 - Kab. Bantul</t>
  </si>
  <si>
    <t>R5 - Kab. Sleman</t>
  </si>
  <si>
    <t>R6 - Kab. Gresik</t>
  </si>
  <si>
    <t>R6 - Kab. Sidoarjo</t>
  </si>
  <si>
    <t>R6 - Kab. Badung</t>
  </si>
  <si>
    <t>R6 - Kab. Gianyar</t>
  </si>
  <si>
    <t>R6 - Kab. Lombok Barat</t>
  </si>
  <si>
    <t>R6 - Kab. Lombok Tengah</t>
  </si>
  <si>
    <t>R6 - Kab. Lombok Timur</t>
  </si>
  <si>
    <t>R6 - Kab. Lombok Utara</t>
  </si>
  <si>
    <t>R7 - Kab. Ketapang</t>
  </si>
  <si>
    <t>R8 - Kab. Banggai</t>
  </si>
  <si>
    <t>R8 - Kab. Gowa</t>
  </si>
  <si>
    <t>R8 - Kab. Bulukumba</t>
  </si>
  <si>
    <t>R8 - Kab. Maros</t>
  </si>
  <si>
    <t>R1 - Kota/Kab. Bekasi</t>
  </si>
  <si>
    <t>R1 - Kota/Kab. Bogor</t>
  </si>
  <si>
    <t>R1 - Kota/Kab. Tangerang</t>
  </si>
  <si>
    <t>R4 - Kota/Kab Bandung</t>
  </si>
  <si>
    <t>R5 - Kota/Kab. Pekalongan</t>
  </si>
  <si>
    <t>R6 - Kota/Kab Kediri</t>
  </si>
  <si>
    <t>Sensitize</t>
  </si>
  <si>
    <t>Fasilitas itung IE</t>
  </si>
  <si>
    <t>Bunga itung IE</t>
  </si>
  <si>
    <t xml:space="preserve">Keputusan Kredit </t>
  </si>
  <si>
    <t>MV (Rp Juta)</t>
  </si>
  <si>
    <r>
      <rPr>
        <b/>
        <sz val="10"/>
        <color indexed="8"/>
        <rFont val="Calibri"/>
        <family val="2"/>
      </rPr>
      <t>Fasilitas kartu kredit</t>
    </r>
    <r>
      <rPr>
        <sz val="10"/>
        <color indexed="8"/>
        <rFont val="Calibri"/>
        <family val="2"/>
      </rPr>
      <t xml:space="preserve">  dan/atau KTA ( tidak berlaku untuk PT yang pengelolaannya secara profesional)</t>
    </r>
  </si>
  <si>
    <t>- Apakah Debitur memiliki fasilitas kartu kredit dan/atau KTA</t>
  </si>
  <si>
    <t>- Jika Ya, jumlah kartu kredit dan/atau KTA yang dimiliki oleh calon debitur</t>
  </si>
  <si>
    <t>- Jumlah kartu kredit dan/atau KTA dengan tingkat pemakaian diatas 80%</t>
  </si>
  <si>
    <t>- Total limit kartu kredit  dan/atau KTA (dalam Rp Juta)</t>
  </si>
  <si>
    <t>- Total outstanding kartu kredit dan/atau KTA (dalam Rp Juta)</t>
  </si>
  <si>
    <t>Rekomendasi limit berdasarkan source dan lokasi jaminan</t>
  </si>
  <si>
    <t>Plafond (Rp Juta)</t>
  </si>
  <si>
    <t>Outstanding (Rp Juta)</t>
  </si>
  <si>
    <t>Condition Precedent</t>
  </si>
  <si>
    <t>Drawdown condition</t>
  </si>
  <si>
    <r>
      <t>(</t>
    </r>
    <r>
      <rPr>
        <i/>
        <sz val="10"/>
        <rFont val="Calibri"/>
        <family val="2"/>
      </rPr>
      <t>for reference</t>
    </r>
    <r>
      <rPr>
        <sz val="10"/>
        <rFont val="Calibri"/>
        <family val="2"/>
      </rPr>
      <t>)</t>
    </r>
  </si>
  <si>
    <t>•</t>
  </si>
  <si>
    <t>Perubahan manajemen inti / key person dan pemegang saham mayoritas</t>
  </si>
  <si>
    <r>
      <t xml:space="preserve">Penjelasan terkait key person dan pemegang saham mayoritas (termasuk didalamnya </t>
    </r>
    <r>
      <rPr>
        <i/>
        <sz val="10"/>
        <color indexed="8"/>
        <rFont val="Calibri"/>
        <family val="2"/>
      </rPr>
      <t>succession plan</t>
    </r>
    <r>
      <rPr>
        <sz val="10"/>
        <color indexed="8"/>
        <rFont val="Calibri"/>
        <family val="2"/>
      </rPr>
      <t>)</t>
    </r>
  </si>
  <si>
    <r>
      <t xml:space="preserve">&gt;7 - </t>
    </r>
    <r>
      <rPr>
        <sz val="11"/>
        <color indexed="8"/>
        <rFont val="Calibri"/>
        <family val="2"/>
      </rPr>
      <t>≤</t>
    </r>
    <r>
      <rPr>
        <sz val="9.35"/>
        <color indexed="8"/>
        <rFont val="Calibri"/>
        <family val="2"/>
      </rPr>
      <t xml:space="preserve"> </t>
    </r>
    <r>
      <rPr>
        <sz val="11"/>
        <color theme="1"/>
        <rFont val="Calibri"/>
        <family val="2"/>
        <scheme val="minor"/>
      </rPr>
      <t>14 Hari, DPD 1x</t>
    </r>
  </si>
  <si>
    <t>&gt;7 - ≤ 14 Hari, DPD 2x</t>
  </si>
  <si>
    <t>&gt;7 - ≤ 14 Hari, DPD 3x</t>
  </si>
  <si>
    <t>&gt;7 - ≤ 14 Hari, DPD &gt;3x</t>
  </si>
  <si>
    <t>&gt;14 - ≤ 30 Hari, DPD 1x</t>
  </si>
  <si>
    <t>&gt;14 - ≤ 30 Hari, DPD 2x</t>
  </si>
  <si>
    <t>&gt;14 - ≤ 30 Hari, DPD &gt;2x</t>
  </si>
  <si>
    <t>&lt; 7 hari, DPD &lt; 4x</t>
  </si>
  <si>
    <r>
      <t xml:space="preserve">&lt; 7 hari, DPD </t>
    </r>
    <r>
      <rPr>
        <sz val="11"/>
        <color indexed="8"/>
        <rFont val="Calibri"/>
        <family val="2"/>
      </rPr>
      <t>≥</t>
    </r>
    <r>
      <rPr>
        <sz val="11"/>
        <color theme="1"/>
        <rFont val="Calibri"/>
        <family val="2"/>
        <scheme val="minor"/>
      </rPr>
      <t xml:space="preserve"> 4x</t>
    </r>
  </si>
  <si>
    <t>Tanggal Order</t>
  </si>
  <si>
    <r>
      <t xml:space="preserve">Untuk perdagangan ritel berdasarkan </t>
    </r>
    <r>
      <rPr>
        <i/>
        <sz val="10"/>
        <rFont val="Calibri"/>
        <family val="2"/>
      </rPr>
      <t>walk-in</t>
    </r>
    <r>
      <rPr>
        <sz val="10"/>
        <rFont val="Calibri"/>
        <family val="2"/>
      </rPr>
      <t xml:space="preserve"> customer saja (tidak ada kontrak) : Dalam jarak 100m dari lokasi tokonya saat ini,berapa banyak toko yang kosong (tidak beroperasi) dalam 6 bulan terakhir? [Tidak termasuk kekosongan yang disebabkan karena renovasi atau pemilik bangunan yang tidak berniat untuk menyewakan lokasi tersebut]</t>
    </r>
  </si>
  <si>
    <r>
      <t xml:space="preserve">Untuk perdagangan ritel atau grosir berdasarkan </t>
    </r>
    <r>
      <rPr>
        <i/>
        <sz val="10"/>
        <rFont val="Calibri"/>
        <family val="2"/>
      </rPr>
      <t>walk-in</t>
    </r>
    <r>
      <rPr>
        <sz val="10"/>
        <rFont val="Calibri"/>
        <family val="2"/>
      </rPr>
      <t xml:space="preserve"> customer saja (tidak ada kontrak)  dan yang berada di area perdagangan: Dalam jarak 100m dari lokasi tokonya saat ini,berapa banyak toko yang kosong (tidak beroperasi) dalam 6 bulan terakhir? [Tidak termasuk kekosongan yang disebabkan karena renovasi atau pemilik bangunan yang tidak berniat untuk menyewakan lokasi tersebut]</t>
    </r>
  </si>
  <si>
    <r>
      <t xml:space="preserve">Seberapa kuat </t>
    </r>
    <r>
      <rPr>
        <i/>
        <sz val="10"/>
        <rFont val="Calibri"/>
        <family val="2"/>
      </rPr>
      <t>moral obligation</t>
    </r>
    <r>
      <rPr>
        <sz val="10"/>
        <rFont val="Calibri"/>
        <family val="2"/>
      </rPr>
      <t xml:space="preserve"> (keterikatan emosional) calon debitur terhadap jaminan yang diberikan? </t>
    </r>
  </si>
  <si>
    <r>
      <t>Berapa persentase dari</t>
    </r>
    <r>
      <rPr>
        <i/>
        <sz val="10"/>
        <rFont val="Calibri"/>
        <family val="2"/>
      </rPr>
      <t xml:space="preserve"> </t>
    </r>
    <r>
      <rPr>
        <sz val="10"/>
        <rFont val="Calibri"/>
        <family val="2"/>
      </rPr>
      <t>pembeli yang merupakan perorangan?</t>
    </r>
  </si>
  <si>
    <r>
      <t>Perbandingan antara pengeluaran SGA (</t>
    </r>
    <r>
      <rPr>
        <i/>
        <sz val="10"/>
        <rFont val="Calibri"/>
        <family val="2"/>
      </rPr>
      <t xml:space="preserve">selling, general, and administrative) </t>
    </r>
    <r>
      <rPr>
        <sz val="10"/>
        <rFont val="Calibri"/>
        <family val="2"/>
      </rPr>
      <t xml:space="preserve"> bulanan dengan  rata-rata penjualan per bulan</t>
    </r>
  </si>
  <si>
    <r>
      <t>Seberapa besar ketergantungan calon debitur terhadap</t>
    </r>
    <r>
      <rPr>
        <i/>
        <sz val="10"/>
        <rFont val="Calibri"/>
        <family val="2"/>
      </rPr>
      <t xml:space="preserve"> </t>
    </r>
    <r>
      <rPr>
        <sz val="10"/>
        <rFont val="Calibri"/>
        <family val="2"/>
      </rPr>
      <t>pembeli</t>
    </r>
    <r>
      <rPr>
        <i/>
        <sz val="10"/>
        <rFont val="Calibri"/>
        <family val="2"/>
      </rPr>
      <t xml:space="preserve"> </t>
    </r>
    <r>
      <rPr>
        <sz val="10"/>
        <rFont val="Calibri"/>
        <family val="2"/>
      </rPr>
      <t>utamanya?  [Hanya pilih salah satu]</t>
    </r>
  </si>
  <si>
    <r>
      <t xml:space="preserve">Seberapa besar ketergantungan calon debitur terhadap </t>
    </r>
    <r>
      <rPr>
        <i/>
        <sz val="10"/>
        <rFont val="Calibri"/>
        <family val="2"/>
      </rPr>
      <t xml:space="preserve">supplier </t>
    </r>
    <r>
      <rPr>
        <sz val="10"/>
        <rFont val="Calibri"/>
        <family val="2"/>
      </rPr>
      <t>utamanya?  [Hanya pilih salah satu]</t>
    </r>
  </si>
  <si>
    <r>
      <t xml:space="preserve">Jumlah kontribusi dari 3 </t>
    </r>
    <r>
      <rPr>
        <i/>
        <sz val="10"/>
        <rFont val="Calibri"/>
        <family val="2"/>
      </rPr>
      <t>supplie</t>
    </r>
    <r>
      <rPr>
        <sz val="10"/>
        <rFont val="Calibri"/>
        <family val="2"/>
      </rPr>
      <t>r terbesarnya terhadap total pembelian</t>
    </r>
  </si>
  <si>
    <r>
      <t xml:space="preserve">Jumlah kontribusi dari 3 </t>
    </r>
    <r>
      <rPr>
        <i/>
        <sz val="10"/>
        <rFont val="Calibri"/>
        <family val="2"/>
      </rPr>
      <t>supplier</t>
    </r>
    <r>
      <rPr>
        <sz val="10"/>
        <rFont val="Calibri"/>
        <family val="2"/>
      </rPr>
      <t xml:space="preserve"> terhadap total pembelian</t>
    </r>
  </si>
  <si>
    <t>KODE SEKOM</t>
  </si>
  <si>
    <t>KODE SID</t>
  </si>
  <si>
    <t xml:space="preserve">            - Pengisian kode sektor ekonomi tetap dilakukan di sheet pelaporan BI</t>
  </si>
  <si>
    <t>Coding 1 (Sekom)</t>
  </si>
  <si>
    <t>Coding 2 (SID)</t>
  </si>
  <si>
    <t>Sektor Ekonomy (LBU)</t>
  </si>
  <si>
    <t>Sektor Ekonomy (SID)</t>
  </si>
  <si>
    <t xml:space="preserve">            - Apabila tombol search tidak berfungsi maka lakukan filter manual pada cell C7 dengan text filter = contain / Ctrl+F</t>
  </si>
  <si>
    <t>Industry Group</t>
  </si>
  <si>
    <t>TOTAL</t>
  </si>
  <si>
    <t>CONSUMABLE GOOD</t>
  </si>
  <si>
    <t xml:space="preserve">LEATHER &amp; TEXTILE </t>
  </si>
  <si>
    <t>GARMEN</t>
  </si>
  <si>
    <t>CONSUMABLE</t>
  </si>
  <si>
    <t>Lainnya (penangkapan biota laut) - 050190</t>
  </si>
  <si>
    <t>Perdagangan Eceran Kaki Lima Bahan Kimia, Farmasi, Kosmetik, dan Alat Laboratorium  - 525300</t>
  </si>
  <si>
    <r>
      <t xml:space="preserve">Tujuan Pengajuan Fasilitas Pinjaman
</t>
    </r>
    <r>
      <rPr>
        <b/>
        <i/>
        <sz val="10"/>
        <color indexed="8"/>
        <rFont val="Calibri"/>
        <family val="2"/>
      </rPr>
      <t>&lt;&lt;Deskripsikan tujuan dari pengajuan pinjaman yang minimal mencakup jenis pinjaman yang diajukan, jumlah pengajuan, pinjaman ini akan digunakan untuk membiayai apa saja&gt;&gt;</t>
    </r>
  </si>
  <si>
    <t>Perpanjangan &amp; Tambahan</t>
  </si>
  <si>
    <t>A.  Group Exposure</t>
  </si>
  <si>
    <t>B.  Loan Proposed (Rp Juta)</t>
  </si>
  <si>
    <t>C.  Reason OLA KP</t>
  </si>
  <si>
    <t>D.  Business Issue</t>
  </si>
  <si>
    <t>E.  Financial Issue</t>
  </si>
  <si>
    <t>F.  Hubungan dengan Bank</t>
  </si>
  <si>
    <t>G.  Collateral</t>
  </si>
  <si>
    <t>`</t>
  </si>
  <si>
    <t>Appid No</t>
  </si>
  <si>
    <t>Group Information</t>
  </si>
  <si>
    <t xml:space="preserve">: </t>
  </si>
  <si>
    <t>Denda Keterlambatan</t>
  </si>
  <si>
    <t>30% per tahun atas tunggakan bunga dan atau pokok yang jatuh tempo</t>
  </si>
  <si>
    <t>2,5% per bulan atas cerukan yang melebihi batas plafond PRK dan atau atas total plafond PRK jika keterlambatan terkait dengan PRK yang belum dilakukan proses perpanjangan.</t>
  </si>
  <si>
    <t>Keterlambatan</t>
  </si>
  <si>
    <t>Pelunasan</t>
  </si>
  <si>
    <t>2% dari jumlah plafond kredit yang dilunasi</t>
  </si>
  <si>
    <t>pelunasan promes</t>
  </si>
  <si>
    <t>Denda Pelunasan Dipercepat</t>
  </si>
  <si>
    <t>2% dari jumlah outstanding kredit yang dilunasi</t>
  </si>
  <si>
    <t>Tanggal Pembayaran Angsuran</t>
  </si>
  <si>
    <t>Denda Pelunasan Dipercepat Aksep / Promes</t>
  </si>
  <si>
    <t>1% dari outstanding Aksep/Promes yang dilunasi apabila Aksep/Promes berjalan kurang dari 1 (satu) bulan</t>
  </si>
  <si>
    <t>sesuai tarif yang berlaku di bank BTPN</t>
  </si>
  <si>
    <t>B. JAMINAN</t>
  </si>
  <si>
    <t>C. BIAYA - BIAYA</t>
  </si>
  <si>
    <t>D. KETENTUAN UMUM</t>
  </si>
  <si>
    <t>Hormat Kami,</t>
  </si>
  <si>
    <t>PT.  Bank Tabungan Pensiunan Nasional, Tbk.</t>
  </si>
  <si>
    <t xml:space="preserve">A. FASILITAS KREDIT </t>
  </si>
  <si>
    <t>Existing Debitur</t>
  </si>
  <si>
    <t>Paraf  :</t>
  </si>
  <si>
    <r>
      <rPr>
        <sz val="11"/>
        <color indexed="9"/>
        <rFont val="Wingdings"/>
        <charset val="2"/>
      </rPr>
      <t>¨</t>
    </r>
    <r>
      <rPr>
        <sz val="11"/>
        <color indexed="9"/>
        <rFont val="Calibri"/>
        <family val="2"/>
      </rPr>
      <t xml:space="preserve"> 5  </t>
    </r>
    <r>
      <rPr>
        <sz val="11"/>
        <color indexed="9"/>
        <rFont val="Wingdings"/>
        <charset val="2"/>
      </rPr>
      <t>o</t>
    </r>
    <r>
      <rPr>
        <sz val="11"/>
        <color indexed="9"/>
        <rFont val="Calibri"/>
        <family val="2"/>
      </rPr>
      <t xml:space="preserve">10  </t>
    </r>
    <r>
      <rPr>
        <sz val="11"/>
        <color indexed="9"/>
        <rFont val="Wingdings"/>
        <charset val="2"/>
      </rPr>
      <t>o</t>
    </r>
    <r>
      <rPr>
        <sz val="11"/>
        <color indexed="9"/>
        <rFont val="Calibri"/>
        <family val="2"/>
      </rPr>
      <t xml:space="preserve">15  </t>
    </r>
    <r>
      <rPr>
        <sz val="11"/>
        <color indexed="9"/>
        <rFont val="Wingdings"/>
        <charset val="2"/>
      </rPr>
      <t>o</t>
    </r>
    <r>
      <rPr>
        <sz val="11"/>
        <color indexed="9"/>
        <rFont val="Calibri"/>
        <family val="2"/>
      </rPr>
      <t>20</t>
    </r>
  </si>
  <si>
    <r>
      <rPr>
        <sz val="11"/>
        <color indexed="9"/>
        <rFont val="Wingdings"/>
        <charset val="2"/>
      </rPr>
      <t>¨</t>
    </r>
    <r>
      <rPr>
        <sz val="11"/>
        <color indexed="9"/>
        <rFont val="Calibri"/>
        <family val="2"/>
      </rPr>
      <t xml:space="preserve"> 5  </t>
    </r>
    <r>
      <rPr>
        <sz val="11"/>
        <color indexed="9"/>
        <rFont val="Wingdings"/>
        <charset val="2"/>
      </rPr>
      <t>o</t>
    </r>
    <r>
      <rPr>
        <sz val="11"/>
        <color indexed="9"/>
        <rFont val="Calibri"/>
        <family val="2"/>
      </rPr>
      <t xml:space="preserve">10  </t>
    </r>
    <r>
      <rPr>
        <sz val="11"/>
        <color indexed="9"/>
        <rFont val="Wingdings"/>
        <charset val="2"/>
      </rPr>
      <t>o</t>
    </r>
    <r>
      <rPr>
        <sz val="11"/>
        <color indexed="9"/>
        <rFont val="Calibri"/>
        <family val="2"/>
      </rPr>
      <t xml:space="preserve">15  </t>
    </r>
    <r>
      <rPr>
        <sz val="11"/>
        <color indexed="9"/>
        <rFont val="Wingdings"/>
        <charset val="2"/>
      </rPr>
      <t>o</t>
    </r>
    <r>
      <rPr>
        <sz val="11"/>
        <color indexed="9"/>
        <rFont val="Calibri"/>
        <family val="2"/>
      </rPr>
      <t>20</t>
    </r>
  </si>
  <si>
    <t>Debitur - 2</t>
  </si>
  <si>
    <t>Debitur - 3</t>
  </si>
  <si>
    <t>None</t>
  </si>
  <si>
    <t>One Obligor</t>
  </si>
  <si>
    <t>Jumlah Rekening Koran:</t>
  </si>
  <si>
    <t>I.  Kesimpulan</t>
  </si>
  <si>
    <r>
      <t>H. Catatan Tambahan (</t>
    </r>
    <r>
      <rPr>
        <i/>
        <sz val="11"/>
        <color indexed="8"/>
        <rFont val="Calibri"/>
        <family val="2"/>
      </rPr>
      <t>untuk debitur exisiting</t>
    </r>
    <r>
      <rPr>
        <sz val="11"/>
        <color theme="1"/>
        <rFont val="Calibri"/>
        <family val="2"/>
        <scheme val="minor"/>
      </rPr>
      <t xml:space="preserve">, </t>
    </r>
    <r>
      <rPr>
        <i/>
        <sz val="11"/>
        <color indexed="8"/>
        <rFont val="Calibri"/>
        <family val="2"/>
      </rPr>
      <t>cantumkan perbandingan mengenai perkembangan sales, mutasi kredit, utilisasi fasilitas ,</t>
    </r>
  </si>
  <si>
    <r>
      <rPr>
        <sz val="11"/>
        <color theme="1"/>
        <rFont val="Calibri"/>
        <family val="2"/>
        <scheme val="minor"/>
      </rPr>
      <t xml:space="preserve">     </t>
    </r>
    <r>
      <rPr>
        <i/>
        <sz val="11"/>
        <color indexed="8"/>
        <rFont val="Calibri"/>
        <family val="2"/>
      </rPr>
      <t>dan past performance record serta hal - hal lain yang menjadi concern atas review sebelumnya</t>
    </r>
    <r>
      <rPr>
        <sz val="11"/>
        <color theme="1"/>
        <rFont val="Calibri"/>
        <family val="2"/>
        <scheme val="minor"/>
      </rPr>
      <t>)</t>
    </r>
  </si>
  <si>
    <t>Strategi Bisnis :</t>
  </si>
  <si>
    <t>Increase</t>
  </si>
  <si>
    <t>Maintain</t>
  </si>
  <si>
    <t>Decrease</t>
  </si>
  <si>
    <t>Phase Out</t>
  </si>
  <si>
    <t>: Jika debitur memiliki potensi untuk ditingkatkan kreditnya karena pertumbuhan dan perkembangan bisnisnya, dengan didukung oleh ketersediaan jaminan</t>
  </si>
  <si>
    <t>: Jika usaha debitur mengalami penurunan namun tidak mempengaruhi pembayaran kewajiban kepada bank, sehingga fasilitas kredit akan diturunkan</t>
  </si>
  <si>
    <t>: Jika debitur belum memiliki rencana dan potensi untuk ditingkatkan kreditnya, karena pinjaman yang dimiliki saat ini telah memenuhi kebutuhan modal kerja dan/atau  investasi debitur, atau ketidaktersediaan jaminan</t>
  </si>
  <si>
    <t>: Jika debitur diminta melunasi fasilitas kredit (sekaligus maupun bertahap) karena dugaan fraud, usaha menurun/tutup, atau penyebab  lainnya dimana hal ini mempengaruhi pembayaran kewajiban kepada bank</t>
  </si>
  <si>
    <t>Note :  - Tuliskan sebagian kata saja untuk usaha yang akan dicari kemudian klik search</t>
  </si>
  <si>
    <t xml:space="preserve">             - Untuk mengembalikan ke table normal (all data) kosongkan saja Descripsi Usaha lalu klik search</t>
  </si>
  <si>
    <t xml:space="preserve">            - Apabila drop down sektor ekonomi di sheet pelaporan BI tidak berfungsi maka lakukan :</t>
  </si>
  <si>
    <r>
      <t xml:space="preserve">              copy kolom Sektor Ekonomy (LBU) dan paste value ke kolom</t>
    </r>
    <r>
      <rPr>
        <b/>
        <i/>
        <sz val="10"/>
        <color indexed="8"/>
        <rFont val="Calibri"/>
        <family val="2"/>
      </rPr>
      <t xml:space="preserve"> sektor ekonomi LBU di sheet Pelaporan BI</t>
    </r>
  </si>
  <si>
    <t>Heavy Equipment</t>
  </si>
  <si>
    <t>Commercial Transport Vehicle</t>
  </si>
  <si>
    <t>Tug Bot &amp; Barge</t>
  </si>
  <si>
    <t>Hipotik</t>
  </si>
  <si>
    <t>GARMEN (Incl. Jewelry &amp; Accessories)</t>
  </si>
  <si>
    <t xml:space="preserve">Bandung </t>
  </si>
  <si>
    <t>Ambon Mardhika</t>
  </si>
  <si>
    <t>Jl. AJ. Patty No. 609 Kel. Honipopu Kec.Sirimau Kota Ambon Maluku</t>
  </si>
  <si>
    <t>Tasikmalaya Yudanegara</t>
  </si>
  <si>
    <t xml:space="preserve">Jl. Yudanegara No. 24 RT 003/001 Kel. Yudanegara Kec. Cihideung Kota Tasikmalaya </t>
  </si>
  <si>
    <t>Tegal Sutomo</t>
  </si>
  <si>
    <t>Purnabakti/FBC</t>
  </si>
  <si>
    <t>Jl. Dr. Soetomo 24 Tegal</t>
  </si>
  <si>
    <t>Bandung Kopo 2</t>
  </si>
  <si>
    <t>Sunter</t>
  </si>
  <si>
    <t>Jakarta Sunter</t>
  </si>
  <si>
    <t>Ruko Sunter Puri Mutiara, Perumahan Puri Mutiara Blok A Kav 72-73</t>
  </si>
  <si>
    <t>Tangerang Gading Serpong</t>
  </si>
  <si>
    <t>Gading Serpong Boulevard</t>
  </si>
  <si>
    <t xml:space="preserve"> Jl. Boulevard Raya Blok BA.02 No.25–26,Gading Serpong</t>
  </si>
  <si>
    <t xml:space="preserve">Jakarta Tanah Abang </t>
  </si>
  <si>
    <t>Jl. KH Fachrudin 36 Blok BB No. 1, Jakarta – 10250</t>
  </si>
  <si>
    <t xml:space="preserve">Jakarta Jatinegara </t>
  </si>
  <si>
    <t xml:space="preserve">Jl. Raya Jatinegara Timur No. 107 C 
Kel. Balimester, Kec. Jatinegara, Jakarta Timur – 13310
</t>
  </si>
  <si>
    <t>Jakarta Taman Palem 2</t>
  </si>
  <si>
    <t>Tangerang BSD</t>
  </si>
  <si>
    <t xml:space="preserve">Ruko Bidex Blok C No. 1-2,
Jl. Pahlawan Seribu, BSD City, Tangerang 15318
</t>
  </si>
  <si>
    <t xml:space="preserve">Semarang </t>
  </si>
  <si>
    <t>Semarang MH Thamrin</t>
  </si>
  <si>
    <t>Jl. MH. Thamrin No 114  RT 006/005 Kel. Miroto Kec. Semarang Tengah</t>
  </si>
  <si>
    <t>Surabaya Jemur Andayani</t>
  </si>
  <si>
    <t>Ruko Surya Inti Permata Blok F 6C, di Jalan Raya Jemur Andayani No.50, Kelurahan Siwalankerto Kec. Wonocolo Kotamadya Surabaya.</t>
  </si>
  <si>
    <t xml:space="preserve">Jabatan : </t>
  </si>
  <si>
    <t xml:space="preserve">Nama : </t>
  </si>
  <si>
    <t>Dimonitor Oleh</t>
  </si>
  <si>
    <t>Sifat Kredit SID</t>
  </si>
  <si>
    <t>Code</t>
  </si>
  <si>
    <t>SID860</t>
  </si>
  <si>
    <t>SID891</t>
  </si>
  <si>
    <t>Sifat Kredit LBU</t>
  </si>
  <si>
    <t>SID892</t>
  </si>
  <si>
    <t>SID893</t>
  </si>
  <si>
    <t>SID894</t>
  </si>
  <si>
    <t>Kategori_Debitur</t>
  </si>
  <si>
    <t>SID895</t>
  </si>
  <si>
    <t>SID896</t>
  </si>
  <si>
    <t>SID897</t>
  </si>
  <si>
    <t>SID898</t>
  </si>
  <si>
    <t>SID900</t>
  </si>
  <si>
    <t>SID901</t>
  </si>
  <si>
    <t>SID902</t>
  </si>
  <si>
    <t>SID907</t>
  </si>
  <si>
    <t>List Golongan Debitur</t>
  </si>
  <si>
    <t>0605 - untuk kredit lainnya</t>
  </si>
  <si>
    <t>Laba Rugi Tahun Lalu</t>
  </si>
  <si>
    <t>Pendapatan Operasional</t>
  </si>
  <si>
    <t>Bank 11</t>
  </si>
  <si>
    <t>Bank 12</t>
  </si>
  <si>
    <t>Bank 13</t>
  </si>
  <si>
    <t>Bank 14</t>
  </si>
  <si>
    <t>Bank 15</t>
  </si>
  <si>
    <r>
      <t xml:space="preserve">Untuk perdagangan ritel atau grosir berdasarkan </t>
    </r>
    <r>
      <rPr>
        <i/>
        <sz val="10"/>
        <rFont val="Calibri"/>
        <family val="2"/>
      </rPr>
      <t>walk-in</t>
    </r>
    <r>
      <rPr>
        <sz val="10"/>
        <rFont val="Calibri"/>
        <family val="2"/>
      </rPr>
      <t xml:space="preserve"> customer saja (tidak ada kontrak)  dan yang berada di area perdagangan: Dalam jarak 100m dari lokasi tokonya saat ini,berapa banyak toko yang kosong (tidak beroperasi) dalam 6 bulan terakhir? [Tidak termasuk kekosongan yang disebabkan karena renovasi atau pemilik bangunan yang tidak berniat untuk menyewakan lokasi tersebut]</t>
    </r>
  </si>
  <si>
    <r>
      <t xml:space="preserve">Seberapa kuat </t>
    </r>
    <r>
      <rPr>
        <i/>
        <sz val="10"/>
        <rFont val="Calibri"/>
        <family val="2"/>
      </rPr>
      <t>moral obligation</t>
    </r>
    <r>
      <rPr>
        <sz val="10"/>
        <rFont val="Calibri"/>
        <family val="2"/>
      </rPr>
      <t xml:space="preserve"> (keterikatan emosional) calon debitur terhadap jaminan yang diberikan? </t>
    </r>
  </si>
  <si>
    <r>
      <t>Perbandingan antara pengeluaran SGA (</t>
    </r>
    <r>
      <rPr>
        <i/>
        <sz val="10"/>
        <rFont val="Calibri"/>
        <family val="2"/>
      </rPr>
      <t xml:space="preserve">selling, general, and administrative) </t>
    </r>
    <r>
      <rPr>
        <sz val="10"/>
        <rFont val="Calibri"/>
        <family val="2"/>
      </rPr>
      <t xml:space="preserve"> bulanan dengan  rata-rata penjualan per bulan</t>
    </r>
  </si>
  <si>
    <r>
      <t>Seberapa besar ketergantungan calon debitur terhadap</t>
    </r>
    <r>
      <rPr>
        <i/>
        <sz val="10"/>
        <rFont val="Calibri"/>
        <family val="2"/>
      </rPr>
      <t xml:space="preserve"> </t>
    </r>
    <r>
      <rPr>
        <sz val="10"/>
        <rFont val="Calibri"/>
        <family val="2"/>
      </rPr>
      <t>pembeli</t>
    </r>
    <r>
      <rPr>
        <i/>
        <sz val="10"/>
        <rFont val="Calibri"/>
        <family val="2"/>
      </rPr>
      <t xml:space="preserve"> </t>
    </r>
    <r>
      <rPr>
        <sz val="10"/>
        <rFont val="Calibri"/>
        <family val="2"/>
      </rPr>
      <t>utamanya?  [Hanya pilih salah satu]</t>
    </r>
  </si>
  <si>
    <r>
      <t xml:space="preserve">Seberapa besar ketergantungan calon debitur terhadap </t>
    </r>
    <r>
      <rPr>
        <i/>
        <sz val="10"/>
        <rFont val="Calibri"/>
        <family val="2"/>
      </rPr>
      <t xml:space="preserve">supplier </t>
    </r>
    <r>
      <rPr>
        <sz val="10"/>
        <rFont val="Calibri"/>
        <family val="2"/>
      </rPr>
      <t>utamanya?  [Hanya pilih salah satu]</t>
    </r>
  </si>
  <si>
    <r>
      <t xml:space="preserve">Jumlah kontribusi dari 3 </t>
    </r>
    <r>
      <rPr>
        <i/>
        <sz val="10"/>
        <rFont val="Calibri"/>
        <family val="2"/>
      </rPr>
      <t>supplier</t>
    </r>
    <r>
      <rPr>
        <sz val="10"/>
        <rFont val="Calibri"/>
        <family val="2"/>
      </rPr>
      <t xml:space="preserve"> terhadap total pembelian</t>
    </r>
  </si>
  <si>
    <t>Quantitative Credit Assessment (QCA) v.2 (new question)</t>
  </si>
  <si>
    <t>revised (change option</t>
  </si>
  <si>
    <t>Rata-rata tenor untuk semua pinjaman (bulan)</t>
  </si>
  <si>
    <t>reworded</t>
  </si>
  <si>
    <t>Count Pinjaman dari bank lain</t>
  </si>
  <si>
    <t>Count pinjaman dari BTPN</t>
  </si>
  <si>
    <t>Tenor pinjaman keseluruhan</t>
  </si>
  <si>
    <t>Count pinjaman keseluruhan</t>
  </si>
  <si>
    <t>Tenor Modal Kerja atau Investasi</t>
  </si>
  <si>
    <t>Count Modal Kerja atau Investasi</t>
  </si>
  <si>
    <t>Average tenor pinjaman modal kerja dan investasi</t>
  </si>
  <si>
    <t>Count existing facility for invest &amp; WC</t>
  </si>
  <si>
    <t>Perseroan Terbatas (PT/PERSEROAN)</t>
  </si>
  <si>
    <t>Untuk perdagangan ritel atau grosir berdasarkan walk-in customer saja (tidak ada kontrak)  dan yang berada di area perdagangan: Dalam jarak 100m dari lokasi tokonya saat ini,berapa banyak toko yang kosong (tidak beroperasi) dalam 6 bulan terakhir? [Tidak termasuk kekosongan yang disebabkan karena renovasi atau pemilik bangunan yang tidak berniat untuk menyewakan lokasi tersebut]</t>
  </si>
  <si>
    <t>Perbandingan antara pengeluaran SGA (selling, general, and administrative)  bulanan dengan  rata-rata penjualan per bulan</t>
  </si>
  <si>
    <t>Jumlah kontribusi dari 3 supplier terhadap total pembelian</t>
  </si>
  <si>
    <t>Question V.1</t>
  </si>
  <si>
    <t>Question V.2</t>
  </si>
  <si>
    <t>Newly Question</t>
  </si>
  <si>
    <t>new</t>
  </si>
  <si>
    <t>Berapa lama usaha telah beroperasi?</t>
  </si>
  <si>
    <t>Wajib membuka rekening Giro pada PT. Bank Tabungan Pensiunan Nasional, Tbk (“Bank”) sesuai dengan ketentuan yang ditetapkan oleh Bank.</t>
  </si>
  <si>
    <t>Wajib melengkapi dan menyerahkan dokumen - dokumen yang disyaratkan dan diperlukan untuk proses pengikatan kredit dan pengikatan jaminan.</t>
  </si>
  <si>
    <t>Tidak termasuk dalam daftar kredit bermasalah di Bank Indonesia dan/atau Otoritas Jasa Keuangan.</t>
  </si>
  <si>
    <t xml:space="preserve">Penandatanganan Perjanjian Kredit dan pengikatan jaminan dilakukan secara notariil/unnotariil *).
</t>
  </si>
  <si>
    <t>Semua biaya untuk proses pengikatan fasilitas kredit dan jaminan akan menjadi tanggungan Debitur dan besarnya sesuai dengan ketentuan yang berlaku pada Bank.</t>
  </si>
  <si>
    <t>Jaminan akan dinilai oleh Bank setiap jangka waktu 18 (delapan belas) bulan atau jangka waktu lain sesuai ketentuan Bank yang akan diberitahukan kepada Debitur dan seluruh biaya yang berkaitan dengan hal tersebut menjadi tanggung jawab Debitur.</t>
  </si>
  <si>
    <t>Suku bunga fasilitas kredit yang diberikan setiap saat dapat berubah sesuai dengan kondisi yang berlaku di pasar. Dalam kondisi tertentu dimana tingkat suku bunga perbankan mengalami perubahan maka Bank atas pertimbangannya sendiri berhak untuk menyesuaikan tingkat suku bunga yang berlaku dengan pemberitahuan terlebih dahulu kepada Debitur sebelum berlakunya tingkat suku bunga yang baru tersebut.</t>
  </si>
  <si>
    <t>Suku Bunga Dasar Kredit (SBDK) digunakan sebagai dasar penetapan Suku Bunga Kredit (SBK) yang akan dikenakan kepada Debitur. SBDK belum memperhitungkan komponen estimasi premi risiko yang besarnya tergantung penilaian Bank terhadap risiko untuk masing-masing Debitur/kelompok Debitur. Dengan demikian, besarnya SBK yang dikenakan kepada Debitur belum tentu sama dengan SBDK dan SBDK ini bersifat tidak mengikat, dapat berubah sewaktu-waktu sesuai dengan perhitungan Bank. Besarnya SBDK adalah [●] % p.a. Informasi SBDK yang berlaku setiap saat dapat dilihat pada publikasi di setiap kantor Bank dan/atau website Bank.</t>
  </si>
  <si>
    <t>Pembayaran angsuran untuk fasilitas kredit dengan angsuran (PAB) wajib dilakukan sesuai dengan jadwal angsuran yang berlaku.</t>
  </si>
  <si>
    <t>Pembayaran bunga dan atau pokok untuk fasilitas kredit PB dan/atau PRK wajib dilakukan sesuai dengan jadwal pembayaran yang ditetapkan.</t>
  </si>
  <si>
    <t>Jaminan wajib ditutup dengan asuransi dan dilengkapi Klausula Bank (Banker’s Clause) dengan ketentuan:</t>
  </si>
  <si>
    <t xml:space="preserve">11.1 </t>
  </si>
  <si>
    <t>11.2</t>
  </si>
  <si>
    <t>Untuk jaminan kendaraan wajib ditutup dengan asuransi kerugian/kehilangan atas kendaraan, minimal asuransi kerugian total (Total Lost Only-TLO).</t>
  </si>
  <si>
    <r>
      <t>E. Syarat dan ketentuan yang harus dipenuhi (</t>
    </r>
    <r>
      <rPr>
        <b/>
        <i/>
        <sz val="11"/>
        <rFont val="Calibri"/>
        <family val="2"/>
      </rPr>
      <t>covenant</t>
    </r>
    <r>
      <rPr>
        <b/>
        <sz val="11"/>
        <rFont val="Calibri"/>
        <family val="2"/>
      </rPr>
      <t>)</t>
    </r>
  </si>
  <si>
    <t>H.Syarat dan Kondisi Lainnya</t>
  </si>
  <si>
    <t>Surat Penawaran ini tidak mengikat Bank sampai dengan ditandatanganinya Perjanjian Kredit dan pengikatan jaminan antara Debitur dengan Bank, dan berlaku selama tidak terdapat permasalahan hukum termasuk namun tidak terbatas yang berhubungan dengan dokumen identitas dan/atau dokumen Anggaran Dasar Debitur, dokumen jaminan serta dokumen pendukung lainnya.</t>
  </si>
  <si>
    <t>Hal lainnya yang belum diatur atau belum cukup diatur dalam Surat Penawaran ini akan diatur kemudian dalam Perjanjian Kredit dan atau surat menyurat lainnya yang merupakan satu kesatuan yang tidak terpisahkan dari Surat Penawaran ini.</t>
  </si>
  <si>
    <t>Sebagai bukti persetujuan, maka Bapak/Ibu dapat menandatangani Surat Penawaran ini di atas meterai Rp 6.000,- dan kemudian dikembalikan kepada kami.</t>
  </si>
  <si>
    <t>Terima kasih atas kepercayaan dan kerjasama yang telah diberikan.</t>
  </si>
  <si>
    <t xml:space="preserve">Jumlah Fasilitas </t>
  </si>
  <si>
    <t>Pernyataan dan Persetujuan :</t>
  </si>
  <si>
    <t>Setelah membaca dengan teliti dan seksama Surat Penawaran ini, dengan ini kami menyatakan hal-hal sebagai berikut:</t>
  </si>
  <si>
    <t>Menyetujui seluruh isi Surat Penawaran ini;</t>
  </si>
  <si>
    <t>Kami telah mendapat penjelasan yang cukup dari petugas Bank dan telah memahami karakteristik dari produk Bank yang akan digunakan serta telah memahami konsekuensi dari penggunaan produk Bank tersebut, termasuk keuntungan, risiko dan biaya-biaya yang timbul.</t>
  </si>
  <si>
    <t>Menyetujui,</t>
  </si>
  <si>
    <t>Meterai Rp. 6.000,-</t>
  </si>
  <si>
    <t>Jabatan   :</t>
  </si>
  <si>
    <t>Nama       :</t>
  </si>
  <si>
    <t xml:space="preserve">____________________      _____________________                                                    </t>
  </si>
  <si>
    <t>Legal &amp; Facility Control        Area Business Leader                                                         
Staff SME</t>
  </si>
  <si>
    <t>Nama Debitur     :</t>
  </si>
  <si>
    <t>Akumulasi penyusutan tanah dan bangunan (-/-)</t>
  </si>
  <si>
    <r>
      <t xml:space="preserve">LAPORAN RANDOM CHECKING ATAS TRADE CHECKING
</t>
    </r>
    <r>
      <rPr>
        <i/>
        <sz val="16"/>
        <color indexed="8"/>
        <rFont val="Calibri"/>
        <family val="2"/>
      </rPr>
      <t xml:space="preserve">SUPPLIER CHECKING DAN </t>
    </r>
    <r>
      <rPr>
        <i/>
        <sz val="16"/>
        <color indexed="8"/>
        <rFont val="Calibri"/>
        <family val="2"/>
      </rPr>
      <t xml:space="preserve">BUYER </t>
    </r>
    <r>
      <rPr>
        <i/>
        <sz val="14"/>
        <color indexed="8"/>
        <rFont val="Calibri"/>
        <family val="2"/>
      </rPr>
      <t>CHECKING</t>
    </r>
  </si>
  <si>
    <t>Tanggal random checking</t>
  </si>
  <si>
    <t>(Random checking minimal 1 pihak yang telah dichecking oleh RM)</t>
  </si>
  <si>
    <t>SUPPLIER CHECKING</t>
  </si>
  <si>
    <t>Metode Checking yang dilakukan oleh RM</t>
  </si>
  <si>
    <t>Metode Random Checking</t>
  </si>
  <si>
    <t>Rata - rata penjualan bulanan (Rp Juta)</t>
  </si>
  <si>
    <t>BUYER CHECKING</t>
  </si>
  <si>
    <t>Apakah fasilitas di take over</t>
  </si>
  <si>
    <r>
      <t>Kondisi yang harus dipenuhi sebelum Perjanjian Kredit (</t>
    </r>
    <r>
      <rPr>
        <b/>
        <i/>
        <sz val="10"/>
        <color indexed="8"/>
        <rFont val="Calibri"/>
        <family val="2"/>
      </rPr>
      <t>Condition Precedent</t>
    </r>
    <r>
      <rPr>
        <b/>
        <sz val="10"/>
        <color indexed="8"/>
        <rFont val="Calibri"/>
        <family val="2"/>
      </rPr>
      <t>)</t>
    </r>
  </si>
  <si>
    <r>
      <t>Kondisi yang harus dipenuhi sebelum Pencairan (</t>
    </r>
    <r>
      <rPr>
        <b/>
        <i/>
        <sz val="10"/>
        <color indexed="8"/>
        <rFont val="Calibri"/>
        <family val="2"/>
      </rPr>
      <t>Drawdown Condition)</t>
    </r>
  </si>
  <si>
    <r>
      <t>Kondisi yang harus dipenuhi sebelum Pencairan (</t>
    </r>
    <r>
      <rPr>
        <b/>
        <i/>
        <sz val="10"/>
        <color indexed="8"/>
        <rFont val="Calibri"/>
        <family val="2"/>
      </rPr>
      <t>Drawdown Condition</t>
    </r>
    <r>
      <rPr>
        <b/>
        <sz val="10"/>
        <color indexed="8"/>
        <rFont val="Calibri"/>
        <family val="2"/>
      </rPr>
      <t>)</t>
    </r>
  </si>
  <si>
    <r>
      <t>Syarat dan Kondisi Lainnya (</t>
    </r>
    <r>
      <rPr>
        <b/>
        <i/>
        <sz val="10"/>
        <color indexed="8"/>
        <rFont val="Calibri"/>
        <family val="2"/>
      </rPr>
      <t>Other Condition</t>
    </r>
    <r>
      <rPr>
        <b/>
        <sz val="10"/>
        <color indexed="8"/>
        <rFont val="Calibri"/>
        <family val="2"/>
      </rPr>
      <t>)</t>
    </r>
  </si>
  <si>
    <r>
      <rPr>
        <b/>
        <i/>
        <sz val="10"/>
        <color indexed="8"/>
        <rFont val="Calibri"/>
        <family val="2"/>
      </rPr>
      <t>Internal  Purpose</t>
    </r>
    <r>
      <rPr>
        <sz val="10"/>
        <color indexed="8"/>
        <rFont val="Calibri"/>
        <family val="2"/>
      </rPr>
      <t xml:space="preserve"> 
(merupakan condition yang bersifat internal ditujukan kepada pegawai Bank untuk melakukan suatu aktivitas atau memenuhi dokumen perkreditan)</t>
    </r>
  </si>
  <si>
    <r>
      <rPr>
        <b/>
        <i/>
        <sz val="10"/>
        <color indexed="8"/>
        <rFont val="Calibri"/>
        <family val="2"/>
      </rPr>
      <t xml:space="preserve">External Purpose </t>
    </r>
    <r>
      <rPr>
        <sz val="10"/>
        <color indexed="8"/>
        <rFont val="Calibri"/>
        <family val="2"/>
      </rPr>
      <t xml:space="preserve">
(merupakan condition yang bersifat eksternal ditujukan kepada Debitur untuk melakukan suatu aktivitas atau memenuhi dokumen perkreditan kepada Bank)</t>
    </r>
  </si>
  <si>
    <r>
      <rPr>
        <b/>
        <i/>
        <sz val="10"/>
        <color indexed="8"/>
        <rFont val="Calibri"/>
        <family val="2"/>
      </rPr>
      <t xml:space="preserve">Internal  Purpose </t>
    </r>
    <r>
      <rPr>
        <sz val="10"/>
        <color indexed="8"/>
        <rFont val="Calibri"/>
        <family val="2"/>
      </rPr>
      <t xml:space="preserve">
(merupakan condition yang bersifat internal ditujukan kepada pegawai Bank untuk melakukan suatu aktivitas atau memenuhi dokumen perkreditan)</t>
    </r>
  </si>
  <si>
    <r>
      <rPr>
        <b/>
        <i/>
        <sz val="10"/>
        <color indexed="8"/>
        <rFont val="Calibri"/>
        <family val="2"/>
      </rPr>
      <t>External Purpose</t>
    </r>
    <r>
      <rPr>
        <sz val="10"/>
        <color indexed="8"/>
        <rFont val="Calibri"/>
        <family val="2"/>
      </rPr>
      <t xml:space="preserve"> 
(merupakan condition yang bersifat eksternal ditujukan kepada Debitur untuk melakukan suatu aktivitas atau memenuhi dokumen perkreditan kepada Bank)</t>
    </r>
  </si>
  <si>
    <r>
      <rPr>
        <b/>
        <sz val="11"/>
        <color indexed="8"/>
        <rFont val="Calibri"/>
        <family val="2"/>
      </rPr>
      <t xml:space="preserve">External Purpose </t>
    </r>
    <r>
      <rPr>
        <sz val="11"/>
        <color theme="1"/>
        <rFont val="Calibri"/>
        <family val="2"/>
        <scheme val="minor"/>
      </rPr>
      <t xml:space="preserve">
(merupakan condition yang bersifat eksternal ditujukan kepada Debitur untuk melakukan suatu aktivitas atau memenuhi dokumen perkreditan kepada Bank)</t>
    </r>
  </si>
  <si>
    <r>
      <rPr>
        <b/>
        <sz val="11"/>
        <color indexed="8"/>
        <rFont val="Calibri"/>
        <family val="2"/>
      </rPr>
      <t>Internal  Purpose</t>
    </r>
    <r>
      <rPr>
        <sz val="11"/>
        <color theme="1"/>
        <rFont val="Calibri"/>
        <family val="2"/>
        <scheme val="minor"/>
      </rPr>
      <t xml:space="preserve"> 
(merupakan condition yang bersifat internal ditujukan kepada pegawai Bank untuk melakukan suatu aktivitas atau memenuhi dokumen perkreditan)</t>
    </r>
  </si>
  <si>
    <r>
      <t>F. Kondisi yang harus dipenuhi sebelum penandatanganan Perjanjian Kredit (C</t>
    </r>
    <r>
      <rPr>
        <b/>
        <i/>
        <sz val="11"/>
        <rFont val="Calibri"/>
        <family val="2"/>
      </rPr>
      <t>ondition Precedent</t>
    </r>
    <r>
      <rPr>
        <b/>
        <sz val="11"/>
        <rFont val="Calibri"/>
        <family val="2"/>
      </rPr>
      <t>)</t>
    </r>
  </si>
  <si>
    <r>
      <t>G. Kondisi yang harus dipenuhi sebelum Pencairan (</t>
    </r>
    <r>
      <rPr>
        <b/>
        <i/>
        <sz val="11"/>
        <rFont val="Calibri"/>
        <family val="2"/>
      </rPr>
      <t>Drawdown Condition</t>
    </r>
    <r>
      <rPr>
        <b/>
        <sz val="11"/>
        <rFont val="Calibri"/>
        <family val="2"/>
      </rPr>
      <t>)</t>
    </r>
  </si>
  <si>
    <t>Jenis Penggunaan SID</t>
  </si>
  <si>
    <t>Jenis Penggunaan LBU</t>
  </si>
  <si>
    <t>1 - Modal Kerja</t>
  </si>
  <si>
    <t>2 - Investasi</t>
  </si>
  <si>
    <t>Nama &amp; Jabatan</t>
  </si>
  <si>
    <t>Tanda Tangan</t>
  </si>
  <si>
    <t>Laporan Random Checking</t>
  </si>
  <si>
    <t>Bandung Kopo 1</t>
  </si>
  <si>
    <t>Bandung Kopo 3</t>
  </si>
  <si>
    <t>Jakarta Taman Palem 1</t>
  </si>
  <si>
    <t>Lampung Wolter M 1</t>
  </si>
  <si>
    <t>Lampung Wolter M 2</t>
  </si>
  <si>
    <t>Makassar Alauddin</t>
  </si>
  <si>
    <t>Mataram Pejanggik</t>
  </si>
  <si>
    <t>Palembang Cinde 1</t>
  </si>
  <si>
    <t>Palembang Cinde 2</t>
  </si>
  <si>
    <t>Pematang Siantar Sutomo</t>
  </si>
  <si>
    <t>Surabaya Darmo Golf 1</t>
  </si>
  <si>
    <t>Surabaya Darmo Golf 2</t>
  </si>
  <si>
    <t>Yogyakarta Bintaran</t>
  </si>
  <si>
    <t>Covenant (Hanya berlaku untuk eksisting Debitur)</t>
  </si>
  <si>
    <t>Condition (Hanya berlaku untuk eksisting Debitur)</t>
  </si>
  <si>
    <t>reason OLA</t>
  </si>
  <si>
    <t>Buss issue</t>
  </si>
  <si>
    <t>detail info</t>
  </si>
  <si>
    <t>daftar proyek</t>
  </si>
  <si>
    <t>group info</t>
  </si>
  <si>
    <t>Ket Fin Issue</t>
  </si>
  <si>
    <t>BTPN</t>
  </si>
  <si>
    <t>Bank Lain</t>
  </si>
  <si>
    <t>Con Precedent</t>
  </si>
  <si>
    <t>Drawdown</t>
  </si>
  <si>
    <t>ext purpose</t>
  </si>
  <si>
    <t>int purpose</t>
  </si>
  <si>
    <t>Jenis Guarantor</t>
  </si>
  <si>
    <t>Nilai Pengikatan</t>
  </si>
  <si>
    <t>Hak Tanggungan</t>
  </si>
  <si>
    <t>Cessie</t>
  </si>
  <si>
    <t>Cross Collateral?</t>
  </si>
  <si>
    <t>Tipe pengikatan</t>
  </si>
  <si>
    <t>Condition</t>
  </si>
  <si>
    <t>*Corporate Guarantee / Personal Guarantee diikat secara Borghtocht</t>
  </si>
  <si>
    <t>Fidusia</t>
  </si>
  <si>
    <t>Jaminan akan ditarik</t>
  </si>
  <si>
    <t>Coding2</t>
  </si>
  <si>
    <t>Margin Deposit</t>
  </si>
  <si>
    <t>PRK Passive</t>
  </si>
  <si>
    <t>Bekasi Mas 1</t>
  </si>
  <si>
    <t>Bekasi Mas 2</t>
  </si>
  <si>
    <t>Jakarta Jatinegara</t>
  </si>
  <si>
    <t>Jakarta Tanah Abang</t>
  </si>
  <si>
    <t>Jakarta Wisma Metropolitan</t>
  </si>
  <si>
    <t>Tangerang Bsd</t>
  </si>
  <si>
    <t>Tangerang Bsd 2</t>
  </si>
  <si>
    <t>Medan Asia</t>
  </si>
  <si>
    <t>Pekan Baru Riau 1</t>
  </si>
  <si>
    <t>Pekan Baru Riau 2</t>
  </si>
  <si>
    <t>Semarang Mh Thamrin</t>
  </si>
  <si>
    <t>Semarang Mt Haryono 1</t>
  </si>
  <si>
    <t>Semarang Mt Haryono 2</t>
  </si>
  <si>
    <t>Ambon A.Y. Patty</t>
  </si>
  <si>
    <t>Kendari Madonga</t>
  </si>
  <si>
    <t>Region 1A – Jakarta</t>
  </si>
  <si>
    <t>Region 1B – Jakarta</t>
  </si>
  <si>
    <t>Region 2 – Medan</t>
  </si>
  <si>
    <t>Region 3 – Palembang</t>
  </si>
  <si>
    <t>Region 4 – Bandung</t>
  </si>
  <si>
    <t>Region 5 – Semarang</t>
  </si>
  <si>
    <t>Region 6 – Surabaya</t>
  </si>
  <si>
    <t>Region 7 – Balikpapan</t>
  </si>
  <si>
    <t>Region 8 – Makassar</t>
  </si>
  <si>
    <t>reg1a</t>
  </si>
  <si>
    <t>reg1b</t>
  </si>
  <si>
    <t>reg2</t>
  </si>
  <si>
    <t>reg3</t>
  </si>
  <si>
    <t>reg4</t>
  </si>
  <si>
    <t>reg5</t>
  </si>
  <si>
    <t>reg6</t>
  </si>
  <si>
    <t>reg7</t>
  </si>
  <si>
    <t>reg8</t>
  </si>
  <si>
    <t>Debitur tidak termasuk dalam Daftar Hitam BI (DHBI) / BI Blacklist</t>
  </si>
  <si>
    <t>Usaha debitur (termasuk didalamnnya pengalaman key person) telah berjalan minimum 2 tahun, kecuali dapat dibuktikan bahwa usaha debitur yang baru dibentuk adalah pengembangan dari usaha sebelumnya</t>
  </si>
  <si>
    <t xml:space="preserve">CIF No                   : </t>
  </si>
  <si>
    <t>APPID No              :</t>
  </si>
  <si>
    <t>BI Checking dengan kolektabilitas 1 dalam 3 bulan terakhir</t>
  </si>
  <si>
    <t>Hasil positif berdasarkan hasil checking</t>
  </si>
  <si>
    <t xml:space="preserve">Rata – rata penggunaan pinjaman rekening koran (jika ada) dalam 3 bulan terakhir </t>
  </si>
  <si>
    <t xml:space="preserve">DPD dalam 3 bulan terakhir </t>
  </si>
  <si>
    <t>% Historical borrowing to sales</t>
  </si>
  <si>
    <t>•  DPD dalam 3 bulan terakhir</t>
  </si>
  <si>
    <t>•  Swing</t>
  </si>
  <si>
    <t>•  Rata – rata penggunaan kartu kredit dan/atau KTA</t>
  </si>
  <si>
    <t>•  Pinjaman Modal Kerja</t>
  </si>
  <si>
    <t>•  Pinjaman Modal Kerja + Investasi</t>
  </si>
  <si>
    <t>•  Tolakan cek karena saldo tidak cukup</t>
  </si>
  <si>
    <t>Proposed Value</t>
  </si>
  <si>
    <t>Approved Value</t>
  </si>
  <si>
    <t>Proposed Grade</t>
  </si>
  <si>
    <t>Approved Grade</t>
  </si>
  <si>
    <t>Plafond MKK :</t>
  </si>
  <si>
    <t>Dev &lt;=5M</t>
  </si>
  <si>
    <t>Dev &gt;5M</t>
  </si>
  <si>
    <t xml:space="preserve">Grossed Up = </t>
  </si>
  <si>
    <t>Diperhitungkan dalam LTV?</t>
  </si>
  <si>
    <t>Aset Produktif?</t>
  </si>
  <si>
    <t>Total nilai pasar jaminan yang diperhitungkan dalam LTV</t>
  </si>
  <si>
    <t>Persentase aset produktif</t>
  </si>
  <si>
    <t>3 bulan terakhir</t>
  </si>
  <si>
    <t>2 bulan terakhir</t>
  </si>
  <si>
    <t>&lt; 5M</t>
  </si>
  <si>
    <t>&gt;5M</t>
  </si>
  <si>
    <t>Criteria 2 - % Penjualan Bersih per tahun</t>
  </si>
  <si>
    <t>Total Nilai Pasar yang diperhitungkan dalam LTV</t>
  </si>
  <si>
    <t>Average tenor pinjaman keseluruhan</t>
  </si>
  <si>
    <t>Count tenor Eksisting</t>
  </si>
  <si>
    <t>Diperhitungkan dalam LTV</t>
  </si>
  <si>
    <t>Total LTV Proposed (Jaminan diperhitungkan dalam LTV)</t>
  </si>
  <si>
    <t>EBITDA</t>
  </si>
  <si>
    <t>Aset</t>
  </si>
  <si>
    <t>DPD &lt;= 7 hari karena saldo tidak cukup</t>
  </si>
  <si>
    <t>DPD &lt;= 7 hari karena alasan lainnya</t>
  </si>
  <si>
    <t>DPD &gt; 7 hari - 14 hari</t>
  </si>
  <si>
    <t>DPD &gt; 14 hari</t>
  </si>
  <si>
    <r>
      <t xml:space="preserve">Historical DPD dalam 3 bulan terakhir : </t>
    </r>
    <r>
      <rPr>
        <i/>
        <sz val="10"/>
        <color indexed="8"/>
        <rFont val="Calibri"/>
        <family val="2"/>
      </rPr>
      <t>(berdasarkan BI checking dan rekening koran)</t>
    </r>
  </si>
  <si>
    <t>Final (&gt;5000)</t>
  </si>
  <si>
    <t>Collateral ID</t>
  </si>
  <si>
    <t>Kartu Kredit</t>
  </si>
  <si>
    <t>Konsumsi</t>
  </si>
  <si>
    <t>Approved (&lt;5000)</t>
  </si>
  <si>
    <t>&gt;5000</t>
  </si>
  <si>
    <t>&lt;=5000</t>
  </si>
  <si>
    <t>Rata-rata Mutasi Kredit</t>
  </si>
  <si>
    <t>(MMM - YYYY)</t>
  </si>
  <si>
    <t>%kepemilikan debitur dalam grup</t>
  </si>
  <si>
    <t>1 bulan   terakhir</t>
  </si>
  <si>
    <t>Modal Kerja &amp; Investasi</t>
  </si>
  <si>
    <t>Tipe Program
(Jika ada)</t>
  </si>
  <si>
    <t>BTB</t>
  </si>
  <si>
    <t>Supply Chain</t>
  </si>
  <si>
    <t>Generic Program</t>
  </si>
  <si>
    <t>MPB</t>
  </si>
  <si>
    <t>CS</t>
  </si>
  <si>
    <t>MPL</t>
  </si>
  <si>
    <t>CX</t>
  </si>
  <si>
    <t>MPN</t>
  </si>
  <si>
    <t>CT</t>
  </si>
  <si>
    <t>PR</t>
  </si>
  <si>
    <t>Untuk Selain PAB</t>
  </si>
  <si>
    <t xml:space="preserve">Catatan : Untuk jenis fasilitas yang sama lebih dari 1, maka pilih nama fasilitas dengan sequence number, 
Contoh : 1 Debitur punya 2 PAB, maka pilih dropdown PAB1 dan PAB2.
 </t>
  </si>
  <si>
    <t>Nomor dan Tanggal Dukumen</t>
  </si>
  <si>
    <t>Copy Laporan Penilaian Jaminan yang dikeluarkan oleh KJPP</t>
  </si>
  <si>
    <t>Copy IMB</t>
  </si>
  <si>
    <t>Copy AJB/PBB</t>
  </si>
  <si>
    <t>Copy BPKB/Invoice/Daftar Persediaan Barang</t>
  </si>
  <si>
    <t>Mengetahui</t>
  </si>
  <si>
    <t>Jabatan : RM</t>
  </si>
  <si>
    <t>Jabatan : ABL</t>
  </si>
  <si>
    <t>Tolakan cek karena saldo tidak cukup dalam 3 bulan terakhir</t>
  </si>
  <si>
    <t>ANALISA SALDO DEBIT REKENING KORAN</t>
  </si>
  <si>
    <t>Analisa Saldo Debit - Bank 1</t>
  </si>
  <si>
    <t>Rata - rata</t>
  </si>
  <si>
    <t>Analisa Saldo Debit - Bank 2</t>
  </si>
  <si>
    <t>Frekuensi Overdraft</t>
  </si>
  <si>
    <t>Analisa Saldo Debit - Bank 3</t>
  </si>
  <si>
    <t>Analisa Saldo Debit - Bank 4</t>
  </si>
  <si>
    <t>Analisa Saldo Debit - Bank 5</t>
  </si>
  <si>
    <t>Analisa Saldo Debit - Bank 6</t>
  </si>
  <si>
    <t>Analisa Saldo Debit - Bank 7</t>
  </si>
  <si>
    <t>Analisa Saldo Debit - Bank 8</t>
  </si>
  <si>
    <t>Analisa Saldo Debit - Bank 9</t>
  </si>
  <si>
    <t>Analisa Saldo Debit - Bank 10</t>
  </si>
  <si>
    <t>Analisa Saldo Debit - Bank 11</t>
  </si>
  <si>
    <t>Analisa Saldo Debit - Bank 12</t>
  </si>
  <si>
    <t>Analisa Saldo Debit - Bank 13</t>
  </si>
  <si>
    <t>Analisa Saldo Debit - Bank 14</t>
  </si>
  <si>
    <t>Analisa Saldo Debit - Bank 15</t>
  </si>
  <si>
    <t>ANALISA SALDO KREDIT REKENING KORAN</t>
  </si>
  <si>
    <t>Analisa Saldo Kredit - Bank 1</t>
  </si>
  <si>
    <t>Analisa Saldo Kredit - Bank 2</t>
  </si>
  <si>
    <t>Analisa Saldo Kredit - Bank 3</t>
  </si>
  <si>
    <t>Analisa Saldo Kredit - Bank 4</t>
  </si>
  <si>
    <t>Analisa Saldo Kredit - Bank 5</t>
  </si>
  <si>
    <t>Analisa Saldo Kredit - Bank 6</t>
  </si>
  <si>
    <t>Analisa Saldo Kredit - Bank 7</t>
  </si>
  <si>
    <t>Analisa Saldo Kredit - Bank 8</t>
  </si>
  <si>
    <t>Analisa Saldo Kredit - Bank 9</t>
  </si>
  <si>
    <t>Analisa Saldo Kredit - Bank 10</t>
  </si>
  <si>
    <t>Analisa Saldo Kredit - Bank 11</t>
  </si>
  <si>
    <t>Analisa Saldo Kredit - Bank 12</t>
  </si>
  <si>
    <t>Analisa Saldo Kredit - Bank 13</t>
  </si>
  <si>
    <t>Analisa Saldo Kredit - Bank 14</t>
  </si>
  <si>
    <t>Analisa Saldo Kredit - Bank 15</t>
  </si>
  <si>
    <r>
      <t xml:space="preserve">ANALISA REKENING KORAN
</t>
    </r>
    <r>
      <rPr>
        <sz val="12"/>
        <color indexed="8"/>
        <rFont val="Calibri"/>
        <family val="2"/>
      </rPr>
      <t>(</t>
    </r>
    <r>
      <rPr>
        <sz val="11"/>
        <color theme="1"/>
        <rFont val="Calibri"/>
        <family val="2"/>
        <scheme val="minor"/>
      </rPr>
      <t xml:space="preserve">mencakup  jika account tidak aktif - untuk eksisting debitur, transaksi reguler misalnya sewa, auto debit, </t>
    </r>
    <r>
      <rPr>
        <i/>
        <sz val="11"/>
        <color indexed="8"/>
        <rFont val="Calibri"/>
        <family val="2"/>
      </rPr>
      <t xml:space="preserve">return cheque, </t>
    </r>
    <r>
      <rPr>
        <sz val="11"/>
        <color theme="1"/>
        <rFont val="Calibri"/>
        <family val="2"/>
        <scheme val="minor"/>
      </rPr>
      <t>penjualan tidak terefleksi dalam rekening koran, bukan transaksi rutin dengan nilai yang signifikan)</t>
    </r>
  </si>
  <si>
    <t>Saldo Kredit</t>
  </si>
  <si>
    <t>Rata - rata pengendapan dana</t>
  </si>
  <si>
    <t>Total pengendapan dana</t>
  </si>
  <si>
    <t>Komite Kredit</t>
  </si>
  <si>
    <t>Sensitized</t>
  </si>
  <si>
    <t>Proyeksi EBITDA</t>
  </si>
  <si>
    <r>
      <t xml:space="preserve">Total mutasi kredit bulanan dari nota penjualan </t>
    </r>
    <r>
      <rPr>
        <i/>
        <sz val="10"/>
        <color indexed="8"/>
        <rFont val="Calibri"/>
        <family val="2"/>
      </rPr>
      <t>(tidak terdapat double counting dengan rekening koran)</t>
    </r>
  </si>
  <si>
    <r>
      <rPr>
        <b/>
        <sz val="22"/>
        <color indexed="13"/>
        <rFont val="Calibri"/>
        <family val="2"/>
      </rPr>
      <t xml:space="preserve">Template </t>
    </r>
    <r>
      <rPr>
        <b/>
        <i/>
        <sz val="22"/>
        <color indexed="13"/>
        <rFont val="Calibri"/>
        <family val="2"/>
      </rPr>
      <t>small size</t>
    </r>
    <r>
      <rPr>
        <b/>
        <sz val="22"/>
        <color indexed="13"/>
        <rFont val="Calibri"/>
        <family val="2"/>
      </rPr>
      <t>2017 v.3</t>
    </r>
    <r>
      <rPr>
        <b/>
        <sz val="18"/>
        <color indexed="13"/>
        <rFont val="Calibri"/>
        <family val="2"/>
      </rPr>
      <t xml:space="preserve">
Mohon diperhatikan !
Simpan template dengan tipe : "Excel 97-2003 Workbook"</t>
    </r>
  </si>
  <si>
    <t>Pinjaman non produktif (Tipe Fasilitas : Konsumsi, Kartu Kredit, Lainnya)</t>
  </si>
  <si>
    <t>DPD tertinggi (yang diperhitungkan)</t>
  </si>
  <si>
    <t>Plafond KK/KTA</t>
  </si>
  <si>
    <t>Outstanding KK/KTA</t>
  </si>
  <si>
    <t>Biaya Depresiasi dan Amortisasi - HPP</t>
  </si>
  <si>
    <t>Group</t>
  </si>
  <si>
    <t>Sales</t>
  </si>
  <si>
    <t>x</t>
  </si>
  <si>
    <t>Gross Akta</t>
  </si>
  <si>
    <t>IRFAN HERIYANTO HALIM</t>
  </si>
  <si>
    <t>0008C</t>
  </si>
  <si>
    <t>GABRIEL.C.LIAUWAN</t>
  </si>
  <si>
    <t>Retail</t>
  </si>
  <si>
    <t>Lokal</t>
  </si>
  <si>
    <t>Ya</t>
  </si>
  <si>
    <t>Tidak</t>
  </si>
  <si>
    <t>Pria</t>
  </si>
  <si>
    <t>KTP</t>
  </si>
  <si>
    <t>Kab Banjar</t>
  </si>
  <si>
    <t>Bagian Penjualan</t>
  </si>
  <si>
    <t>Pemilik Usaha</t>
  </si>
  <si>
    <t>Cukup</t>
  </si>
  <si>
    <t>Debitur_Perorangan</t>
  </si>
  <si>
    <t>Danamon</t>
  </si>
  <si>
    <t>PT Barito Inti Perkasa</t>
  </si>
  <si>
    <t>Nama     : Irfan Heriyanto Halim</t>
  </si>
  <si>
    <t>Nama     : Petrus Selamat Sugianto</t>
  </si>
  <si>
    <t>Banjarmasin, Kalimantan Selatan</t>
  </si>
  <si>
    <t>Bagus</t>
  </si>
  <si>
    <t>Akan dilakukan penilaian Alat Berat apabila sudah tersedia</t>
  </si>
  <si>
    <t>Nama    : Irfan Heriyanto Halim</t>
  </si>
  <si>
    <t>Nama    : Petrus Selamat Sugianto</t>
  </si>
  <si>
    <t xml:space="preserve">Nama     : </t>
  </si>
  <si>
    <t xml:space="preserve">Jabatan  : </t>
  </si>
  <si>
    <t xml:space="preserve">Nama    :  </t>
  </si>
  <si>
    <t>Bank2</t>
  </si>
  <si>
    <t xml:space="preserve">Nama    : Irfan Heriyanto Halim </t>
  </si>
  <si>
    <t xml:space="preserve">OH NJEN LIENG </t>
  </si>
  <si>
    <t>0008C00010251</t>
  </si>
  <si>
    <t>Jl A Yani km 6,5 No 31 Kertak Hanyar I Kertak Hanyar , Kab Banjar</t>
  </si>
  <si>
    <t>05116744433</t>
  </si>
  <si>
    <t>Perusahaan yang dimiliki saat ini PT Barito Inti Perkasa dikelola oleh Bp Oh Njen Lieng bersama rekan Bp Andy Susanto dengan masing2 Kepemilikan Saham 50%.</t>
  </si>
  <si>
    <t>Yuanita</t>
  </si>
  <si>
    <t>Batubara</t>
  </si>
  <si>
    <t>PT Aneka Teknik</t>
  </si>
  <si>
    <t>Jumlah Karyawan pada saat ini berjumlah 40 orang yang terdiri dari 3 staff admin kantor, dan 37 orang lainnya bagian produksi Karoseri.</t>
  </si>
  <si>
    <t xml:space="preserve">Dengan berjalannya usaha pertambangan, perkebunan kelapa sawit di Kalsel. Maka harapan dari Cadeb usaha dapat semakin lebih meningkat. </t>
  </si>
  <si>
    <t>Oh Njen Lieng</t>
  </si>
  <si>
    <t>Andy Susanto</t>
  </si>
  <si>
    <t>Direktur, Pemilik Saham 50 %</t>
  </si>
  <si>
    <t>Komisaris, Pemilik Saham 50 %</t>
  </si>
  <si>
    <t>081251355555</t>
  </si>
  <si>
    <t>bip_bjms@yahoo.com</t>
  </si>
  <si>
    <t>030942833732000</t>
  </si>
  <si>
    <t>510/6/DPMPTSP/PM/2017</t>
  </si>
  <si>
    <t>PT BARITO INTI PERKASA</t>
  </si>
  <si>
    <t>Terus meningkatkan kerjasama jasa pengolahan Karoseri</t>
  </si>
  <si>
    <t>Jl Imam Bonjol no 70, RT 11, RW 08</t>
  </si>
  <si>
    <t>3373040206610002</t>
  </si>
  <si>
    <t>6372041509560001</t>
  </si>
  <si>
    <t>Jl A.Yani km 19 RT 009, RW 005</t>
  </si>
  <si>
    <t>Permata</t>
  </si>
  <si>
    <t>KPM</t>
  </si>
  <si>
    <t>Mobil</t>
  </si>
  <si>
    <t>SHM 2895</t>
  </si>
  <si>
    <t>Asuransi Rekanan BTPN</t>
  </si>
  <si>
    <t xml:space="preserve">Internal Appraisal 23 Mei  2018, Rumah untuk tempat tinggal.
</t>
  </si>
  <si>
    <t>Rumah Tempat Tinggal</t>
  </si>
  <si>
    <t xml:space="preserve">SHM </t>
  </si>
  <si>
    <t xml:space="preserve">Lainnya, sebutkan </t>
  </si>
  <si>
    <t>Tanggal : 21-Mei - 2018</t>
  </si>
  <si>
    <t>Tanggal : 21-Mei-2018</t>
  </si>
  <si>
    <t>0008C00010252</t>
  </si>
  <si>
    <t>6372041509550001</t>
  </si>
  <si>
    <t>6372046906870001</t>
  </si>
  <si>
    <t>74</t>
  </si>
  <si>
    <t>Jl A Yani km 19 RT 009, RW 003 Kel Landasan Ulin</t>
  </si>
  <si>
    <t>Jl A yani km 6</t>
  </si>
  <si>
    <t>Panin</t>
  </si>
  <si>
    <t>KPR</t>
  </si>
  <si>
    <t>PT Benteng Anugerah Sejahtera</t>
  </si>
  <si>
    <t>PT Baja Mitra</t>
  </si>
  <si>
    <t>PT Sidomukti</t>
  </si>
  <si>
    <t>CV Cakra Perkasa Teknik</t>
  </si>
  <si>
    <t>PT Astra Isuzu</t>
  </si>
  <si>
    <t>PT Sumber Berlian Motor</t>
  </si>
  <si>
    <t>PT Mitra Lintas Borneo</t>
  </si>
  <si>
    <t>PT Borneo Auto Cemerlang</t>
  </si>
  <si>
    <t>Dealer Mobil</t>
  </si>
  <si>
    <t>Besi</t>
  </si>
  <si>
    <t>Hidraulic</t>
  </si>
  <si>
    <t>Hendy</t>
  </si>
  <si>
    <t>Jimmy</t>
  </si>
  <si>
    <t>081253628881</t>
  </si>
  <si>
    <t>081219888989</t>
  </si>
  <si>
    <t>081381816919</t>
  </si>
  <si>
    <t>08563309595</t>
  </si>
  <si>
    <t>093115764411000</t>
  </si>
  <si>
    <t>Rumah</t>
  </si>
  <si>
    <t>Office</t>
  </si>
  <si>
    <t>Arsyad</t>
  </si>
  <si>
    <t>Edy</t>
  </si>
  <si>
    <t>Engkiat</t>
  </si>
  <si>
    <t>085345068388</t>
  </si>
  <si>
    <t>081294663878</t>
  </si>
  <si>
    <t>081257145018</t>
  </si>
  <si>
    <t>Tanggal : 04-06-2018</t>
  </si>
  <si>
    <t>BCA</t>
  </si>
  <si>
    <t>7820230455</t>
  </si>
  <si>
    <t>BARITO INTI PERKASA</t>
  </si>
  <si>
    <t>MANDIRI</t>
  </si>
  <si>
    <t>0310000500168</t>
  </si>
  <si>
    <t>OH NJEN LIENG</t>
  </si>
  <si>
    <t>* Calon Debitur tidak memiliki pinjaman Modal Kerja PRK, sehingga tidak ada Rek Giro Pinjaman.</t>
  </si>
  <si>
    <t>7820038449</t>
  </si>
  <si>
    <t>* Rekening perputaran usaha yang digunakan yaitu Rek BCA 7820230455 an Barito Inti Perkasa, Rek Mandiri 0310000500168 an Oh Njen Lieng &amp; Rek BCA 7820038449 an Barito Inti Perkasa.</t>
  </si>
  <si>
    <t>* Tidak pernah terjadi Tolakan/ Return Cheque baik masuk maupun keluar.</t>
  </si>
  <si>
    <t>Tanggal : 19 Jun 2018</t>
  </si>
  <si>
    <t>Tanggal :   Jun 2018</t>
  </si>
  <si>
    <t>* Sales historikal sesuai dengan laporan keuangan proforma, sebesar Rp 1.563 Juta/bln terverifikasi dari Mutasi Kredit rekening transaksional Cadeb sebesar Rp 1,2 M an/bln (76%).</t>
  </si>
  <si>
    <t xml:space="preserve">* Inv DOH Feb 2018 selama 30-40 hari stock barang untuk plat besi bahan pembuatan Karoseri &amp; Komponen, terbilang standart untuk mencegah turun naiknya harga besi plat. Sedangkan untuk AR, AP adalah standart dengan rata2 sekitar 35 hr. 
</t>
  </si>
  <si>
    <t xml:space="preserve">* Dasar Sales Proyeksi sebesar Rp 20,63 M/ tahun dengan proyeksi adanya prediksi kenaikkan 10%,karena meningkatnya permintaan pembuatan Karoseri yg digunakan untuk usaha. Adanya pemberian pinjaman utang jangka pendek PRK BTPN Rp 1,4 M dan adanya pembelian Stock besi untuk mencegah turun naik nya besi plat yang dipengaruhi harga standart kebijakan luar negeri.
</t>
  </si>
  <si>
    <r>
      <t>Beberapa kerjasama pelanggan rutin pembuatan Karoseri seperti PT Astra Isuzu, PT Sumber Berlian Motor, PT Mitra Lintas Borneo, PT Borneo Auto Cemerlang.Dan pelanggan2 lainnya saat ini berjumlah sekitar 20 pelanggan. Pembayaran dari pelanggan (AR) dengan rata2 pembayaran sekitar 35 hr</t>
    </r>
    <r>
      <rPr>
        <sz val="10"/>
        <rFont val="Calibri"/>
        <family val="2"/>
      </rPr>
      <t xml:space="preserve"> (setelah selesai diolah Karoseri dilakukan pengecekkan oleh pelanggan,bentuk,ukuran, dan bahan yang diminta, jika tidak ada lagi tambahan atau revisi /sudah sesuai yang diharapkan, dilakukan penagihan oleh Cadeb yang kemudian akan dilakukan pembayaran)</t>
    </r>
    <r>
      <rPr>
        <sz val="10"/>
        <color indexed="8"/>
        <rFont val="Calibri"/>
        <family val="2"/>
      </rPr>
      <t>. Dan untuk pembelian sparepart ke Supplier (AP) seperti PT Benteng Anugerah Sejahtera, PT Sidomukti, CV Cakra Perkasa Teknik,dll rata2 pembayaran sekitar 30</t>
    </r>
    <r>
      <rPr>
        <sz val="10"/>
        <rFont val="Calibri"/>
        <family val="2"/>
      </rPr>
      <t xml:space="preserve"> hr.</t>
    </r>
  </si>
  <si>
    <t xml:space="preserve">Dengan adanya modal yang diberikan BTPN calon debitur lebih mudah untuk mengatur operasional usaha, karena harga besi plat yang cenderung turun naik dipengaruhi kebijakkan luar negeri.
</t>
  </si>
  <si>
    <t>Transportir BBM</t>
  </si>
  <si>
    <t>* Berdasarkan Ratio keuangan pada Lap Keuangan untuk Ratio2 masih sesuai standart tidak adanya penyimpangan.</t>
  </si>
  <si>
    <t>* Berdasarkan analisa lap keuangan proforma, sensitize dan proyeksi tidak adanya perubahan angka yang signifikan.</t>
  </si>
  <si>
    <t>* Jaminan LTV 93,2%.</t>
  </si>
  <si>
    <t>* Pembayaran pinjaman untuk hutang jangka panjang adalah dengan OS hanya Rp 331,96 jt. Pinjaman adalah KPR dan KPM Double Cabin.</t>
  </si>
  <si>
    <t>Usaha yang dijalankan Bp Oh Njen Lieng (Cadeb) yaitu meliputi jasa pembuatan Karoseri Bak Dump Truk, Tangki Minyak,dsb dengan nama perusahaan PT Barito Inti Perkasa. Penjualan Komponen Karoseri seperti Hydraulic Dump Truck berfungsi untuk pengangkat bak untuk mengeluarkan material yang diangkut Truck ke tanah, Pompa Oli, dan Gear Pump. Ukuran Karoseri atau Tangki BBM berdasarkan pesanan ukuran yang dipesan dari pelanggan melalui order telepon atau langsung datang ke Kantor &amp; Bengkel cadeb. Ukuran panjang x lebar x Tinggi Karoseri dapat disesuaikan sesuai dengan ukuran dari customer atau ukuran standart. 
Bahan2 yang diperlukan dalam pembuatan Karoseri Besi Baja Plat, Besi UNP (Bentuk Kanal) dan komponen lainnya.
Alur Proses pembuatan Karoseri : Plat Besi Baja dipotong sesuai dengan ukuran yang diinginkan, kemudian dibentuk (bending), ditekuk, ditambah dengan komponen-komponen yang diperlukan, ada pengelasan dan dirakit dengan mesin las, setelah selesai pembentukkan dinaikkan ke Armada (unit) dilakukan proses penyetelan dan pengecetan sampai dengan selesai. Mesin2 yang digunakan: Mesin Bending, Mesin Potong, dan Mesin Las CO. 
Jumlah Karoseri rata2 yang dibuat sekitar 25 unit/bln dengan harga kisaran Rp 50 jt an sd Rp 100 jt an. Kondisi saat ini diharapkan oleh cadeb dapat meningkatkan penjualan jasa pembuatan Karoseri yang dipergunakan untuk Armada Angkutan pengangkutan batubara, Kelapa Sawit, dan usaha transportir BBM. 
Jam Operasional usaha Senin sd Sabtu jam 08:00 pagi sd jam 05:00 sore dengan dibantu oleh 40 orang tenaga kerja (3 orang staff Administrasi &amp; Keuangan, dan 37 orang mekanik, bagian produksi pembuatan).</t>
  </si>
  <si>
    <r>
      <t xml:space="preserve">Rata2 penghasilan usaha sekitar Rp 1, 5 M an/bln, dengan GPM kisaran </t>
    </r>
    <r>
      <rPr>
        <sz val="10"/>
        <color indexed="8"/>
        <rFont val="Calibri"/>
        <family val="2"/>
      </rPr>
      <t>kisaran 30%. Pinjaman saat ini belum adanya fas modal kerja, ada pinjaman hanya KPR (yang akan di TO dari Bank Panin), dan 2 fas KPM. Sales terefleksi juga pada Mutasi rekening. Keuntungan % GPM yang diperoleh oleh cadeb cukup besar karena pembuatan Karoseri diperlukan keahlian khusus, tidak banyak pesaing usaha atau pengusaha yang bergerak dalam usaha pembuatan Karoseri.</t>
    </r>
  </si>
  <si>
    <t xml:space="preserve">Usaha pembuatan Karoseri di Banjarmasin tidak terlalu banyak pesaing. Tarif pembuatan jasa Karoseri misal Bak Dump Truck ukuran PxLxT : 4,2 mtr x 2 mtr x 1,4 mtr sekitar Rp 56 jt an,  Tangki BBM Solar Industri 5 rb liter Rp 52 jt an, Tangki BBM Ssolar Industri Rp 104 jt an.  
Siklus usaha jasa Industri pengolahan Karoseri :
1. Adanya pemesanan pembuatan Karoseri sesuai dengan pemesanan yang disepakati. 
2. Pembayaran DP oleh customer.
3. Dilakukan proses pembuatan Karoseri : pembentukkan Plat Besi Baja. 
4. Dibuatkan Nota Penagihan oleh perusahaan debitur. 
</t>
  </si>
  <si>
    <t xml:space="preserve">  Informasi Positif : 
-Usaha yang dijalankan oleh Cadeb termasuk usaha yg susah untuk ditiru, karena tidak semua pengusaha bisa menjalankan usaha ini dan kompetitor di Banjarmasin tidak terlalu banyak.
-Usaha yang dijalankan sangat diperlukan setiap angkutan Truck, sehingga mengangkut muatan barang lebih kuat, karena terbuat dari plat baja.
</t>
  </si>
  <si>
    <t xml:space="preserve">Berdasarkan data dan analisa dilapangan maka area merekomendasikan pemberian fasilitas pinjaman sbb :
PRK Rp 1.400 Jt dengan jk waktu 12 bulan untuk membiayai modal kerja usaha khususnya untuk membiayai piutang usaha (AR) &amp; stock barang (AI). 
Dengan adanya modal yang diberikan BTPN calon debitur lebih mudah untuk mengatur operasional usaha, karena harga besi plat yang cenderung turun naik dipengaruhi kebijakkan luar negeri.
Keterkaitan fasilitas &amp; jaminan yang akan diberikan BTPN, masih terkait dengan fas KPR Panin yang dilakukan pelunasan sendiri terlebih dahulu oleh cadeb sejumlah OS,bunga berjalan,dll kondisi terupdate.  </t>
  </si>
  <si>
    <t xml:space="preserve">Dengan Pertimbangan :
1. Usaha sudah berlangsung sejak thn 2010 sd sekarang (8 thn), dimana usaha terus berkembang dari tahun ke tahun.
2. Bp Oh Njen Lieng memiliki track record pembayaran yang bagus pada BI Checking telah dilakukan pengecekkan &amp; Analisa Rekening. Pembayaran fasilitas pinjaman tepat waktu  
3. Berdasarkan perhitungan DSR adalah sebesar 8,81x masih diatas ketentuan.
3. Cadeb memiliki saldo mengendap rata2/bulan Rp 258 jt an, pada saat pengajuan fasilitas kredit.
 </t>
  </si>
  <si>
    <t>Sampit</t>
  </si>
  <si>
    <t>05114720552</t>
  </si>
  <si>
    <t>Edy Yustian 081349758941</t>
  </si>
  <si>
    <t>Istri</t>
  </si>
  <si>
    <t>Wanita</t>
  </si>
  <si>
    <t>Staff</t>
  </si>
  <si>
    <t>Anna</t>
  </si>
  <si>
    <t xml:space="preserve">Penjualan </t>
  </si>
  <si>
    <t>Citibank</t>
  </si>
  <si>
    <t>* WI Need berdasarkan Analisa Kebutuhan Modal Kerja sebesar 2,02 M, sedangkan modal kerja yang akan diberikan adlah Rp 1,4 M (69,29%)</t>
  </si>
  <si>
    <t xml:space="preserve">*  Berdasarkan perhitungan lap Keuangan, Maka DSR sebanyak 7,57X (As Proposed). Asumsi DSR Proyeksi dengan memperhitungkan adanya CPLTD &amp; IE DSR adalah sebesar 3.29 X. 
</t>
  </si>
  <si>
    <t>* Berdasarkan Analisa Rekening tidak adanya pembayaran keterlambatan (DPD), terlihat tidak adanya pembayaran Denda, Tunggakan pembayaran bunga.</t>
  </si>
  <si>
    <t>Usaha bergerak di bidang jasa pembuatan Karoseri Bak Dump Truk, Tangki Minyak,dsb dengan nama perusahaan PT Barito Inti Perkasa. Penjualan Komponen Karoseri seperti Hydraulic Dump Truck berfungsi untuk pengangkat bak untuk mengeluarkan material yang diangkut Truck ke tanah, Pompa Oli, dan Gear Pump. Ukuran Karoseri atau Tangki BBM berdasarkan pesanan ukuran yang dipesan dari pelanggan melalui order telepon atau langsung datang ke Kantor &amp; Bengkel cadeb. Ukuran panjang x lebar x Tinggi Karoseri dapat disesuaikan sesuai dengan ukuran dari customer atau ukuran standart. 
Bahan2 yang diperlukan dalam pembuatan Karoseri Besi Baja Plat, Besi UNP (Bentuk Kanal) dan komponen lainnya.</t>
  </si>
  <si>
    <t xml:space="preserve">Jumlah Karoseri rata2 yang dibuat sekitar 25 unit/bln dengan harga kisaran Rp 50 jt an sd Rp 100 jt an. Kondisi saat ini diharapkan oleh cadeb dapat meningkatkan penjualan jasa pembuatan Karoseri yang dipergunakan untuk Armada Angkutan pengangkutan batubara, Kelapa Sawit, dan usaha transportir BBM. </t>
  </si>
  <si>
    <t xml:space="preserve">Alur Proses pembuatan Karoseri : Plat Besi Baja dipotong sesuai dengan ukuran yang diinginkan, kemudian dibentuk (bending), ditekuk, ditambah dengan komponen-komponen yang diperlukan, ada pengelasan dan dirakit dengan mesin las, setelah selesai pembentukkan dinaikkan ke Armada (unit) dilakukan proses penyetelan dan pengecetan sampai dengan selesai. Mesin2 yang digunakan: Mesin Bending, Mesin Potong, dan Mesin Las CO. 
</t>
  </si>
  <si>
    <t xml:space="preserve">Usaha dijalankan oleh Bp Oh Njen Lieng (61 thn) sejak tahun 2010 , dan pada tahun 2011 usaha baru berjalan dengan nama PT Barito Inti Perkasa dengan kepengurusan dan kepemilikan sham Sbb ; 
</t>
  </si>
  <si>
    <t xml:space="preserve">Jl A Yani km 7 Komp Bunyamin Residence Blok A No 16, RT 13, Kel Kertak Hanyar II, Kec.Kertak Hanyar, Kabupaten Banjar, Propinsi Kalimantan Selatan </t>
  </si>
  <si>
    <t xml:space="preserve">Pengajuan Fasilitas Kredit :
- Modal Kerja PRK Rp 1.400.000.000,- yang akan digunakan untuk modal kerja terutama untuk membiayai piutang usaha dan inventory dengan jangka waktu 12 bulan.  
</t>
  </si>
  <si>
    <t>- Jaminan merupakan jaminan fasilitas exist Bank Panin KPR dengan OS Rp 384.80 jt yang akan dilakukan pelunasan sendiri terlebih dahulu sebelum dilakukkannya pengikatan kredit.</t>
  </si>
  <si>
    <t>Oh Njen Lieng ( Cadeb )</t>
  </si>
  <si>
    <t>Yuanita (Istri Cadeb)</t>
  </si>
  <si>
    <t>PT Barito Inti Perkasa  (Perusahaan Cadeb)</t>
  </si>
  <si>
    <t>PT Barito Inti Perkasa (Perusahaan Cadeb)</t>
  </si>
  <si>
    <t>Andy Susanto  (Komisaris PT Barito Inti Perkasa)</t>
  </si>
  <si>
    <t xml:space="preserve">Andi Susanto adalah Rekan kerja Bp Oh Njen Lieng yang sudah dikenal Cadeb sejak masih di Salatiga </t>
  </si>
  <si>
    <r>
      <t xml:space="preserve"> I</t>
    </r>
    <r>
      <rPr>
        <b/>
        <sz val="10"/>
        <color theme="1"/>
        <rFont val="Calibri"/>
        <family val="2"/>
        <scheme val="minor"/>
      </rPr>
      <t xml:space="preserve">nformasi Tambahan :
- Debitur memiliki usaha lain usaha Batubara dan Penjualan Batubara dengan nama perusahaan PT Barito Inti Perdana, usaha dijalankan kerjasama dengan 2 orang rekan (sehingga dengan Bp Oh Njen Lieng menjadi 3 orang pengurus). Modal saham yang disetorkan Rp 300 jt dengan masing2 modal Rp 100 jt. Keuangan (rekening) dan manajemen terpisah untuk usaha Batubara ini. Penjualan Batubara dilakukan secara Lokal ke perusahaan di Jakarta sebelumnya pernah kerjasama dengan perusahaan PLN batubara. Tetapi dalam perhitungan analisa usaha hanya berdasarkan Usaha jasa pembuatan Karoseri yang merupakan usaha utama dari Debitur.  </t>
    </r>
  </si>
  <si>
    <t xml:space="preserve">Usaha dijalankan oleh Bp Oh Njen Lieng (61 thn) dengan nama PT Barito Inti Perkasa yang didirikan sejak tahun 2010. Usaha bergerak dalam bidang pembuatan Karoseri (Bak Truck, Tangki BBM yang terbuat dari Plat Besi Baja), sebelum membuka usaha pembuatan karoseri Cadeb sempat bekerja di tempat milik Pamannya yang bergerak di bidang pembuatan Karoseri dengan nama UD Berlian prima Abadi yang berlokasi di Serpong Tanggerang,  selain itu Cadeb juga memiliki usaha lain dalam bidang trading batu bara yang sudah dijalankan sejak tahun 2004 dengan nama PT Barito Inti Perdana </t>
  </si>
  <si>
    <t>REGION 7 - BALIKPAPAN</t>
  </si>
  <si>
    <t>BANJARMASIN A. YANI</t>
  </si>
  <si>
    <t>GENERIC PROGRAM</t>
  </si>
  <si>
    <t>2018</t>
  </si>
  <si>
    <t>JASA INDUSTRI PENGOLAHAN KAROSERI</t>
  </si>
  <si>
    <t>2 BULAN SEBELUM JATUH TEMPO</t>
  </si>
  <si>
    <t>BARU</t>
  </si>
  <si>
    <t>Nama : Anda Yuliatmaja</t>
  </si>
  <si>
    <t>Jabatan : RCR</t>
  </si>
  <si>
    <t>* Sensitize tidak ada yang dilakukan pada Neraca. Sedangkan pada L/R Sensitize dilakukannya penyesuai cicilan bunga seluruh fasilitas menjadi Rp 486,20 jt kondisi terupdate data pinjaman berdasarkan BI Checking.
ANALISA ACM : 
- Sensitize terhadap sales menjadi sebesar Rp. 7.151 Jt/th , Gross up 10% dari mutasi kredit rekening koran dengan memperhitungkan adanya transksi yang dilakukan secara Cash , transaksi cash biasanya dilakukan dalam transaksi pembayaran DP pembuatan Karoseri.
- AR DOH Sensitize menjadi 30 hari terverifikasi dari hasil TC kepada Buyer Cadeb 
- AP DOH Sensitize menjadi 30 hari terverifikasi dari hasil TC kepada Supplier Cadeb yang menginformasikan bahwa rata-rata pemberian TOP adalah 15-35 hari 
- Inventory sensitize menjadi sebesar Rp. 850 Jt terverifikasi dari foto usaha dan hasil kunjungan langsung ke tempat usaha dan gudang penyimpanan Cadeb   
- WI sensitized adalah Rp. 1.031 Juta dengan pembiayaan MK Rp. 1.400 maka %Bank financing 135,85% (Over finance) 
- Rekomendasi ACM Pemberian fasilitas PRK sebesar Rp. 1.000 Jt maka %bank finance adalah 97,03%
- dengan adanya sensitize terhadap sales, CPLTD &amp; IE maka Ebida masih mencukupi untuk mengcover seluruh kewajibannya dengan DSR sebesar 1.92 kali (As Proposed) sementara DSR rekomendasi adalah 2.05 kali.</t>
  </si>
  <si>
    <t>* Terjadi peningkatan trend mutasi rekening terlihat bln Mei 18 terjadi peningkatan menjadi Rp 1,9 M an/bln. 
ANALISA ACM : 
- Mutasi kredit di dominasi setoran tunai dengan report operasional, setoran dalam jumlah besar dan bulat dan tidak di dukung dengan rekap atau copy invoice 
- Apabila dilakukan Netting terhadap Setoran tunai yang ada maka mutasi kredit menjadi Rp. 541,75 Jt , hanya mencerminkan 34.65% dari Sales Cadeb 
- Setoran tunai dapat diakui apabila setoran tunai tersebut melampirkan Copy Invoice atau minimal Rekap yang di tandatanganmi oleh Cadeb sebagai data pendukung 
* DPD 
- Rekening fasilitas Bank Panin bulan Des 2017 tidak dilampirkan (hanya terlampir bulan Jan s/d Mei 2018), termitigasi dengan ketersediaan dana pada Rekening Cadeb pada tanggal jt tempo bulan Desember 2017 yang mencukupi untuk membayar kewajiban di Bank Panin
- rekening fasilitas Bank Permata dan City Bank tidak terlampir, tetapi saldo mengendap per akhir hari seluruh rekening Cadeb mencukupi untuk membayar kewajibannya per bulan 
- Fasilitas Danamon merupakan fasilits leasing Adira (Terlampir Historikal pembayarannya) 
* AVG Balance 
- Avg Balance sebesar Rp. 316.39 Jt dapat mengcover seluruh kewajibannya perbulan Rp. 70.87 sebesar 4.47X</t>
  </si>
  <si>
    <t xml:space="preserve">Jalan A. Yani km 7 Komplek Bunyamin Residence Blok A No. 16, RT 13, Kel. Kertak Hanyar II, Kec. Kertak Hanyar, Kabupaten Banjar- Propinsi Kalimantan Selatan </t>
  </si>
  <si>
    <t>PT. BARITO INTI PERKASA</t>
  </si>
  <si>
    <t>PERUSAHAAN</t>
  </si>
  <si>
    <t xml:space="preserve">Pengajuan Fasilitas Kredit Modal Kerja PRK Rp 1.400.000.000,- yang akan digunakan untuk modal kerja terutama untuk membiayai piutang usaha dan inventory dengan jangka waktu 12 bulan.  
Dengan adanya modal yang diberikan BTPN calon debitur lebih mudah untuk mengatur operasional usaha, karena harga besi plat yang cenderung turun naik dipengaruhi kebijakkan luar negeri.
Jaminan merupakan jaminan fasilitas exist Bank Panin KPR dengan OS Rp 384.80 jt yang akan dilakukan pelunasan sendiri terlebih dahulu sebelum dilakukkannya pengikatan kredit.  </t>
  </si>
  <si>
    <r>
      <t xml:space="preserve">Rekomendasi pembiayaan Modal Kerja (PRK) adalah IDR 1.000 juta dengan pertimbangan :
</t>
    </r>
    <r>
      <rPr>
        <sz val="11"/>
        <color theme="1"/>
        <rFont val="Calibri"/>
        <family val="2"/>
        <scheme val="minor"/>
      </rPr>
      <t>a. WI sensitized sebesar IDR 1.031 juta maka %bank Financing adalah 97,03%.
b. DSR sensitized adalah 2.05 kali dengan EBITDA IDR. 1.612 juta / (Bunga IDR 374,59 juta + CPLTD IDR 410,33 juta)
c. LTV sebesar 66,58 %</t>
    </r>
  </si>
  <si>
    <t xml:space="preserve">- OJK Checking yang disajikan adalah OJK Checking tanggal 19 Juni 2018 dengan posisi data per Mei 2018 an. Oh Njen Lieng, pasangan 
  beserta perusahaan dan pengurus dengan hasil lancar.
- Kolektabilitas seluruh fasilitas Kol.1 (Clear) -&gt; NO DPD
- Tidak termasuk dalam laporan DHN dan DHBI
- Tidak pernah mengajukan pinjaman melalui MUR dengan kondisi Reject -&gt; AGAPE Clear
- Core Bank System -&gt; Clear (Kol.1)
</t>
  </si>
  <si>
    <t>Adjustment LTD, CPLTD dan kewajiban bunga sesuai dengan hasil OJK Checking yang memperhitungkan fasilitas cadeb, pasangan beserta perusahaan (PT. Barito Inti Perkasa) dan pengurus (Bp. Andy Susanto - Komsaris PT. Barito Inti Perkasa)</t>
  </si>
  <si>
    <t xml:space="preserve"> Informasi Tambahan :
- Debitur memiliki usaha lain usaha Batubara dan Penjualan Batubara dengan nama perusahaan PT Barito Inti Perdana telah berdiri sejak tahun 2006, usaha dijalankan kerjasama dengan 2 orang rekan (sehingga dengan Bp Oh Njen Lieng menjadi 3 orang pengurus). Modal saham yang disetorkan Rp 300 jt dengan masing2 modal Rp 100 jt. Keuangan (rekening) dan manajemen terpisah untuk usaha Batubara ini. Penjualan Batubara dilakukan secara Lokal ke perusahaan di Jakarta sebelumnya pernah kerjasama dengan perusahaan PLN batubara. Tetapi dalam perhitungan analisa usaha hanya berdasarkan Usaha jasa pembuatan Karoseri yang merupakan usaha utama dari Debitur.  </t>
  </si>
  <si>
    <t>- OJK Checking dilakukan pula pada PT. Barito Inti Perdana beserta Pengurus dengan Kolektibilitas 1/lancar.
PT. Barito Inti Perdana merupakan usaha pertambangan batubara dengan pengurus terdiri dari Rinto Pawesto, Eko Budiyanto dan Oh Njeng Lieng, dimana Bp. Oh Njeng Lieng merupakan salah satu pendiri namun atas kewajiban dari PT. Barito Inti Perdana tidak diperhitungkan dikarenakan memiliki entitas yang berbeda dengan PT. Barito Inti Perkasa (jasa pembuatan karoseri)</t>
  </si>
  <si>
    <r>
      <rPr>
        <b/>
        <u/>
        <sz val="11"/>
        <color theme="1"/>
        <rFont val="Calibri"/>
        <family val="2"/>
        <scheme val="minor"/>
      </rPr>
      <t xml:space="preserve">ANALISA LAPORAN KEUANGAN </t>
    </r>
    <r>
      <rPr>
        <sz val="11"/>
        <color theme="1"/>
        <rFont val="Calibri"/>
        <family val="2"/>
        <scheme val="minor"/>
      </rPr>
      <t xml:space="preserve">
- Sensitize terhadap sales menjadi sebesar Rp. 7.151 Jt/th , Gross up 10% dari mutasi kredit rekening koran dengan memperhitungkan 
  adanya transksi yang dilakukan secara Cash, transaksi cash biasanya dilakukan dalam transaksi pembayaran DP pembuatan Karoseri   
- Dilakukan adjustment terhadap AR DOH dan AP DOH menjadi 30 hari yang disesuaikan dari hasil verifikasi Trdae Checking Buyer dan 
   supplier. 
- Adjust Inventory menjadi IDR. 850 juta berdasarkan foto usaha dan kunjungan langsung ACM ke tempat usaha (workshop dan gudang)   
- WI sensitized adalah IDR. 1.031 juta dengan %bank finance 135,85% (Over finance) 
- DSR sebesar 1.92 kali (as proposed) dengan LTV 93,21%
</t>
    </r>
  </si>
  <si>
    <t>SHM 2895 an. Yuanita (istri Cadeb), kepemilikan sejak 18 April 2011 - Objek Jaminan berupa tanah dan bangunan yang merupakan rumah tinggal cadeb dan istri 
MV meningkat 40,72% dari hasil penilaian bank Panin sebesar IDR. 1.067,40 juta dengan penilaian dilakukan pada tanggal 05 April 2011.</t>
  </si>
  <si>
    <t>- LTV sebesar 93,21% (As Prposed), 66.58% (As Recomend)</t>
  </si>
  <si>
    <t xml:space="preserve">- Atas jaminan eksisting merupakan jaminan yang memiliki moral obligasi yang cukup tinggi dimana saat ini digunakan sebagai tempat 
  tinggal Cadeb sejak tahun 2011 
- Jaminan cukup marketable dikarenakan berada di komplek perumahan yang cukup tertata rapi dan aman.
- Jaminan merupakan jaminan existing fasilitas KPR Bank Panin terverifikasi dari data Jaminan yang tercantum di OJK Cheking 
</t>
  </si>
  <si>
    <t>Dana Retensi 1 x kewajiban Bunga Fasilitas PRK, dimana penempatan dana retensi sesuai ketentuan Bank BTPN --&gt; ABL,Legal&amp;FC/AS&amp;CEM Monitor</t>
  </si>
  <si>
    <t>Debitur wajib melampirkan Bukti Lunas Fasilitas KPR dan Roya jaminan (SHM. 2895) Bank Panin an. Yuanita  --&gt; ACM Verifikasi, ABL, Legal&amp;FC/AS&amp;CEM Monitor.</t>
  </si>
  <si>
    <t>Dipastikan atas jaminan sudah definitive an.debitur/Istri sebelum Pengikatan Kredit  --&gt; ABL, Legal&amp;FC/AS&amp;CEM Monitor.</t>
  </si>
  <si>
    <t xml:space="preserve">Debitur wajib menyerahkan periode List persedian barang, Piutang Usaha dan Hutang Usaha secara periodical per semester (Periode Juni dan Desember) --&gt;  RM dan ABL Verifikasi, Legal&amp;FC/AS&amp;CEM Monitor </t>
  </si>
  <si>
    <t>Debitur wajib melampirkan rekap pendapatan usaha periode bulan Maret 2018 s.d Juni 2018 (bukti pembayaran berupa nota penjualan/invoice) --&gt; RM &amp; ABL Verifikasi, ACM Review, Legal&amp;FC Monitor.</t>
  </si>
  <si>
    <t>2.</t>
  </si>
  <si>
    <t>3.</t>
  </si>
  <si>
    <t>Perhitungan bank financing terhadap modal kerja projeksi cenderung over financing.</t>
  </si>
  <si>
    <t>Sales hanya tercerim 34,65% atau IDR 541,75 juta dari sales LK Proforma April 2018.</t>
  </si>
  <si>
    <t>27 JULI 2018</t>
  </si>
  <si>
    <r>
      <rPr>
        <b/>
        <u/>
        <sz val="11"/>
        <rFont val="Calibri"/>
        <family val="2"/>
        <scheme val="minor"/>
      </rPr>
      <t>Anda Yuliatmaja</t>
    </r>
    <r>
      <rPr>
        <b/>
        <i/>
        <u/>
        <sz val="11"/>
        <rFont val="Calibri"/>
        <family val="2"/>
        <scheme val="minor"/>
      </rPr>
      <t xml:space="preserve">
</t>
    </r>
    <r>
      <rPr>
        <b/>
        <i/>
        <sz val="11"/>
        <rFont val="Calibri"/>
        <family val="2"/>
        <scheme val="minor"/>
      </rPr>
      <t>Regional Credit Reviewer</t>
    </r>
  </si>
  <si>
    <t>1. Dana Retensi 1 x kewajiban Bunga Fasilitas PRK, dimana penempatan dana retensi sesuai ketentuan Bank BTPN --&gt; ABL,Legal&amp;FC/AS&amp;CEM Monitor</t>
  </si>
  <si>
    <t>6 Bulanan</t>
  </si>
  <si>
    <t>Tahunan</t>
  </si>
  <si>
    <t xml:space="preserve">2. Debitur wajib menyerahkan periode List persedian barang, Piutang Usaha dan Hutang Usaha secara periodical per semester (Periode Juni dan Desember) --&gt;  RM dan ABL 
    Verifikasi, Legal&amp;FC/AS&amp;CEM Monitor </t>
  </si>
  <si>
    <t>3. Debitur wajib melampirkan rekap pendapatan usaha periode bulan Maret 2018 s.d Juni 2018 (bukti pembayaran berupa nota penjualan/invoice) --&gt; RM &amp; ABL Verifikasi, ACM 
    Review, Legal&amp;FC Monitor.</t>
  </si>
  <si>
    <t>1. Sales hanya tercerim 34,65% atau IDR 541,75 juta dari sales LK Proforma April 2018.</t>
  </si>
  <si>
    <t>2. Perhitungan bank financing terhadap modal kerja projeksi cenderung over financing.</t>
  </si>
  <si>
    <t>2 - Tidak Terkait dengan Bank</t>
  </si>
  <si>
    <r>
      <rPr>
        <b/>
        <u/>
        <sz val="11"/>
        <color theme="1"/>
        <rFont val="Calibri"/>
        <family val="2"/>
        <scheme val="minor"/>
      </rPr>
      <t>Noni Kusumadewi</t>
    </r>
    <r>
      <rPr>
        <b/>
        <i/>
        <u/>
        <sz val="11"/>
        <color theme="1"/>
        <rFont val="Calibri"/>
        <family val="2"/>
        <scheme val="minor"/>
      </rPr>
      <t xml:space="preserve">
</t>
    </r>
    <r>
      <rPr>
        <b/>
        <i/>
        <sz val="11"/>
        <color theme="1"/>
        <rFont val="Calibri"/>
        <family val="2"/>
        <scheme val="minor"/>
      </rPr>
      <t>Regional Credit Reviewer</t>
    </r>
  </si>
  <si>
    <r>
      <rPr>
        <b/>
        <u/>
        <sz val="11"/>
        <color theme="1"/>
        <rFont val="Calibri"/>
        <family val="2"/>
        <scheme val="minor"/>
      </rPr>
      <t xml:space="preserve">ANALISA REKENING KORAN </t>
    </r>
    <r>
      <rPr>
        <sz val="11"/>
        <color theme="1"/>
        <rFont val="Calibri"/>
        <family val="2"/>
        <scheme val="minor"/>
      </rPr>
      <t xml:space="preserve">
- Rekening yang disajikan adalah rekening usaha bank Mandiri (ac. 0310000500168) an. Oh Njen Lieng serta rekening bank BCA
   (ac. 7820230455 dan 7820038449) an PT. Borneo Inti Perkasa periode bulan Desember 2017 - Mei 2018.
- Transaksi Mutasi kredit di dominasi dengan setoran tunai dengan report operasional, setoran dalam jumlah besar dan bulat dan tidak di 
  dukung dengan rekap atau copy invoice.
- Apabila dilakukan Netting terhadap Setoran tunai yang ada maka mutasi kredit menjadi IDR. 541,75 juta atau hanya mencerminkan 
  34.65% dari sales LK Proforma April 2018 
- Tidak terdapat utilisasi  dikarenkan cadeb tidak memiliki fasilitas pinjaman Modal kerja. 
- Tidak terdapat OD ataupun tolakan kliring masuk dan keluar.
- Historical pembayaran kewajiban dalam 6 bulan terakhir
  Rekening KPR Bank Panin bulan Des 2017 tidak terlampir (hanya terlampir bulan Jan s/d Mei 2018), termitigasi dengan ketersediaan dana 
  pada Rekening bank lain pada tanggal jt tempo bulan Desember 2017.
- Rekening pendebetan fasilitas KPM dan konsumsi tidak terlampir namun pada rekening bank lain masih terdapat saldo yang mencukupi.  
- Avg Balance dalam 6 bulan terakhir sekitar IDR. 316.39 juta - masih mengcover seluruh kewajiban sekitar IDR. 65,41 juta.</t>
    </r>
  </si>
  <si>
    <t>Tanggal : 30 Juli 2018</t>
  </si>
  <si>
    <t>Nama : Noni Kusumadewi</t>
  </si>
  <si>
    <t>MKK. 068 / S / 0008 / 07 / 2018</t>
  </si>
  <si>
    <t xml:space="preserve">Debitur wajib melampirkan Historical Pembayaran fasilitas KPM bank Permata an. Oh Njeng Lieng 3  bulan terakhir wajib on file, dengan DPD tidak lebih dari 7 hari. --&gt; RM &amp; ACM Verifikasi, ABL, Legal&amp;FC /AS&amp;CEM Monitor </t>
  </si>
  <si>
    <t>Green</t>
  </si>
  <si>
    <t>1. Debitur wajib melampirkan Bukti Lunas Fasilitas KPR dan Roya jaminan (SHM. 2895) Bank Panin an. Yuanita  --&gt; ACM Verifikasi, ABL, Legal&amp;FC/AS&amp;CEM Monitor.</t>
  </si>
  <si>
    <t>2. Dipastikan atas jaminan sudah definitive an.debitur/Istri sebelum Pengikatan Kredit  --&gt; ABL, Legal&amp;FC/AS&amp;CEM Monitor.</t>
  </si>
  <si>
    <t xml:space="preserve">3. Debitur wajib melampirkan Historical Pembayaran fasilitas KPM bank Permata an. Oh Njeng Lieng 3  bulan terakhir wajib on file, dengan DPD tidak lebih dari 7 hari. --&gt; RM &amp; 
    ACM Verifikasi, ABL, Legal&amp;FC /AS&amp;CEM Monitor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</si>
</sst>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1" formatCode="_(* #,##0_);_(* \(#,##0\);_(* &quot;-&quot;_);_(@_)"/>
    <numFmt numFmtId="43" formatCode="_(* #,##0.00_);_(* \(#,##0.00\);_(* &quot;-&quot;??_);_(@_)"/>
    <numFmt numFmtId="164" formatCode="&quot;Rp&quot;#,##0_);\(&quot;Rp&quot;#,##0\)"/>
    <numFmt numFmtId="165" formatCode="[$-409]d\-mmm\-yy;@"/>
    <numFmt numFmtId="166" formatCode="[$-409]mmm\-yy;@"/>
    <numFmt numFmtId="167" formatCode="[$-409]d\-mmm\-yyyy;@"/>
    <numFmt numFmtId="168" formatCode="[$-409]dd\-mmm\-yy;@"/>
    <numFmt numFmtId="169" formatCode="_(* #,##0_);_(* \(#,##0\);_(* &quot;-&quot;??_);_(@_)"/>
    <numFmt numFmtId="170" formatCode="0.0%"/>
    <numFmt numFmtId="171" formatCode="0\ &quot;Tahun&quot;"/>
    <numFmt numFmtId="172" formatCode="General_)"/>
    <numFmt numFmtId="173" formatCode="d\ mmm\ yy"/>
    <numFmt numFmtId="174" formatCode="_(* #,##0.0_);_(* \(#,##0.0\);_(* &quot;-&quot;??_);_(@_)"/>
    <numFmt numFmtId="175" formatCode="_(* #,##0.00_);_(* \(#,##0.00\);_(* &quot;-&quot;_);_(@_)"/>
  </numFmts>
  <fonts count="102" x14ac:knownFonts="1">
    <font>
      <sz val="11"/>
      <color theme="1"/>
      <name val="Calibri"/>
      <family val="2"/>
      <scheme val="minor"/>
    </font>
    <font>
      <sz val="11"/>
      <color indexed="8"/>
      <name val="Calibri"/>
      <family val="2"/>
    </font>
    <font>
      <i/>
      <sz val="11"/>
      <color indexed="8"/>
      <name val="Calibri"/>
      <family val="2"/>
    </font>
    <font>
      <sz val="10"/>
      <color indexed="8"/>
      <name val="Calibri"/>
      <family val="2"/>
    </font>
    <font>
      <b/>
      <sz val="10"/>
      <color indexed="8"/>
      <name val="Calibri"/>
      <family val="2"/>
    </font>
    <font>
      <i/>
      <sz val="10"/>
      <color indexed="8"/>
      <name val="Calibri"/>
      <family val="2"/>
    </font>
    <font>
      <b/>
      <i/>
      <sz val="10"/>
      <color indexed="8"/>
      <name val="Calibri"/>
      <family val="2"/>
    </font>
    <font>
      <sz val="10"/>
      <name val="Calibri"/>
      <family val="2"/>
    </font>
    <font>
      <b/>
      <i/>
      <u/>
      <sz val="10"/>
      <name val="Calibri"/>
      <family val="2"/>
    </font>
    <font>
      <sz val="12"/>
      <color indexed="8"/>
      <name val="Calibri"/>
      <family val="2"/>
    </font>
    <font>
      <sz val="10"/>
      <color indexed="10"/>
      <name val="Calibri"/>
      <family val="2"/>
    </font>
    <font>
      <sz val="9"/>
      <color indexed="8"/>
      <name val="Calibri"/>
      <family val="2"/>
    </font>
    <font>
      <b/>
      <sz val="9"/>
      <color indexed="8"/>
      <name val="Calibri"/>
      <family val="2"/>
    </font>
    <font>
      <i/>
      <sz val="11"/>
      <color indexed="56"/>
      <name val="Calibri"/>
      <family val="2"/>
    </font>
    <font>
      <i/>
      <sz val="16"/>
      <color indexed="8"/>
      <name val="Calibri"/>
      <family val="2"/>
    </font>
    <font>
      <i/>
      <sz val="14"/>
      <color indexed="8"/>
      <name val="Calibri"/>
      <family val="2"/>
    </font>
    <font>
      <b/>
      <sz val="10"/>
      <name val="Calibri"/>
      <family val="2"/>
    </font>
    <font>
      <sz val="9"/>
      <color indexed="81"/>
      <name val="Tahoma"/>
      <family val="2"/>
    </font>
    <font>
      <b/>
      <sz val="9"/>
      <color indexed="81"/>
      <name val="Tahoma"/>
      <family val="2"/>
    </font>
    <font>
      <b/>
      <sz val="12"/>
      <color indexed="8"/>
      <name val="Calibri"/>
      <family val="2"/>
    </font>
    <font>
      <b/>
      <i/>
      <sz val="11"/>
      <color indexed="8"/>
      <name val="Calibri"/>
      <family val="2"/>
    </font>
    <font>
      <sz val="10"/>
      <name val="Arial"/>
      <family val="2"/>
    </font>
    <font>
      <b/>
      <sz val="11"/>
      <color indexed="9"/>
      <name val="Calibri"/>
      <family val="2"/>
    </font>
    <font>
      <i/>
      <sz val="10"/>
      <name val="Calibri"/>
      <family val="2"/>
    </font>
    <font>
      <sz val="9.35"/>
      <color indexed="8"/>
      <name val="Calibri"/>
      <family val="2"/>
    </font>
    <font>
      <b/>
      <sz val="11"/>
      <name val="Calibri"/>
      <family val="2"/>
    </font>
    <font>
      <sz val="11"/>
      <color indexed="9"/>
      <name val="Calibri"/>
      <family val="2"/>
    </font>
    <font>
      <sz val="11"/>
      <color indexed="9"/>
      <name val="Wingdings"/>
      <charset val="2"/>
    </font>
    <font>
      <sz val="10"/>
      <name val="Trebuchet MS"/>
      <family val="2"/>
    </font>
    <font>
      <sz val="10"/>
      <color indexed="8"/>
      <name val="Trebuchet MS"/>
      <family val="2"/>
    </font>
    <font>
      <b/>
      <i/>
      <sz val="11"/>
      <name val="Calibri"/>
      <family val="2"/>
    </font>
    <font>
      <b/>
      <sz val="11"/>
      <color indexed="8"/>
      <name val="Calibri"/>
      <family val="2"/>
    </font>
    <font>
      <b/>
      <sz val="18"/>
      <color indexed="13"/>
      <name val="Calibri"/>
      <family val="2"/>
    </font>
    <font>
      <b/>
      <sz val="22"/>
      <color indexed="13"/>
      <name val="Calibri"/>
      <family val="2"/>
    </font>
    <font>
      <b/>
      <i/>
      <sz val="22"/>
      <color indexed="13"/>
      <name val="Calibri"/>
      <family val="2"/>
    </font>
    <font>
      <sz val="11"/>
      <color theme="1"/>
      <name val="Calibri"/>
      <family val="2"/>
      <scheme val="minor"/>
    </font>
    <font>
      <sz val="11"/>
      <color theme="0"/>
      <name val="Calibri"/>
      <family val="2"/>
      <scheme val="minor"/>
    </font>
    <font>
      <b/>
      <sz val="11"/>
      <color theme="0"/>
      <name val="Calibri"/>
      <family val="2"/>
      <scheme val="minor"/>
    </font>
    <font>
      <u/>
      <sz val="8.8000000000000007"/>
      <color theme="10"/>
      <name val="Calibri"/>
      <family val="2"/>
    </font>
    <font>
      <b/>
      <sz val="11"/>
      <color theme="1"/>
      <name val="Calibri"/>
      <family val="2"/>
      <scheme val="minor"/>
    </font>
    <font>
      <sz val="11"/>
      <color rgb="FFFF0000"/>
      <name val="Calibri"/>
      <family val="2"/>
      <scheme val="minor"/>
    </font>
    <font>
      <b/>
      <sz val="16"/>
      <color theme="1"/>
      <name val="Calibri"/>
      <family val="2"/>
      <scheme val="minor"/>
    </font>
    <font>
      <sz val="10"/>
      <color theme="1"/>
      <name val="Calibri"/>
      <family val="2"/>
      <scheme val="minor"/>
    </font>
    <font>
      <b/>
      <sz val="12"/>
      <color theme="1"/>
      <name val="Calibri"/>
      <family val="2"/>
      <scheme val="minor"/>
    </font>
    <font>
      <i/>
      <sz val="11"/>
      <color theme="1"/>
      <name val="Calibri"/>
      <family val="2"/>
      <scheme val="minor"/>
    </font>
    <font>
      <b/>
      <i/>
      <u/>
      <sz val="10"/>
      <color theme="1"/>
      <name val="Calibri"/>
      <family val="2"/>
      <scheme val="minor"/>
    </font>
    <font>
      <i/>
      <sz val="10"/>
      <color theme="1"/>
      <name val="Calibri"/>
      <family val="2"/>
      <scheme val="minor"/>
    </font>
    <font>
      <b/>
      <sz val="10"/>
      <color theme="1"/>
      <name val="Calibri"/>
      <family val="2"/>
      <scheme val="minor"/>
    </font>
    <font>
      <sz val="10"/>
      <color theme="0"/>
      <name val="Calibri"/>
      <family val="2"/>
      <scheme val="minor"/>
    </font>
    <font>
      <sz val="10"/>
      <name val="Calibri"/>
      <family val="2"/>
      <scheme val="minor"/>
    </font>
    <font>
      <sz val="10"/>
      <color theme="0"/>
      <name val="Calibri"/>
      <family val="2"/>
    </font>
    <font>
      <sz val="10"/>
      <color theme="1"/>
      <name val="Calibri"/>
      <family val="2"/>
    </font>
    <font>
      <b/>
      <i/>
      <u/>
      <sz val="11"/>
      <color theme="1"/>
      <name val="Calibri"/>
      <family val="2"/>
      <scheme val="minor"/>
    </font>
    <font>
      <i/>
      <sz val="11"/>
      <color theme="3"/>
      <name val="Calibri"/>
      <family val="2"/>
      <scheme val="minor"/>
    </font>
    <font>
      <sz val="12"/>
      <color theme="1"/>
      <name val="Calibri"/>
      <family val="2"/>
      <scheme val="minor"/>
    </font>
    <font>
      <u/>
      <sz val="16"/>
      <color theme="10"/>
      <name val="Calibri"/>
      <family val="2"/>
    </font>
    <font>
      <sz val="16"/>
      <color theme="1"/>
      <name val="Calibri"/>
      <family val="2"/>
      <scheme val="minor"/>
    </font>
    <font>
      <b/>
      <sz val="16"/>
      <color theme="0"/>
      <name val="Calibri"/>
      <family val="2"/>
      <scheme val="minor"/>
    </font>
    <font>
      <sz val="14"/>
      <color theme="1"/>
      <name val="Calibri"/>
      <family val="2"/>
      <scheme val="minor"/>
    </font>
    <font>
      <sz val="11"/>
      <name val="Calibri"/>
      <family val="2"/>
      <scheme val="minor"/>
    </font>
    <font>
      <b/>
      <sz val="10"/>
      <color theme="0"/>
      <name val="Calibri"/>
      <family val="2"/>
      <scheme val="minor"/>
    </font>
    <font>
      <b/>
      <sz val="11"/>
      <name val="Calibri"/>
      <family val="2"/>
      <scheme val="minor"/>
    </font>
    <font>
      <b/>
      <u/>
      <sz val="11"/>
      <color theme="1"/>
      <name val="Calibri"/>
      <family val="2"/>
      <scheme val="minor"/>
    </font>
    <font>
      <sz val="9"/>
      <color theme="1"/>
      <name val="Calibri"/>
      <family val="2"/>
      <scheme val="minor"/>
    </font>
    <font>
      <b/>
      <i/>
      <sz val="10"/>
      <color theme="1"/>
      <name val="Calibri"/>
      <family val="2"/>
      <scheme val="minor"/>
    </font>
    <font>
      <sz val="11"/>
      <color rgb="FF000000"/>
      <name val="Calibri"/>
      <family val="2"/>
      <scheme val="minor"/>
    </font>
    <font>
      <b/>
      <sz val="11"/>
      <color indexed="9"/>
      <name val="Calibri"/>
      <family val="2"/>
      <scheme val="minor"/>
    </font>
    <font>
      <b/>
      <sz val="10"/>
      <color rgb="FF000000"/>
      <name val="Calibri"/>
      <family val="2"/>
      <scheme val="minor"/>
    </font>
    <font>
      <b/>
      <sz val="11"/>
      <color rgb="FFFF0000"/>
      <name val="Calibri"/>
      <family val="2"/>
      <scheme val="minor"/>
    </font>
    <font>
      <sz val="10"/>
      <color theme="1"/>
      <name val="Calibri"/>
      <family val="2"/>
      <charset val="1"/>
      <scheme val="minor"/>
    </font>
    <font>
      <sz val="10"/>
      <color rgb="FF000000"/>
      <name val="Calibri"/>
      <family val="2"/>
      <scheme val="minor"/>
    </font>
    <font>
      <b/>
      <u/>
      <sz val="16"/>
      <color theme="1"/>
      <name val="Calibri"/>
      <family val="2"/>
      <scheme val="minor"/>
    </font>
    <font>
      <sz val="10"/>
      <color theme="2" tint="-9.9978637043366805E-2"/>
      <name val="Calibri"/>
      <family val="2"/>
      <scheme val="minor"/>
    </font>
    <font>
      <sz val="11"/>
      <color theme="1"/>
      <name val="Calibri"/>
      <family val="2"/>
    </font>
    <font>
      <sz val="10"/>
      <color rgb="FFFF0000"/>
      <name val="Calibri"/>
      <family val="2"/>
    </font>
    <font>
      <sz val="10"/>
      <color rgb="FFFF0000"/>
      <name val="Calibri"/>
      <family val="2"/>
      <scheme val="minor"/>
    </font>
    <font>
      <sz val="11"/>
      <color theme="0"/>
      <name val="Calibri"/>
      <family val="2"/>
    </font>
    <font>
      <sz val="11"/>
      <color theme="0" tint="-0.14999847407452621"/>
      <name val="Calibri"/>
      <family val="2"/>
      <scheme val="minor"/>
    </font>
    <font>
      <i/>
      <sz val="11"/>
      <color theme="0" tint="-0.249977111117893"/>
      <name val="Calibri"/>
      <family val="2"/>
      <scheme val="minor"/>
    </font>
    <font>
      <sz val="10"/>
      <color theme="0" tint="-0.34998626667073579"/>
      <name val="Calibri"/>
      <family val="2"/>
      <scheme val="minor"/>
    </font>
    <font>
      <sz val="11"/>
      <color theme="0" tint="-0.34998626667073579"/>
      <name val="Calibri"/>
      <family val="2"/>
      <scheme val="minor"/>
    </font>
    <font>
      <sz val="10"/>
      <color theme="1"/>
      <name val="Tahoma"/>
      <family val="2"/>
    </font>
    <font>
      <b/>
      <sz val="10"/>
      <color rgb="FF000000"/>
      <name val="Trebuchet MS"/>
      <family val="2"/>
    </font>
    <font>
      <b/>
      <sz val="10"/>
      <color theme="1"/>
      <name val="Trebuchet MS"/>
      <family val="2"/>
    </font>
    <font>
      <sz val="10"/>
      <color rgb="FF000000"/>
      <name val="Trebuchet MS"/>
      <family val="2"/>
    </font>
    <font>
      <sz val="10"/>
      <color theme="1"/>
      <name val="Trebuchet MS"/>
      <family val="2"/>
    </font>
    <font>
      <b/>
      <sz val="10"/>
      <name val="Calibri"/>
      <family val="2"/>
      <scheme val="minor"/>
    </font>
    <font>
      <i/>
      <sz val="9"/>
      <color theme="1"/>
      <name val="Calibri"/>
      <family val="2"/>
      <scheme val="minor"/>
    </font>
    <font>
      <sz val="8"/>
      <color theme="1"/>
      <name val="Calibri"/>
      <family val="2"/>
      <scheme val="minor"/>
    </font>
    <font>
      <i/>
      <u/>
      <sz val="10"/>
      <color theme="1"/>
      <name val="Calibri"/>
      <family val="2"/>
      <scheme val="minor"/>
    </font>
    <font>
      <i/>
      <u/>
      <sz val="10"/>
      <color theme="1"/>
      <name val="Calibri"/>
      <family val="2"/>
    </font>
    <font>
      <b/>
      <sz val="14"/>
      <color theme="1"/>
      <name val="Calibri"/>
      <family val="2"/>
      <scheme val="minor"/>
    </font>
    <font>
      <b/>
      <sz val="18"/>
      <color theme="1"/>
      <name val="Calibri"/>
      <family val="2"/>
      <scheme val="minor"/>
    </font>
    <font>
      <u/>
      <sz val="10"/>
      <color theme="1"/>
      <name val="Calibri"/>
      <family val="2"/>
      <scheme val="minor"/>
    </font>
    <font>
      <b/>
      <sz val="18"/>
      <color rgb="FFFFFF00"/>
      <name val="Calibri"/>
      <family val="2"/>
      <scheme val="minor"/>
    </font>
    <font>
      <u/>
      <sz val="11"/>
      <color theme="1"/>
      <name val="Calibri"/>
      <family val="2"/>
      <scheme val="minor"/>
    </font>
    <font>
      <b/>
      <sz val="16"/>
      <name val="Calibri"/>
      <family val="2"/>
      <scheme val="minor"/>
    </font>
    <font>
      <sz val="11"/>
      <color rgb="FF000000"/>
      <name val="Calibri"/>
      <family val="2"/>
    </font>
    <font>
      <b/>
      <i/>
      <sz val="11"/>
      <name val="Calibri"/>
      <family val="2"/>
      <scheme val="minor"/>
    </font>
    <font>
      <b/>
      <i/>
      <u/>
      <sz val="11"/>
      <name val="Calibri"/>
      <family val="2"/>
      <scheme val="minor"/>
    </font>
    <font>
      <b/>
      <u/>
      <sz val="11"/>
      <name val="Calibri"/>
      <family val="2"/>
      <scheme val="minor"/>
    </font>
    <font>
      <b/>
      <i/>
      <sz val="11"/>
      <color theme="1"/>
      <name val="Calibri"/>
      <family val="2"/>
      <scheme val="minor"/>
    </font>
  </fonts>
  <fills count="31">
    <fill>
      <patternFill patternType="none"/>
    </fill>
    <fill>
      <patternFill patternType="gray125"/>
    </fill>
    <fill>
      <patternFill patternType="solid">
        <fgColor indexed="9"/>
        <bgColor indexed="64"/>
      </patternFill>
    </fill>
    <fill>
      <patternFill patternType="solid">
        <fgColor indexed="9"/>
        <bgColor indexed="26"/>
      </patternFill>
    </fill>
    <fill>
      <patternFill patternType="solid">
        <fgColor theme="0"/>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1"/>
        <bgColor indexed="64"/>
      </patternFill>
    </fill>
    <fill>
      <patternFill patternType="solid">
        <fgColor theme="0" tint="-0.14999847407452621"/>
        <bgColor indexed="64"/>
      </patternFill>
    </fill>
    <fill>
      <patternFill patternType="solid">
        <fgColor theme="2" tint="-0.749992370372631"/>
        <bgColor indexed="64"/>
      </patternFill>
    </fill>
    <fill>
      <patternFill patternType="solid">
        <fgColor theme="2"/>
        <bgColor indexed="64"/>
      </patternFill>
    </fill>
    <fill>
      <patternFill patternType="solid">
        <fgColor theme="2" tint="-0.499984740745262"/>
        <bgColor indexed="64"/>
      </patternFill>
    </fill>
    <fill>
      <patternFill patternType="solid">
        <fgColor theme="2" tint="-0.499984740745262"/>
        <bgColor theme="4"/>
      </patternFill>
    </fill>
    <fill>
      <patternFill patternType="solid">
        <fgColor theme="2" tint="-0.499984740745262"/>
        <bgColor theme="6"/>
      </patternFill>
    </fill>
    <fill>
      <patternFill patternType="solid">
        <fgColor theme="2" tint="-9.9978637043366805E-2"/>
        <bgColor theme="4" tint="0.79998168889431442"/>
      </patternFill>
    </fill>
    <fill>
      <patternFill patternType="solid">
        <fgColor theme="2" tint="-9.9978637043366805E-2"/>
        <bgColor theme="6" tint="0.79998168889431442"/>
      </patternFill>
    </fill>
    <fill>
      <patternFill patternType="solid">
        <fgColor theme="2"/>
        <bgColor theme="6" tint="0.79998168889431442"/>
      </patternFill>
    </fill>
    <fill>
      <patternFill patternType="solid">
        <fgColor rgb="FFFFFF00"/>
        <bgColor indexed="64"/>
      </patternFill>
    </fill>
    <fill>
      <patternFill patternType="solid">
        <fgColor theme="0" tint="-0.249977111117893"/>
        <bgColor indexed="64"/>
      </patternFill>
    </fill>
    <fill>
      <patternFill patternType="solid">
        <fgColor rgb="FFFFC000"/>
        <bgColor indexed="64"/>
      </patternFill>
    </fill>
    <fill>
      <patternFill patternType="solid">
        <fgColor rgb="FFFFFF99"/>
        <bgColor indexed="64"/>
      </patternFill>
    </fill>
    <fill>
      <patternFill patternType="solid">
        <fgColor theme="6" tint="-0.249977111117893"/>
        <bgColor indexed="64"/>
      </patternFill>
    </fill>
    <fill>
      <patternFill patternType="solid">
        <fgColor rgb="FFFF0000"/>
        <bgColor indexed="64"/>
      </patternFill>
    </fill>
    <fill>
      <patternFill patternType="solid">
        <fgColor theme="2" tint="-0.249977111117893"/>
        <bgColor indexed="64"/>
      </patternFill>
    </fill>
    <fill>
      <patternFill patternType="solid">
        <fgColor rgb="FFFFFFCC"/>
        <bgColor indexed="64"/>
      </patternFill>
    </fill>
    <fill>
      <patternFill patternType="solid">
        <fgColor rgb="FF92D050"/>
        <bgColor indexed="64"/>
      </patternFill>
    </fill>
    <fill>
      <patternFill patternType="solid">
        <fgColor theme="0"/>
        <bgColor theme="0"/>
      </patternFill>
    </fill>
    <fill>
      <patternFill patternType="solid">
        <fgColor theme="1" tint="0.249977111117893"/>
        <bgColor indexed="64"/>
      </patternFill>
    </fill>
    <fill>
      <patternFill patternType="solid">
        <fgColor rgb="FFE4E1CE"/>
        <bgColor indexed="64"/>
      </patternFill>
    </fill>
    <fill>
      <patternFill patternType="solid">
        <fgColor theme="0" tint="-4.9989318521683403E-2"/>
        <bgColor indexed="64"/>
      </patternFill>
    </fill>
  </fills>
  <borders count="82">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dotted">
        <color indexed="64"/>
      </top>
      <bottom style="dotted">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top/>
      <bottom style="double">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top/>
      <bottom style="thin">
        <color indexed="64"/>
      </bottom>
      <diagonal/>
    </border>
    <border>
      <left/>
      <right/>
      <top style="double">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tted">
        <color indexed="64"/>
      </bottom>
      <diagonal/>
    </border>
    <border>
      <left style="medium">
        <color indexed="64"/>
      </left>
      <right style="medium">
        <color indexed="64"/>
      </right>
      <top style="medium">
        <color indexed="64"/>
      </top>
      <bottom style="medium">
        <color indexed="64"/>
      </bottom>
      <diagonal/>
    </border>
    <border>
      <left/>
      <right/>
      <top/>
      <bottom style="dotted">
        <color indexed="64"/>
      </bottom>
      <diagonal/>
    </border>
    <border>
      <left style="thin">
        <color indexed="64"/>
      </left>
      <right style="thin">
        <color indexed="64"/>
      </right>
      <top/>
      <bottom/>
      <diagonal/>
    </border>
    <border>
      <left/>
      <right/>
      <top style="dotted">
        <color indexed="64"/>
      </top>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64"/>
      </left>
      <right/>
      <top/>
      <bottom style="dotted">
        <color indexed="64"/>
      </bottom>
      <diagonal/>
    </border>
    <border>
      <left style="thin">
        <color indexed="64"/>
      </left>
      <right/>
      <top style="dotted">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style="thin">
        <color indexed="64"/>
      </right>
      <top style="dotted">
        <color indexed="64"/>
      </top>
      <bottom style="thin">
        <color indexed="64"/>
      </bottom>
      <diagonal/>
    </border>
    <border>
      <left style="dotted">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tted">
        <color indexed="64"/>
      </bottom>
      <diagonal/>
    </border>
    <border>
      <left/>
      <right style="thin">
        <color indexed="64"/>
      </right>
      <top/>
      <bottom style="dotted">
        <color indexed="64"/>
      </bottom>
      <diagonal/>
    </border>
    <border>
      <left/>
      <right/>
      <top style="dotted">
        <color indexed="64"/>
      </top>
      <bottom style="thin">
        <color indexed="64"/>
      </bottom>
      <diagonal/>
    </border>
    <border>
      <left/>
      <right/>
      <top/>
      <bottom style="dashed">
        <color indexed="64"/>
      </bottom>
      <diagonal/>
    </border>
    <border>
      <left style="thin">
        <color indexed="64"/>
      </left>
      <right/>
      <top style="dotted">
        <color indexed="64"/>
      </top>
      <bottom/>
      <diagonal/>
    </border>
    <border>
      <left/>
      <right style="thin">
        <color indexed="64"/>
      </right>
      <top style="dotted">
        <color indexed="64"/>
      </top>
      <bottom/>
      <diagonal/>
    </border>
    <border>
      <left/>
      <right/>
      <top style="dashed">
        <color indexed="64"/>
      </top>
      <bottom style="dashed">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dotted">
        <color indexed="64"/>
      </left>
      <right/>
      <top style="dotted">
        <color indexed="64"/>
      </top>
      <bottom style="dotted">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style="thin">
        <color indexed="64"/>
      </left>
      <right/>
      <top style="medium">
        <color indexed="64"/>
      </top>
      <bottom/>
      <diagonal/>
    </border>
    <border>
      <left/>
      <right style="medium">
        <color indexed="64"/>
      </right>
      <top/>
      <bottom style="thin">
        <color indexed="64"/>
      </bottom>
      <diagonal/>
    </border>
    <border>
      <left/>
      <right style="thin">
        <color theme="0"/>
      </right>
      <top/>
      <bottom style="thin">
        <color indexed="64"/>
      </bottom>
      <diagonal/>
    </border>
    <border>
      <left/>
      <right style="thin">
        <color theme="0"/>
      </right>
      <top/>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bottom style="thin">
        <color indexed="64"/>
      </bottom>
      <diagonal/>
    </border>
  </borders>
  <cellStyleXfs count="10">
    <xf numFmtId="0" fontId="0" fillId="0" borderId="0"/>
    <xf numFmtId="43" fontId="35" fillId="0" borderId="0" applyFont="0" applyFill="0" applyBorder="0" applyAlignment="0" applyProtection="0"/>
    <xf numFmtId="41" fontId="35" fillId="0" borderId="0" applyFont="0" applyFill="0" applyBorder="0" applyAlignment="0" applyProtection="0"/>
    <xf numFmtId="43" fontId="21" fillId="0" borderId="0" applyFont="0" applyFill="0" applyBorder="0" applyAlignment="0" applyProtection="0"/>
    <xf numFmtId="0" fontId="38" fillId="0" borderId="0" applyNumberFormat="0" applyFill="0" applyBorder="0" applyAlignment="0" applyProtection="0">
      <alignment vertical="top"/>
      <protection locked="0"/>
    </xf>
    <xf numFmtId="0" fontId="21" fillId="0" borderId="0"/>
    <xf numFmtId="0" fontId="35" fillId="0" borderId="0"/>
    <xf numFmtId="0" fontId="1" fillId="0" borderId="0"/>
    <xf numFmtId="0" fontId="21" fillId="0" borderId="0"/>
    <xf numFmtId="9" fontId="35" fillId="0" borderId="0" applyFont="0" applyFill="0" applyBorder="0" applyAlignment="0" applyProtection="0"/>
  </cellStyleXfs>
  <cellXfs count="2227">
    <xf numFmtId="0" fontId="0" fillId="0" borderId="0" xfId="0"/>
    <xf numFmtId="0" fontId="0" fillId="4" borderId="1" xfId="0" applyFill="1" applyBorder="1"/>
    <xf numFmtId="0" fontId="0" fillId="4" borderId="0" xfId="0" applyFill="1" applyBorder="1"/>
    <xf numFmtId="0" fontId="0" fillId="4" borderId="2" xfId="0" applyFill="1" applyBorder="1"/>
    <xf numFmtId="0" fontId="0" fillId="4" borderId="0" xfId="0" applyFill="1"/>
    <xf numFmtId="0" fontId="0" fillId="4" borderId="0" xfId="0" applyFill="1" applyBorder="1" applyAlignment="1"/>
    <xf numFmtId="0" fontId="0" fillId="4" borderId="0" xfId="0" applyFill="1" applyBorder="1" applyAlignment="1">
      <alignment horizontal="center"/>
    </xf>
    <xf numFmtId="0" fontId="41" fillId="4" borderId="3" xfId="0" applyFont="1" applyFill="1" applyBorder="1" applyAlignment="1">
      <alignment horizontal="center" vertical="center"/>
    </xf>
    <xf numFmtId="0" fontId="0" fillId="0" borderId="0" xfId="0" applyAlignment="1">
      <alignment wrapText="1"/>
    </xf>
    <xf numFmtId="0" fontId="0" fillId="0" borderId="0" xfId="0" applyBorder="1"/>
    <xf numFmtId="0" fontId="42" fillId="0" borderId="0" xfId="0" applyFont="1"/>
    <xf numFmtId="0" fontId="0" fillId="5" borderId="4" xfId="0" applyFill="1" applyBorder="1" applyAlignment="1">
      <alignment horizontal="center" vertical="center"/>
    </xf>
    <xf numFmtId="0" fontId="39" fillId="4" borderId="1" xfId="0" applyFont="1" applyFill="1" applyBorder="1"/>
    <xf numFmtId="0" fontId="39" fillId="4" borderId="0" xfId="0" applyFont="1" applyFill="1" applyBorder="1"/>
    <xf numFmtId="0" fontId="43" fillId="4" borderId="0" xfId="0" applyFont="1" applyFill="1"/>
    <xf numFmtId="0" fontId="0" fillId="5" borderId="4" xfId="0" applyFill="1" applyBorder="1" applyAlignment="1">
      <alignment horizontal="center" vertical="center" wrapText="1"/>
    </xf>
    <xf numFmtId="0" fontId="0" fillId="5" borderId="4" xfId="0" applyFill="1" applyBorder="1" applyAlignment="1">
      <alignment horizontal="center" vertical="center" wrapText="1"/>
    </xf>
    <xf numFmtId="0" fontId="42" fillId="4" borderId="0" xfId="0" applyFont="1" applyFill="1"/>
    <xf numFmtId="0" fontId="44" fillId="4" borderId="0" xfId="0" applyFont="1" applyFill="1" applyBorder="1"/>
    <xf numFmtId="0" fontId="0" fillId="4" borderId="1" xfId="0" applyFont="1" applyFill="1" applyBorder="1"/>
    <xf numFmtId="0" fontId="0" fillId="4" borderId="0" xfId="0" applyFont="1" applyFill="1" applyBorder="1" applyAlignment="1">
      <alignment horizontal="center"/>
    </xf>
    <xf numFmtId="0" fontId="0" fillId="0" borderId="0" xfId="0" applyFont="1"/>
    <xf numFmtId="0" fontId="0" fillId="4" borderId="0" xfId="0" applyFill="1" applyAlignment="1">
      <alignment horizontal="center"/>
    </xf>
    <xf numFmtId="0" fontId="45" fillId="4" borderId="0" xfId="0" applyFont="1" applyFill="1"/>
    <xf numFmtId="0" fontId="0" fillId="4" borderId="5" xfId="0" applyFill="1" applyBorder="1"/>
    <xf numFmtId="0" fontId="0" fillId="4" borderId="0" xfId="0" applyFont="1" applyFill="1" applyBorder="1" applyAlignment="1">
      <alignment horizontal="left" vertical="center"/>
    </xf>
    <xf numFmtId="0" fontId="0" fillId="4" borderId="0" xfId="0" applyFill="1" applyBorder="1" applyAlignment="1">
      <alignment horizontal="left" vertical="center"/>
    </xf>
    <xf numFmtId="0" fontId="0" fillId="4" borderId="0" xfId="0" applyFill="1" applyAlignment="1">
      <alignment wrapText="1"/>
    </xf>
    <xf numFmtId="0" fontId="0" fillId="4" borderId="0" xfId="0" applyFill="1" applyAlignment="1">
      <alignment vertical="top" wrapText="1"/>
    </xf>
    <xf numFmtId="0" fontId="0" fillId="4" borderId="0" xfId="0" applyFill="1" applyAlignment="1">
      <alignment horizontal="left"/>
    </xf>
    <xf numFmtId="0" fontId="0" fillId="4" borderId="0" xfId="0" applyFill="1" applyAlignment="1">
      <alignment vertical="center" wrapText="1"/>
    </xf>
    <xf numFmtId="0" fontId="44" fillId="0" borderId="0" xfId="0" applyFont="1" applyAlignment="1">
      <alignment horizontal="right"/>
    </xf>
    <xf numFmtId="0" fontId="46" fillId="0" borderId="0" xfId="0" applyFont="1" applyAlignment="1">
      <alignment horizontal="right"/>
    </xf>
    <xf numFmtId="0" fontId="42" fillId="0" borderId="0" xfId="0" applyFont="1" applyAlignment="1">
      <alignment vertical="center"/>
    </xf>
    <xf numFmtId="0" fontId="42" fillId="0" borderId="0" xfId="0" applyFont="1" applyAlignment="1">
      <alignment wrapText="1"/>
    </xf>
    <xf numFmtId="41" fontId="42" fillId="0" borderId="4" xfId="0" applyNumberFormat="1" applyFont="1" applyBorder="1" applyAlignment="1">
      <alignment wrapText="1"/>
    </xf>
    <xf numFmtId="0" fontId="42" fillId="0" borderId="0" xfId="0" applyFont="1" applyAlignment="1">
      <alignment vertical="top"/>
    </xf>
    <xf numFmtId="0" fontId="42" fillId="0" borderId="0" xfId="0" applyFont="1" applyAlignment="1">
      <alignment vertical="top" wrapText="1"/>
    </xf>
    <xf numFmtId="0" fontId="46" fillId="0" borderId="0" xfId="0" applyFont="1" applyAlignment="1">
      <alignment horizontal="right" vertical="top"/>
    </xf>
    <xf numFmtId="0" fontId="47" fillId="5" borderId="4" xfId="0" applyFont="1" applyFill="1" applyBorder="1" applyAlignment="1">
      <alignment horizontal="center" vertical="center" wrapText="1"/>
    </xf>
    <xf numFmtId="41" fontId="47" fillId="5" borderId="4" xfId="0" applyNumberFormat="1" applyFont="1" applyFill="1" applyBorder="1" applyAlignment="1">
      <alignment wrapText="1"/>
    </xf>
    <xf numFmtId="0" fontId="42" fillId="0" borderId="6" xfId="0" applyFont="1" applyBorder="1"/>
    <xf numFmtId="0" fontId="42" fillId="0" borderId="7" xfId="0" applyFont="1" applyBorder="1" applyAlignment="1">
      <alignment wrapText="1"/>
    </xf>
    <xf numFmtId="9" fontId="42" fillId="0" borderId="7" xfId="0" applyNumberFormat="1" applyFont="1" applyBorder="1" applyAlignment="1">
      <alignment horizontal="center" wrapText="1"/>
    </xf>
    <xf numFmtId="0" fontId="47" fillId="5" borderId="8" xfId="0" applyFont="1" applyFill="1" applyBorder="1" applyAlignment="1">
      <alignment horizontal="center"/>
    </xf>
    <xf numFmtId="41" fontId="42" fillId="0" borderId="4" xfId="0" applyNumberFormat="1" applyFont="1" applyBorder="1"/>
    <xf numFmtId="41" fontId="42" fillId="5" borderId="4" xfId="0" applyNumberFormat="1" applyFont="1" applyFill="1" applyBorder="1"/>
    <xf numFmtId="0" fontId="46" fillId="0" borderId="0" xfId="0" applyFont="1"/>
    <xf numFmtId="0" fontId="42" fillId="6" borderId="4" xfId="0" applyFont="1" applyFill="1" applyBorder="1"/>
    <xf numFmtId="0" fontId="42" fillId="0" borderId="9" xfId="0" applyFont="1" applyBorder="1" applyAlignment="1"/>
    <xf numFmtId="0" fontId="42" fillId="0" borderId="0" xfId="0" applyFont="1" applyBorder="1" applyAlignment="1"/>
    <xf numFmtId="0" fontId="42" fillId="0" borderId="9" xfId="0" applyFont="1" applyBorder="1" applyAlignment="1">
      <alignment horizontal="right"/>
    </xf>
    <xf numFmtId="0" fontId="42" fillId="0" borderId="9" xfId="0" applyFont="1" applyBorder="1" applyAlignment="1">
      <alignment horizontal="center"/>
    </xf>
    <xf numFmtId="0" fontId="43" fillId="6" borderId="4" xfId="0" applyFont="1" applyFill="1" applyBorder="1"/>
    <xf numFmtId="0" fontId="0" fillId="0" borderId="10" xfId="0" applyFont="1" applyBorder="1"/>
    <xf numFmtId="0" fontId="0" fillId="0" borderId="0" xfId="0" applyFont="1" applyFill="1"/>
    <xf numFmtId="0" fontId="0" fillId="0" borderId="11" xfId="0" applyFont="1" applyBorder="1"/>
    <xf numFmtId="0" fontId="0" fillId="0" borderId="7" xfId="0" applyFont="1" applyBorder="1"/>
    <xf numFmtId="0" fontId="0" fillId="0" borderId="3" xfId="0" applyFont="1" applyBorder="1"/>
    <xf numFmtId="0" fontId="0" fillId="0" borderId="0" xfId="0" applyFont="1" applyAlignment="1">
      <alignment wrapText="1"/>
    </xf>
    <xf numFmtId="0" fontId="39" fillId="0" borderId="0" xfId="0" applyFont="1" applyFill="1" applyAlignment="1">
      <alignment wrapText="1"/>
    </xf>
    <xf numFmtId="0" fontId="39" fillId="0" borderId="0" xfId="0" applyFont="1" applyAlignment="1">
      <alignment wrapText="1"/>
    </xf>
    <xf numFmtId="0" fontId="0" fillId="0" borderId="6" xfId="0" applyFont="1" applyBorder="1" applyAlignment="1">
      <alignment wrapText="1"/>
    </xf>
    <xf numFmtId="0" fontId="43" fillId="4" borderId="0" xfId="0" applyFont="1" applyFill="1" applyBorder="1" applyAlignment="1">
      <alignment horizontal="left"/>
    </xf>
    <xf numFmtId="0" fontId="42" fillId="0" borderId="0" xfId="0" applyFont="1" applyFill="1"/>
    <xf numFmtId="0" fontId="42" fillId="0" borderId="0" xfId="0" applyFont="1" applyBorder="1"/>
    <xf numFmtId="0" fontId="42" fillId="0" borderId="0" xfId="0" applyFont="1" applyFill="1" applyBorder="1"/>
    <xf numFmtId="0" fontId="42" fillId="0" borderId="0" xfId="0" applyFont="1" applyFill="1" applyBorder="1" applyAlignment="1">
      <alignment horizontal="center"/>
    </xf>
    <xf numFmtId="0" fontId="48" fillId="0" borderId="0" xfId="0" applyFont="1"/>
    <xf numFmtId="0" fontId="49" fillId="0" borderId="0" xfId="0" applyFont="1"/>
    <xf numFmtId="0" fontId="42" fillId="0" borderId="12" xfId="0" applyFont="1" applyBorder="1" applyAlignment="1">
      <alignment wrapText="1"/>
    </xf>
    <xf numFmtId="0" fontId="47" fillId="5" borderId="12" xfId="0" applyFont="1" applyFill="1" applyBorder="1" applyAlignment="1">
      <alignment horizontal="left" wrapText="1"/>
    </xf>
    <xf numFmtId="0" fontId="42" fillId="0" borderId="13" xfId="0" applyFont="1" applyBorder="1" applyAlignment="1">
      <alignment wrapText="1"/>
    </xf>
    <xf numFmtId="0" fontId="47" fillId="5" borderId="4" xfId="0" applyFont="1" applyFill="1" applyBorder="1" applyAlignment="1">
      <alignment horizontal="left" wrapText="1"/>
    </xf>
    <xf numFmtId="0" fontId="39" fillId="6" borderId="4" xfId="0" applyFont="1" applyFill="1" applyBorder="1" applyAlignment="1">
      <alignment wrapText="1"/>
    </xf>
    <xf numFmtId="0" fontId="47" fillId="4" borderId="4" xfId="0" applyFont="1" applyFill="1" applyBorder="1" applyAlignment="1">
      <alignment horizontal="right" wrapText="1"/>
    </xf>
    <xf numFmtId="0" fontId="42" fillId="0" borderId="0" xfId="0" applyFont="1" applyAlignment="1">
      <alignment horizontal="center"/>
    </xf>
    <xf numFmtId="0" fontId="42" fillId="0" borderId="0" xfId="0" applyFont="1" applyAlignment="1">
      <alignment horizontal="center" vertical="top"/>
    </xf>
    <xf numFmtId="0" fontId="42" fillId="0" borderId="14" xfId="0" applyFont="1" applyBorder="1"/>
    <xf numFmtId="0" fontId="42" fillId="0" borderId="12" xfId="0" applyFont="1" applyBorder="1"/>
    <xf numFmtId="41" fontId="42" fillId="4" borderId="4" xfId="0" applyNumberFormat="1" applyFont="1" applyFill="1" applyBorder="1"/>
    <xf numFmtId="41" fontId="47" fillId="5" borderId="12" xfId="0" applyNumberFormat="1" applyFont="1" applyFill="1" applyBorder="1"/>
    <xf numFmtId="41" fontId="47" fillId="5" borderId="4" xfId="0" applyNumberFormat="1" applyFont="1" applyFill="1" applyBorder="1"/>
    <xf numFmtId="0" fontId="42" fillId="0" borderId="14" xfId="0" applyFont="1" applyBorder="1" applyAlignment="1">
      <alignment wrapText="1"/>
    </xf>
    <xf numFmtId="0" fontId="42" fillId="0" borderId="15" xfId="0" applyFont="1" applyBorder="1" applyAlignment="1">
      <alignment wrapText="1"/>
    </xf>
    <xf numFmtId="4" fontId="42" fillId="0" borderId="12" xfId="0" applyNumberFormat="1" applyFont="1" applyBorder="1" applyAlignment="1">
      <alignment horizontal="center"/>
    </xf>
    <xf numFmtId="0" fontId="48" fillId="0" borderId="0" xfId="0" applyFont="1" applyAlignment="1">
      <alignment horizontal="center" vertical="top"/>
    </xf>
    <xf numFmtId="0" fontId="42" fillId="7" borderId="0" xfId="0" applyFont="1" applyFill="1"/>
    <xf numFmtId="0" fontId="42" fillId="7" borderId="0" xfId="0" applyFont="1" applyFill="1" applyAlignment="1">
      <alignment horizontal="center"/>
    </xf>
    <xf numFmtId="0" fontId="39" fillId="7" borderId="0" xfId="0" applyFont="1" applyFill="1" applyAlignment="1">
      <alignment horizontal="left" vertical="top"/>
    </xf>
    <xf numFmtId="0" fontId="3" fillId="4" borderId="0" xfId="0" applyFont="1" applyFill="1"/>
    <xf numFmtId="0" fontId="42" fillId="0" borderId="1" xfId="0" applyFont="1" applyBorder="1"/>
    <xf numFmtId="0" fontId="42" fillId="0" borderId="16" xfId="0" applyFont="1" applyBorder="1"/>
    <xf numFmtId="0" fontId="50" fillId="0" borderId="0" xfId="0" applyFont="1" applyBorder="1" applyAlignment="1">
      <alignment vertical="top" wrapText="1"/>
    </xf>
    <xf numFmtId="0" fontId="7" fillId="0" borderId="0" xfId="0" applyFont="1" applyBorder="1" applyAlignment="1">
      <alignment vertical="top" wrapText="1"/>
    </xf>
    <xf numFmtId="0" fontId="49" fillId="0" borderId="0" xfId="0" applyFont="1" applyAlignment="1">
      <alignment horizontal="center" vertical="top"/>
    </xf>
    <xf numFmtId="0" fontId="7" fillId="0" borderId="0" xfId="0" applyFont="1" applyBorder="1" applyAlignment="1">
      <alignment horizontal="center" vertical="top" wrapText="1"/>
    </xf>
    <xf numFmtId="0" fontId="7" fillId="0" borderId="0" xfId="0" applyFont="1" applyBorder="1" applyAlignment="1">
      <alignment horizontal="justify" vertical="top" wrapText="1"/>
    </xf>
    <xf numFmtId="0" fontId="8" fillId="0" borderId="0" xfId="0" applyFont="1" applyBorder="1" applyAlignment="1">
      <alignment vertical="top" wrapText="1"/>
    </xf>
    <xf numFmtId="0" fontId="7" fillId="0" borderId="0" xfId="0" applyFont="1" applyBorder="1" applyAlignment="1">
      <alignment horizontal="left" vertical="top" wrapText="1" indent="1"/>
    </xf>
    <xf numFmtId="0" fontId="49" fillId="0" borderId="0" xfId="0" applyFont="1" applyAlignment="1">
      <alignment horizontal="left" indent="1"/>
    </xf>
    <xf numFmtId="0" fontId="7" fillId="0" borderId="1" xfId="0" applyFont="1" applyBorder="1" applyAlignment="1">
      <alignment vertical="top" wrapText="1"/>
    </xf>
    <xf numFmtId="0" fontId="7" fillId="0" borderId="16" xfId="0" applyFont="1" applyBorder="1" applyAlignment="1">
      <alignment vertical="top" wrapText="1"/>
    </xf>
    <xf numFmtId="41" fontId="42" fillId="0" borderId="0" xfId="0" applyNumberFormat="1" applyFont="1"/>
    <xf numFmtId="0" fontId="0" fillId="0" borderId="0" xfId="0" applyAlignment="1">
      <alignment vertical="center"/>
    </xf>
    <xf numFmtId="0" fontId="42" fillId="0" borderId="0" xfId="0" applyFont="1" applyFill="1" applyBorder="1" applyAlignment="1">
      <alignment vertical="top" wrapText="1"/>
    </xf>
    <xf numFmtId="0" fontId="51" fillId="0" borderId="0" xfId="0" applyFont="1" applyFill="1" applyBorder="1" applyAlignment="1">
      <alignment horizontal="center" vertical="top" wrapText="1"/>
    </xf>
    <xf numFmtId="0" fontId="52" fillId="0" borderId="0" xfId="0" applyFont="1" applyAlignment="1">
      <alignment wrapText="1"/>
    </xf>
    <xf numFmtId="0" fontId="0" fillId="0" borderId="17" xfId="0" applyBorder="1" applyAlignment="1">
      <alignment wrapText="1"/>
    </xf>
    <xf numFmtId="0" fontId="0" fillId="0" borderId="0" xfId="0" applyBorder="1" applyAlignment="1">
      <alignment wrapText="1"/>
    </xf>
    <xf numFmtId="0" fontId="0" fillId="0" borderId="0" xfId="0" applyBorder="1" applyAlignment="1">
      <alignment vertical="top" wrapText="1"/>
    </xf>
    <xf numFmtId="0" fontId="42" fillId="0" borderId="0" xfId="0" applyFont="1" applyAlignment="1">
      <alignment horizontal="left" wrapText="1" indent="1"/>
    </xf>
    <xf numFmtId="0" fontId="51" fillId="0" borderId="0" xfId="0" applyFont="1" applyBorder="1" applyAlignment="1">
      <alignment vertical="top" wrapText="1"/>
    </xf>
    <xf numFmtId="0" fontId="42" fillId="0" borderId="0" xfId="0" applyFont="1" applyFill="1" applyBorder="1" applyAlignment="1">
      <alignment horizontal="left" vertical="center"/>
    </xf>
    <xf numFmtId="10" fontId="42" fillId="0" borderId="0" xfId="0" applyNumberFormat="1" applyFont="1" applyAlignment="1">
      <alignment horizontal="center"/>
    </xf>
    <xf numFmtId="0" fontId="0" fillId="0" borderId="0" xfId="0" applyAlignment="1">
      <alignment horizontal="center" vertical="top"/>
    </xf>
    <xf numFmtId="0" fontId="42" fillId="0" borderId="0" xfId="0" applyFont="1" applyAlignment="1">
      <alignment horizontal="left" wrapText="1"/>
    </xf>
    <xf numFmtId="0" fontId="0" fillId="0" borderId="0" xfId="0" applyAlignment="1">
      <alignment horizontal="center"/>
    </xf>
    <xf numFmtId="0" fontId="0" fillId="0" borderId="0" xfId="0" applyAlignment="1">
      <alignment vertical="top"/>
    </xf>
    <xf numFmtId="0" fontId="37" fillId="8" borderId="76" xfId="0" applyFont="1" applyFill="1" applyBorder="1" applyAlignment="1">
      <alignment horizontal="center"/>
    </xf>
    <xf numFmtId="0" fontId="42" fillId="0" borderId="4" xfId="0" applyFont="1" applyBorder="1" applyProtection="1">
      <protection locked="0"/>
    </xf>
    <xf numFmtId="0" fontId="42" fillId="0" borderId="19" xfId="0" applyFont="1" applyBorder="1" applyProtection="1">
      <protection locked="0"/>
    </xf>
    <xf numFmtId="0" fontId="0" fillId="0" borderId="4" xfId="0" applyBorder="1" applyProtection="1">
      <protection locked="0"/>
    </xf>
    <xf numFmtId="41" fontId="42" fillId="0" borderId="12" xfId="0" applyNumberFormat="1" applyFont="1" applyBorder="1" applyProtection="1">
      <protection locked="0"/>
    </xf>
    <xf numFmtId="41" fontId="42" fillId="0" borderId="13" xfId="0" applyNumberFormat="1" applyFont="1" applyBorder="1" applyProtection="1">
      <protection locked="0"/>
    </xf>
    <xf numFmtId="41" fontId="42" fillId="0" borderId="14" xfId="0" applyNumberFormat="1" applyFont="1" applyBorder="1" applyProtection="1">
      <protection locked="0"/>
    </xf>
    <xf numFmtId="41" fontId="42" fillId="0" borderId="20" xfId="0" applyNumberFormat="1" applyFont="1" applyBorder="1" applyProtection="1">
      <protection locked="0"/>
    </xf>
    <xf numFmtId="41" fontId="42" fillId="0" borderId="15" xfId="0" applyNumberFormat="1" applyFont="1" applyBorder="1" applyProtection="1">
      <protection locked="0"/>
    </xf>
    <xf numFmtId="0" fontId="42" fillId="0" borderId="0" xfId="0" applyFont="1" applyBorder="1" applyAlignment="1" applyProtection="1">
      <alignment horizontal="left" vertical="top" wrapText="1"/>
      <protection locked="0"/>
    </xf>
    <xf numFmtId="0" fontId="0" fillId="0" borderId="5" xfId="0" applyFont="1" applyBorder="1" applyProtection="1">
      <protection locked="0"/>
    </xf>
    <xf numFmtId="165" fontId="42" fillId="0" borderId="4" xfId="0" applyNumberFormat="1" applyFont="1" applyBorder="1" applyAlignment="1" applyProtection="1">
      <alignment wrapText="1"/>
      <protection locked="0"/>
    </xf>
    <xf numFmtId="0" fontId="0" fillId="0" borderId="0" xfId="0" applyAlignment="1">
      <alignment horizontal="left"/>
    </xf>
    <xf numFmtId="41" fontId="0" fillId="0" borderId="0" xfId="0" applyNumberFormat="1" applyAlignment="1">
      <alignment horizontal="center"/>
    </xf>
    <xf numFmtId="0" fontId="0" fillId="0" borderId="0" xfId="0" applyAlignment="1">
      <alignment horizontal="left" wrapText="1"/>
    </xf>
    <xf numFmtId="0" fontId="37" fillId="0" borderId="0" xfId="0" applyFont="1" applyFill="1" applyAlignment="1">
      <alignment horizontal="left"/>
    </xf>
    <xf numFmtId="0" fontId="0" fillId="0" borderId="0" xfId="0" applyFont="1" applyFill="1" applyAlignment="1">
      <alignment horizontal="left"/>
    </xf>
    <xf numFmtId="0" fontId="0" fillId="4" borderId="9" xfId="0" applyFill="1" applyBorder="1"/>
    <xf numFmtId="0" fontId="53" fillId="4" borderId="0" xfId="0" applyFont="1" applyFill="1"/>
    <xf numFmtId="4" fontId="42" fillId="0" borderId="15" xfId="0" applyNumberFormat="1" applyFont="1" applyBorder="1" applyAlignment="1">
      <alignment horizontal="center"/>
    </xf>
    <xf numFmtId="0" fontId="42" fillId="0" borderId="0" xfId="0" applyFont="1" applyFill="1" applyBorder="1" applyAlignment="1">
      <alignment horizontal="center" vertical="top" wrapText="1"/>
    </xf>
    <xf numFmtId="0" fontId="54" fillId="5" borderId="21" xfId="0" quotePrefix="1" applyFont="1" applyFill="1" applyBorder="1" applyAlignment="1">
      <alignment horizontal="center"/>
    </xf>
    <xf numFmtId="0" fontId="0" fillId="4" borderId="0" xfId="0" applyFill="1" applyBorder="1" applyAlignment="1">
      <alignment horizontal="center"/>
    </xf>
    <xf numFmtId="0" fontId="0" fillId="4" borderId="0" xfId="0" applyFill="1" applyBorder="1" applyAlignment="1">
      <alignment horizontal="left"/>
    </xf>
    <xf numFmtId="0" fontId="0" fillId="0" borderId="0" xfId="0" applyAlignment="1">
      <alignment horizontal="center"/>
    </xf>
    <xf numFmtId="0" fontId="0" fillId="4" borderId="0" xfId="0" applyFill="1" applyAlignment="1">
      <alignment horizontal="center"/>
    </xf>
    <xf numFmtId="0" fontId="42" fillId="6" borderId="4" xfId="0" applyFont="1" applyFill="1" applyBorder="1" applyAlignment="1" applyProtection="1">
      <alignment horizontal="center"/>
      <protection locked="0"/>
    </xf>
    <xf numFmtId="41" fontId="42" fillId="0" borderId="22" xfId="0" applyNumberFormat="1" applyFont="1" applyBorder="1" applyProtection="1">
      <protection locked="0"/>
    </xf>
    <xf numFmtId="0" fontId="0" fillId="4" borderId="22" xfId="0" applyFill="1" applyBorder="1"/>
    <xf numFmtId="0" fontId="0" fillId="4" borderId="0" xfId="0" applyFill="1" applyAlignment="1">
      <alignment horizontal="left" vertical="top"/>
    </xf>
    <xf numFmtId="0" fontId="0" fillId="4" borderId="0" xfId="0" applyFill="1" applyAlignment="1">
      <alignment horizontal="left" vertical="top" wrapText="1"/>
    </xf>
    <xf numFmtId="0" fontId="7" fillId="0" borderId="18" xfId="0" applyFont="1" applyBorder="1" applyAlignment="1">
      <alignment vertical="top" wrapText="1"/>
    </xf>
    <xf numFmtId="0" fontId="42" fillId="6" borderId="4" xfId="0" applyFont="1" applyFill="1" applyBorder="1" applyAlignment="1">
      <alignment horizontal="center" vertical="center"/>
    </xf>
    <xf numFmtId="0" fontId="47" fillId="6" borderId="8" xfId="0" applyFont="1" applyFill="1" applyBorder="1" applyAlignment="1">
      <alignment horizontal="center"/>
    </xf>
    <xf numFmtId="0" fontId="55" fillId="0" borderId="0" xfId="4" applyFont="1" applyAlignment="1" applyProtection="1">
      <alignment vertical="top"/>
    </xf>
    <xf numFmtId="0" fontId="56" fillId="0" borderId="0" xfId="0" applyFont="1" applyAlignment="1">
      <alignment vertical="top"/>
    </xf>
    <xf numFmtId="0" fontId="56" fillId="0" borderId="0" xfId="0" applyFont="1" applyAlignment="1">
      <alignment vertical="top" wrapText="1"/>
    </xf>
    <xf numFmtId="0" fontId="57" fillId="8" borderId="77" xfId="0" applyFont="1" applyFill="1" applyBorder="1" applyAlignment="1">
      <alignment horizontal="center" vertical="top"/>
    </xf>
    <xf numFmtId="0" fontId="57" fillId="8" borderId="78" xfId="0" applyFont="1" applyFill="1" applyBorder="1" applyAlignment="1">
      <alignment horizontal="center" vertical="top" wrapText="1"/>
    </xf>
    <xf numFmtId="0" fontId="50" fillId="0" borderId="3" xfId="0" applyFont="1" applyBorder="1" applyAlignment="1">
      <alignment horizontal="center" vertical="top" wrapText="1"/>
    </xf>
    <xf numFmtId="0" fontId="0" fillId="0" borderId="4" xfId="0" applyBorder="1" applyAlignment="1" applyProtection="1">
      <alignment horizontal="center"/>
      <protection locked="0"/>
    </xf>
    <xf numFmtId="0" fontId="58" fillId="0" borderId="0" xfId="0" applyFont="1" applyAlignment="1">
      <alignment vertical="top"/>
    </xf>
    <xf numFmtId="0" fontId="58" fillId="0" borderId="0" xfId="0" applyFont="1" applyAlignment="1">
      <alignment vertical="top" wrapText="1"/>
    </xf>
    <xf numFmtId="0" fontId="42" fillId="0" borderId="0" xfId="0" applyFont="1" applyAlignment="1">
      <alignment horizontal="left" wrapText="1" indent="1"/>
    </xf>
    <xf numFmtId="0" fontId="47" fillId="0" borderId="0" xfId="0" applyFont="1" applyBorder="1" applyAlignment="1">
      <alignment horizontal="left" vertical="top" wrapText="1"/>
    </xf>
    <xf numFmtId="0" fontId="47" fillId="0" borderId="0" xfId="0" applyFont="1" applyAlignment="1">
      <alignment horizontal="left" vertical="center" wrapText="1"/>
    </xf>
    <xf numFmtId="0" fontId="42" fillId="0" borderId="0" xfId="0" applyFont="1" applyAlignment="1">
      <alignment horizontal="left" vertical="center" wrapText="1" indent="1"/>
    </xf>
    <xf numFmtId="0" fontId="42" fillId="0" borderId="0" xfId="0" applyFont="1" applyAlignment="1">
      <alignment horizontal="center"/>
    </xf>
    <xf numFmtId="0" fontId="0" fillId="5" borderId="4" xfId="0" applyFill="1" applyBorder="1" applyAlignment="1">
      <alignment horizontal="center" vertical="center" wrapText="1"/>
    </xf>
    <xf numFmtId="41" fontId="0" fillId="0" borderId="4" xfId="0" applyNumberFormat="1" applyBorder="1" applyProtection="1">
      <protection locked="0"/>
    </xf>
    <xf numFmtId="0" fontId="42" fillId="0" borderId="0" xfId="0" applyFont="1" applyAlignment="1" applyProtection="1">
      <alignment horizontal="left" vertical="center"/>
    </xf>
    <xf numFmtId="0" fontId="42" fillId="0" borderId="0" xfId="0" applyFont="1" applyAlignment="1" applyProtection="1">
      <alignment horizontal="left" vertical="center" wrapText="1"/>
    </xf>
    <xf numFmtId="0" fontId="42" fillId="0" borderId="8" xfId="0" applyFont="1" applyBorder="1" applyProtection="1"/>
    <xf numFmtId="0" fontId="42" fillId="0" borderId="23" xfId="0" applyFont="1" applyBorder="1" applyProtection="1"/>
    <xf numFmtId="0" fontId="0" fillId="0" borderId="20" xfId="0" applyFont="1" applyBorder="1" applyAlignment="1">
      <alignment wrapText="1"/>
    </xf>
    <xf numFmtId="0" fontId="39" fillId="0" borderId="8" xfId="0" applyFont="1" applyBorder="1" applyAlignment="1">
      <alignment wrapText="1"/>
    </xf>
    <xf numFmtId="0" fontId="39" fillId="0" borderId="23" xfId="0" applyFont="1" applyBorder="1" applyAlignment="1">
      <alignment wrapText="1"/>
    </xf>
    <xf numFmtId="0" fontId="42" fillId="0" borderId="20" xfId="0" applyFont="1" applyBorder="1" applyAlignment="1">
      <alignment wrapText="1"/>
    </xf>
    <xf numFmtId="0" fontId="39" fillId="0" borderId="13" xfId="0" applyFont="1" applyBorder="1" applyAlignment="1" applyProtection="1">
      <alignment wrapText="1"/>
    </xf>
    <xf numFmtId="41" fontId="42" fillId="0" borderId="13" xfId="0" applyNumberFormat="1" applyFont="1" applyBorder="1" applyProtection="1"/>
    <xf numFmtId="4" fontId="42" fillId="0" borderId="0" xfId="0" applyNumberFormat="1" applyFont="1" applyBorder="1" applyAlignment="1">
      <alignment horizontal="center"/>
    </xf>
    <xf numFmtId="37" fontId="42" fillId="0" borderId="0" xfId="0" applyNumberFormat="1" applyFont="1" applyBorder="1" applyAlignment="1">
      <alignment horizontal="center"/>
    </xf>
    <xf numFmtId="41" fontId="42" fillId="0" borderId="0" xfId="0" applyNumberFormat="1" applyFont="1" applyBorder="1" applyProtection="1">
      <protection locked="0"/>
    </xf>
    <xf numFmtId="0" fontId="42" fillId="0" borderId="0" xfId="0" applyFont="1" applyBorder="1" applyProtection="1">
      <protection locked="0"/>
    </xf>
    <xf numFmtId="41" fontId="42" fillId="0" borderId="0" xfId="0" applyNumberFormat="1" applyFont="1" applyBorder="1" applyAlignment="1" applyProtection="1">
      <alignment vertical="center"/>
      <protection locked="0"/>
    </xf>
    <xf numFmtId="0" fontId="42" fillId="0" borderId="0" xfId="0" applyFont="1" applyBorder="1" applyAlignment="1">
      <alignment horizontal="left" vertical="top" wrapText="1"/>
    </xf>
    <xf numFmtId="0" fontId="42" fillId="0" borderId="0" xfId="0" applyFont="1" applyBorder="1" applyAlignment="1" applyProtection="1">
      <alignment horizontal="center" vertical="top" wrapText="1"/>
      <protection locked="0"/>
    </xf>
    <xf numFmtId="0" fontId="42" fillId="0" borderId="8" xfId="0" applyFont="1" applyBorder="1" applyProtection="1">
      <protection locked="0"/>
    </xf>
    <xf numFmtId="0" fontId="39" fillId="0" borderId="8" xfId="0" applyFont="1" applyBorder="1" applyAlignment="1" applyProtection="1">
      <alignment wrapText="1"/>
      <protection locked="0"/>
    </xf>
    <xf numFmtId="41" fontId="42" fillId="0" borderId="8" xfId="0" applyNumberFormat="1" applyFont="1" applyBorder="1" applyProtection="1">
      <protection locked="0"/>
    </xf>
    <xf numFmtId="0" fontId="39" fillId="0" borderId="23" xfId="0" applyFont="1" applyBorder="1" applyAlignment="1" applyProtection="1">
      <alignment wrapText="1"/>
    </xf>
    <xf numFmtId="41" fontId="42" fillId="0" borderId="23" xfId="0" applyNumberFormat="1" applyFont="1" applyBorder="1" applyProtection="1"/>
    <xf numFmtId="0" fontId="42" fillId="0" borderId="22" xfId="0" applyFont="1" applyBorder="1" applyAlignment="1">
      <alignment wrapText="1"/>
    </xf>
    <xf numFmtId="0" fontId="39" fillId="0" borderId="24" xfId="0" applyFont="1" applyBorder="1" applyAlignment="1" applyProtection="1">
      <alignment wrapText="1"/>
      <protection locked="0"/>
    </xf>
    <xf numFmtId="0" fontId="39" fillId="0" borderId="13" xfId="0" applyFont="1" applyBorder="1" applyAlignment="1" applyProtection="1">
      <alignment wrapText="1"/>
      <protection locked="0"/>
    </xf>
    <xf numFmtId="10" fontId="42" fillId="0" borderId="23" xfId="0" applyNumberFormat="1" applyFont="1" applyBorder="1" applyProtection="1">
      <protection locked="0"/>
    </xf>
    <xf numFmtId="10" fontId="42" fillId="0" borderId="20" xfId="0" applyNumberFormat="1" applyFont="1" applyBorder="1" applyProtection="1">
      <protection locked="0"/>
    </xf>
    <xf numFmtId="10" fontId="42" fillId="0" borderId="12" xfId="0" applyNumberFormat="1" applyFont="1" applyBorder="1" applyProtection="1">
      <protection locked="0"/>
    </xf>
    <xf numFmtId="10" fontId="47" fillId="5" borderId="12" xfId="0" applyNumberFormat="1" applyFont="1" applyFill="1" applyBorder="1" applyProtection="1">
      <protection locked="0"/>
    </xf>
    <xf numFmtId="10" fontId="42" fillId="0" borderId="13" xfId="0" applyNumberFormat="1" applyFont="1" applyBorder="1" applyProtection="1">
      <protection locked="0"/>
    </xf>
    <xf numFmtId="10" fontId="47" fillId="5" borderId="4" xfId="0" applyNumberFormat="1" applyFont="1" applyFill="1" applyBorder="1" applyProtection="1">
      <protection locked="0"/>
    </xf>
    <xf numFmtId="10" fontId="42" fillId="0" borderId="8" xfId="0" applyNumberFormat="1" applyFont="1" applyBorder="1" applyProtection="1">
      <protection locked="0"/>
    </xf>
    <xf numFmtId="10" fontId="42" fillId="0" borderId="23" xfId="0" applyNumberFormat="1" applyFont="1" applyBorder="1" applyProtection="1"/>
    <xf numFmtId="10" fontId="42" fillId="0" borderId="8" xfId="0" applyNumberFormat="1" applyFont="1" applyBorder="1" applyProtection="1"/>
    <xf numFmtId="10" fontId="47" fillId="5" borderId="12" xfId="0" applyNumberFormat="1" applyFont="1" applyFill="1" applyBorder="1"/>
    <xf numFmtId="10" fontId="47" fillId="5" borderId="4" xfId="0" applyNumberFormat="1" applyFont="1" applyFill="1" applyBorder="1"/>
    <xf numFmtId="41" fontId="42" fillId="0" borderId="0" xfId="0" applyNumberFormat="1" applyFont="1" applyProtection="1">
      <protection locked="0"/>
    </xf>
    <xf numFmtId="10" fontId="42" fillId="0" borderId="0" xfId="0" applyNumberFormat="1" applyFont="1" applyFill="1" applyAlignment="1">
      <alignment vertical="center"/>
    </xf>
    <xf numFmtId="41" fontId="42" fillId="0" borderId="20" xfId="0" applyNumberFormat="1" applyFont="1" applyBorder="1" applyAlignment="1">
      <alignment horizontal="center"/>
    </xf>
    <xf numFmtId="0" fontId="47" fillId="0" borderId="6" xfId="0" applyFont="1" applyFill="1" applyBorder="1" applyAlignment="1">
      <alignment horizontal="left" wrapText="1"/>
    </xf>
    <xf numFmtId="41" fontId="47" fillId="0" borderId="7" xfId="0" applyNumberFormat="1" applyFont="1" applyFill="1" applyBorder="1"/>
    <xf numFmtId="10" fontId="47" fillId="0" borderId="7" xfId="0" applyNumberFormat="1" applyFont="1" applyFill="1" applyBorder="1"/>
    <xf numFmtId="10" fontId="47" fillId="0" borderId="0" xfId="0" applyNumberFormat="1" applyFont="1" applyFill="1" applyBorder="1"/>
    <xf numFmtId="41" fontId="42" fillId="0" borderId="4" xfId="0" applyNumberFormat="1" applyFont="1" applyBorder="1" applyProtection="1">
      <protection locked="0"/>
    </xf>
    <xf numFmtId="0" fontId="42" fillId="0" borderId="7" xfId="0" applyFont="1" applyBorder="1" applyProtection="1">
      <protection locked="0"/>
    </xf>
    <xf numFmtId="165" fontId="42" fillId="0" borderId="7" xfId="0" applyNumberFormat="1" applyFont="1" applyBorder="1" applyProtection="1">
      <protection locked="0"/>
    </xf>
    <xf numFmtId="0" fontId="42" fillId="0" borderId="7" xfId="0" applyFont="1" applyBorder="1" applyAlignment="1" applyProtection="1">
      <alignment wrapText="1"/>
      <protection locked="0"/>
    </xf>
    <xf numFmtId="0" fontId="42" fillId="0" borderId="0" xfId="0" applyFont="1" applyBorder="1" applyAlignment="1" applyProtection="1">
      <alignment vertical="top" wrapText="1"/>
      <protection locked="0"/>
    </xf>
    <xf numFmtId="0" fontId="0" fillId="4" borderId="4" xfId="0" applyFill="1" applyBorder="1" applyAlignment="1" applyProtection="1">
      <alignment vertical="top" wrapText="1"/>
      <protection locked="0"/>
    </xf>
    <xf numFmtId="0" fontId="47" fillId="0" borderId="0" xfId="0" applyFont="1" applyFill="1" applyBorder="1" applyAlignment="1">
      <alignment vertical="top" wrapText="1"/>
    </xf>
    <xf numFmtId="0" fontId="36" fillId="0" borderId="0" xfId="0" applyFont="1" applyBorder="1" applyProtection="1">
      <protection locked="0"/>
    </xf>
    <xf numFmtId="0" fontId="36" fillId="0" borderId="0" xfId="0" applyFont="1" applyBorder="1"/>
    <xf numFmtId="168" fontId="42" fillId="0" borderId="19" xfId="0" applyNumberFormat="1" applyFont="1" applyBorder="1" applyProtection="1">
      <protection locked="0"/>
    </xf>
    <xf numFmtId="0" fontId="0" fillId="4" borderId="0" xfId="0" applyFill="1" applyBorder="1" applyAlignment="1" applyProtection="1">
      <protection locked="0"/>
    </xf>
    <xf numFmtId="0" fontId="47" fillId="0" borderId="0" xfId="0" applyFont="1" applyAlignment="1">
      <alignment wrapText="1"/>
    </xf>
    <xf numFmtId="0" fontId="42" fillId="0" borderId="4" xfId="0" applyFont="1" applyBorder="1" applyAlignment="1">
      <alignment vertical="top" wrapText="1"/>
    </xf>
    <xf numFmtId="0" fontId="47" fillId="8" borderId="4" xfId="0" applyFont="1" applyFill="1" applyBorder="1" applyAlignment="1" applyProtection="1">
      <alignment horizontal="left" vertical="top" wrapText="1"/>
      <protection locked="0"/>
    </xf>
    <xf numFmtId="0" fontId="42" fillId="4" borderId="4" xfId="0" applyFont="1" applyFill="1" applyBorder="1" applyAlignment="1" applyProtection="1">
      <alignment horizontal="left" vertical="top" wrapText="1"/>
      <protection locked="0"/>
    </xf>
    <xf numFmtId="0" fontId="42" fillId="0" borderId="0" xfId="0" applyFont="1" applyAlignment="1" applyProtection="1">
      <alignment horizontal="left" vertical="top" wrapText="1"/>
      <protection locked="0"/>
    </xf>
    <xf numFmtId="0" fontId="59" fillId="0" borderId="0" xfId="0" applyFont="1" applyAlignment="1">
      <alignment vertical="top"/>
    </xf>
    <xf numFmtId="0" fontId="59" fillId="0" borderId="0" xfId="0" applyFont="1"/>
    <xf numFmtId="0" fontId="59" fillId="0" borderId="0" xfId="0" applyFont="1" applyAlignment="1">
      <alignment vertical="center"/>
    </xf>
    <xf numFmtId="0" fontId="59" fillId="0" borderId="0" xfId="0" applyFont="1" applyBorder="1" applyAlignment="1">
      <alignment vertical="top"/>
    </xf>
    <xf numFmtId="0" fontId="59" fillId="0" borderId="0" xfId="0" applyFont="1" applyBorder="1"/>
    <xf numFmtId="0" fontId="49" fillId="0" borderId="21" xfId="0" applyFont="1" applyBorder="1" applyAlignment="1">
      <alignment vertical="top"/>
    </xf>
    <xf numFmtId="0" fontId="49" fillId="0" borderId="25" xfId="0" applyFont="1" applyBorder="1" applyAlignment="1">
      <alignment vertical="top"/>
    </xf>
    <xf numFmtId="0" fontId="42" fillId="0" borderId="0" xfId="0" applyFont="1" applyAlignment="1">
      <alignment horizontal="center"/>
    </xf>
    <xf numFmtId="0" fontId="0" fillId="0" borderId="4" xfId="0" applyBorder="1" applyAlignment="1" applyProtection="1">
      <alignment vertical="top" wrapText="1"/>
      <protection locked="0"/>
    </xf>
    <xf numFmtId="167" fontId="0" fillId="0" borderId="4" xfId="0" applyNumberFormat="1" applyBorder="1" applyAlignment="1" applyProtection="1">
      <alignment vertical="top" wrapText="1"/>
      <protection locked="0"/>
    </xf>
    <xf numFmtId="167" fontId="0" fillId="4" borderId="4" xfId="0" applyNumberFormat="1" applyFill="1" applyBorder="1" applyAlignment="1" applyProtection="1">
      <alignment vertical="top" wrapText="1"/>
      <protection locked="0"/>
    </xf>
    <xf numFmtId="10" fontId="42" fillId="0" borderId="4" xfId="0" applyNumberFormat="1" applyFont="1" applyBorder="1" applyAlignment="1" applyProtection="1">
      <alignment horizontal="center" wrapText="1"/>
      <protection locked="0"/>
    </xf>
    <xf numFmtId="0" fontId="41" fillId="4" borderId="0" xfId="0" applyFont="1" applyFill="1" applyBorder="1" applyAlignment="1">
      <alignment horizontal="center" vertical="center"/>
    </xf>
    <xf numFmtId="0" fontId="39" fillId="4" borderId="0" xfId="0" applyFont="1" applyFill="1" applyBorder="1" applyAlignment="1" applyProtection="1">
      <protection locked="0"/>
    </xf>
    <xf numFmtId="167" fontId="0" fillId="4" borderId="0" xfId="0" applyNumberFormat="1" applyFill="1" applyBorder="1" applyAlignment="1" applyProtection="1">
      <protection locked="0"/>
    </xf>
    <xf numFmtId="0" fontId="41" fillId="4" borderId="0" xfId="0" applyFont="1" applyFill="1" applyBorder="1" applyAlignment="1">
      <alignment vertical="center"/>
    </xf>
    <xf numFmtId="0" fontId="47" fillId="5" borderId="4" xfId="0" applyFont="1" applyFill="1" applyBorder="1" applyAlignment="1">
      <alignment horizontal="center" vertical="center" wrapText="1"/>
    </xf>
    <xf numFmtId="0" fontId="42" fillId="0" borderId="6" xfId="0" applyFont="1" applyBorder="1" applyAlignment="1" applyProtection="1">
      <alignment horizontal="center"/>
      <protection locked="0"/>
    </xf>
    <xf numFmtId="0" fontId="42" fillId="0" borderId="1" xfId="0" applyFont="1" applyBorder="1" applyAlignment="1" applyProtection="1">
      <alignment horizontal="center"/>
      <protection locked="0"/>
    </xf>
    <xf numFmtId="0" fontId="42" fillId="0" borderId="2" xfId="0" applyFont="1" applyBorder="1" applyAlignment="1" applyProtection="1">
      <alignment horizontal="center"/>
      <protection locked="0"/>
    </xf>
    <xf numFmtId="0" fontId="42"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49" fillId="0" borderId="0" xfId="0" applyFont="1" applyAlignment="1">
      <alignment horizontal="center" vertical="top"/>
    </xf>
    <xf numFmtId="43" fontId="47" fillId="5" borderId="4" xfId="0" applyNumberFormat="1" applyFont="1" applyFill="1" applyBorder="1"/>
    <xf numFmtId="43" fontId="42" fillId="0" borderId="8" xfId="0" applyNumberFormat="1" applyFont="1" applyBorder="1" applyProtection="1">
      <protection locked="0"/>
    </xf>
    <xf numFmtId="0" fontId="42" fillId="0" borderId="26" xfId="0" applyFont="1" applyBorder="1" applyAlignment="1" applyProtection="1">
      <alignment horizontal="center"/>
      <protection locked="0"/>
    </xf>
    <xf numFmtId="0" fontId="42" fillId="0" borderId="7" xfId="0" applyFont="1" applyBorder="1" applyAlignment="1" applyProtection="1">
      <alignment horizontal="center"/>
      <protection locked="0"/>
    </xf>
    <xf numFmtId="0" fontId="42" fillId="0" borderId="0" xfId="0" applyFont="1" applyBorder="1" applyAlignment="1" applyProtection="1">
      <alignment horizontal="center"/>
      <protection locked="0"/>
    </xf>
    <xf numFmtId="43" fontId="42" fillId="0" borderId="20" xfId="0" applyNumberFormat="1" applyFont="1" applyBorder="1" applyProtection="1">
      <protection locked="0"/>
    </xf>
    <xf numFmtId="43" fontId="42" fillId="0" borderId="12" xfId="0" applyNumberFormat="1" applyFont="1" applyBorder="1" applyProtection="1">
      <protection locked="0"/>
    </xf>
    <xf numFmtId="43" fontId="47" fillId="5" borderId="12" xfId="0" applyNumberFormat="1" applyFont="1" applyFill="1" applyBorder="1"/>
    <xf numFmtId="43" fontId="42" fillId="0" borderId="13" xfId="0" applyNumberFormat="1" applyFont="1" applyBorder="1" applyProtection="1">
      <protection locked="0"/>
    </xf>
    <xf numFmtId="43" fontId="42" fillId="0" borderId="23" xfId="0" applyNumberFormat="1" applyFont="1" applyBorder="1" applyProtection="1"/>
    <xf numFmtId="43" fontId="42" fillId="0" borderId="14" xfId="0" applyNumberFormat="1" applyFont="1" applyBorder="1" applyProtection="1">
      <protection locked="0"/>
    </xf>
    <xf numFmtId="43" fontId="42" fillId="0" borderId="15" xfId="0" applyNumberFormat="1" applyFont="1" applyBorder="1" applyProtection="1">
      <protection locked="0"/>
    </xf>
    <xf numFmtId="0" fontId="44" fillId="0" borderId="0" xfId="0" applyFont="1" applyBorder="1" applyAlignment="1">
      <alignment horizontal="left" indent="2"/>
    </xf>
    <xf numFmtId="0" fontId="60" fillId="8" borderId="8" xfId="0" applyFont="1" applyFill="1" applyBorder="1" applyAlignment="1">
      <alignment horizontal="center"/>
    </xf>
    <xf numFmtId="0" fontId="48" fillId="0" borderId="0" xfId="0" quotePrefix="1" applyFont="1" applyBorder="1" applyAlignment="1">
      <alignment horizontal="center"/>
    </xf>
    <xf numFmtId="0" fontId="48" fillId="0" borderId="2" xfId="0" quotePrefix="1" applyFont="1" applyBorder="1" applyAlignment="1">
      <alignment horizontal="center"/>
    </xf>
    <xf numFmtId="0" fontId="50" fillId="0" borderId="2" xfId="0" applyFont="1" applyBorder="1" applyAlignment="1">
      <alignment vertical="top" wrapText="1"/>
    </xf>
    <xf numFmtId="0" fontId="7" fillId="0" borderId="1" xfId="0" applyFont="1" applyFill="1" applyBorder="1" applyAlignment="1">
      <alignment vertical="top" wrapText="1"/>
    </xf>
    <xf numFmtId="0" fontId="50" fillId="0" borderId="10" xfId="0" applyFont="1" applyBorder="1" applyAlignment="1">
      <alignment horizontal="center" vertical="top" wrapText="1"/>
    </xf>
    <xf numFmtId="0" fontId="60" fillId="8" borderId="6" xfId="0" applyFont="1" applyFill="1" applyBorder="1" applyAlignment="1">
      <alignment horizontal="center"/>
    </xf>
    <xf numFmtId="0" fontId="48" fillId="0" borderId="1" xfId="0" quotePrefix="1" applyFont="1" applyBorder="1" applyAlignment="1">
      <alignment horizontal="center"/>
    </xf>
    <xf numFmtId="0" fontId="54" fillId="4" borderId="6" xfId="0" applyFont="1" applyFill="1" applyBorder="1" applyAlignment="1">
      <alignment horizontal="left" vertical="top"/>
    </xf>
    <xf numFmtId="0" fontId="50" fillId="0" borderId="1" xfId="0" applyFont="1" applyBorder="1" applyAlignment="1">
      <alignment vertical="top" wrapText="1"/>
    </xf>
    <xf numFmtId="0" fontId="50" fillId="0" borderId="16" xfId="0" applyFont="1" applyBorder="1" applyAlignment="1">
      <alignment horizontal="center" vertical="top" wrapText="1"/>
    </xf>
    <xf numFmtId="0" fontId="61" fillId="0" borderId="0" xfId="0" applyFont="1" applyAlignment="1" applyProtection="1">
      <alignment horizontal="center"/>
    </xf>
    <xf numFmtId="0" fontId="47" fillId="6" borderId="6" xfId="0" applyFont="1" applyFill="1" applyBorder="1" applyAlignment="1">
      <alignment horizontal="center"/>
    </xf>
    <xf numFmtId="0" fontId="59" fillId="0" borderId="0" xfId="0" applyFont="1" applyFill="1" applyBorder="1" applyAlignment="1">
      <alignment horizontal="center" vertical="top"/>
    </xf>
    <xf numFmtId="0" fontId="49" fillId="0" borderId="0" xfId="0" applyFont="1" applyAlignment="1">
      <alignment vertical="top"/>
    </xf>
    <xf numFmtId="0" fontId="49" fillId="0" borderId="0" xfId="0" applyFont="1" applyAlignment="1">
      <alignment vertical="top" wrapText="1"/>
    </xf>
    <xf numFmtId="0" fontId="49" fillId="0" borderId="0" xfId="0" applyFont="1" applyFill="1" applyBorder="1" applyAlignment="1">
      <alignment horizontal="center" vertical="top" wrapText="1"/>
    </xf>
    <xf numFmtId="0" fontId="49" fillId="0" borderId="4" xfId="0" applyFont="1" applyFill="1" applyBorder="1" applyAlignment="1">
      <alignment vertical="top"/>
    </xf>
    <xf numFmtId="0" fontId="49" fillId="0" borderId="0" xfId="0" quotePrefix="1" applyFont="1" applyFill="1" applyBorder="1" applyAlignment="1">
      <alignment horizontal="center" vertical="top" wrapText="1"/>
    </xf>
    <xf numFmtId="0" fontId="59" fillId="0" borderId="0" xfId="0" quotePrefix="1" applyFont="1" applyFill="1" applyBorder="1" applyAlignment="1">
      <alignment horizontal="center" vertical="top"/>
    </xf>
    <xf numFmtId="10" fontId="49" fillId="0" borderId="0" xfId="0" applyNumberFormat="1" applyFont="1" applyAlignment="1">
      <alignment vertical="top" wrapText="1"/>
    </xf>
    <xf numFmtId="0" fontId="7" fillId="0" borderId="4" xfId="0" applyFont="1" applyBorder="1" applyAlignment="1">
      <alignment vertical="top"/>
    </xf>
    <xf numFmtId="2" fontId="49" fillId="0" borderId="0" xfId="0" applyNumberFormat="1" applyFont="1" applyAlignment="1">
      <alignment vertical="top" wrapText="1"/>
    </xf>
    <xf numFmtId="4" fontId="49" fillId="0" borderId="0" xfId="0" applyNumberFormat="1" applyFont="1" applyAlignment="1">
      <alignment vertical="top" wrapText="1"/>
    </xf>
    <xf numFmtId="4" fontId="49" fillId="0" borderId="0" xfId="0" applyNumberFormat="1" applyFont="1" applyFill="1" applyBorder="1" applyAlignment="1">
      <alignment horizontal="center" vertical="top" wrapText="1"/>
    </xf>
    <xf numFmtId="0" fontId="0" fillId="4" borderId="0" xfId="0" applyFill="1" applyAlignment="1" applyProtection="1">
      <alignment horizontal="left"/>
      <protection locked="0"/>
    </xf>
    <xf numFmtId="0" fontId="39" fillId="0" borderId="0" xfId="0" applyFont="1" applyFill="1" applyBorder="1" applyAlignment="1">
      <alignment horizontal="left" wrapText="1"/>
    </xf>
    <xf numFmtId="0" fontId="39" fillId="0" borderId="0" xfId="0" applyFont="1" applyFill="1" applyBorder="1" applyAlignment="1">
      <alignment wrapText="1"/>
    </xf>
    <xf numFmtId="0" fontId="62" fillId="0" borderId="0" xfId="0" applyFont="1" applyFill="1" applyBorder="1" applyAlignment="1">
      <alignment wrapText="1"/>
    </xf>
    <xf numFmtId="0" fontId="62" fillId="0" borderId="0" xfId="0" applyFont="1" applyFill="1" applyBorder="1" applyAlignment="1">
      <alignment horizontal="left" wrapText="1"/>
    </xf>
    <xf numFmtId="10" fontId="42" fillId="0" borderId="0" xfId="0" applyNumberFormat="1" applyFont="1" applyAlignment="1">
      <alignment horizontal="right"/>
    </xf>
    <xf numFmtId="0" fontId="39" fillId="0" borderId="0" xfId="0" applyFont="1" applyBorder="1" applyAlignment="1">
      <alignment horizontal="left" vertical="top"/>
    </xf>
    <xf numFmtId="43" fontId="48" fillId="0" borderId="0" xfId="0" quotePrefix="1" applyNumberFormat="1" applyFont="1" applyAlignment="1">
      <alignment horizontal="center"/>
    </xf>
    <xf numFmtId="0" fontId="42" fillId="5" borderId="23" xfId="0" applyFont="1" applyFill="1" applyBorder="1" applyAlignment="1">
      <alignment horizontal="center"/>
    </xf>
    <xf numFmtId="10" fontId="42" fillId="5" borderId="27" xfId="0" applyNumberFormat="1" applyFont="1" applyFill="1" applyBorder="1" applyAlignment="1">
      <alignment horizontal="center"/>
    </xf>
    <xf numFmtId="0" fontId="42" fillId="5" borderId="16" xfId="0" applyFont="1" applyFill="1" applyBorder="1" applyAlignment="1">
      <alignment horizontal="center"/>
    </xf>
    <xf numFmtId="0" fontId="42" fillId="5" borderId="27" xfId="0" applyFont="1" applyFill="1" applyBorder="1" applyAlignment="1">
      <alignment horizontal="center"/>
    </xf>
    <xf numFmtId="0" fontId="42" fillId="5" borderId="1" xfId="0" applyFont="1" applyFill="1" applyBorder="1" applyAlignment="1">
      <alignment horizontal="left" indent="2"/>
    </xf>
    <xf numFmtId="0" fontId="42" fillId="5" borderId="16" xfId="0" applyFont="1" applyFill="1" applyBorder="1" applyAlignment="1">
      <alignment horizontal="left" indent="2"/>
    </xf>
    <xf numFmtId="0" fontId="0" fillId="0" borderId="0" xfId="0" applyFont="1" applyBorder="1" applyAlignment="1">
      <alignment horizontal="left"/>
    </xf>
    <xf numFmtId="0" fontId="0" fillId="0" borderId="0" xfId="0" applyBorder="1" applyAlignment="1">
      <alignment vertical="center"/>
    </xf>
    <xf numFmtId="0" fontId="39" fillId="0" borderId="0" xfId="0" applyFont="1" applyFill="1" applyBorder="1" applyAlignment="1" applyProtection="1">
      <alignment horizontal="left" wrapText="1"/>
      <protection locked="0"/>
    </xf>
    <xf numFmtId="0" fontId="7" fillId="0" borderId="0" xfId="0" applyFont="1" applyFill="1" applyBorder="1" applyAlignment="1">
      <alignment horizontal="center" vertical="top" wrapText="1"/>
    </xf>
    <xf numFmtId="0" fontId="49" fillId="0" borderId="0" xfId="0" applyFont="1" applyFill="1" applyBorder="1" applyAlignment="1">
      <alignment horizontal="left" vertical="top" wrapText="1"/>
    </xf>
    <xf numFmtId="0" fontId="59" fillId="0" borderId="0" xfId="0" applyFont="1" applyAlignment="1">
      <alignment horizontal="center"/>
    </xf>
    <xf numFmtId="0" fontId="49" fillId="0" borderId="0" xfId="0" applyFont="1" applyAlignment="1">
      <alignment horizontal="left" vertical="top"/>
    </xf>
    <xf numFmtId="0" fontId="0" fillId="4" borderId="19" xfId="0" applyFill="1" applyBorder="1" applyAlignment="1" applyProtection="1">
      <alignment horizontal="center" vertical="top" wrapText="1"/>
      <protection locked="0"/>
    </xf>
    <xf numFmtId="0" fontId="47" fillId="5" borderId="4" xfId="0" applyFont="1" applyFill="1" applyBorder="1" applyAlignment="1">
      <alignment horizontal="center" vertical="center" wrapText="1"/>
    </xf>
    <xf numFmtId="0" fontId="42" fillId="0" borderId="4" xfId="0" applyFont="1" applyBorder="1" applyAlignment="1" applyProtection="1">
      <alignment horizontal="left" vertical="top" wrapText="1"/>
      <protection locked="0"/>
    </xf>
    <xf numFmtId="0" fontId="42" fillId="0" borderId="0" xfId="0" applyFont="1" applyAlignment="1">
      <alignment horizontal="center"/>
    </xf>
    <xf numFmtId="0" fontId="0" fillId="4" borderId="19" xfId="0" applyFill="1" applyBorder="1" applyAlignment="1" applyProtection="1">
      <alignment vertical="top" wrapText="1"/>
      <protection locked="0"/>
    </xf>
    <xf numFmtId="0" fontId="0" fillId="5" borderId="26" xfId="0" applyFill="1" applyBorder="1" applyAlignment="1">
      <alignment horizontal="center" vertical="center" wrapText="1"/>
    </xf>
    <xf numFmtId="0" fontId="42" fillId="0" borderId="18" xfId="0" applyFont="1" applyBorder="1" applyAlignment="1" applyProtection="1">
      <alignment vertical="top" wrapText="1"/>
      <protection locked="0"/>
    </xf>
    <xf numFmtId="0" fontId="47" fillId="5" borderId="18" xfId="0" applyFont="1" applyFill="1" applyBorder="1" applyAlignment="1">
      <alignment horizontal="center" vertical="center" wrapText="1"/>
    </xf>
    <xf numFmtId="0" fontId="42" fillId="0" borderId="18" xfId="0" applyFont="1" applyBorder="1" applyAlignment="1" applyProtection="1">
      <alignment horizontal="left" vertical="top" wrapText="1"/>
      <protection locked="0"/>
    </xf>
    <xf numFmtId="0" fontId="63" fillId="0" borderId="4" xfId="0" applyFont="1" applyBorder="1" applyAlignment="1" applyProtection="1">
      <alignment horizontal="left" vertical="top" wrapText="1"/>
      <protection locked="0"/>
    </xf>
    <xf numFmtId="1" fontId="42" fillId="0" borderId="0" xfId="0" applyNumberFormat="1" applyFont="1" applyBorder="1" applyAlignment="1" applyProtection="1">
      <alignment horizontal="left" vertical="top"/>
      <protection locked="0"/>
    </xf>
    <xf numFmtId="0" fontId="42" fillId="0" borderId="0" xfId="0" applyFont="1" applyBorder="1" applyAlignment="1" applyProtection="1">
      <alignment horizontal="left" vertical="top"/>
      <protection locked="0"/>
    </xf>
    <xf numFmtId="0" fontId="42" fillId="0" borderId="0" xfId="0" applyFont="1" applyFill="1" applyBorder="1" applyAlignment="1" applyProtection="1">
      <alignment vertical="top"/>
      <protection locked="0"/>
    </xf>
    <xf numFmtId="0" fontId="42" fillId="0" borderId="0" xfId="0" applyFont="1" applyBorder="1" applyAlignment="1" applyProtection="1">
      <alignment vertical="top"/>
      <protection locked="0"/>
    </xf>
    <xf numFmtId="1" fontId="42" fillId="0" borderId="0" xfId="0" applyNumberFormat="1" applyFont="1" applyBorder="1" applyAlignment="1" applyProtection="1">
      <protection locked="0"/>
    </xf>
    <xf numFmtId="0" fontId="64" fillId="0" borderId="0" xfId="0" applyFont="1" applyAlignment="1"/>
    <xf numFmtId="0" fontId="39" fillId="5" borderId="8" xfId="0" applyFont="1" applyFill="1" applyBorder="1" applyAlignment="1">
      <alignment horizontal="center"/>
    </xf>
    <xf numFmtId="0" fontId="39" fillId="5" borderId="11" xfId="0" applyFont="1" applyFill="1" applyBorder="1" applyAlignment="1">
      <alignment horizontal="center"/>
    </xf>
    <xf numFmtId="0" fontId="47" fillId="5" borderId="4" xfId="0" applyFont="1" applyFill="1" applyBorder="1" applyAlignment="1">
      <alignment horizontal="center" vertical="center" wrapText="1"/>
    </xf>
    <xf numFmtId="0" fontId="42" fillId="0" borderId="4" xfId="0" applyFont="1" applyBorder="1" applyAlignment="1" applyProtection="1">
      <alignment horizontal="left" vertical="top" wrapText="1"/>
      <protection locked="0"/>
    </xf>
    <xf numFmtId="0" fontId="47" fillId="5" borderId="4" xfId="0" applyFont="1" applyFill="1" applyBorder="1" applyAlignment="1">
      <alignment horizontal="center" vertical="center" wrapText="1"/>
    </xf>
    <xf numFmtId="0" fontId="42" fillId="9" borderId="0" xfId="0" applyFont="1" applyFill="1" applyAlignment="1">
      <alignment wrapText="1"/>
    </xf>
    <xf numFmtId="0" fontId="42" fillId="9" borderId="0" xfId="0" applyFont="1" applyFill="1"/>
    <xf numFmtId="0" fontId="0" fillId="9" borderId="0" xfId="0" applyFont="1" applyFill="1"/>
    <xf numFmtId="1" fontId="42" fillId="9" borderId="0" xfId="0" applyNumberFormat="1" applyFont="1" applyFill="1" applyBorder="1" applyAlignment="1" applyProtection="1">
      <alignment horizontal="center"/>
      <protection locked="0"/>
    </xf>
    <xf numFmtId="0" fontId="47" fillId="9" borderId="0" xfId="0" applyFont="1" applyFill="1" applyBorder="1" applyAlignment="1">
      <alignment horizontal="center" vertical="center" wrapText="1"/>
    </xf>
    <xf numFmtId="0" fontId="42" fillId="9" borderId="0" xfId="0" applyFont="1" applyFill="1" applyBorder="1" applyAlignment="1" applyProtection="1">
      <alignment horizontal="left" vertical="top" wrapText="1"/>
      <protection locked="0"/>
    </xf>
    <xf numFmtId="0" fontId="47" fillId="5" borderId="19" xfId="0" applyFont="1" applyFill="1" applyBorder="1" applyAlignment="1">
      <alignment wrapText="1"/>
    </xf>
    <xf numFmtId="0" fontId="42" fillId="7" borderId="4" xfId="0" applyFont="1" applyFill="1" applyBorder="1" applyAlignment="1" applyProtection="1">
      <alignment horizontal="center" vertical="top"/>
      <protection locked="0"/>
    </xf>
    <xf numFmtId="0" fontId="42" fillId="7" borderId="4" xfId="0" applyFont="1" applyFill="1" applyBorder="1" applyAlignment="1" applyProtection="1">
      <alignment vertical="top" wrapText="1"/>
      <protection locked="0"/>
    </xf>
    <xf numFmtId="41" fontId="42" fillId="7" borderId="4" xfId="0" applyNumberFormat="1" applyFont="1" applyFill="1" applyBorder="1" applyAlignment="1" applyProtection="1">
      <alignment horizontal="center" vertical="top"/>
      <protection locked="0"/>
    </xf>
    <xf numFmtId="0" fontId="42" fillId="0" borderId="4" xfId="0" applyFont="1" applyBorder="1" applyAlignment="1" applyProtection="1">
      <alignment horizontal="left"/>
      <protection locked="0"/>
    </xf>
    <xf numFmtId="0" fontId="42" fillId="0" borderId="17" xfId="0" applyFont="1" applyBorder="1"/>
    <xf numFmtId="0" fontId="42" fillId="9" borderId="0" xfId="0" applyFont="1" applyFill="1" applyAlignment="1">
      <alignment vertical="top"/>
    </xf>
    <xf numFmtId="0" fontId="42" fillId="9" borderId="0" xfId="0" applyFont="1" applyFill="1" applyAlignment="1">
      <alignment vertical="center"/>
    </xf>
    <xf numFmtId="0" fontId="42" fillId="9" borderId="0" xfId="0" applyFont="1" applyFill="1" applyAlignment="1">
      <alignment vertical="center" wrapText="1"/>
    </xf>
    <xf numFmtId="165" fontId="42" fillId="9" borderId="0" xfId="0" applyNumberFormat="1" applyFont="1" applyFill="1"/>
    <xf numFmtId="0" fontId="0" fillId="9" borderId="0" xfId="0" applyFill="1"/>
    <xf numFmtId="0" fontId="0" fillId="9" borderId="0" xfId="0" applyFill="1" applyAlignment="1">
      <alignment horizontal="right"/>
    </xf>
    <xf numFmtId="0" fontId="42" fillId="9" borderId="0" xfId="0" applyFont="1" applyFill="1" applyAlignment="1">
      <alignment horizontal="center" vertical="top"/>
    </xf>
    <xf numFmtId="0" fontId="42" fillId="9" borderId="0" xfId="0" applyFont="1" applyFill="1" applyAlignment="1">
      <alignment horizontal="center"/>
    </xf>
    <xf numFmtId="0" fontId="49" fillId="9" borderId="0" xfId="0" applyFont="1" applyFill="1"/>
    <xf numFmtId="0" fontId="49" fillId="9" borderId="4" xfId="0" applyFont="1" applyFill="1" applyBorder="1"/>
    <xf numFmtId="1" fontId="49" fillId="9" borderId="0" xfId="0" applyNumberFormat="1" applyFont="1" applyFill="1" applyAlignment="1">
      <alignment horizontal="center" vertical="top"/>
    </xf>
    <xf numFmtId="0" fontId="48" fillId="9" borderId="4" xfId="0" applyFont="1" applyFill="1" applyBorder="1"/>
    <xf numFmtId="0" fontId="7" fillId="9" borderId="0" xfId="0" applyFont="1" applyFill="1" applyBorder="1" applyAlignment="1">
      <alignment vertical="top" wrapText="1"/>
    </xf>
    <xf numFmtId="0" fontId="48" fillId="9" borderId="0" xfId="0" applyFont="1" applyFill="1"/>
    <xf numFmtId="41" fontId="7" fillId="9" borderId="0" xfId="0" applyNumberFormat="1" applyFont="1" applyFill="1" applyBorder="1" applyAlignment="1">
      <alignment vertical="top" wrapText="1"/>
    </xf>
    <xf numFmtId="41" fontId="49" fillId="9" borderId="0" xfId="0" applyNumberFormat="1" applyFont="1" applyFill="1"/>
    <xf numFmtId="4" fontId="7" fillId="9" borderId="0" xfId="0" applyNumberFormat="1" applyFont="1" applyFill="1" applyBorder="1" applyAlignment="1">
      <alignment vertical="top" wrapText="1"/>
    </xf>
    <xf numFmtId="0" fontId="7" fillId="9" borderId="0" xfId="0" applyFont="1" applyFill="1" applyBorder="1" applyAlignment="1">
      <alignment horizontal="center" vertical="top" wrapText="1"/>
    </xf>
    <xf numFmtId="41" fontId="36" fillId="9" borderId="4" xfId="0" applyNumberFormat="1" applyFont="1" applyFill="1" applyBorder="1"/>
    <xf numFmtId="0" fontId="0" fillId="9" borderId="0" xfId="0" quotePrefix="1" applyFill="1" applyAlignment="1">
      <alignment vertical="center"/>
    </xf>
    <xf numFmtId="0" fontId="0" fillId="9" borderId="0" xfId="0" applyFill="1" applyAlignment="1">
      <alignment vertical="center"/>
    </xf>
    <xf numFmtId="0" fontId="0" fillId="9" borderId="0" xfId="0" applyFill="1" applyAlignment="1">
      <alignment wrapText="1"/>
    </xf>
    <xf numFmtId="41" fontId="42" fillId="9" borderId="0" xfId="0" applyNumberFormat="1" applyFont="1" applyFill="1"/>
    <xf numFmtId="0" fontId="42" fillId="9" borderId="4" xfId="0" applyFont="1" applyFill="1" applyBorder="1"/>
    <xf numFmtId="0" fontId="51" fillId="9" borderId="0" xfId="0" applyFont="1" applyFill="1" applyBorder="1" applyAlignment="1">
      <alignment vertical="top" wrapText="1"/>
    </xf>
    <xf numFmtId="0" fontId="42" fillId="9" borderId="0" xfId="0" applyFont="1" applyFill="1" applyBorder="1" applyAlignment="1">
      <alignment horizontal="center" vertical="top" wrapText="1"/>
    </xf>
    <xf numFmtId="0" fontId="0" fillId="9" borderId="4" xfId="0" applyFill="1" applyBorder="1"/>
    <xf numFmtId="0" fontId="0" fillId="9" borderId="4" xfId="0" applyFill="1" applyBorder="1" applyAlignment="1"/>
    <xf numFmtId="43" fontId="0" fillId="9" borderId="0" xfId="0" applyNumberFormat="1" applyFill="1"/>
    <xf numFmtId="0" fontId="0" fillId="9" borderId="0" xfId="0" applyFill="1" applyAlignment="1">
      <alignment horizontal="center"/>
    </xf>
    <xf numFmtId="0" fontId="0" fillId="9" borderId="18" xfId="0" applyFill="1" applyBorder="1" applyAlignment="1">
      <alignment horizontal="left" wrapText="1"/>
    </xf>
    <xf numFmtId="0" fontId="51" fillId="9" borderId="0" xfId="0" applyFont="1" applyFill="1" applyBorder="1" applyAlignment="1">
      <alignment horizontal="center" vertical="top" wrapText="1"/>
    </xf>
    <xf numFmtId="9" fontId="0" fillId="9" borderId="0" xfId="0" applyNumberFormat="1" applyFill="1"/>
    <xf numFmtId="0" fontId="0" fillId="9" borderId="0" xfId="0" applyFill="1" applyBorder="1"/>
    <xf numFmtId="0" fontId="42" fillId="9" borderId="0" xfId="0" applyFont="1" applyFill="1" applyAlignment="1">
      <alignment horizontal="left" vertical="center"/>
    </xf>
    <xf numFmtId="0" fontId="0" fillId="9" borderId="0" xfId="0" applyFill="1" applyAlignment="1">
      <alignment horizontal="left"/>
    </xf>
    <xf numFmtId="41" fontId="42" fillId="0" borderId="22" xfId="0" applyNumberFormat="1" applyFont="1" applyBorder="1" applyAlignment="1" applyProtection="1">
      <alignment vertical="center"/>
      <protection locked="0"/>
    </xf>
    <xf numFmtId="0" fontId="0" fillId="0" borderId="0" xfId="0" applyFont="1" applyBorder="1" applyAlignment="1" applyProtection="1">
      <alignment horizontal="center"/>
      <protection locked="0"/>
    </xf>
    <xf numFmtId="0" fontId="42" fillId="5" borderId="27" xfId="0" applyFont="1" applyFill="1" applyBorder="1" applyAlignment="1">
      <alignment horizontal="center"/>
    </xf>
    <xf numFmtId="0" fontId="42" fillId="9" borderId="0" xfId="0" applyFont="1" applyFill="1"/>
    <xf numFmtId="0" fontId="42" fillId="9" borderId="0" xfId="0" applyFont="1" applyFill="1" applyAlignment="1">
      <alignment vertical="center" wrapText="1"/>
    </xf>
    <xf numFmtId="0" fontId="0" fillId="9" borderId="0" xfId="0" applyFill="1"/>
    <xf numFmtId="0" fontId="42" fillId="9" borderId="4" xfId="0" applyFont="1" applyFill="1" applyBorder="1"/>
    <xf numFmtId="167" fontId="0" fillId="0" borderId="0" xfId="0" applyNumberFormat="1"/>
    <xf numFmtId="0" fontId="65" fillId="0" borderId="0" xfId="0" applyFont="1"/>
    <xf numFmtId="167" fontId="65" fillId="0" borderId="0" xfId="0" applyNumberFormat="1" applyFont="1"/>
    <xf numFmtId="0" fontId="0" fillId="9" borderId="0" xfId="0" applyFill="1" applyBorder="1" applyAlignment="1">
      <alignment horizontal="left" wrapText="1"/>
    </xf>
    <xf numFmtId="0" fontId="42" fillId="0" borderId="0" xfId="0" applyFont="1" applyFill="1" applyBorder="1" applyAlignment="1">
      <alignment horizontal="left" vertical="top" wrapText="1"/>
    </xf>
    <xf numFmtId="49" fontId="42" fillId="0" borderId="0" xfId="0" applyNumberFormat="1" applyFont="1" applyFill="1" applyBorder="1" applyAlignment="1">
      <alignment horizontal="left" vertical="top" wrapText="1"/>
    </xf>
    <xf numFmtId="0" fontId="42" fillId="0" borderId="0" xfId="0" applyFont="1" applyBorder="1" applyAlignment="1" applyProtection="1">
      <alignment horizontal="left" vertical="top" wrapText="1"/>
    </xf>
    <xf numFmtId="0" fontId="42" fillId="0" borderId="6" xfId="0" applyNumberFormat="1" applyFont="1" applyBorder="1" applyAlignment="1" applyProtection="1">
      <alignment vertical="top" wrapText="1"/>
      <protection locked="0"/>
    </xf>
    <xf numFmtId="0" fontId="42" fillId="0" borderId="7" xfId="0" applyNumberFormat="1" applyFont="1" applyBorder="1" applyAlignment="1" applyProtection="1">
      <alignment vertical="top" wrapText="1"/>
      <protection locked="0"/>
    </xf>
    <xf numFmtId="0" fontId="42" fillId="0" borderId="11" xfId="0" applyNumberFormat="1" applyFont="1" applyBorder="1" applyAlignment="1" applyProtection="1">
      <alignment vertical="top" wrapText="1"/>
      <protection locked="0"/>
    </xf>
    <xf numFmtId="0" fontId="42" fillId="0" borderId="1" xfId="0" applyNumberFormat="1" applyFont="1" applyBorder="1" applyAlignment="1" applyProtection="1">
      <alignment vertical="top" wrapText="1"/>
      <protection locked="0"/>
    </xf>
    <xf numFmtId="0" fontId="42" fillId="0" borderId="0" xfId="0" applyNumberFormat="1" applyFont="1" applyBorder="1" applyAlignment="1" applyProtection="1">
      <alignment vertical="top" wrapText="1"/>
      <protection locked="0"/>
    </xf>
    <xf numFmtId="0" fontId="42" fillId="0" borderId="2" xfId="0" applyNumberFormat="1" applyFont="1" applyBorder="1" applyAlignment="1" applyProtection="1">
      <alignment vertical="top" wrapText="1"/>
      <protection locked="0"/>
    </xf>
    <xf numFmtId="0" fontId="42" fillId="0" borderId="16" xfId="0" applyNumberFormat="1" applyFont="1" applyBorder="1" applyAlignment="1" applyProtection="1">
      <alignment vertical="top" wrapText="1"/>
      <protection locked="0"/>
    </xf>
    <xf numFmtId="0" fontId="42" fillId="0" borderId="3" xfId="0" applyNumberFormat="1" applyFont="1" applyBorder="1" applyAlignment="1" applyProtection="1">
      <alignment vertical="top" wrapText="1"/>
      <protection locked="0"/>
    </xf>
    <xf numFmtId="0" fontId="42" fillId="0" borderId="10" xfId="0" applyNumberFormat="1" applyFont="1" applyBorder="1" applyAlignment="1" applyProtection="1">
      <alignment vertical="top" wrapText="1"/>
      <protection locked="0"/>
    </xf>
    <xf numFmtId="0" fontId="66" fillId="10" borderId="4" xfId="8" applyFont="1" applyFill="1" applyBorder="1" applyAlignment="1">
      <alignment horizontal="center" vertical="center" wrapText="1"/>
    </xf>
    <xf numFmtId="0" fontId="49" fillId="11" borderId="0" xfId="5" applyFont="1" applyFill="1"/>
    <xf numFmtId="0" fontId="48" fillId="0" borderId="0" xfId="0" applyFont="1" applyFill="1"/>
    <xf numFmtId="0" fontId="42" fillId="0" borderId="4" xfId="0" applyFont="1" applyBorder="1" applyAlignment="1">
      <alignment horizontal="left" vertical="center" wrapText="1"/>
    </xf>
    <xf numFmtId="0" fontId="36" fillId="0" borderId="0" xfId="0" applyFont="1" applyFill="1"/>
    <xf numFmtId="0" fontId="0" fillId="0" borderId="0" xfId="0" applyFill="1"/>
    <xf numFmtId="0" fontId="62" fillId="0" borderId="0" xfId="0" applyFont="1"/>
    <xf numFmtId="0" fontId="0" fillId="0" borderId="0" xfId="0" quotePrefix="1"/>
    <xf numFmtId="0" fontId="66" fillId="12" borderId="23" xfId="8" applyFont="1" applyFill="1" applyBorder="1" applyAlignment="1">
      <alignment horizontal="center" vertical="center" wrapText="1"/>
    </xf>
    <xf numFmtId="0" fontId="0" fillId="0" borderId="0" xfId="0" applyAlignment="1">
      <alignment horizontal="left" vertical="center"/>
    </xf>
    <xf numFmtId="0" fontId="37" fillId="13" borderId="79" xfId="0" applyFont="1" applyFill="1" applyBorder="1" applyAlignment="1">
      <alignment horizontal="center" vertical="center"/>
    </xf>
    <xf numFmtId="0" fontId="37" fillId="13" borderId="79" xfId="0" applyFont="1" applyFill="1" applyBorder="1" applyAlignment="1">
      <alignment horizontal="center" vertical="center" wrapText="1"/>
    </xf>
    <xf numFmtId="0" fontId="37" fillId="14" borderId="79" xfId="0" applyFont="1" applyFill="1" applyBorder="1" applyAlignment="1">
      <alignment horizontal="center" vertical="center"/>
    </xf>
    <xf numFmtId="0" fontId="37" fillId="14" borderId="79" xfId="0" applyFont="1" applyFill="1" applyBorder="1" applyAlignment="1">
      <alignment horizontal="center" vertical="center" wrapText="1"/>
    </xf>
    <xf numFmtId="0" fontId="0" fillId="15" borderId="79" xfId="0" applyFont="1" applyFill="1" applyBorder="1" applyAlignment="1">
      <alignment horizontal="left" vertical="center"/>
    </xf>
    <xf numFmtId="0" fontId="0" fillId="15" borderId="79" xfId="0" applyFont="1" applyFill="1" applyBorder="1" applyAlignment="1">
      <alignment horizontal="left" vertical="center" wrapText="1"/>
    </xf>
    <xf numFmtId="0" fontId="0" fillId="16" borderId="79" xfId="0" applyFont="1" applyFill="1" applyBorder="1" applyAlignment="1">
      <alignment horizontal="left" vertical="center"/>
    </xf>
    <xf numFmtId="0" fontId="0" fillId="16" borderId="79" xfId="0" applyFont="1" applyFill="1" applyBorder="1" applyAlignment="1">
      <alignment horizontal="left" vertical="center" wrapText="1"/>
    </xf>
    <xf numFmtId="0" fontId="0" fillId="16" borderId="79" xfId="0" applyNumberFormat="1" applyFont="1" applyFill="1" applyBorder="1" applyAlignment="1">
      <alignment horizontal="left" vertical="center" wrapText="1"/>
    </xf>
    <xf numFmtId="0" fontId="0" fillId="11" borderId="79" xfId="0" applyFont="1" applyFill="1" applyBorder="1" applyAlignment="1">
      <alignment horizontal="left" vertical="center"/>
    </xf>
    <xf numFmtId="0" fontId="0" fillId="11" borderId="79" xfId="0" applyFont="1" applyFill="1" applyBorder="1" applyAlignment="1">
      <alignment horizontal="left" vertical="center" wrapText="1"/>
    </xf>
    <xf numFmtId="0" fontId="0" fillId="17" borderId="79" xfId="0" applyFont="1" applyFill="1" applyBorder="1" applyAlignment="1">
      <alignment horizontal="left" vertical="center"/>
    </xf>
    <xf numFmtId="0" fontId="0" fillId="17" borderId="79" xfId="0" applyFont="1" applyFill="1" applyBorder="1" applyAlignment="1">
      <alignment horizontal="left" vertical="center" wrapText="1"/>
    </xf>
    <xf numFmtId="0" fontId="0" fillId="17" borderId="79" xfId="0" applyNumberFormat="1" applyFont="1" applyFill="1" applyBorder="1" applyAlignment="1">
      <alignment horizontal="left" vertical="center" wrapText="1"/>
    </xf>
    <xf numFmtId="0" fontId="49" fillId="18" borderId="0" xfId="5" applyFont="1" applyFill="1"/>
    <xf numFmtId="0" fontId="47" fillId="0" borderId="0" xfId="0" applyFont="1" applyBorder="1" applyAlignment="1">
      <alignment horizontal="left" vertical="top" wrapText="1"/>
    </xf>
    <xf numFmtId="0" fontId="42" fillId="0" borderId="0" xfId="0" applyFont="1" applyFill="1" applyAlignment="1">
      <alignment vertical="top" wrapText="1"/>
    </xf>
    <xf numFmtId="0" fontId="42" fillId="0" borderId="0" xfId="0" applyFont="1" applyFill="1" applyAlignment="1">
      <alignment vertical="top"/>
    </xf>
    <xf numFmtId="43" fontId="42" fillId="0" borderId="0" xfId="1" applyFont="1" applyAlignment="1">
      <alignment vertical="top"/>
    </xf>
    <xf numFmtId="43" fontId="67" fillId="19" borderId="4" xfId="1" applyFont="1" applyFill="1" applyBorder="1" applyAlignment="1">
      <alignment horizontal="center" vertical="top"/>
    </xf>
    <xf numFmtId="0" fontId="0" fillId="12" borderId="0" xfId="0" applyFill="1"/>
    <xf numFmtId="0" fontId="0" fillId="20" borderId="0" xfId="0" applyFill="1"/>
    <xf numFmtId="0" fontId="40" fillId="0" borderId="0" xfId="0" applyFont="1" applyFill="1"/>
    <xf numFmtId="0" fontId="68" fillId="0" borderId="2" xfId="0" applyFont="1" applyFill="1" applyBorder="1" applyAlignment="1">
      <alignment horizontal="center"/>
    </xf>
    <xf numFmtId="0" fontId="69" fillId="0" borderId="0" xfId="0" applyFont="1"/>
    <xf numFmtId="9" fontId="69" fillId="0" borderId="0" xfId="0" applyNumberFormat="1" applyFont="1"/>
    <xf numFmtId="0" fontId="42" fillId="0" borderId="4" xfId="0" applyFont="1" applyBorder="1" applyAlignment="1" applyProtection="1">
      <alignment vertical="top" wrapText="1"/>
      <protection locked="0"/>
    </xf>
    <xf numFmtId="43" fontId="70" fillId="0" borderId="4" xfId="1" applyFont="1" applyFill="1" applyBorder="1" applyAlignment="1">
      <alignment horizontal="left" vertical="top"/>
    </xf>
    <xf numFmtId="10" fontId="42" fillId="9" borderId="4" xfId="0" applyNumberFormat="1" applyFont="1" applyFill="1" applyBorder="1"/>
    <xf numFmtId="10" fontId="42" fillId="9" borderId="0" xfId="0" applyNumberFormat="1" applyFont="1" applyFill="1"/>
    <xf numFmtId="0" fontId="49" fillId="0" borderId="0" xfId="0" applyFont="1" applyAlignment="1">
      <alignment horizontal="center" vertical="top"/>
    </xf>
    <xf numFmtId="0" fontId="49" fillId="0" borderId="0" xfId="0" applyFont="1" applyAlignment="1">
      <alignment horizontal="left" wrapText="1"/>
    </xf>
    <xf numFmtId="0" fontId="71" fillId="0" borderId="0" xfId="0" applyFont="1" applyFill="1" applyAlignment="1" applyProtection="1">
      <alignment horizontal="center"/>
    </xf>
    <xf numFmtId="0" fontId="0" fillId="0" borderId="0" xfId="0" applyProtection="1"/>
    <xf numFmtId="0" fontId="0" fillId="0" borderId="0" xfId="0" applyFill="1" applyProtection="1"/>
    <xf numFmtId="0" fontId="43" fillId="0" borderId="0" xfId="0" applyFont="1" applyFill="1" applyBorder="1" applyAlignment="1" applyProtection="1">
      <alignment horizontal="left" vertical="center"/>
    </xf>
    <xf numFmtId="0" fontId="62" fillId="0" borderId="0" xfId="0" applyFont="1" applyFill="1" applyAlignment="1" applyProtection="1">
      <alignment horizontal="left" vertical="center"/>
    </xf>
    <xf numFmtId="0" fontId="42" fillId="0" borderId="4" xfId="0" applyFont="1" applyBorder="1" applyAlignment="1" applyProtection="1">
      <alignment horizontal="left" vertical="top" wrapText="1"/>
      <protection locked="0"/>
    </xf>
    <xf numFmtId="170" fontId="42" fillId="0" borderId="4" xfId="0" applyNumberFormat="1" applyFont="1" applyBorder="1" applyAlignment="1" applyProtection="1">
      <alignment vertical="top" wrapText="1"/>
    </xf>
    <xf numFmtId="0" fontId="0" fillId="4" borderId="0" xfId="0" applyFill="1" applyBorder="1" applyAlignment="1">
      <alignment horizontal="left"/>
    </xf>
    <xf numFmtId="165" fontId="0" fillId="4" borderId="0" xfId="0" applyNumberFormat="1" applyFill="1" applyBorder="1" applyAlignment="1">
      <alignment horizontal="left"/>
    </xf>
    <xf numFmtId="0" fontId="42" fillId="0" borderId="17" xfId="0" applyFont="1" applyFill="1" applyBorder="1"/>
    <xf numFmtId="0" fontId="47" fillId="0" borderId="4" xfId="0" applyFont="1" applyFill="1" applyBorder="1" applyAlignment="1">
      <alignment horizontal="center" vertical="center" wrapText="1"/>
    </xf>
    <xf numFmtId="0" fontId="42" fillId="0" borderId="4" xfId="0" applyFont="1" applyFill="1" applyBorder="1" applyAlignment="1" applyProtection="1">
      <alignment wrapText="1"/>
      <protection locked="0"/>
    </xf>
    <xf numFmtId="0" fontId="42" fillId="0" borderId="4" xfId="0" applyFont="1" applyFill="1" applyBorder="1" applyAlignment="1" applyProtection="1">
      <alignment horizontal="left"/>
      <protection locked="0"/>
    </xf>
    <xf numFmtId="41" fontId="42" fillId="0" borderId="4" xfId="0" applyNumberFormat="1" applyFont="1" applyFill="1" applyBorder="1" applyAlignment="1" applyProtection="1">
      <alignment wrapText="1"/>
      <protection locked="0"/>
    </xf>
    <xf numFmtId="41" fontId="42" fillId="0" borderId="4" xfId="0" applyNumberFormat="1" applyFont="1" applyFill="1" applyBorder="1" applyAlignment="1">
      <alignment wrapText="1"/>
    </xf>
    <xf numFmtId="0" fontId="47" fillId="0" borderId="19" xfId="0" applyFont="1" applyFill="1" applyBorder="1" applyAlignment="1">
      <alignment wrapText="1"/>
    </xf>
    <xf numFmtId="41" fontId="47" fillId="0" borderId="4" xfId="0" applyNumberFormat="1" applyFont="1" applyFill="1" applyBorder="1" applyAlignment="1">
      <alignment wrapText="1"/>
    </xf>
    <xf numFmtId="0" fontId="62" fillId="0" borderId="0" xfId="0" applyFont="1" applyFill="1"/>
    <xf numFmtId="0" fontId="42" fillId="0" borderId="0" xfId="0" applyFont="1" applyFill="1" applyBorder="1" applyAlignment="1">
      <alignment horizontal="left" indent="2"/>
    </xf>
    <xf numFmtId="41" fontId="42" fillId="0" borderId="0" xfId="0" applyNumberFormat="1" applyFont="1" applyFill="1" applyBorder="1" applyAlignment="1">
      <alignment horizontal="center"/>
    </xf>
    <xf numFmtId="0" fontId="42" fillId="0" borderId="4" xfId="0" applyFont="1" applyFill="1" applyBorder="1" applyAlignment="1" applyProtection="1">
      <alignment vertical="top" wrapText="1"/>
      <protection locked="0"/>
    </xf>
    <xf numFmtId="0" fontId="42" fillId="0" borderId="0" xfId="0" applyFont="1" applyBorder="1" applyAlignment="1" applyProtection="1">
      <alignment horizontal="left" vertical="center" wrapText="1"/>
    </xf>
    <xf numFmtId="167" fontId="0" fillId="4" borderId="0" xfId="0" applyNumberFormat="1" applyFill="1" applyBorder="1" applyAlignment="1" applyProtection="1">
      <alignment horizontal="left" wrapText="1"/>
    </xf>
    <xf numFmtId="0" fontId="44" fillId="0" borderId="0" xfId="0" applyFont="1" applyBorder="1" applyAlignment="1" applyProtection="1">
      <alignment horizontal="left"/>
    </xf>
    <xf numFmtId="10" fontId="42" fillId="0" borderId="14" xfId="0" applyNumberFormat="1" applyFont="1" applyBorder="1" applyProtection="1"/>
    <xf numFmtId="10" fontId="42" fillId="0" borderId="12" xfId="0" applyNumberFormat="1" applyFont="1" applyBorder="1" applyProtection="1"/>
    <xf numFmtId="10" fontId="47" fillId="5" borderId="12" xfId="0" applyNumberFormat="1" applyFont="1" applyFill="1" applyBorder="1" applyProtection="1"/>
    <xf numFmtId="10" fontId="42" fillId="0" borderId="15" xfId="0" applyNumberFormat="1" applyFont="1" applyBorder="1" applyProtection="1"/>
    <xf numFmtId="10" fontId="47" fillId="5" borderId="4" xfId="0" applyNumberFormat="1" applyFont="1" applyFill="1" applyBorder="1" applyProtection="1"/>
    <xf numFmtId="43" fontId="42" fillId="0" borderId="4" xfId="0" applyNumberFormat="1" applyFont="1" applyFill="1" applyBorder="1" applyAlignment="1" applyProtection="1">
      <alignment vertical="top" wrapText="1"/>
    </xf>
    <xf numFmtId="9" fontId="42" fillId="0" borderId="4" xfId="9" applyFont="1" applyFill="1" applyBorder="1" applyAlignment="1" applyProtection="1">
      <alignment vertical="top" wrapText="1"/>
    </xf>
    <xf numFmtId="0" fontId="72" fillId="9" borderId="0" xfId="0" applyFont="1" applyFill="1"/>
    <xf numFmtId="0" fontId="59" fillId="0" borderId="0" xfId="0" applyFont="1" applyAlignment="1">
      <alignment horizontal="center" vertical="top"/>
    </xf>
    <xf numFmtId="0" fontId="59" fillId="0" borderId="0" xfId="0" applyFont="1" applyBorder="1" applyAlignment="1">
      <alignment horizontal="center"/>
    </xf>
    <xf numFmtId="0" fontId="59" fillId="0" borderId="0" xfId="0" applyFont="1" applyFill="1" applyBorder="1"/>
    <xf numFmtId="0" fontId="59" fillId="0" borderId="0" xfId="0" applyFont="1" applyFill="1" applyBorder="1" applyAlignment="1">
      <alignment horizontal="center"/>
    </xf>
    <xf numFmtId="0" fontId="25" fillId="0" borderId="0" xfId="0" applyFont="1" applyFill="1" applyBorder="1" applyAlignment="1">
      <alignment horizontal="center" vertical="center" wrapText="1"/>
    </xf>
    <xf numFmtId="0" fontId="59" fillId="0" borderId="0" xfId="0" applyFont="1" applyFill="1" applyBorder="1" applyAlignment="1">
      <alignment vertical="center"/>
    </xf>
    <xf numFmtId="0" fontId="25" fillId="0" borderId="0" xfId="0" applyFont="1" applyFill="1" applyBorder="1" applyAlignment="1">
      <alignment horizontal="center" vertical="top" wrapText="1"/>
    </xf>
    <xf numFmtId="0" fontId="7" fillId="0" borderId="0" xfId="0" applyFont="1" applyFill="1" applyBorder="1" applyAlignment="1">
      <alignment vertical="top" wrapText="1"/>
    </xf>
    <xf numFmtId="0" fontId="49" fillId="0" borderId="0" xfId="0" applyFont="1" applyFill="1" applyBorder="1" applyAlignment="1">
      <alignment horizontal="left" vertical="top"/>
    </xf>
    <xf numFmtId="14" fontId="59" fillId="0" borderId="0" xfId="0" applyNumberFormat="1" applyFont="1" applyFill="1" applyBorder="1"/>
    <xf numFmtId="0" fontId="49" fillId="0" borderId="0" xfId="0" quotePrefix="1" applyFont="1" applyFill="1" applyBorder="1" applyAlignment="1">
      <alignment horizontal="left" vertical="top"/>
    </xf>
    <xf numFmtId="0" fontId="59" fillId="0" borderId="0" xfId="0" quotePrefix="1" applyFont="1" applyFill="1" applyBorder="1" applyAlignment="1">
      <alignment horizontal="center" vertical="top" wrapText="1"/>
    </xf>
    <xf numFmtId="10" fontId="49" fillId="0" borderId="0" xfId="0" applyNumberFormat="1" applyFont="1" applyFill="1" applyBorder="1" applyAlignment="1">
      <alignment horizontal="left" vertical="top"/>
    </xf>
    <xf numFmtId="2" fontId="49" fillId="0" borderId="0" xfId="0" applyNumberFormat="1" applyFont="1" applyFill="1" applyBorder="1" applyAlignment="1">
      <alignment horizontal="left" vertical="top"/>
    </xf>
    <xf numFmtId="15" fontId="59" fillId="0" borderId="0" xfId="0" applyNumberFormat="1" applyFont="1" applyFill="1" applyBorder="1"/>
    <xf numFmtId="0" fontId="49" fillId="0" borderId="0" xfId="0" applyFont="1" applyFill="1" applyBorder="1" applyAlignment="1">
      <alignment horizontal="left" vertical="center" wrapText="1"/>
    </xf>
    <xf numFmtId="9" fontId="49" fillId="0" borderId="0" xfId="0" applyNumberFormat="1" applyFont="1" applyFill="1" applyBorder="1" applyAlignment="1">
      <alignment horizontal="left" vertical="top" wrapText="1"/>
    </xf>
    <xf numFmtId="39" fontId="49" fillId="0" borderId="0" xfId="0" applyNumberFormat="1" applyFont="1" applyFill="1" applyBorder="1" applyAlignment="1">
      <alignment horizontal="center" vertical="center"/>
    </xf>
    <xf numFmtId="4" fontId="59" fillId="0" borderId="0" xfId="0" applyNumberFormat="1" applyFont="1" applyFill="1" applyBorder="1" applyAlignment="1">
      <alignment horizontal="right"/>
    </xf>
    <xf numFmtId="4" fontId="59" fillId="0" borderId="0" xfId="0" applyNumberFormat="1" applyFont="1" applyFill="1" applyBorder="1" applyAlignment="1">
      <alignment horizontal="center" vertical="top"/>
    </xf>
    <xf numFmtId="39" fontId="59" fillId="0" borderId="0" xfId="0" applyNumberFormat="1" applyFont="1" applyFill="1" applyBorder="1" applyAlignment="1">
      <alignment horizontal="center" vertical="top"/>
    </xf>
    <xf numFmtId="41" fontId="59" fillId="0" borderId="0" xfId="0" applyNumberFormat="1" applyFont="1" applyFill="1" applyBorder="1"/>
    <xf numFmtId="0" fontId="49" fillId="0" borderId="0" xfId="0" applyNumberFormat="1" applyFont="1" applyFill="1" applyBorder="1" applyAlignment="1">
      <alignment horizontal="left" vertical="top" wrapText="1"/>
    </xf>
    <xf numFmtId="10" fontId="49" fillId="0" borderId="0" xfId="0" quotePrefix="1" applyNumberFormat="1" applyFont="1" applyFill="1" applyBorder="1" applyAlignment="1">
      <alignment horizontal="left" vertical="top"/>
    </xf>
    <xf numFmtId="10" fontId="49" fillId="0" borderId="0" xfId="0" applyNumberFormat="1" applyFont="1" applyFill="1" applyBorder="1" applyAlignment="1">
      <alignment horizontal="left" vertical="top" wrapText="1"/>
    </xf>
    <xf numFmtId="10" fontId="49" fillId="0" borderId="0" xfId="0" applyNumberFormat="1" applyFont="1" applyFill="1" applyBorder="1" applyAlignment="1">
      <alignment vertical="top" wrapText="1"/>
    </xf>
    <xf numFmtId="1" fontId="49" fillId="0" borderId="0" xfId="0" applyNumberFormat="1" applyFont="1" applyFill="1" applyBorder="1" applyAlignment="1">
      <alignment horizontal="left" vertical="top"/>
    </xf>
    <xf numFmtId="0" fontId="49" fillId="0" borderId="0" xfId="0" applyFont="1" applyFill="1" applyBorder="1" applyAlignment="1">
      <alignment horizontal="center" wrapText="1"/>
    </xf>
    <xf numFmtId="0" fontId="49" fillId="0" borderId="0" xfId="0" applyFont="1" applyFill="1" applyBorder="1" applyAlignment="1">
      <alignment wrapText="1"/>
    </xf>
    <xf numFmtId="41" fontId="49" fillId="0" borderId="0" xfId="0" applyNumberFormat="1" applyFont="1" applyFill="1" applyBorder="1" applyAlignment="1">
      <alignment horizontal="left" vertical="top"/>
    </xf>
    <xf numFmtId="41" fontId="59" fillId="0" borderId="0" xfId="0" applyNumberFormat="1" applyFont="1" applyFill="1" applyBorder="1" applyAlignment="1">
      <alignment horizontal="center" vertical="top"/>
    </xf>
    <xf numFmtId="0" fontId="0" fillId="0" borderId="18" xfId="0" applyBorder="1" applyProtection="1"/>
    <xf numFmtId="0" fontId="62" fillId="0" borderId="0" xfId="0" applyFont="1" applyProtection="1"/>
    <xf numFmtId="0" fontId="0" fillId="0" borderId="0" xfId="0" applyAlignment="1" applyProtection="1">
      <alignment horizontal="left" vertical="top"/>
    </xf>
    <xf numFmtId="0" fontId="0" fillId="0" borderId="0" xfId="0" applyFill="1" applyAlignment="1" applyProtection="1">
      <alignment vertical="center"/>
    </xf>
    <xf numFmtId="169" fontId="35" fillId="0" borderId="0" xfId="1" applyNumberFormat="1" applyFont="1" applyAlignment="1" applyProtection="1">
      <alignment horizontal="left" vertical="center"/>
    </xf>
    <xf numFmtId="0" fontId="39" fillId="0" borderId="0" xfId="0" applyFont="1" applyProtection="1"/>
    <xf numFmtId="0" fontId="0" fillId="0" borderId="6" xfId="0" applyBorder="1" applyAlignment="1" applyProtection="1">
      <alignment horizontal="left" vertical="top"/>
    </xf>
    <xf numFmtId="0" fontId="0" fillId="0" borderId="1" xfId="0" applyBorder="1" applyAlignment="1" applyProtection="1">
      <alignment horizontal="left" vertical="top"/>
    </xf>
    <xf numFmtId="0" fontId="0" fillId="0" borderId="16" xfId="0" applyBorder="1" applyAlignment="1" applyProtection="1">
      <alignment horizontal="left" vertical="top"/>
    </xf>
    <xf numFmtId="169" fontId="35" fillId="0" borderId="4" xfId="1" applyNumberFormat="1" applyFont="1" applyFill="1" applyBorder="1" applyAlignment="1" applyProtection="1">
      <alignment horizontal="left" vertical="center"/>
    </xf>
    <xf numFmtId="0" fontId="0" fillId="19" borderId="0" xfId="0" applyFill="1" applyProtection="1"/>
    <xf numFmtId="0" fontId="73" fillId="0" borderId="0" xfId="0" applyFont="1" applyProtection="1"/>
    <xf numFmtId="0" fontId="0" fillId="19" borderId="0" xfId="0" applyFill="1" applyAlignment="1" applyProtection="1">
      <alignment horizontal="left" vertical="center" wrapText="1"/>
    </xf>
    <xf numFmtId="0" fontId="0" fillId="0" borderId="0" xfId="0" quotePrefix="1" applyProtection="1"/>
    <xf numFmtId="0" fontId="0" fillId="0" borderId="0" xfId="0" applyAlignment="1" applyProtection="1">
      <alignment vertical="center"/>
    </xf>
    <xf numFmtId="167" fontId="0" fillId="0" borderId="0" xfId="0" applyNumberFormat="1" applyAlignment="1" applyProtection="1">
      <alignment horizontal="left" vertical="center"/>
    </xf>
    <xf numFmtId="0" fontId="0" fillId="5" borderId="4" xfId="0" applyFill="1" applyBorder="1" applyAlignment="1" applyProtection="1">
      <alignment horizontal="center" vertical="center"/>
    </xf>
    <xf numFmtId="0" fontId="0" fillId="0" borderId="0" xfId="0" applyAlignment="1" applyProtection="1">
      <alignment horizontal="left" vertical="center"/>
    </xf>
    <xf numFmtId="0" fontId="0" fillId="0" borderId="0" xfId="0" applyAlignment="1" applyProtection="1">
      <alignment horizontal="left" vertical="center" wrapText="1"/>
    </xf>
    <xf numFmtId="0" fontId="0" fillId="0" borderId="0" xfId="0" applyFill="1" applyAlignment="1" applyProtection="1">
      <alignment horizontal="left" vertical="center" wrapText="1"/>
    </xf>
    <xf numFmtId="0" fontId="0" fillId="0" borderId="0" xfId="0" applyFill="1" applyAlignment="1" applyProtection="1">
      <alignment horizontal="center" vertical="center" wrapText="1"/>
    </xf>
    <xf numFmtId="0" fontId="0" fillId="0" borderId="0" xfId="0" applyFill="1" applyBorder="1" applyAlignment="1">
      <alignment horizontal="left" wrapText="1"/>
    </xf>
    <xf numFmtId="0" fontId="66" fillId="12" borderId="8" xfId="8" applyFont="1" applyFill="1" applyBorder="1" applyAlignment="1">
      <alignment horizontal="center" vertical="center" wrapText="1"/>
    </xf>
    <xf numFmtId="0" fontId="7" fillId="0" borderId="28" xfId="8" applyFont="1" applyFill="1" applyBorder="1" applyAlignment="1">
      <alignment vertical="center" wrapText="1"/>
    </xf>
    <xf numFmtId="0" fontId="49" fillId="0" borderId="28" xfId="5" applyFont="1" applyFill="1" applyBorder="1"/>
    <xf numFmtId="0" fontId="7" fillId="0" borderId="28" xfId="8" applyFont="1" applyFill="1" applyBorder="1" applyAlignment="1">
      <alignment horizontal="left" wrapText="1"/>
    </xf>
    <xf numFmtId="0" fontId="0" fillId="0" borderId="28" xfId="0" applyFill="1" applyBorder="1"/>
    <xf numFmtId="0" fontId="7" fillId="0" borderId="28" xfId="8" applyFont="1" applyFill="1" applyBorder="1" applyAlignment="1">
      <alignment horizontal="left" vertical="center" wrapText="1"/>
    </xf>
    <xf numFmtId="0" fontId="35" fillId="0" borderId="28" xfId="6" applyNumberFormat="1" applyFill="1" applyBorder="1"/>
    <xf numFmtId="0" fontId="7" fillId="0" borderId="28" xfId="8" applyFont="1" applyFill="1" applyBorder="1" applyAlignment="1">
      <alignment wrapText="1"/>
    </xf>
    <xf numFmtId="0" fontId="74" fillId="0" borderId="28" xfId="8" applyFont="1" applyFill="1" applyBorder="1" applyAlignment="1">
      <alignment vertical="center" wrapText="1"/>
    </xf>
    <xf numFmtId="0" fontId="3" fillId="0" borderId="28" xfId="8" applyFont="1" applyFill="1" applyBorder="1" applyAlignment="1">
      <alignment vertical="center" wrapText="1"/>
    </xf>
    <xf numFmtId="0" fontId="22" fillId="12" borderId="8" xfId="8" applyFont="1" applyFill="1" applyBorder="1" applyAlignment="1">
      <alignment horizontal="center" vertical="center"/>
    </xf>
    <xf numFmtId="0" fontId="22" fillId="12" borderId="8" xfId="8" applyFont="1" applyFill="1" applyBorder="1" applyAlignment="1">
      <alignment horizontal="center" vertical="center" wrapText="1"/>
    </xf>
    <xf numFmtId="0" fontId="0" fillId="0" borderId="0" xfId="0" applyFill="1" applyBorder="1" applyAlignment="1">
      <alignment horizontal="left"/>
    </xf>
    <xf numFmtId="0" fontId="0" fillId="0" borderId="0" xfId="0" applyFill="1" applyBorder="1" applyAlignment="1">
      <alignment wrapText="1"/>
    </xf>
    <xf numFmtId="0" fontId="46" fillId="21" borderId="0" xfId="0" applyFont="1" applyFill="1" applyAlignment="1"/>
    <xf numFmtId="0" fontId="0" fillId="21" borderId="0" xfId="0" applyFill="1" applyAlignment="1">
      <alignment wrapText="1"/>
    </xf>
    <xf numFmtId="0" fontId="0" fillId="20" borderId="79" xfId="0" applyFill="1" applyBorder="1" applyAlignment="1">
      <alignment wrapText="1"/>
    </xf>
    <xf numFmtId="0" fontId="0" fillId="0" borderId="6" xfId="0" applyBorder="1" applyAlignment="1" applyProtection="1">
      <alignment vertical="top"/>
    </xf>
    <xf numFmtId="0" fontId="0" fillId="0" borderId="1" xfId="0" applyBorder="1" applyAlignment="1" applyProtection="1">
      <alignment vertical="top"/>
    </xf>
    <xf numFmtId="0" fontId="0" fillId="0" borderId="16" xfId="0" applyBorder="1" applyAlignment="1" applyProtection="1">
      <alignment vertical="top"/>
    </xf>
    <xf numFmtId="0" fontId="0" fillId="0" borderId="0" xfId="0" applyBorder="1" applyAlignment="1" applyProtection="1">
      <alignment vertical="top"/>
    </xf>
    <xf numFmtId="0" fontId="0" fillId="0" borderId="0" xfId="0" applyBorder="1" applyAlignment="1" applyProtection="1">
      <alignment horizontal="left" vertical="top" wrapText="1"/>
    </xf>
    <xf numFmtId="0" fontId="0" fillId="5" borderId="4" xfId="0" applyFill="1" applyBorder="1" applyAlignment="1" applyProtection="1">
      <alignment horizontal="center" vertical="center" wrapText="1"/>
    </xf>
    <xf numFmtId="0" fontId="0" fillId="5" borderId="19" xfId="0" applyFill="1" applyBorder="1" applyAlignment="1" applyProtection="1">
      <alignment horizontal="center" vertical="center" wrapText="1"/>
    </xf>
    <xf numFmtId="0" fontId="59" fillId="0" borderId="0" xfId="0" applyFont="1" applyBorder="1" applyAlignment="1" applyProtection="1">
      <alignment horizontal="center"/>
      <protection hidden="1"/>
    </xf>
    <xf numFmtId="169" fontId="35" fillId="0" borderId="4" xfId="1" applyNumberFormat="1" applyFont="1" applyBorder="1" applyAlignment="1" applyProtection="1">
      <alignment horizontal="left" vertical="center"/>
      <protection hidden="1"/>
    </xf>
    <xf numFmtId="43" fontId="35" fillId="0" borderId="4" xfId="1" applyNumberFormat="1" applyFont="1" applyBorder="1" applyAlignment="1" applyProtection="1">
      <alignment horizontal="left" vertical="center"/>
      <protection hidden="1"/>
    </xf>
    <xf numFmtId="169" fontId="0" fillId="0" borderId="4" xfId="0" applyNumberFormat="1" applyBorder="1" applyAlignment="1" applyProtection="1">
      <alignment vertical="center"/>
      <protection hidden="1"/>
    </xf>
    <xf numFmtId="169" fontId="0" fillId="0" borderId="19" xfId="0" applyNumberFormat="1" applyBorder="1" applyAlignment="1" applyProtection="1">
      <alignment vertical="center"/>
      <protection hidden="1"/>
    </xf>
    <xf numFmtId="0" fontId="39" fillId="0" borderId="23" xfId="8" applyFont="1" applyFill="1" applyBorder="1" applyAlignment="1">
      <alignment horizontal="center" vertical="center" wrapText="1"/>
    </xf>
    <xf numFmtId="0" fontId="37" fillId="22" borderId="80" xfId="0" applyFont="1" applyFill="1" applyBorder="1" applyAlignment="1"/>
    <xf numFmtId="0" fontId="0" fillId="21" borderId="0" xfId="0" applyFill="1"/>
    <xf numFmtId="169" fontId="0" fillId="0" borderId="8" xfId="0" applyNumberFormat="1" applyBorder="1" applyAlignment="1" applyProtection="1">
      <alignment vertical="center"/>
      <protection hidden="1"/>
    </xf>
    <xf numFmtId="169" fontId="0" fillId="0" borderId="11" xfId="0" applyNumberFormat="1" applyBorder="1" applyAlignment="1" applyProtection="1">
      <alignment vertical="center"/>
      <protection hidden="1"/>
    </xf>
    <xf numFmtId="169" fontId="0" fillId="5" borderId="4" xfId="0" applyNumberFormat="1" applyFill="1" applyBorder="1" applyAlignment="1" applyProtection="1">
      <alignment vertical="center"/>
      <protection hidden="1"/>
    </xf>
    <xf numFmtId="173" fontId="1" fillId="5" borderId="4" xfId="0" applyNumberFormat="1" applyFont="1" applyFill="1" applyBorder="1" applyAlignment="1" applyProtection="1">
      <alignment horizontal="right" vertical="top" wrapText="1"/>
      <protection locked="0" hidden="1"/>
    </xf>
    <xf numFmtId="41" fontId="0" fillId="0" borderId="4" xfId="0" applyNumberFormat="1" applyBorder="1" applyProtection="1">
      <protection locked="0" hidden="1"/>
    </xf>
    <xf numFmtId="0" fontId="0" fillId="0" borderId="4" xfId="0" applyBorder="1" applyProtection="1">
      <protection locked="0" hidden="1"/>
    </xf>
    <xf numFmtId="0" fontId="75" fillId="0" borderId="28" xfId="5" applyFont="1" applyFill="1" applyBorder="1"/>
    <xf numFmtId="0" fontId="49" fillId="23" borderId="28" xfId="5" applyFont="1" applyFill="1" applyBorder="1"/>
    <xf numFmtId="0" fontId="7" fillId="18" borderId="28" xfId="8" applyFont="1" applyFill="1" applyBorder="1" applyAlignment="1">
      <alignment horizontal="left" wrapText="1"/>
    </xf>
    <xf numFmtId="173" fontId="1" fillId="0" borderId="29" xfId="0" applyNumberFormat="1" applyFont="1" applyBorder="1" applyAlignment="1" applyProtection="1">
      <alignment horizontal="right" vertical="top" wrapText="1"/>
      <protection locked="0" hidden="1"/>
    </xf>
    <xf numFmtId="173" fontId="1" fillId="0" borderId="30" xfId="0" applyNumberFormat="1" applyFont="1" applyBorder="1" applyAlignment="1" applyProtection="1">
      <alignment horizontal="right" vertical="top" wrapText="1"/>
      <protection locked="0" hidden="1"/>
    </xf>
    <xf numFmtId="173" fontId="1" fillId="0" borderId="31" xfId="0" applyNumberFormat="1" applyFont="1" applyBorder="1" applyAlignment="1" applyProtection="1">
      <alignment horizontal="right" vertical="top" wrapText="1"/>
      <protection locked="0" hidden="1"/>
    </xf>
    <xf numFmtId="41" fontId="0" fillId="24" borderId="4" xfId="0" applyNumberFormat="1" applyFill="1" applyBorder="1" applyProtection="1">
      <protection locked="0"/>
    </xf>
    <xf numFmtId="0" fontId="0" fillId="24" borderId="4" xfId="0" applyFill="1" applyBorder="1" applyProtection="1">
      <protection locked="0"/>
    </xf>
    <xf numFmtId="43" fontId="35" fillId="5" borderId="4" xfId="1" applyNumberFormat="1" applyFont="1" applyFill="1" applyBorder="1" applyAlignment="1" applyProtection="1">
      <alignment horizontal="left" vertical="center"/>
      <protection hidden="1"/>
    </xf>
    <xf numFmtId="0" fontId="0" fillId="5" borderId="4" xfId="0" applyFill="1" applyBorder="1" applyAlignment="1" applyProtection="1">
      <alignment vertical="center"/>
      <protection hidden="1"/>
    </xf>
    <xf numFmtId="174" fontId="35" fillId="0" borderId="4" xfId="1" applyNumberFormat="1" applyFont="1" applyBorder="1" applyAlignment="1" applyProtection="1">
      <alignment horizontal="left" vertical="center"/>
      <protection hidden="1"/>
    </xf>
    <xf numFmtId="0" fontId="42" fillId="0" borderId="4" xfId="0" applyFont="1" applyBorder="1" applyAlignment="1">
      <alignment horizontal="left"/>
    </xf>
    <xf numFmtId="0" fontId="42" fillId="0" borderId="18" xfId="0" applyFont="1" applyBorder="1" applyAlignment="1"/>
    <xf numFmtId="0" fontId="42" fillId="0" borderId="19" xfId="0" applyFont="1" applyBorder="1" applyAlignment="1"/>
    <xf numFmtId="0" fontId="0" fillId="5" borderId="4" xfId="0" applyFill="1" applyBorder="1" applyAlignment="1" applyProtection="1">
      <alignment horizontal="center" vertical="center"/>
    </xf>
    <xf numFmtId="0" fontId="0" fillId="9" borderId="0" xfId="0" applyFill="1" applyProtection="1"/>
    <xf numFmtId="9" fontId="0" fillId="0" borderId="4" xfId="0" applyNumberFormat="1" applyBorder="1" applyAlignment="1" applyProtection="1">
      <alignment horizontal="right" vertical="center"/>
      <protection hidden="1"/>
    </xf>
    <xf numFmtId="169" fontId="0" fillId="0" borderId="4" xfId="0" applyNumberFormat="1" applyBorder="1" applyAlignment="1" applyProtection="1">
      <alignment horizontal="center" vertical="center"/>
      <protection hidden="1"/>
    </xf>
    <xf numFmtId="0" fontId="0" fillId="0" borderId="0" xfId="0" applyFont="1" applyFill="1" applyProtection="1"/>
    <xf numFmtId="0" fontId="0" fillId="0" borderId="0" xfId="0" applyFont="1" applyFill="1" applyBorder="1" applyAlignment="1" applyProtection="1">
      <alignment horizontal="left" vertical="center"/>
    </xf>
    <xf numFmtId="0" fontId="0" fillId="0" borderId="0" xfId="0" applyFont="1" applyProtection="1"/>
    <xf numFmtId="0" fontId="0" fillId="0" borderId="0" xfId="0" applyFont="1" applyFill="1" applyBorder="1" applyAlignment="1" applyProtection="1">
      <alignment horizontal="center" vertical="center"/>
    </xf>
    <xf numFmtId="0" fontId="0" fillId="0" borderId="0" xfId="0" applyFont="1" applyFill="1" applyBorder="1" applyProtection="1"/>
    <xf numFmtId="0" fontId="0" fillId="0" borderId="0" xfId="0" applyFont="1" applyFill="1" applyAlignment="1" applyProtection="1">
      <alignment horizontal="left" vertical="top" wrapText="1"/>
    </xf>
    <xf numFmtId="0" fontId="0" fillId="0" borderId="0" xfId="0" applyFont="1" applyFill="1" applyAlignment="1" applyProtection="1">
      <alignment wrapText="1"/>
    </xf>
    <xf numFmtId="0" fontId="0" fillId="0" borderId="0" xfId="0" applyFont="1" applyFill="1" applyAlignment="1" applyProtection="1">
      <alignment horizontal="center"/>
    </xf>
    <xf numFmtId="0" fontId="0" fillId="0" borderId="0" xfId="0" applyFont="1" applyFill="1" applyBorder="1" applyAlignment="1" applyProtection="1">
      <alignment horizontal="left" vertical="center" wrapText="1"/>
    </xf>
    <xf numFmtId="0" fontId="0" fillId="0" borderId="0" xfId="0" quotePrefix="1" applyFont="1" applyFill="1" applyAlignment="1" applyProtection="1">
      <alignment horizontal="left" vertical="top" wrapText="1"/>
    </xf>
    <xf numFmtId="0" fontId="0" fillId="0" borderId="0" xfId="0" applyFont="1" applyFill="1" applyAlignment="1" applyProtection="1">
      <alignment vertical="center"/>
    </xf>
    <xf numFmtId="2" fontId="0" fillId="0" borderId="0" xfId="0" applyNumberFormat="1" applyFont="1" applyProtection="1"/>
    <xf numFmtId="2" fontId="0" fillId="0" borderId="0" xfId="0" applyNumberFormat="1" applyFont="1" applyFill="1" applyProtection="1"/>
    <xf numFmtId="0" fontId="0" fillId="0" borderId="0" xfId="0" applyFont="1" applyFill="1" applyBorder="1" applyAlignment="1" applyProtection="1">
      <alignment horizontal="center"/>
    </xf>
    <xf numFmtId="0" fontId="0" fillId="0" borderId="0" xfId="0" applyFont="1" applyFill="1" applyAlignment="1" applyProtection="1">
      <alignment vertical="top" wrapText="1"/>
    </xf>
    <xf numFmtId="169" fontId="0" fillId="0" borderId="0" xfId="0" applyNumberFormat="1" applyFont="1" applyFill="1" applyBorder="1" applyAlignment="1" applyProtection="1">
      <alignment horizontal="left" vertical="center" wrapText="1"/>
    </xf>
    <xf numFmtId="0" fontId="0" fillId="0" borderId="18" xfId="0" applyFont="1" applyFill="1" applyBorder="1" applyAlignment="1" applyProtection="1">
      <alignment vertical="center" wrapText="1"/>
    </xf>
    <xf numFmtId="169" fontId="0" fillId="0" borderId="26" xfId="0" applyNumberFormat="1" applyFont="1" applyFill="1" applyBorder="1" applyAlignment="1" applyProtection="1">
      <alignment vertical="center" wrapText="1"/>
    </xf>
    <xf numFmtId="0" fontId="0" fillId="0" borderId="26" xfId="0" applyFont="1" applyFill="1" applyBorder="1" applyAlignment="1" applyProtection="1">
      <alignment vertical="center"/>
    </xf>
    <xf numFmtId="0" fontId="0" fillId="0" borderId="0" xfId="0" applyFont="1" applyFill="1" applyBorder="1" applyAlignment="1" applyProtection="1">
      <alignment vertical="center"/>
    </xf>
    <xf numFmtId="0" fontId="0" fillId="0" borderId="0" xfId="0" applyFont="1" applyFill="1" applyAlignment="1" applyProtection="1">
      <alignment horizontal="left" vertical="center" wrapText="1"/>
    </xf>
    <xf numFmtId="167" fontId="0" fillId="0" borderId="0" xfId="0" applyNumberFormat="1" applyFont="1" applyFill="1" applyProtection="1"/>
    <xf numFmtId="0" fontId="0" fillId="0" borderId="0" xfId="0" applyFont="1" applyFill="1" applyAlignment="1" applyProtection="1">
      <alignment horizontal="left"/>
    </xf>
    <xf numFmtId="0" fontId="0" fillId="0" borderId="0" xfId="0" applyAlignment="1" applyProtection="1"/>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left" vertical="top"/>
    </xf>
    <xf numFmtId="0" fontId="0" fillId="0" borderId="0" xfId="0" applyAlignment="1">
      <alignment horizont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wrapText="1"/>
    </xf>
    <xf numFmtId="43" fontId="42" fillId="0" borderId="12" xfId="0" applyNumberFormat="1" applyFont="1" applyFill="1" applyBorder="1" applyProtection="1">
      <protection locked="0"/>
    </xf>
    <xf numFmtId="0" fontId="0" fillId="5" borderId="4" xfId="0" applyFill="1" applyBorder="1" applyProtection="1"/>
    <xf numFmtId="0" fontId="0" fillId="0" borderId="0" xfId="0" applyBorder="1" applyAlignment="1">
      <alignment horizontal="center"/>
    </xf>
    <xf numFmtId="165" fontId="36" fillId="0" borderId="0" xfId="0" applyNumberFormat="1" applyFont="1"/>
    <xf numFmtId="0" fontId="0" fillId="0" borderId="0" xfId="0" applyNumberFormat="1"/>
    <xf numFmtId="0" fontId="36" fillId="0" borderId="0" xfId="0" applyFont="1" applyAlignment="1">
      <alignment horizontal="left" vertical="top"/>
    </xf>
    <xf numFmtId="0" fontId="36" fillId="0" borderId="0" xfId="0" applyFont="1" applyAlignment="1">
      <alignment horizontal="center" vertical="top"/>
    </xf>
    <xf numFmtId="0" fontId="76" fillId="0" borderId="0" xfId="0" applyFont="1" applyAlignment="1">
      <alignment horizontal="left" vertical="top" wrapText="1"/>
    </xf>
    <xf numFmtId="0" fontId="36" fillId="0" borderId="0" xfId="0" applyFont="1" applyAlignment="1">
      <alignment horizontal="left" vertical="top" wrapText="1"/>
    </xf>
    <xf numFmtId="0" fontId="36" fillId="0" borderId="0" xfId="0" applyFont="1" applyAlignment="1">
      <alignment horizontal="left" vertical="top" wrapText="1"/>
    </xf>
    <xf numFmtId="0" fontId="77" fillId="9" borderId="0" xfId="0" applyFont="1" applyFill="1"/>
    <xf numFmtId="0" fontId="77" fillId="9" borderId="0" xfId="0" applyFont="1" applyFill="1" applyAlignment="1">
      <alignment horizontal="left" vertical="top" wrapText="1"/>
    </xf>
    <xf numFmtId="0" fontId="77" fillId="9" borderId="0" xfId="0" applyFont="1" applyFill="1" applyAlignment="1">
      <alignment wrapText="1"/>
    </xf>
    <xf numFmtId="0" fontId="77" fillId="9" borderId="0" xfId="0" applyFont="1" applyFill="1" applyAlignment="1">
      <alignment horizontal="left" wrapText="1"/>
    </xf>
    <xf numFmtId="0" fontId="59" fillId="0" borderId="0" xfId="0" applyFont="1" applyFill="1"/>
    <xf numFmtId="0" fontId="0" fillId="0" borderId="0" xfId="0" applyFill="1" applyAlignment="1">
      <alignment horizontal="left"/>
    </xf>
    <xf numFmtId="0" fontId="78" fillId="0" borderId="0" xfId="0" applyFont="1" applyAlignment="1">
      <alignment horizontal="left" wrapText="1"/>
    </xf>
    <xf numFmtId="0" fontId="61" fillId="0" borderId="0" xfId="0" applyFont="1" applyFill="1" applyAlignment="1">
      <alignment horizontal="left"/>
    </xf>
    <xf numFmtId="0" fontId="0" fillId="0" borderId="0" xfId="0" applyFill="1" applyAlignment="1">
      <alignment wrapText="1"/>
    </xf>
    <xf numFmtId="0" fontId="61" fillId="0" borderId="0" xfId="0" applyFont="1" applyFill="1" applyAlignment="1">
      <alignment horizontal="right"/>
    </xf>
    <xf numFmtId="0" fontId="36" fillId="0" borderId="0" xfId="0" applyFont="1" applyAlignment="1">
      <alignment horizontal="left" vertical="top" wrapText="1"/>
    </xf>
    <xf numFmtId="0" fontId="36" fillId="0" borderId="3" xfId="0" applyFont="1" applyBorder="1" applyAlignment="1">
      <alignment horizontal="left" vertical="top" wrapText="1"/>
    </xf>
    <xf numFmtId="0" fontId="0" fillId="0" borderId="0" xfId="0" applyBorder="1" applyAlignment="1" applyProtection="1">
      <alignment horizontal="left" vertical="top" wrapText="1"/>
    </xf>
    <xf numFmtId="0" fontId="0" fillId="20" borderId="0" xfId="0" applyFill="1" applyProtection="1">
      <protection locked="0"/>
    </xf>
    <xf numFmtId="0" fontId="42" fillId="0" borderId="0" xfId="0" applyFont="1" applyFill="1" applyBorder="1" applyAlignment="1" applyProtection="1">
      <alignment vertical="top" wrapText="1"/>
      <protection locked="0"/>
    </xf>
    <xf numFmtId="0" fontId="42" fillId="0" borderId="0" xfId="0" applyFont="1" applyFill="1" applyBorder="1" applyAlignment="1" applyProtection="1">
      <alignment horizontal="center" vertical="top" wrapText="1"/>
      <protection locked="0"/>
    </xf>
    <xf numFmtId="0" fontId="42" fillId="0" borderId="0" xfId="0" applyFont="1" applyFill="1" applyAlignment="1">
      <alignment vertical="center"/>
    </xf>
    <xf numFmtId="0" fontId="42" fillId="0" borderId="0" xfId="0" applyFont="1" applyFill="1" applyAlignment="1">
      <alignment wrapText="1"/>
    </xf>
    <xf numFmtId="0" fontId="79" fillId="0" borderId="0" xfId="0" applyFont="1" applyFill="1"/>
    <xf numFmtId="0" fontId="42" fillId="0" borderId="0" xfId="0" applyFont="1" applyFill="1" applyAlignment="1">
      <alignment vertical="center" wrapText="1"/>
    </xf>
    <xf numFmtId="0" fontId="47" fillId="0" borderId="0" xfId="0" applyFont="1" applyFill="1" applyAlignment="1">
      <alignment wrapText="1"/>
    </xf>
    <xf numFmtId="0" fontId="80" fillId="0" borderId="0" xfId="0" applyFont="1" applyFill="1" applyProtection="1"/>
    <xf numFmtId="0" fontId="81" fillId="0" borderId="0" xfId="0" applyFont="1"/>
    <xf numFmtId="0" fontId="46" fillId="25" borderId="0" xfId="0" applyFont="1" applyFill="1" applyAlignment="1" applyProtection="1"/>
    <xf numFmtId="0" fontId="0" fillId="25" borderId="0" xfId="0" applyFill="1" applyAlignment="1" applyProtection="1">
      <alignment wrapText="1"/>
    </xf>
    <xf numFmtId="0" fontId="0" fillId="25" borderId="0" xfId="0" applyFill="1" applyProtection="1"/>
    <xf numFmtId="41" fontId="42" fillId="0" borderId="0" xfId="0" applyNumberFormat="1" applyFont="1" applyProtection="1">
      <protection hidden="1"/>
    </xf>
    <xf numFmtId="41" fontId="42" fillId="0" borderId="22" xfId="0" applyNumberFormat="1" applyFont="1" applyBorder="1" applyProtection="1">
      <protection hidden="1"/>
    </xf>
    <xf numFmtId="10" fontId="42" fillId="0" borderId="0" xfId="0" applyNumberFormat="1" applyFont="1" applyFill="1" applyBorder="1" applyAlignment="1" applyProtection="1">
      <alignment horizontal="right" vertical="center" wrapText="1"/>
      <protection hidden="1"/>
    </xf>
    <xf numFmtId="10" fontId="42" fillId="0" borderId="0" xfId="0" applyNumberFormat="1" applyFont="1" applyFill="1" applyAlignment="1" applyProtection="1">
      <alignment horizontal="right" vertical="center"/>
      <protection hidden="1"/>
    </xf>
    <xf numFmtId="0" fontId="0" fillId="5" borderId="4" xfId="0" applyFill="1" applyBorder="1" applyAlignment="1" applyProtection="1">
      <alignment horizontal="center" vertical="center"/>
    </xf>
    <xf numFmtId="171" fontId="49" fillId="0" borderId="4" xfId="0" applyNumberFormat="1" applyFont="1" applyBorder="1" applyProtection="1">
      <protection locked="0"/>
    </xf>
    <xf numFmtId="0" fontId="42" fillId="0" borderId="4" xfId="0" applyFont="1" applyBorder="1" applyAlignment="1" applyProtection="1">
      <alignment wrapText="1"/>
      <protection locked="0" hidden="1"/>
    </xf>
    <xf numFmtId="41" fontId="42" fillId="0" borderId="4" xfId="0" applyNumberFormat="1" applyFont="1" applyBorder="1" applyAlignment="1" applyProtection="1">
      <alignment wrapText="1"/>
      <protection locked="0" hidden="1"/>
    </xf>
    <xf numFmtId="41" fontId="42" fillId="0" borderId="4" xfId="0" applyNumberFormat="1" applyFont="1" applyBorder="1" applyAlignment="1" applyProtection="1">
      <alignment wrapText="1"/>
      <protection hidden="1"/>
    </xf>
    <xf numFmtId="10" fontId="42" fillId="0" borderId="4" xfId="0" applyNumberFormat="1" applyFont="1" applyFill="1" applyBorder="1" applyAlignment="1" applyProtection="1">
      <alignment horizontal="center" wrapText="1"/>
      <protection hidden="1"/>
    </xf>
    <xf numFmtId="165" fontId="46" fillId="0" borderId="4" xfId="0" applyNumberFormat="1" applyFont="1" applyBorder="1" applyAlignment="1" applyProtection="1">
      <alignment wrapText="1"/>
      <protection locked="0" hidden="1"/>
    </xf>
    <xf numFmtId="0" fontId="36" fillId="0" borderId="0" xfId="0" applyFont="1" applyProtection="1"/>
    <xf numFmtId="43" fontId="82" fillId="19" borderId="4" xfId="1" applyFont="1" applyFill="1" applyBorder="1" applyAlignment="1">
      <alignment horizontal="center" vertical="top"/>
    </xf>
    <xf numFmtId="0" fontId="83" fillId="19" borderId="4" xfId="0" applyFont="1" applyFill="1" applyBorder="1" applyAlignment="1">
      <alignment vertical="top"/>
    </xf>
    <xf numFmtId="0" fontId="83" fillId="19" borderId="4" xfId="0" applyFont="1" applyFill="1" applyBorder="1" applyAlignment="1">
      <alignment horizontal="center" vertical="top"/>
    </xf>
    <xf numFmtId="0" fontId="83" fillId="19" borderId="4" xfId="0" applyFont="1" applyFill="1" applyBorder="1" applyAlignment="1">
      <alignment horizontal="center" vertical="top" wrapText="1"/>
    </xf>
    <xf numFmtId="43" fontId="84" fillId="0" borderId="4" xfId="1" applyFont="1" applyFill="1" applyBorder="1" applyAlignment="1">
      <alignment vertical="top"/>
    </xf>
    <xf numFmtId="0" fontId="85" fillId="0" borderId="4" xfId="0" applyFont="1" applyFill="1" applyBorder="1" applyAlignment="1">
      <alignment vertical="top"/>
    </xf>
    <xf numFmtId="17" fontId="85" fillId="0" borderId="4" xfId="0" applyNumberFormat="1" applyFont="1" applyFill="1" applyBorder="1" applyAlignment="1">
      <alignment horizontal="center" vertical="top"/>
    </xf>
    <xf numFmtId="0" fontId="85" fillId="0" borderId="4" xfId="0" applyFont="1" applyFill="1" applyBorder="1" applyAlignment="1">
      <alignment horizontal="justify" vertical="top" wrapText="1"/>
    </xf>
    <xf numFmtId="0" fontId="28" fillId="0" borderId="4" xfId="0" applyFont="1" applyFill="1" applyBorder="1" applyAlignment="1">
      <alignment horizontal="left" vertical="top" wrapText="1"/>
    </xf>
    <xf numFmtId="0" fontId="85" fillId="0" borderId="4" xfId="0" applyFont="1" applyFill="1" applyBorder="1" applyAlignment="1">
      <alignment horizontal="left" vertical="top" wrapText="1"/>
    </xf>
    <xf numFmtId="17" fontId="85" fillId="0" borderId="4" xfId="0" applyNumberFormat="1" applyFont="1" applyFill="1" applyBorder="1" applyAlignment="1">
      <alignment horizontal="center" vertical="top" wrapText="1"/>
    </xf>
    <xf numFmtId="172" fontId="28" fillId="0" borderId="4" xfId="0" applyNumberFormat="1" applyFont="1" applyFill="1" applyBorder="1" applyAlignment="1">
      <alignment horizontal="left" vertical="top" wrapText="1"/>
    </xf>
    <xf numFmtId="49" fontId="28" fillId="0" borderId="4" xfId="0" applyNumberFormat="1" applyFont="1" applyFill="1" applyBorder="1" applyAlignment="1">
      <alignment horizontal="left" vertical="top" wrapText="1"/>
    </xf>
    <xf numFmtId="43" fontId="84" fillId="0" borderId="27" xfId="1" applyFont="1" applyFill="1" applyBorder="1" applyAlignment="1">
      <alignment vertical="top"/>
    </xf>
    <xf numFmtId="0" fontId="85" fillId="0" borderId="27" xfId="0" applyFont="1" applyFill="1" applyBorder="1" applyAlignment="1">
      <alignment vertical="top"/>
    </xf>
    <xf numFmtId="0" fontId="85" fillId="0" borderId="27" xfId="0" applyFont="1" applyFill="1" applyBorder="1" applyAlignment="1">
      <alignment horizontal="justify" vertical="top" wrapText="1"/>
    </xf>
    <xf numFmtId="0" fontId="28" fillId="0" borderId="27" xfId="0" applyFont="1" applyFill="1" applyBorder="1" applyAlignment="1">
      <alignment horizontal="left" vertical="top" wrapText="1"/>
    </xf>
    <xf numFmtId="49" fontId="85" fillId="0" borderId="4" xfId="0" applyNumberFormat="1" applyFont="1" applyFill="1" applyBorder="1" applyAlignment="1">
      <alignment horizontal="left" vertical="top" wrapText="1"/>
    </xf>
    <xf numFmtId="0" fontId="85" fillId="0" borderId="4" xfId="0" applyFont="1" applyFill="1" applyBorder="1" applyAlignment="1">
      <alignment vertical="top" wrapText="1"/>
    </xf>
    <xf numFmtId="0" fontId="28" fillId="0" borderId="4" xfId="0" applyFont="1" applyFill="1" applyBorder="1" applyAlignment="1">
      <alignment vertical="top" wrapText="1"/>
    </xf>
    <xf numFmtId="0" fontId="28" fillId="0" borderId="4" xfId="0" applyFont="1" applyFill="1" applyBorder="1" applyAlignment="1">
      <alignment horizontal="justify" vertical="top" wrapText="1"/>
    </xf>
    <xf numFmtId="172" fontId="28" fillId="0" borderId="4" xfId="0" applyNumberFormat="1" applyFont="1" applyFill="1" applyBorder="1" applyAlignment="1" applyProtection="1">
      <alignment horizontal="left" vertical="top" wrapText="1"/>
    </xf>
    <xf numFmtId="0" fontId="28" fillId="0" borderId="4" xfId="5" applyFont="1" applyFill="1" applyBorder="1" applyAlignment="1">
      <alignment horizontal="left" vertical="top" wrapText="1"/>
    </xf>
    <xf numFmtId="43" fontId="85" fillId="0" borderId="4" xfId="1" applyFont="1" applyFill="1" applyBorder="1" applyAlignment="1">
      <alignment vertical="top"/>
    </xf>
    <xf numFmtId="0" fontId="85" fillId="0" borderId="27" xfId="0" applyFont="1" applyFill="1" applyBorder="1" applyAlignment="1">
      <alignment vertical="top" wrapText="1"/>
    </xf>
    <xf numFmtId="0" fontId="28" fillId="0" borderId="4" xfId="0" applyFont="1" applyFill="1" applyBorder="1" applyAlignment="1" applyProtection="1">
      <alignment horizontal="left" vertical="top" wrapText="1"/>
    </xf>
    <xf numFmtId="172" fontId="28" fillId="0" borderId="4" xfId="0" applyNumberFormat="1" applyFont="1" applyFill="1" applyBorder="1" applyAlignment="1">
      <alignment horizontal="left" vertical="top"/>
    </xf>
    <xf numFmtId="0" fontId="28" fillId="2" borderId="4" xfId="0" applyFont="1" applyFill="1" applyBorder="1" applyAlignment="1">
      <alignment horizontal="left" vertical="distributed"/>
    </xf>
    <xf numFmtId="0" fontId="29" fillId="0" borderId="4" xfId="2" applyNumberFormat="1" applyFont="1" applyFill="1" applyBorder="1" applyAlignment="1">
      <alignment horizontal="justify" vertical="top" wrapText="1"/>
    </xf>
    <xf numFmtId="0" fontId="29" fillId="0" borderId="4" xfId="2" applyNumberFormat="1" applyFont="1" applyBorder="1" applyAlignment="1">
      <alignment horizontal="justify" vertical="top" wrapText="1"/>
    </xf>
    <xf numFmtId="0" fontId="29" fillId="0" borderId="4" xfId="2" applyNumberFormat="1" applyFont="1" applyFill="1" applyBorder="1" applyAlignment="1">
      <alignment horizontal="center" vertical="top" wrapText="1"/>
    </xf>
    <xf numFmtId="0" fontId="0" fillId="9" borderId="1" xfId="0" applyFill="1" applyBorder="1" applyAlignment="1">
      <alignment horizontal="left" wrapText="1"/>
    </xf>
    <xf numFmtId="0" fontId="0" fillId="9" borderId="0" xfId="0" applyFill="1" applyBorder="1" applyAlignment="1">
      <alignment horizontal="left" wrapText="1"/>
    </xf>
    <xf numFmtId="0" fontId="59" fillId="0" borderId="0" xfId="0" applyFont="1" applyAlignment="1">
      <alignment horizontal="center" vertical="top"/>
    </xf>
    <xf numFmtId="0" fontId="0" fillId="0" borderId="0" xfId="0" applyFont="1" applyFill="1" applyBorder="1" applyAlignment="1">
      <alignment vertical="top"/>
    </xf>
    <xf numFmtId="0" fontId="0" fillId="18" borderId="0" xfId="0" applyFont="1" applyFill="1"/>
    <xf numFmtId="0" fontId="36" fillId="0" borderId="0" xfId="0" applyFont="1"/>
    <xf numFmtId="0" fontId="42" fillId="4" borderId="4" xfId="0" applyFont="1" applyFill="1" applyBorder="1" applyAlignment="1" applyProtection="1">
      <alignment horizontal="left" vertical="top" wrapText="1"/>
    </xf>
    <xf numFmtId="14" fontId="59" fillId="0" borderId="0" xfId="0" applyNumberFormat="1" applyFont="1"/>
    <xf numFmtId="0" fontId="49" fillId="0" borderId="0" xfId="0" applyFont="1" applyAlignment="1">
      <alignment horizontal="left" vertical="top" wrapText="1"/>
    </xf>
    <xf numFmtId="10" fontId="49" fillId="0" borderId="0" xfId="0" applyNumberFormat="1" applyFont="1" applyAlignment="1">
      <alignment horizontal="left" vertical="top"/>
    </xf>
    <xf numFmtId="2" fontId="49" fillId="0" borderId="0" xfId="0" applyNumberFormat="1" applyFont="1" applyAlignment="1">
      <alignment horizontal="left" vertical="top"/>
    </xf>
    <xf numFmtId="15" fontId="59" fillId="0" borderId="0" xfId="0" applyNumberFormat="1" applyFont="1"/>
    <xf numFmtId="0" fontId="49" fillId="0" borderId="0" xfId="0" applyFont="1" applyAlignment="1">
      <alignment horizontal="left" vertical="center" wrapText="1"/>
    </xf>
    <xf numFmtId="9" fontId="49" fillId="0" borderId="0" xfId="0" applyNumberFormat="1" applyFont="1" applyAlignment="1">
      <alignment horizontal="left" vertical="top" wrapText="1"/>
    </xf>
    <xf numFmtId="39" fontId="49" fillId="0" borderId="0" xfId="0" applyNumberFormat="1" applyFont="1" applyAlignment="1">
      <alignment horizontal="center" vertical="center"/>
    </xf>
    <xf numFmtId="4" fontId="59" fillId="0" borderId="0" xfId="0" applyNumberFormat="1" applyFont="1" applyAlignment="1">
      <alignment horizontal="right"/>
    </xf>
    <xf numFmtId="4" fontId="59" fillId="0" borderId="0" xfId="0" applyNumberFormat="1" applyFont="1" applyAlignment="1">
      <alignment horizontal="center" vertical="top"/>
    </xf>
    <xf numFmtId="39" fontId="59" fillId="0" borderId="0" xfId="0" applyNumberFormat="1" applyFont="1" applyAlignment="1">
      <alignment horizontal="center" vertical="top"/>
    </xf>
    <xf numFmtId="41" fontId="59" fillId="0" borderId="0" xfId="0" applyNumberFormat="1" applyFont="1"/>
    <xf numFmtId="10" fontId="49" fillId="0" borderId="0" xfId="0" applyNumberFormat="1" applyFont="1" applyAlignment="1">
      <alignment horizontal="left" vertical="top" wrapText="1"/>
    </xf>
    <xf numFmtId="1" fontId="49" fillId="0" borderId="0" xfId="0" applyNumberFormat="1" applyFont="1" applyAlignment="1">
      <alignment horizontal="left" vertical="top"/>
    </xf>
    <xf numFmtId="41" fontId="49" fillId="0" borderId="0" xfId="0" applyNumberFormat="1" applyFont="1" applyAlignment="1">
      <alignment horizontal="left" vertical="top"/>
    </xf>
    <xf numFmtId="41" fontId="59" fillId="0" borderId="0" xfId="0" applyNumberFormat="1" applyFont="1" applyAlignment="1">
      <alignment horizontal="center" vertical="top"/>
    </xf>
    <xf numFmtId="0" fontId="49" fillId="0" borderId="4" xfId="0" applyFont="1" applyBorder="1" applyAlignment="1">
      <alignment vertical="top"/>
    </xf>
    <xf numFmtId="169" fontId="35" fillId="9" borderId="0" xfId="1" applyNumberFormat="1" applyFont="1" applyFill="1"/>
    <xf numFmtId="0" fontId="61" fillId="0" borderId="0" xfId="0" applyFont="1" applyAlignment="1">
      <alignment horizontal="center" vertical="center" wrapText="1"/>
    </xf>
    <xf numFmtId="0" fontId="61" fillId="0" borderId="0" xfId="0" applyFont="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center" wrapText="1"/>
    </xf>
    <xf numFmtId="0" fontId="49" fillId="0" borderId="0" xfId="0" applyFont="1" applyAlignment="1">
      <alignment wrapText="1"/>
    </xf>
    <xf numFmtId="0" fontId="49" fillId="0" borderId="0" xfId="0" applyFont="1" applyFill="1" applyAlignment="1">
      <alignment vertical="top" wrapText="1"/>
    </xf>
    <xf numFmtId="0" fontId="49" fillId="0" borderId="0" xfId="0" applyFont="1" applyFill="1" applyAlignment="1">
      <alignment horizontal="left" vertical="top" wrapText="1"/>
    </xf>
    <xf numFmtId="0" fontId="49" fillId="18" borderId="0" xfId="0" applyFont="1" applyFill="1" applyAlignment="1">
      <alignment horizontal="center" vertical="top" wrapText="1"/>
    </xf>
    <xf numFmtId="0" fontId="49" fillId="18" borderId="0" xfId="0" applyFont="1" applyFill="1" applyAlignment="1">
      <alignment vertical="top" wrapText="1"/>
    </xf>
    <xf numFmtId="10" fontId="49" fillId="18" borderId="0" xfId="0" applyNumberFormat="1" applyFont="1" applyFill="1" applyAlignment="1">
      <alignment horizontal="left" vertical="top"/>
    </xf>
    <xf numFmtId="0" fontId="59" fillId="18" borderId="0" xfId="0" applyFont="1" applyFill="1"/>
    <xf numFmtId="0" fontId="59" fillId="18" borderId="0" xfId="0" applyFont="1" applyFill="1" applyAlignment="1">
      <alignment horizontal="center" vertical="top"/>
    </xf>
    <xf numFmtId="0" fontId="59" fillId="20" borderId="0" xfId="0" applyFont="1" applyFill="1"/>
    <xf numFmtId="41" fontId="59" fillId="18" borderId="0" xfId="0" applyNumberFormat="1" applyFont="1" applyFill="1"/>
    <xf numFmtId="0" fontId="59" fillId="0" borderId="0" xfId="0" applyFont="1" applyAlignment="1">
      <alignment horizontal="left"/>
    </xf>
    <xf numFmtId="0" fontId="49" fillId="20" borderId="0" xfId="0" applyFont="1" applyFill="1" applyAlignment="1">
      <alignment horizontal="center" vertical="top" wrapText="1"/>
    </xf>
    <xf numFmtId="0" fontId="49" fillId="20" borderId="0" xfId="0" applyFont="1" applyFill="1" applyAlignment="1">
      <alignment vertical="top" wrapText="1"/>
    </xf>
    <xf numFmtId="0" fontId="49" fillId="20" borderId="0" xfId="0" applyFont="1" applyFill="1" applyAlignment="1">
      <alignment horizontal="left" vertical="top"/>
    </xf>
    <xf numFmtId="0" fontId="59" fillId="20" borderId="0" xfId="0" applyFont="1" applyFill="1" applyAlignment="1">
      <alignment horizontal="center" vertical="top"/>
    </xf>
    <xf numFmtId="41" fontId="59" fillId="0" borderId="0" xfId="0" applyNumberFormat="1" applyFont="1" applyFill="1"/>
    <xf numFmtId="0" fontId="59" fillId="0" borderId="0" xfId="0" applyFont="1" applyAlignment="1">
      <alignment horizontal="center" vertical="top"/>
    </xf>
    <xf numFmtId="0" fontId="59" fillId="26" borderId="0" xfId="0" applyFont="1" applyFill="1"/>
    <xf numFmtId="0" fontId="7" fillId="0" borderId="0" xfId="0" applyFont="1" applyFill="1" applyBorder="1" applyAlignment="1">
      <alignment horizontal="left" vertical="top" wrapText="1"/>
    </xf>
    <xf numFmtId="0" fontId="42" fillId="0" borderId="0" xfId="0" applyFont="1" applyAlignment="1">
      <alignment horizontal="center"/>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xf>
    <xf numFmtId="0" fontId="0" fillId="4" borderId="0" xfId="0" applyFill="1" applyAlignment="1">
      <alignment horizontal="left"/>
    </xf>
    <xf numFmtId="0" fontId="0" fillId="4" borderId="0" xfId="0" applyFill="1" applyBorder="1" applyAlignment="1">
      <alignment horizontal="left" wrapText="1"/>
    </xf>
    <xf numFmtId="0" fontId="0" fillId="4" borderId="0" xfId="0" applyFill="1" applyBorder="1" applyAlignment="1">
      <alignment horizontal="left"/>
    </xf>
    <xf numFmtId="0" fontId="42" fillId="4" borderId="0" xfId="0" applyFont="1" applyFill="1" applyBorder="1"/>
    <xf numFmtId="0" fontId="42" fillId="4" borderId="0" xfId="0" applyFont="1" applyFill="1" applyBorder="1" applyAlignment="1">
      <alignment vertical="center"/>
    </xf>
    <xf numFmtId="0" fontId="42" fillId="4" borderId="0" xfId="0" applyFont="1" applyFill="1" applyAlignment="1">
      <alignment vertical="top"/>
    </xf>
    <xf numFmtId="10" fontId="42" fillId="0" borderId="18" xfId="0" applyNumberFormat="1" applyFont="1" applyBorder="1" applyAlignment="1" applyProtection="1">
      <alignment horizontal="center" wrapText="1"/>
      <protection locked="0"/>
    </xf>
    <xf numFmtId="10" fontId="42" fillId="4" borderId="1" xfId="0" applyNumberFormat="1" applyFont="1" applyFill="1" applyBorder="1" applyAlignment="1" applyProtection="1">
      <alignment horizontal="center" wrapText="1"/>
      <protection locked="0"/>
    </xf>
    <xf numFmtId="10" fontId="42" fillId="0" borderId="4" xfId="0" applyNumberFormat="1" applyFont="1" applyFill="1" applyBorder="1" applyAlignment="1" applyProtection="1">
      <alignment horizontal="center" wrapText="1"/>
      <protection locked="0" hidden="1"/>
    </xf>
    <xf numFmtId="0" fontId="0" fillId="0" borderId="0" xfId="0" applyAlignment="1">
      <alignment vertical="top" wrapText="1"/>
    </xf>
    <xf numFmtId="0" fontId="0" fillId="0" borderId="0" xfId="0" applyAlignment="1">
      <alignment horizontal="justify"/>
    </xf>
    <xf numFmtId="0" fontId="0" fillId="0" borderId="0" xfId="0" applyAlignment="1">
      <alignment horizontal="justify" wrapText="1"/>
    </xf>
    <xf numFmtId="0" fontId="39" fillId="9" borderId="0" xfId="0" applyFont="1" applyFill="1"/>
    <xf numFmtId="0" fontId="0" fillId="4" borderId="0" xfId="0" applyFill="1" applyAlignment="1" applyProtection="1">
      <alignment horizontal="right"/>
      <protection locked="0"/>
    </xf>
    <xf numFmtId="0" fontId="0" fillId="9" borderId="0" xfId="0" applyFill="1" applyAlignment="1" applyProtection="1">
      <alignment horizontal="left"/>
      <protection locked="0"/>
    </xf>
    <xf numFmtId="0" fontId="39" fillId="0" borderId="0" xfId="0" applyFont="1"/>
    <xf numFmtId="0" fontId="78" fillId="0" borderId="0" xfId="0" applyFont="1" applyAlignment="1">
      <alignment horizontal="left"/>
    </xf>
    <xf numFmtId="0" fontId="0" fillId="0" borderId="7" xfId="0" applyBorder="1" applyAlignment="1">
      <alignment horizontal="left" vertical="top"/>
    </xf>
    <xf numFmtId="0" fontId="42" fillId="4" borderId="0" xfId="0" applyFont="1" applyFill="1" applyAlignment="1">
      <alignment horizontal="center" vertical="top"/>
    </xf>
    <xf numFmtId="0" fontId="42" fillId="4" borderId="0" xfId="0" applyFont="1" applyFill="1" applyAlignment="1">
      <alignment horizontal="center"/>
    </xf>
    <xf numFmtId="0" fontId="0" fillId="0" borderId="0" xfId="0" applyAlignment="1">
      <alignment horizontal="left" vertical="top"/>
    </xf>
    <xf numFmtId="0" fontId="0" fillId="0" borderId="0" xfId="0" applyAlignment="1">
      <alignment horizontal="center"/>
    </xf>
    <xf numFmtId="0" fontId="0" fillId="0" borderId="0" xfId="0" applyBorder="1" applyAlignment="1" applyProtection="1">
      <alignment horizontal="left" wrapText="1"/>
      <protection locked="0"/>
    </xf>
    <xf numFmtId="0" fontId="0" fillId="0" borderId="0" xfId="0" applyBorder="1" applyAlignment="1" applyProtection="1">
      <alignment horizontal="left"/>
      <protection locked="0"/>
    </xf>
    <xf numFmtId="0" fontId="0" fillId="0" borderId="6" xfId="0" applyNumberFormat="1" applyFont="1" applyBorder="1" applyAlignment="1" applyProtection="1">
      <alignment vertical="top" wrapText="1"/>
      <protection locked="0"/>
    </xf>
    <xf numFmtId="0" fontId="0" fillId="0" borderId="7" xfId="0" applyNumberFormat="1" applyFont="1" applyBorder="1" applyAlignment="1" applyProtection="1">
      <alignment vertical="top" wrapText="1"/>
      <protection locked="0"/>
    </xf>
    <xf numFmtId="0" fontId="0" fillId="0" borderId="11" xfId="0" applyNumberFormat="1" applyFont="1" applyBorder="1" applyAlignment="1" applyProtection="1">
      <alignment vertical="top" wrapText="1"/>
      <protection locked="0"/>
    </xf>
    <xf numFmtId="0" fontId="0" fillId="0" borderId="1" xfId="0" applyNumberFormat="1" applyFont="1" applyBorder="1" applyAlignment="1" applyProtection="1">
      <alignment vertical="top" wrapText="1"/>
      <protection locked="0"/>
    </xf>
    <xf numFmtId="0" fontId="0" fillId="0" borderId="0" xfId="0" applyNumberFormat="1" applyFont="1" applyBorder="1" applyAlignment="1" applyProtection="1">
      <alignment vertical="top" wrapText="1"/>
      <protection locked="0"/>
    </xf>
    <xf numFmtId="0" fontId="0" fillId="0" borderId="2" xfId="0" applyNumberFormat="1" applyFont="1" applyBorder="1" applyAlignment="1" applyProtection="1">
      <alignment vertical="top" wrapText="1"/>
      <protection locked="0"/>
    </xf>
    <xf numFmtId="0" fontId="0" fillId="0" borderId="16" xfId="0" applyNumberFormat="1" applyFont="1" applyBorder="1" applyAlignment="1" applyProtection="1">
      <alignment vertical="top" wrapText="1"/>
      <protection locked="0"/>
    </xf>
    <xf numFmtId="0" fontId="0" fillId="0" borderId="3" xfId="0" applyNumberFormat="1" applyFont="1" applyBorder="1" applyAlignment="1" applyProtection="1">
      <alignment vertical="top" wrapText="1"/>
      <protection locked="0"/>
    </xf>
    <xf numFmtId="0" fontId="0" fillId="0" borderId="10" xfId="0" applyNumberFormat="1" applyFont="1" applyBorder="1" applyAlignment="1" applyProtection="1">
      <alignment vertical="top" wrapText="1"/>
      <protection locked="0"/>
    </xf>
    <xf numFmtId="0" fontId="0" fillId="0" borderId="0" xfId="0" applyFont="1" applyFill="1" applyAlignment="1" applyProtection="1"/>
    <xf numFmtId="0" fontId="86" fillId="0" borderId="0" xfId="0" applyFont="1" applyFill="1" applyProtection="1"/>
    <xf numFmtId="0" fontId="59" fillId="0" borderId="4" xfId="0" applyFont="1" applyFill="1" applyBorder="1" applyProtection="1"/>
    <xf numFmtId="0" fontId="0" fillId="0" borderId="0" xfId="0" applyAlignment="1" applyProtection="1">
      <alignment horizontal="left" vertical="center" wrapText="1"/>
    </xf>
    <xf numFmtId="0" fontId="0" fillId="5" borderId="4" xfId="0" applyFill="1" applyBorder="1" applyAlignment="1" applyProtection="1">
      <alignment horizontal="center" vertical="center"/>
    </xf>
    <xf numFmtId="0" fontId="47" fillId="5" borderId="4" xfId="0" applyFont="1" applyFill="1" applyBorder="1" applyAlignment="1">
      <alignment horizontal="center"/>
    </xf>
    <xf numFmtId="0" fontId="87" fillId="0" borderId="0" xfId="0" applyFont="1"/>
    <xf numFmtId="0" fontId="42" fillId="0" borderId="4" xfId="0" applyFont="1" applyBorder="1" applyAlignment="1" applyProtection="1">
      <alignment horizontal="left" vertical="top" wrapText="1"/>
      <protection locked="0"/>
    </xf>
    <xf numFmtId="0" fontId="42" fillId="8" borderId="4" xfId="0" applyFont="1" applyFill="1" applyBorder="1" applyAlignment="1" applyProtection="1">
      <alignment horizontal="left" vertical="top" wrapText="1"/>
      <protection locked="0"/>
    </xf>
    <xf numFmtId="0" fontId="42" fillId="9" borderId="4" xfId="0" applyFont="1" applyFill="1" applyBorder="1" applyAlignment="1" applyProtection="1">
      <alignment horizontal="left" vertical="top" wrapText="1"/>
    </xf>
    <xf numFmtId="41" fontId="0" fillId="0" borderId="4" xfId="0" applyNumberFormat="1" applyBorder="1" applyProtection="1">
      <protection hidden="1"/>
    </xf>
    <xf numFmtId="0" fontId="46" fillId="0" borderId="4" xfId="0" applyFont="1" applyBorder="1" applyProtection="1">
      <protection locked="0" hidden="1"/>
    </xf>
    <xf numFmtId="0" fontId="39" fillId="4" borderId="0" xfId="0" applyFont="1" applyFill="1" applyAlignment="1" applyProtection="1"/>
    <xf numFmtId="0" fontId="47" fillId="0" borderId="0" xfId="0" applyFont="1" applyBorder="1" applyAlignment="1">
      <alignment horizontal="left" vertical="top" wrapText="1"/>
    </xf>
    <xf numFmtId="0" fontId="39" fillId="7" borderId="0" xfId="0" applyFont="1" applyFill="1" applyAlignment="1">
      <alignment horizontal="left"/>
    </xf>
    <xf numFmtId="0" fontId="88" fillId="0" borderId="0" xfId="0" applyFont="1" applyAlignment="1">
      <alignment horizontal="left" vertical="top" wrapText="1"/>
    </xf>
    <xf numFmtId="0" fontId="42" fillId="4" borderId="23" xfId="0" applyFont="1" applyFill="1" applyBorder="1" applyAlignment="1">
      <alignment horizontal="left" wrapText="1" indent="1"/>
    </xf>
    <xf numFmtId="0" fontId="42" fillId="4" borderId="8" xfId="0" applyFont="1" applyFill="1" applyBorder="1" applyAlignment="1">
      <alignment horizontal="left" wrapText="1"/>
    </xf>
    <xf numFmtId="0" fontId="42" fillId="4" borderId="27" xfId="0" applyFont="1" applyFill="1" applyBorder="1" applyAlignment="1">
      <alignment horizontal="left" indent="1"/>
    </xf>
    <xf numFmtId="0" fontId="42" fillId="4" borderId="6" xfId="0" applyFont="1" applyFill="1" applyBorder="1" applyAlignment="1">
      <alignment vertical="top" wrapText="1"/>
    </xf>
    <xf numFmtId="0" fontId="42" fillId="4" borderId="1" xfId="0" applyFont="1" applyFill="1" applyBorder="1" applyAlignment="1">
      <alignment horizontal="left" vertical="top" wrapText="1" indent="1"/>
    </xf>
    <xf numFmtId="0" fontId="3" fillId="4" borderId="16" xfId="0" applyFont="1" applyFill="1" applyBorder="1" applyAlignment="1">
      <alignment horizontal="left" vertical="top" wrapText="1" indent="1"/>
    </xf>
    <xf numFmtId="0" fontId="42" fillId="6" borderId="8" xfId="0" applyFont="1" applyFill="1" applyBorder="1" applyAlignment="1">
      <alignment horizontal="center" vertical="center"/>
    </xf>
    <xf numFmtId="0" fontId="42" fillId="5" borderId="27" xfId="0" applyFont="1" applyFill="1" applyBorder="1" applyAlignment="1">
      <alignment horizontal="center" vertical="center" wrapText="1"/>
    </xf>
    <xf numFmtId="0" fontId="39" fillId="7" borderId="0" xfId="0" applyFont="1" applyFill="1" applyBorder="1" applyAlignment="1">
      <alignment wrapText="1"/>
    </xf>
    <xf numFmtId="0" fontId="42" fillId="6" borderId="18" xfId="0" applyFont="1" applyFill="1" applyBorder="1" applyAlignment="1">
      <alignment horizontal="center"/>
    </xf>
    <xf numFmtId="0" fontId="49" fillId="9" borderId="0" xfId="0" applyFont="1" applyFill="1" applyBorder="1"/>
    <xf numFmtId="0" fontId="42" fillId="0" borderId="32" xfId="0" applyFont="1" applyBorder="1" applyAlignment="1" applyProtection="1">
      <alignment horizontal="center" vertical="center"/>
      <protection locked="0"/>
    </xf>
    <xf numFmtId="0" fontId="42" fillId="0" borderId="22" xfId="0" applyFont="1" applyBorder="1" applyAlignment="1" applyProtection="1">
      <alignment horizontal="center" vertical="center"/>
      <protection locked="0"/>
    </xf>
    <xf numFmtId="0" fontId="42" fillId="0" borderId="33" xfId="0" applyFont="1" applyBorder="1" applyAlignment="1" applyProtection="1">
      <alignment horizontal="center" vertical="center"/>
      <protection locked="0"/>
    </xf>
    <xf numFmtId="10" fontId="42" fillId="5" borderId="1" xfId="0" applyNumberFormat="1" applyFont="1" applyFill="1" applyBorder="1" applyAlignment="1">
      <alignment horizontal="center" vertical="center"/>
    </xf>
    <xf numFmtId="0" fontId="42" fillId="4" borderId="4" xfId="0" applyFont="1" applyFill="1" applyBorder="1" applyAlignment="1" applyProtection="1">
      <alignment horizontal="center" vertical="center"/>
      <protection locked="0"/>
    </xf>
    <xf numFmtId="9" fontId="42" fillId="5" borderId="1" xfId="9" applyFont="1" applyFill="1" applyBorder="1" applyAlignment="1" applyProtection="1">
      <alignment horizontal="center" vertical="center" wrapText="1"/>
    </xf>
    <xf numFmtId="9" fontId="42" fillId="5" borderId="16" xfId="9" applyFont="1" applyFill="1" applyBorder="1" applyAlignment="1" applyProtection="1">
      <alignment horizontal="center" vertical="center" wrapText="1"/>
    </xf>
    <xf numFmtId="0" fontId="42" fillId="0" borderId="0" xfId="0" applyFont="1" applyAlignment="1">
      <alignment horizontal="center"/>
    </xf>
    <xf numFmtId="0" fontId="72" fillId="5" borderId="23" xfId="0" quotePrefix="1" applyFont="1" applyFill="1" applyBorder="1" applyAlignment="1">
      <alignment horizontal="center" vertical="center"/>
    </xf>
    <xf numFmtId="0" fontId="72" fillId="5" borderId="23" xfId="0" applyFont="1" applyFill="1" applyBorder="1" applyAlignment="1">
      <alignment horizontal="center" vertical="center"/>
    </xf>
    <xf numFmtId="0" fontId="72" fillId="5" borderId="27" xfId="0" applyFont="1" applyFill="1" applyBorder="1" applyAlignment="1">
      <alignment horizontal="center" vertical="center"/>
    </xf>
    <xf numFmtId="0" fontId="47" fillId="4" borderId="0" xfId="0" applyFont="1" applyFill="1" applyBorder="1" applyAlignment="1">
      <alignment horizontal="center" vertical="center" wrapText="1"/>
    </xf>
    <xf numFmtId="0" fontId="43" fillId="6" borderId="6" xfId="0" applyFont="1" applyFill="1" applyBorder="1" applyAlignment="1">
      <alignment vertical="center"/>
    </xf>
    <xf numFmtId="0" fontId="43" fillId="20" borderId="7" xfId="0" applyFont="1" applyFill="1" applyBorder="1" applyAlignment="1" applyProtection="1">
      <alignment vertical="center"/>
      <protection locked="0"/>
    </xf>
    <xf numFmtId="0" fontId="0" fillId="4" borderId="0" xfId="0" applyFill="1" applyAlignment="1">
      <alignment vertical="center"/>
    </xf>
    <xf numFmtId="0" fontId="0" fillId="0" borderId="0" xfId="0" applyBorder="1" applyAlignment="1"/>
    <xf numFmtId="0" fontId="49" fillId="9" borderId="4" xfId="0" applyFont="1" applyFill="1" applyBorder="1" applyAlignment="1">
      <alignment horizontal="center"/>
    </xf>
    <xf numFmtId="0" fontId="49" fillId="18" borderId="4" xfId="0" applyFont="1" applyFill="1" applyBorder="1" applyAlignment="1">
      <alignment horizontal="center"/>
    </xf>
    <xf numFmtId="0" fontId="42" fillId="0" borderId="4" xfId="0" applyFont="1" applyFill="1" applyBorder="1" applyAlignment="1">
      <alignment vertical="top" wrapText="1"/>
    </xf>
    <xf numFmtId="0" fontId="42" fillId="0" borderId="4" xfId="0" applyFont="1" applyBorder="1" applyAlignment="1">
      <alignment horizontal="center" vertical="top"/>
    </xf>
    <xf numFmtId="0" fontId="39" fillId="4" borderId="4" xfId="0" applyFont="1" applyFill="1" applyBorder="1" applyAlignment="1">
      <alignment horizontal="right" wrapText="1"/>
    </xf>
    <xf numFmtId="165" fontId="42" fillId="0" borderId="0" xfId="0" applyNumberFormat="1" applyFont="1" applyBorder="1" applyProtection="1">
      <protection locked="0"/>
    </xf>
    <xf numFmtId="0" fontId="42" fillId="0" borderId="0" xfId="0" applyFont="1" applyBorder="1" applyAlignment="1" applyProtection="1">
      <alignment wrapText="1"/>
      <protection locked="0"/>
    </xf>
    <xf numFmtId="41" fontId="42" fillId="5" borderId="4" xfId="0" applyNumberFormat="1" applyFont="1" applyFill="1" applyBorder="1" applyAlignment="1" applyProtection="1">
      <alignment horizontal="center" vertical="center"/>
    </xf>
    <xf numFmtId="0" fontId="79" fillId="9" borderId="0" xfId="0" applyFont="1" applyFill="1"/>
    <xf numFmtId="0" fontId="54" fillId="5" borderId="21" xfId="0" applyFont="1" applyFill="1" applyBorder="1" applyAlignment="1">
      <alignment horizontal="center"/>
    </xf>
    <xf numFmtId="9" fontId="42" fillId="9" borderId="0" xfId="0" applyNumberFormat="1" applyFont="1" applyFill="1"/>
    <xf numFmtId="9" fontId="49" fillId="9" borderId="0" xfId="0" applyNumberFormat="1" applyFont="1" applyFill="1"/>
    <xf numFmtId="0" fontId="49" fillId="9" borderId="34" xfId="0" applyFont="1" applyFill="1" applyBorder="1" applyAlignment="1">
      <alignment horizontal="center"/>
    </xf>
    <xf numFmtId="0" fontId="49" fillId="9" borderId="35" xfId="0" applyFont="1" applyFill="1" applyBorder="1" applyAlignment="1">
      <alignment horizontal="center"/>
    </xf>
    <xf numFmtId="9" fontId="49" fillId="9" borderId="36" xfId="0" applyNumberFormat="1" applyFont="1" applyFill="1" applyBorder="1"/>
    <xf numFmtId="9" fontId="42" fillId="9" borderId="37" xfId="0" applyNumberFormat="1" applyFont="1" applyFill="1" applyBorder="1"/>
    <xf numFmtId="9" fontId="49" fillId="9" borderId="38" xfId="0" applyNumberFormat="1" applyFont="1" applyFill="1" applyBorder="1"/>
    <xf numFmtId="9" fontId="42" fillId="9" borderId="39" xfId="0" applyNumberFormat="1" applyFont="1" applyFill="1" applyBorder="1"/>
    <xf numFmtId="0" fontId="49" fillId="9" borderId="36" xfId="0" applyFont="1" applyFill="1" applyBorder="1" applyAlignment="1">
      <alignment horizontal="center"/>
    </xf>
    <xf numFmtId="0" fontId="49" fillId="9" borderId="37" xfId="0" applyFont="1" applyFill="1" applyBorder="1" applyAlignment="1">
      <alignment horizontal="center"/>
    </xf>
    <xf numFmtId="0" fontId="49" fillId="18" borderId="36" xfId="0" applyFont="1" applyFill="1" applyBorder="1" applyAlignment="1">
      <alignment horizontal="center"/>
    </xf>
    <xf numFmtId="0" fontId="49" fillId="9" borderId="40" xfId="0" applyFont="1" applyFill="1" applyBorder="1" applyAlignment="1">
      <alignment horizontal="center"/>
    </xf>
    <xf numFmtId="0" fontId="49" fillId="9" borderId="41" xfId="0" applyFont="1" applyFill="1" applyBorder="1" applyAlignment="1">
      <alignment horizontal="center"/>
    </xf>
    <xf numFmtId="0" fontId="49" fillId="9" borderId="42" xfId="0" applyFont="1" applyFill="1" applyBorder="1" applyAlignment="1">
      <alignment horizontal="center"/>
    </xf>
    <xf numFmtId="0" fontId="47" fillId="5" borderId="4" xfId="0" applyFont="1" applyFill="1" applyBorder="1" applyAlignment="1">
      <alignment horizontal="center" vertical="center" wrapText="1"/>
    </xf>
    <xf numFmtId="0" fontId="42" fillId="0" borderId="4" xfId="0" applyFont="1" applyBorder="1" applyAlignment="1" applyProtection="1">
      <alignment horizontal="left" vertical="center" wrapText="1"/>
      <protection locked="0"/>
    </xf>
    <xf numFmtId="0" fontId="42" fillId="0" borderId="4" xfId="0" applyFont="1" applyBorder="1" applyAlignment="1" applyProtection="1">
      <alignment horizontal="center" vertical="center" wrapText="1"/>
      <protection locked="0"/>
    </xf>
    <xf numFmtId="0" fontId="42" fillId="0" borderId="0" xfId="0" applyFont="1" applyBorder="1" applyAlignment="1" applyProtection="1">
      <alignment horizontal="center"/>
      <protection locked="0"/>
    </xf>
    <xf numFmtId="43" fontId="59" fillId="0" borderId="0" xfId="1" applyFont="1" applyFill="1" applyBorder="1"/>
    <xf numFmtId="170" fontId="42" fillId="0" borderId="4" xfId="9" applyNumberFormat="1" applyFont="1" applyFill="1" applyBorder="1" applyAlignment="1">
      <alignment horizontal="right" vertical="center" wrapText="1"/>
    </xf>
    <xf numFmtId="0" fontId="47" fillId="0" borderId="0" xfId="0" applyFont="1" applyFill="1" applyBorder="1" applyAlignment="1">
      <alignment horizontal="center" vertical="center" wrapText="1"/>
    </xf>
    <xf numFmtId="0" fontId="49" fillId="0" borderId="0" xfId="0" applyFont="1" applyFill="1"/>
    <xf numFmtId="0" fontId="74" fillId="0" borderId="0" xfId="0" applyFont="1" applyFill="1" applyBorder="1" applyAlignment="1">
      <alignment vertical="top" wrapText="1"/>
    </xf>
    <xf numFmtId="10" fontId="42" fillId="5" borderId="16" xfId="0" applyNumberFormat="1" applyFont="1" applyFill="1" applyBorder="1" applyAlignment="1">
      <alignment horizontal="center"/>
    </xf>
    <xf numFmtId="10" fontId="42" fillId="5" borderId="8" xfId="0" applyNumberFormat="1" applyFont="1" applyFill="1" applyBorder="1" applyAlignment="1">
      <alignment horizontal="center"/>
    </xf>
    <xf numFmtId="0" fontId="42" fillId="5" borderId="6" xfId="0" quotePrefix="1" applyFont="1" applyFill="1" applyBorder="1" applyAlignment="1">
      <alignment horizontal="center"/>
    </xf>
    <xf numFmtId="10" fontId="42" fillId="5" borderId="6" xfId="0" applyNumberFormat="1" applyFont="1" applyFill="1" applyBorder="1" applyAlignment="1">
      <alignment horizontal="center"/>
    </xf>
    <xf numFmtId="0" fontId="42" fillId="5" borderId="8" xfId="0" quotePrefix="1" applyFont="1" applyFill="1" applyBorder="1" applyAlignment="1">
      <alignment horizontal="center"/>
    </xf>
    <xf numFmtId="0" fontId="48" fillId="0" borderId="0" xfId="0" applyFont="1" applyFill="1" applyAlignment="1">
      <alignment horizontal="center"/>
    </xf>
    <xf numFmtId="0" fontId="50" fillId="0" borderId="0" xfId="0" applyFont="1" applyFill="1" applyAlignment="1">
      <alignment horizontal="center"/>
    </xf>
    <xf numFmtId="0" fontId="72" fillId="5" borderId="8" xfId="0" applyFont="1" applyFill="1" applyBorder="1" applyAlignment="1">
      <alignment horizontal="center" vertical="center"/>
    </xf>
    <xf numFmtId="0" fontId="72" fillId="5" borderId="4" xfId="0" applyFont="1" applyFill="1" applyBorder="1" applyAlignment="1">
      <alignment horizontal="center" vertical="center"/>
    </xf>
    <xf numFmtId="10" fontId="42" fillId="4" borderId="0" xfId="0" applyNumberFormat="1" applyFont="1" applyFill="1" applyBorder="1" applyAlignment="1" applyProtection="1">
      <alignment horizontal="center" wrapText="1"/>
      <protection locked="0"/>
    </xf>
    <xf numFmtId="0" fontId="47" fillId="0" borderId="0" xfId="0" applyFont="1" applyFill="1" applyBorder="1" applyAlignment="1">
      <alignment horizontal="center"/>
    </xf>
    <xf numFmtId="0" fontId="47" fillId="0" borderId="0" xfId="0" applyFont="1" applyFill="1" applyBorder="1" applyAlignment="1">
      <alignment horizontal="center" vertical="center"/>
    </xf>
    <xf numFmtId="0" fontId="42" fillId="0" borderId="0" xfId="0" applyFont="1" applyFill="1" applyBorder="1" applyAlignment="1" applyProtection="1">
      <alignment horizontal="center"/>
      <protection locked="0"/>
    </xf>
    <xf numFmtId="41" fontId="42" fillId="5" borderId="4" xfId="0" applyNumberFormat="1" applyFont="1" applyFill="1" applyBorder="1" applyAlignment="1" applyProtection="1">
      <alignment vertical="center"/>
    </xf>
    <xf numFmtId="0" fontId="42" fillId="0" borderId="4" xfId="0" applyFont="1" applyBorder="1" applyAlignment="1" applyProtection="1">
      <alignment vertical="center" wrapText="1"/>
      <protection locked="0"/>
    </xf>
    <xf numFmtId="43" fontId="42" fillId="0" borderId="4" xfId="0" applyNumberFormat="1" applyFont="1" applyBorder="1" applyAlignment="1" applyProtection="1">
      <alignment horizontal="left" vertical="center" wrapText="1"/>
      <protection locked="0"/>
    </xf>
    <xf numFmtId="167" fontId="42" fillId="0" borderId="4" xfId="0" applyNumberFormat="1" applyFont="1" applyFill="1" applyBorder="1" applyAlignment="1" applyProtection="1">
      <alignment horizontal="center" vertical="center"/>
      <protection locked="0"/>
    </xf>
    <xf numFmtId="165" fontId="42" fillId="0" borderId="4" xfId="0" applyNumberFormat="1" applyFont="1" applyBorder="1" applyAlignment="1" applyProtection="1">
      <alignment horizontal="center" vertical="center" wrapText="1"/>
      <protection locked="0"/>
    </xf>
    <xf numFmtId="41" fontId="42" fillId="0" borderId="4" xfId="0" applyNumberFormat="1" applyFont="1" applyBorder="1" applyAlignment="1" applyProtection="1">
      <alignment horizontal="center" vertical="center" wrapText="1"/>
      <protection locked="0"/>
    </xf>
    <xf numFmtId="165" fontId="42" fillId="0" borderId="4" xfId="0" applyNumberFormat="1" applyFont="1" applyBorder="1" applyAlignment="1" applyProtection="1">
      <alignment horizontal="left" vertical="center" wrapText="1"/>
      <protection locked="0"/>
    </xf>
    <xf numFmtId="41" fontId="42" fillId="0" borderId="0" xfId="0" applyNumberFormat="1" applyFont="1" applyFill="1"/>
    <xf numFmtId="41" fontId="49" fillId="9" borderId="4" xfId="0" applyNumberFormat="1" applyFont="1" applyFill="1" applyBorder="1"/>
    <xf numFmtId="1" fontId="49" fillId="9" borderId="4" xfId="0" applyNumberFormat="1" applyFont="1" applyFill="1" applyBorder="1" applyAlignment="1">
      <alignment horizontal="center" vertical="top"/>
    </xf>
    <xf numFmtId="0" fontId="42" fillId="4" borderId="18" xfId="0" applyFont="1" applyFill="1" applyBorder="1" applyAlignment="1" applyProtection="1">
      <alignment horizontal="left" wrapText="1"/>
      <protection locked="0"/>
    </xf>
    <xf numFmtId="0" fontId="49" fillId="9" borderId="18" xfId="0" applyFont="1" applyFill="1" applyBorder="1"/>
    <xf numFmtId="41" fontId="49" fillId="9" borderId="0" xfId="0" applyNumberFormat="1" applyFont="1" applyFill="1" applyBorder="1"/>
    <xf numFmtId="1" fontId="49" fillId="9" borderId="4" xfId="0" applyNumberFormat="1" applyFont="1" applyFill="1" applyBorder="1"/>
    <xf numFmtId="0" fontId="49" fillId="9" borderId="6" xfId="0" applyFont="1" applyFill="1" applyBorder="1"/>
    <xf numFmtId="41" fontId="0" fillId="9" borderId="0" xfId="0" applyNumberFormat="1" applyFill="1" applyAlignment="1">
      <alignment vertical="center"/>
    </xf>
    <xf numFmtId="0" fontId="46" fillId="0" borderId="0" xfId="0" applyFont="1" applyAlignment="1">
      <alignment horizontal="right" vertical="center"/>
    </xf>
    <xf numFmtId="41" fontId="0" fillId="9" borderId="4" xfId="0" applyNumberFormat="1" applyFill="1" applyBorder="1" applyAlignment="1">
      <alignment vertical="center"/>
    </xf>
    <xf numFmtId="0" fontId="42" fillId="9" borderId="0" xfId="0" applyFont="1" applyFill="1" applyBorder="1" applyAlignment="1">
      <alignment vertical="center"/>
    </xf>
    <xf numFmtId="3" fontId="0" fillId="9" borderId="0" xfId="0" applyNumberFormat="1" applyFill="1" applyAlignment="1">
      <alignment vertical="center"/>
    </xf>
    <xf numFmtId="0" fontId="7" fillId="9" borderId="4" xfId="0" applyFont="1" applyFill="1" applyBorder="1" applyAlignment="1">
      <alignment horizontal="center" vertical="top" wrapText="1"/>
    </xf>
    <xf numFmtId="43" fontId="49" fillId="9" borderId="4" xfId="1" applyFont="1" applyFill="1" applyBorder="1"/>
    <xf numFmtId="43" fontId="49" fillId="9" borderId="0" xfId="1" applyFont="1" applyFill="1" applyBorder="1"/>
    <xf numFmtId="43" fontId="49" fillId="9" borderId="27" xfId="1" applyFont="1" applyFill="1" applyBorder="1"/>
    <xf numFmtId="0" fontId="49" fillId="5" borderId="8" xfId="0" applyFont="1" applyFill="1" applyBorder="1" applyAlignment="1">
      <alignment horizontal="center" vertical="center"/>
    </xf>
    <xf numFmtId="0" fontId="47" fillId="5" borderId="4" xfId="0" applyFont="1" applyFill="1" applyBorder="1" applyAlignment="1">
      <alignment horizontal="center" vertical="center" wrapText="1"/>
    </xf>
    <xf numFmtId="0" fontId="42" fillId="0" borderId="4" xfId="0" applyFont="1" applyBorder="1" applyAlignment="1" applyProtection="1">
      <alignment horizontal="left" vertical="center"/>
      <protection locked="0"/>
    </xf>
    <xf numFmtId="0" fontId="42" fillId="0" borderId="4" xfId="0" applyFont="1" applyBorder="1" applyAlignment="1" applyProtection="1">
      <alignment horizontal="left" vertical="center" wrapText="1"/>
      <protection locked="0"/>
    </xf>
    <xf numFmtId="166" fontId="0" fillId="0" borderId="22" xfId="0" applyNumberFormat="1" applyFont="1" applyBorder="1" applyAlignment="1" applyProtection="1">
      <alignment horizontal="center"/>
      <protection locked="0"/>
    </xf>
    <xf numFmtId="0" fontId="47" fillId="5" borderId="8" xfId="0" applyFont="1" applyFill="1" applyBorder="1" applyAlignment="1">
      <alignment horizontal="center" vertical="center" wrapText="1"/>
    </xf>
    <xf numFmtId="0" fontId="47" fillId="5" borderId="4" xfId="0" applyFont="1" applyFill="1" applyBorder="1" applyAlignment="1">
      <alignment horizontal="center" vertical="center" wrapText="1"/>
    </xf>
    <xf numFmtId="0" fontId="42" fillId="0" borderId="4" xfId="0" applyFont="1" applyBorder="1" applyAlignment="1" applyProtection="1">
      <alignment horizontal="left" vertical="center" wrapText="1"/>
      <protection locked="0"/>
    </xf>
    <xf numFmtId="0" fontId="47" fillId="5" borderId="4" xfId="0" applyFont="1" applyFill="1" applyBorder="1" applyAlignment="1">
      <alignment horizontal="center" vertical="center"/>
    </xf>
    <xf numFmtId="0" fontId="42" fillId="0" borderId="4" xfId="0" applyFont="1" applyBorder="1" applyAlignment="1" applyProtection="1">
      <alignment horizontal="center" vertical="center" wrapText="1"/>
      <protection locked="0"/>
    </xf>
    <xf numFmtId="0" fontId="42" fillId="0" borderId="4" xfId="0" applyFont="1" applyBorder="1" applyAlignment="1" applyProtection="1">
      <alignment horizontal="center" vertical="center"/>
      <protection locked="0"/>
    </xf>
    <xf numFmtId="0" fontId="0" fillId="4" borderId="0" xfId="0" applyFill="1" applyBorder="1" applyAlignment="1">
      <alignment horizontal="left" vertical="center"/>
    </xf>
    <xf numFmtId="0" fontId="63" fillId="0" borderId="0" xfId="0" applyFont="1" applyBorder="1" applyAlignment="1">
      <alignment horizontal="left" vertical="center" wrapText="1"/>
    </xf>
    <xf numFmtId="0" fontId="42" fillId="4" borderId="0" xfId="0" applyFont="1" applyFill="1" applyAlignment="1">
      <alignment vertical="center"/>
    </xf>
    <xf numFmtId="0" fontId="42" fillId="0" borderId="0" xfId="0" applyFont="1" applyBorder="1" applyAlignment="1" applyProtection="1">
      <alignment horizontal="center" vertical="center"/>
    </xf>
    <xf numFmtId="0" fontId="42" fillId="0" borderId="0" xfId="0" applyFont="1" applyAlignment="1" applyProtection="1">
      <alignment vertical="center"/>
    </xf>
    <xf numFmtId="0" fontId="42" fillId="4" borderId="0" xfId="0" applyFont="1" applyFill="1" applyAlignment="1" applyProtection="1">
      <alignment vertical="center"/>
    </xf>
    <xf numFmtId="0" fontId="42" fillId="9" borderId="0" xfId="0" applyFont="1" applyFill="1" applyAlignment="1" applyProtection="1">
      <alignment vertical="center"/>
    </xf>
    <xf numFmtId="1" fontId="42" fillId="9" borderId="0" xfId="0" applyNumberFormat="1" applyFont="1" applyFill="1" applyAlignment="1">
      <alignment vertical="center"/>
    </xf>
    <xf numFmtId="0" fontId="42" fillId="7" borderId="4" xfId="0" applyFont="1" applyFill="1" applyBorder="1" applyAlignment="1" applyProtection="1">
      <alignment horizontal="center" vertical="center"/>
      <protection locked="0"/>
    </xf>
    <xf numFmtId="0" fontId="42" fillId="7" borderId="4" xfId="0" applyFont="1" applyFill="1" applyBorder="1" applyAlignment="1" applyProtection="1">
      <alignment vertical="center" wrapText="1"/>
      <protection locked="0"/>
    </xf>
    <xf numFmtId="41" fontId="42" fillId="7" borderId="4" xfId="0" applyNumberFormat="1" applyFont="1" applyFill="1" applyBorder="1" applyAlignment="1" applyProtection="1">
      <alignment horizontal="center" vertical="center"/>
      <protection locked="0"/>
    </xf>
    <xf numFmtId="0" fontId="42" fillId="0" borderId="0" xfId="0" applyFont="1" applyAlignment="1">
      <alignment vertical="center" wrapText="1"/>
    </xf>
    <xf numFmtId="0" fontId="46" fillId="4" borderId="0" xfId="0" applyFont="1" applyFill="1" applyBorder="1" applyAlignment="1">
      <alignment horizontal="right" vertical="center"/>
    </xf>
    <xf numFmtId="0" fontId="42" fillId="9" borderId="0" xfId="0" applyFont="1" applyFill="1" applyAlignment="1">
      <alignment horizontal="center" vertical="center" wrapText="1"/>
    </xf>
    <xf numFmtId="43" fontId="42" fillId="0" borderId="4" xfId="0" applyNumberFormat="1" applyFont="1" applyBorder="1" applyAlignment="1">
      <alignment horizontal="left" vertical="center" wrapText="1"/>
    </xf>
    <xf numFmtId="167" fontId="42" fillId="0" borderId="4" xfId="0" applyNumberFormat="1" applyFont="1" applyBorder="1" applyAlignment="1" applyProtection="1">
      <alignment horizontal="left" vertical="center" wrapText="1"/>
      <protection locked="0"/>
    </xf>
    <xf numFmtId="10" fontId="42" fillId="0" borderId="4" xfId="0" applyNumberFormat="1" applyFont="1" applyBorder="1" applyAlignment="1" applyProtection="1">
      <alignment horizontal="left" vertical="center" wrapText="1"/>
      <protection locked="0"/>
    </xf>
    <xf numFmtId="10" fontId="42" fillId="0" borderId="4" xfId="0" applyNumberFormat="1" applyFont="1" applyFill="1" applyBorder="1" applyAlignment="1" applyProtection="1">
      <alignment horizontal="left" vertical="center" wrapText="1"/>
      <protection locked="0"/>
    </xf>
    <xf numFmtId="41" fontId="42" fillId="9" borderId="7" xfId="0" applyNumberFormat="1" applyFont="1" applyFill="1" applyBorder="1" applyAlignment="1">
      <alignment vertical="center"/>
    </xf>
    <xf numFmtId="41" fontId="42" fillId="9" borderId="7" xfId="0" quotePrefix="1" applyNumberFormat="1" applyFont="1" applyFill="1" applyBorder="1" applyAlignment="1">
      <alignment vertical="center"/>
    </xf>
    <xf numFmtId="0" fontId="42" fillId="9" borderId="7" xfId="0" applyFont="1" applyFill="1" applyBorder="1" applyAlignment="1">
      <alignment vertical="center"/>
    </xf>
    <xf numFmtId="43" fontId="42" fillId="9" borderId="7" xfId="0" applyNumberFormat="1" applyFont="1" applyFill="1" applyBorder="1" applyAlignment="1">
      <alignment vertical="center"/>
    </xf>
    <xf numFmtId="10" fontId="42" fillId="9" borderId="11" xfId="0" applyNumberFormat="1" applyFont="1" applyFill="1" applyBorder="1" applyAlignment="1">
      <alignment vertical="center"/>
    </xf>
    <xf numFmtId="10" fontId="42" fillId="9" borderId="0" xfId="0" applyNumberFormat="1" applyFont="1" applyFill="1" applyAlignment="1">
      <alignment vertical="center"/>
    </xf>
    <xf numFmtId="41" fontId="42" fillId="9" borderId="0" xfId="0" applyNumberFormat="1" applyFont="1" applyFill="1" applyBorder="1" applyAlignment="1">
      <alignment vertical="center"/>
    </xf>
    <xf numFmtId="41" fontId="42" fillId="9" borderId="0" xfId="0" quotePrefix="1" applyNumberFormat="1" applyFont="1" applyFill="1" applyBorder="1" applyAlignment="1">
      <alignment vertical="center"/>
    </xf>
    <xf numFmtId="43" fontId="42" fillId="9" borderId="0" xfId="0" applyNumberFormat="1" applyFont="1" applyFill="1" applyBorder="1" applyAlignment="1">
      <alignment vertical="center"/>
    </xf>
    <xf numFmtId="0" fontId="42" fillId="9" borderId="2" xfId="0" applyFont="1" applyFill="1" applyBorder="1" applyAlignment="1">
      <alignment vertical="center"/>
    </xf>
    <xf numFmtId="41" fontId="42" fillId="9" borderId="3" xfId="0" applyNumberFormat="1" applyFont="1" applyFill="1" applyBorder="1" applyAlignment="1">
      <alignment vertical="center"/>
    </xf>
    <xf numFmtId="41" fontId="42" fillId="9" borderId="3" xfId="0" quotePrefix="1" applyNumberFormat="1" applyFont="1" applyFill="1" applyBorder="1" applyAlignment="1">
      <alignment vertical="center"/>
    </xf>
    <xf numFmtId="0" fontId="42" fillId="9" borderId="3" xfId="0" applyFont="1" applyFill="1" applyBorder="1" applyAlignment="1">
      <alignment vertical="center"/>
    </xf>
    <xf numFmtId="43" fontId="42" fillId="9" borderId="3" xfId="0" applyNumberFormat="1" applyFont="1" applyFill="1" applyBorder="1" applyAlignment="1">
      <alignment vertical="center"/>
    </xf>
    <xf numFmtId="0" fontId="42" fillId="9" borderId="10" xfId="0" applyFont="1" applyFill="1" applyBorder="1" applyAlignment="1">
      <alignment vertical="center"/>
    </xf>
    <xf numFmtId="43" fontId="42" fillId="5" borderId="4" xfId="0" applyNumberFormat="1" applyFont="1" applyFill="1" applyBorder="1" applyAlignment="1">
      <alignment vertical="center"/>
    </xf>
    <xf numFmtId="41" fontId="42" fillId="9" borderId="0" xfId="0" applyNumberFormat="1" applyFont="1" applyFill="1" applyAlignment="1">
      <alignment vertical="center"/>
    </xf>
    <xf numFmtId="41" fontId="42" fillId="9" borderId="27" xfId="0" applyNumberFormat="1" applyFont="1" applyFill="1" applyBorder="1" applyAlignment="1">
      <alignment vertical="center"/>
    </xf>
    <xf numFmtId="0" fontId="42" fillId="9" borderId="27" xfId="0" applyFont="1" applyFill="1" applyBorder="1" applyAlignment="1">
      <alignment vertical="center"/>
    </xf>
    <xf numFmtId="0" fontId="42" fillId="9" borderId="27" xfId="0" applyNumberFormat="1" applyFont="1" applyFill="1" applyBorder="1" applyAlignment="1">
      <alignment vertical="center"/>
    </xf>
    <xf numFmtId="41" fontId="42" fillId="9" borderId="0" xfId="0" quotePrefix="1" applyNumberFormat="1" applyFont="1" applyFill="1" applyAlignment="1">
      <alignment vertical="center"/>
    </xf>
    <xf numFmtId="41" fontId="42" fillId="9" borderId="0" xfId="1" applyNumberFormat="1" applyFont="1" applyFill="1" applyAlignment="1">
      <alignment horizontal="left" vertical="center"/>
    </xf>
    <xf numFmtId="0" fontId="49" fillId="9" borderId="0" xfId="0" applyFont="1" applyFill="1" applyAlignment="1">
      <alignment vertical="center"/>
    </xf>
    <xf numFmtId="0" fontId="49" fillId="9" borderId="0" xfId="0" applyFont="1" applyFill="1" applyBorder="1" applyAlignment="1">
      <alignment vertical="center"/>
    </xf>
    <xf numFmtId="0" fontId="49" fillId="0" borderId="4" xfId="0" applyNumberFormat="1" applyFont="1" applyBorder="1" applyAlignment="1" applyProtection="1">
      <alignment horizontal="center" vertical="center"/>
      <protection locked="0"/>
    </xf>
    <xf numFmtId="0" fontId="42" fillId="9" borderId="6" xfId="0" applyFont="1" applyFill="1" applyBorder="1" applyAlignment="1">
      <alignment vertical="center"/>
    </xf>
    <xf numFmtId="0" fontId="42" fillId="9" borderId="8" xfId="0" applyFont="1" applyFill="1" applyBorder="1" applyAlignment="1">
      <alignment vertical="center"/>
    </xf>
    <xf numFmtId="0" fontId="42" fillId="0" borderId="4" xfId="0" applyFont="1" applyBorder="1" applyAlignment="1" applyProtection="1">
      <alignment vertical="center"/>
      <protection locked="0"/>
    </xf>
    <xf numFmtId="0" fontId="42" fillId="9" borderId="1" xfId="0" applyFont="1" applyFill="1" applyBorder="1" applyAlignment="1">
      <alignment vertical="center"/>
    </xf>
    <xf numFmtId="0" fontId="42" fillId="9" borderId="23" xfId="0" applyFont="1" applyFill="1" applyBorder="1" applyAlignment="1">
      <alignment vertical="center"/>
    </xf>
    <xf numFmtId="0" fontId="42" fillId="9" borderId="16" xfId="0" applyFont="1" applyFill="1" applyBorder="1" applyAlignment="1">
      <alignment vertical="center"/>
    </xf>
    <xf numFmtId="43" fontId="42" fillId="9" borderId="4" xfId="0" applyNumberFormat="1" applyFont="1" applyFill="1" applyBorder="1" applyAlignment="1">
      <alignment vertical="center"/>
    </xf>
    <xf numFmtId="0" fontId="42" fillId="9" borderId="4" xfId="0" applyFont="1" applyFill="1" applyBorder="1" applyAlignment="1">
      <alignment vertical="center"/>
    </xf>
    <xf numFmtId="41" fontId="42" fillId="9" borderId="4" xfId="0" applyNumberFormat="1" applyFont="1" applyFill="1" applyBorder="1" applyAlignment="1">
      <alignment vertical="center"/>
    </xf>
    <xf numFmtId="43" fontId="42" fillId="9" borderId="4" xfId="1" applyFont="1" applyFill="1" applyBorder="1" applyAlignment="1">
      <alignment vertical="center"/>
    </xf>
    <xf numFmtId="169" fontId="42" fillId="9" borderId="0" xfId="1" applyNumberFormat="1" applyFont="1" applyFill="1" applyAlignment="1">
      <alignment vertical="center"/>
    </xf>
    <xf numFmtId="0" fontId="39" fillId="4" borderId="1" xfId="0" applyFont="1" applyFill="1" applyBorder="1" applyAlignment="1">
      <alignment vertical="center"/>
    </xf>
    <xf numFmtId="0" fontId="0" fillId="4" borderId="0" xfId="0" applyFill="1" applyBorder="1" applyAlignment="1">
      <alignment vertical="center"/>
    </xf>
    <xf numFmtId="0" fontId="42" fillId="0" borderId="3" xfId="0" applyFont="1" applyBorder="1" applyAlignment="1">
      <alignment vertical="center"/>
    </xf>
    <xf numFmtId="0" fontId="42" fillId="0" borderId="4" xfId="0" applyFont="1" applyBorder="1" applyAlignment="1" applyProtection="1">
      <alignment vertical="center" wrapText="1"/>
      <protection locked="0"/>
    </xf>
    <xf numFmtId="0" fontId="42" fillId="0" borderId="18" xfId="0" applyFont="1" applyBorder="1" applyAlignment="1" applyProtection="1">
      <alignment vertical="center" wrapText="1"/>
      <protection locked="0"/>
    </xf>
    <xf numFmtId="0" fontId="42" fillId="0" borderId="4" xfId="0" applyFont="1" applyFill="1" applyBorder="1" applyAlignment="1" applyProtection="1">
      <alignment vertical="center" wrapText="1"/>
      <protection locked="0"/>
    </xf>
    <xf numFmtId="43" fontId="42" fillId="0" borderId="4" xfId="0" applyNumberFormat="1" applyFont="1" applyBorder="1" applyAlignment="1" applyProtection="1">
      <alignment horizontal="center" vertical="center" wrapText="1"/>
      <protection locked="0"/>
    </xf>
    <xf numFmtId="167" fontId="42" fillId="0" borderId="7" xfId="0" applyNumberFormat="1" applyFont="1" applyFill="1" applyBorder="1" applyAlignment="1" applyProtection="1">
      <alignment horizontal="left" vertical="center"/>
    </xf>
    <xf numFmtId="165" fontId="42" fillId="0" borderId="7" xfId="0" applyNumberFormat="1" applyFont="1" applyBorder="1" applyAlignment="1" applyProtection="1">
      <alignment horizontal="left" vertical="center" wrapText="1"/>
    </xf>
    <xf numFmtId="165" fontId="42" fillId="0" borderId="0" xfId="0" applyNumberFormat="1" applyFont="1" applyBorder="1" applyAlignment="1" applyProtection="1">
      <alignment horizontal="left" vertical="center" wrapText="1"/>
    </xf>
    <xf numFmtId="43" fontId="42" fillId="0" borderId="0" xfId="0" applyNumberFormat="1" applyFont="1" applyBorder="1" applyAlignment="1" applyProtection="1">
      <alignment horizontal="left" vertical="center" wrapText="1"/>
    </xf>
    <xf numFmtId="0" fontId="42" fillId="0" borderId="0" xfId="0" applyFont="1" applyBorder="1" applyAlignment="1" applyProtection="1">
      <alignment vertical="center" wrapText="1"/>
    </xf>
    <xf numFmtId="167" fontId="42" fillId="0" borderId="0" xfId="0" applyNumberFormat="1" applyFont="1" applyFill="1" applyBorder="1" applyAlignment="1" applyProtection="1">
      <alignment horizontal="left" vertical="center"/>
    </xf>
    <xf numFmtId="0" fontId="42" fillId="0" borderId="19" xfId="0" applyFont="1" applyBorder="1" applyAlignment="1" applyProtection="1">
      <alignment horizontal="center" vertical="center"/>
      <protection locked="0"/>
    </xf>
    <xf numFmtId="171" fontId="49" fillId="0" borderId="4" xfId="0" applyNumberFormat="1" applyFont="1" applyFill="1" applyBorder="1" applyProtection="1">
      <protection locked="0"/>
    </xf>
    <xf numFmtId="0" fontId="42" fillId="4" borderId="0" xfId="0" applyFont="1" applyFill="1" applyBorder="1" applyAlignment="1" applyProtection="1">
      <alignment horizontal="left" vertical="center"/>
    </xf>
    <xf numFmtId="0" fontId="42" fillId="4" borderId="0" xfId="0" applyFont="1" applyFill="1" applyBorder="1" applyAlignment="1" applyProtection="1">
      <alignment vertical="center"/>
    </xf>
    <xf numFmtId="0" fontId="48" fillId="4" borderId="0" xfId="0" applyFont="1" applyFill="1" applyAlignment="1" applyProtection="1">
      <alignment vertical="center"/>
    </xf>
    <xf numFmtId="0" fontId="42" fillId="0" borderId="0" xfId="0" applyFont="1" applyBorder="1" applyAlignment="1" applyProtection="1">
      <alignment horizontal="left" vertical="center"/>
    </xf>
    <xf numFmtId="0" fontId="42" fillId="0" borderId="0" xfId="0" applyFont="1" applyBorder="1" applyAlignment="1" applyProtection="1">
      <alignment vertical="center"/>
    </xf>
    <xf numFmtId="0" fontId="42" fillId="0" borderId="0" xfId="0" applyFont="1" applyFill="1" applyBorder="1" applyAlignment="1" applyProtection="1">
      <alignment vertical="center" wrapText="1"/>
    </xf>
    <xf numFmtId="0" fontId="42" fillId="0" borderId="0" xfId="0" applyFont="1" applyFill="1" applyAlignment="1" applyProtection="1">
      <alignment vertical="center"/>
    </xf>
    <xf numFmtId="0" fontId="0" fillId="0" borderId="0" xfId="0" applyBorder="1" applyAlignment="1" applyProtection="1">
      <alignment vertical="center"/>
    </xf>
    <xf numFmtId="0" fontId="0" fillId="4" borderId="0" xfId="0" applyFill="1" applyAlignment="1" applyProtection="1">
      <alignment vertical="center"/>
    </xf>
    <xf numFmtId="0" fontId="42" fillId="0" borderId="0" xfId="0" applyFont="1" applyFill="1" applyBorder="1" applyAlignment="1" applyProtection="1">
      <alignment horizontal="left" vertical="center" wrapText="1"/>
    </xf>
    <xf numFmtId="0" fontId="42" fillId="4" borderId="0" xfId="0" applyFont="1" applyFill="1" applyBorder="1" applyAlignment="1" applyProtection="1">
      <alignment horizontal="left" vertical="center" wrapText="1"/>
    </xf>
    <xf numFmtId="0" fontId="42" fillId="0" borderId="0" xfId="0" applyFont="1" applyFill="1" applyBorder="1" applyAlignment="1" applyProtection="1">
      <alignment vertical="center"/>
    </xf>
    <xf numFmtId="0" fontId="42" fillId="0" borderId="0" xfId="0" applyFont="1" applyFill="1" applyBorder="1" applyAlignment="1" applyProtection="1">
      <alignment horizontal="center" vertical="center"/>
    </xf>
    <xf numFmtId="165" fontId="42" fillId="0" borderId="0" xfId="0" applyNumberFormat="1" applyFont="1" applyFill="1" applyBorder="1" applyAlignment="1" applyProtection="1">
      <alignment horizontal="center" vertical="center"/>
    </xf>
    <xf numFmtId="0" fontId="48" fillId="0" borderId="0" xfId="0" applyFont="1" applyFill="1" applyBorder="1" applyAlignment="1" applyProtection="1">
      <alignment vertical="center"/>
    </xf>
    <xf numFmtId="0" fontId="42" fillId="0" borderId="22" xfId="0" applyFont="1" applyBorder="1" applyAlignment="1" applyProtection="1">
      <alignment vertical="center"/>
    </xf>
    <xf numFmtId="0" fontId="42" fillId="0" borderId="0" xfId="0" applyFont="1" applyBorder="1" applyAlignment="1" applyProtection="1">
      <alignment horizontal="center" vertical="center" wrapText="1"/>
    </xf>
    <xf numFmtId="41" fontId="42" fillId="4" borderId="0" xfId="0" applyNumberFormat="1" applyFont="1" applyFill="1" applyAlignment="1" applyProtection="1">
      <alignment vertical="center"/>
    </xf>
    <xf numFmtId="0" fontId="43" fillId="6" borderId="18" xfId="0" applyFont="1" applyFill="1" applyBorder="1" applyAlignment="1" applyProtection="1">
      <alignment vertical="center"/>
    </xf>
    <xf numFmtId="0" fontId="43" fillId="6" borderId="26" xfId="0" applyFont="1" applyFill="1" applyBorder="1" applyAlignment="1" applyProtection="1">
      <alignment vertical="center"/>
    </xf>
    <xf numFmtId="0" fontId="48" fillId="0" borderId="0" xfId="0" applyFont="1" applyAlignment="1" applyProtection="1">
      <alignment vertical="center"/>
    </xf>
    <xf numFmtId="0" fontId="47" fillId="27" borderId="3" xfId="0" applyFont="1" applyFill="1" applyBorder="1" applyAlignment="1" applyProtection="1">
      <alignment vertical="center"/>
    </xf>
    <xf numFmtId="0" fontId="47" fillId="27" borderId="0" xfId="0" applyFont="1" applyFill="1" applyBorder="1" applyAlignment="1" applyProtection="1">
      <alignment vertical="center"/>
    </xf>
    <xf numFmtId="0" fontId="47" fillId="7" borderId="4" xfId="0" applyFont="1" applyFill="1" applyBorder="1" applyAlignment="1" applyProtection="1">
      <alignment horizontal="center" vertical="center" wrapText="1"/>
    </xf>
    <xf numFmtId="0" fontId="42" fillId="0" borderId="0" xfId="0" applyFont="1" applyFill="1" applyBorder="1" applyAlignment="1" applyProtection="1">
      <alignment horizontal="left" vertical="center"/>
    </xf>
    <xf numFmtId="0" fontId="42" fillId="0" borderId="0" xfId="0" applyFont="1" applyFill="1" applyAlignment="1" applyProtection="1">
      <alignment horizontal="left" vertical="center"/>
    </xf>
    <xf numFmtId="1" fontId="42" fillId="0" borderId="22" xfId="0" applyNumberFormat="1" applyFont="1" applyBorder="1" applyAlignment="1" applyProtection="1">
      <alignment horizontal="center" vertical="center"/>
      <protection locked="0"/>
    </xf>
    <xf numFmtId="1" fontId="42" fillId="0" borderId="5" xfId="0" applyNumberFormat="1" applyFont="1" applyBorder="1" applyAlignment="1" applyProtection="1">
      <alignment horizontal="center" vertical="center"/>
      <protection locked="0"/>
    </xf>
    <xf numFmtId="0" fontId="42" fillId="4" borderId="0" xfId="0" applyFont="1" applyFill="1" applyAlignment="1" applyProtection="1">
      <alignment vertical="center" wrapText="1"/>
    </xf>
    <xf numFmtId="0" fontId="46" fillId="0" borderId="0" xfId="0" applyFont="1" applyAlignment="1" applyProtection="1">
      <alignment vertical="center"/>
    </xf>
    <xf numFmtId="0" fontId="49" fillId="4" borderId="0" xfId="0" applyFont="1" applyFill="1" applyAlignment="1" applyProtection="1">
      <alignment vertical="center"/>
    </xf>
    <xf numFmtId="0" fontId="43" fillId="0" borderId="0" xfId="0" applyFont="1" applyBorder="1" applyAlignment="1" applyProtection="1">
      <alignment horizontal="center" vertical="center" wrapText="1"/>
    </xf>
    <xf numFmtId="0" fontId="51" fillId="0" borderId="0" xfId="0" applyFont="1" applyAlignment="1" applyProtection="1">
      <alignment vertical="center" wrapText="1"/>
    </xf>
    <xf numFmtId="0" fontId="51" fillId="0" borderId="0" xfId="0" applyFont="1" applyBorder="1" applyAlignment="1" applyProtection="1">
      <alignment horizontal="center" vertical="center" wrapText="1"/>
    </xf>
    <xf numFmtId="0" fontId="46" fillId="0" borderId="0" xfId="0" applyFont="1" applyAlignment="1" applyProtection="1">
      <alignment horizontal="right"/>
    </xf>
    <xf numFmtId="0" fontId="46" fillId="0" borderId="0" xfId="0" applyFont="1" applyAlignment="1" applyProtection="1">
      <alignment horizontal="right" vertical="center"/>
    </xf>
    <xf numFmtId="0" fontId="47" fillId="0" borderId="0" xfId="0" applyFont="1" applyFill="1" applyBorder="1" applyAlignment="1" applyProtection="1">
      <alignment horizontal="center" vertical="center" wrapText="1"/>
    </xf>
    <xf numFmtId="0" fontId="47" fillId="5" borderId="4" xfId="0" applyFont="1" applyFill="1" applyBorder="1" applyAlignment="1" applyProtection="1">
      <alignment horizontal="center" vertical="center" wrapText="1"/>
    </xf>
    <xf numFmtId="0" fontId="47" fillId="5" borderId="18" xfId="0" applyFont="1" applyFill="1" applyBorder="1" applyAlignment="1" applyProtection="1">
      <alignment vertical="center"/>
    </xf>
    <xf numFmtId="0" fontId="47" fillId="5" borderId="26" xfId="0" applyFont="1" applyFill="1" applyBorder="1" applyAlignment="1" applyProtection="1">
      <alignment vertical="center"/>
    </xf>
    <xf numFmtId="0" fontId="47" fillId="5" borderId="19" xfId="0" applyFont="1" applyFill="1" applyBorder="1" applyAlignment="1" applyProtection="1">
      <alignment vertical="center"/>
    </xf>
    <xf numFmtId="43" fontId="47" fillId="5" borderId="4" xfId="0" applyNumberFormat="1" applyFont="1" applyFill="1" applyBorder="1" applyAlignment="1" applyProtection="1">
      <alignment vertical="center"/>
    </xf>
    <xf numFmtId="41" fontId="42" fillId="0" borderId="0" xfId="0" applyNumberFormat="1" applyFont="1" applyBorder="1" applyAlignment="1" applyProtection="1">
      <alignment vertical="center"/>
    </xf>
    <xf numFmtId="0" fontId="89" fillId="0" borderId="0" xfId="0" applyFont="1" applyAlignment="1" applyProtection="1">
      <alignment vertical="center"/>
    </xf>
    <xf numFmtId="10" fontId="42" fillId="0" borderId="0" xfId="0" applyNumberFormat="1" applyFont="1" applyAlignment="1" applyProtection="1">
      <alignment vertical="center"/>
    </xf>
    <xf numFmtId="0" fontId="46" fillId="0" borderId="0" xfId="0" quotePrefix="1" applyFont="1" applyAlignment="1" applyProtection="1">
      <alignment horizontal="left" vertical="center"/>
    </xf>
    <xf numFmtId="0" fontId="3" fillId="0" borderId="0" xfId="0" applyFont="1" applyBorder="1" applyAlignment="1" applyProtection="1">
      <alignment horizontal="left" vertical="center"/>
    </xf>
    <xf numFmtId="0" fontId="46" fillId="0" borderId="0" xfId="0" applyFont="1" applyAlignment="1" applyProtection="1">
      <alignment horizontal="left" vertical="center"/>
    </xf>
    <xf numFmtId="0" fontId="42" fillId="4" borderId="0" xfId="0" applyFont="1" applyFill="1" applyAlignment="1" applyProtection="1">
      <alignment horizontal="left" vertical="center"/>
    </xf>
    <xf numFmtId="49" fontId="42" fillId="0" borderId="4" xfId="0" applyNumberFormat="1" applyFont="1" applyBorder="1" applyAlignment="1" applyProtection="1">
      <alignment horizontal="center" vertical="center" wrapText="1"/>
      <protection locked="0"/>
    </xf>
    <xf numFmtId="0" fontId="5" fillId="4" borderId="0" xfId="0" applyFont="1" applyFill="1" applyAlignment="1" applyProtection="1">
      <alignment vertical="center"/>
    </xf>
    <xf numFmtId="43" fontId="42" fillId="0" borderId="0" xfId="0" applyNumberFormat="1" applyFont="1" applyBorder="1" applyAlignment="1" applyProtection="1">
      <alignment vertical="center"/>
    </xf>
    <xf numFmtId="165" fontId="42" fillId="0" borderId="0" xfId="0" applyNumberFormat="1" applyFont="1" applyBorder="1" applyAlignment="1" applyProtection="1">
      <alignment vertical="center"/>
    </xf>
    <xf numFmtId="0" fontId="47" fillId="5" borderId="4" xfId="0" applyFont="1" applyFill="1" applyBorder="1" applyAlignment="1" applyProtection="1">
      <alignment horizontal="center" vertical="center"/>
    </xf>
    <xf numFmtId="0" fontId="87" fillId="0" borderId="0" xfId="0" applyFont="1" applyAlignment="1" applyProtection="1">
      <alignment vertical="center"/>
    </xf>
    <xf numFmtId="0" fontId="75" fillId="4" borderId="0" xfId="0" applyFont="1" applyFill="1" applyAlignment="1" applyProtection="1">
      <alignment vertical="center"/>
    </xf>
    <xf numFmtId="0" fontId="42" fillId="0" borderId="0" xfId="0" quotePrefix="1" applyFont="1" applyAlignment="1" applyProtection="1">
      <alignment horizontal="left" vertical="center"/>
    </xf>
    <xf numFmtId="0" fontId="47" fillId="5" borderId="19" xfId="0" applyFont="1" applyFill="1" applyBorder="1" applyAlignment="1" applyProtection="1">
      <alignment horizontal="center" vertical="center" wrapText="1"/>
    </xf>
    <xf numFmtId="15" fontId="42" fillId="0" borderId="4" xfId="0" applyNumberFormat="1" applyFont="1" applyBorder="1" applyAlignment="1" applyProtection="1">
      <alignment horizontal="center" vertical="center" wrapText="1"/>
      <protection locked="0"/>
    </xf>
    <xf numFmtId="43" fontId="42" fillId="0" borderId="4" xfId="0" applyNumberFormat="1" applyFont="1" applyBorder="1" applyAlignment="1" applyProtection="1">
      <alignment horizontal="center" vertical="center"/>
      <protection locked="0"/>
    </xf>
    <xf numFmtId="41" fontId="49" fillId="0" borderId="4" xfId="0" applyNumberFormat="1" applyFont="1" applyBorder="1" applyAlignment="1" applyProtection="1">
      <alignment horizontal="center" vertical="center"/>
      <protection locked="0"/>
    </xf>
    <xf numFmtId="43" fontId="42" fillId="5" borderId="4" xfId="0" applyNumberFormat="1" applyFont="1" applyFill="1" applyBorder="1" applyAlignment="1" applyProtection="1">
      <alignment horizontal="center" vertical="center" wrapText="1"/>
    </xf>
    <xf numFmtId="9" fontId="42" fillId="5" borderId="4" xfId="9" applyFont="1" applyFill="1" applyBorder="1" applyAlignment="1" applyProtection="1">
      <alignment horizontal="center" vertical="center" wrapText="1"/>
    </xf>
    <xf numFmtId="0" fontId="47" fillId="0" borderId="0" xfId="0" applyFont="1" applyFill="1" applyBorder="1" applyAlignment="1" applyProtection="1">
      <alignment horizontal="center" vertical="center"/>
    </xf>
    <xf numFmtId="167" fontId="0" fillId="4" borderId="0" xfId="0" applyNumberFormat="1" applyFill="1" applyBorder="1" applyAlignment="1" applyProtection="1">
      <alignment horizontal="left" vertical="center" wrapText="1"/>
      <protection locked="0"/>
    </xf>
    <xf numFmtId="167" fontId="0" fillId="4" borderId="0" xfId="0" applyNumberFormat="1" applyFill="1" applyBorder="1" applyAlignment="1" applyProtection="1">
      <alignment horizontal="left" vertical="center" wrapText="1"/>
    </xf>
    <xf numFmtId="0" fontId="0" fillId="4" borderId="0" xfId="0" applyFill="1" applyBorder="1" applyAlignment="1">
      <alignment vertical="center" wrapText="1"/>
    </xf>
    <xf numFmtId="0" fontId="0" fillId="4" borderId="0" xfId="0" applyFill="1" applyAlignment="1">
      <alignment horizontal="left" vertical="center"/>
    </xf>
    <xf numFmtId="0" fontId="0" fillId="0" borderId="0" xfId="0" applyAlignment="1">
      <alignment vertical="center" wrapText="1"/>
    </xf>
    <xf numFmtId="0" fontId="0" fillId="4" borderId="0" xfId="0" applyFill="1" applyAlignment="1" applyProtection="1">
      <alignment horizontal="left" vertical="center"/>
      <protection locked="0"/>
    </xf>
    <xf numFmtId="0" fontId="0" fillId="4" borderId="0" xfId="0" applyFill="1" applyAlignment="1" applyProtection="1">
      <alignment vertical="center"/>
      <protection locked="0"/>
    </xf>
    <xf numFmtId="0" fontId="0" fillId="0" borderId="17" xfId="0" applyBorder="1" applyAlignment="1">
      <alignment vertical="center" wrapText="1"/>
    </xf>
    <xf numFmtId="0" fontId="0" fillId="0" borderId="17" xfId="0" applyBorder="1" applyAlignment="1">
      <alignment vertical="center"/>
    </xf>
    <xf numFmtId="0" fontId="0" fillId="0" borderId="0" xfId="0" applyBorder="1" applyAlignment="1">
      <alignment vertical="center" wrapText="1"/>
    </xf>
    <xf numFmtId="10" fontId="0" fillId="0" borderId="0" xfId="0" applyNumberFormat="1" applyFill="1" applyBorder="1" applyAlignment="1">
      <alignment horizontal="center" vertical="center"/>
    </xf>
    <xf numFmtId="0" fontId="0" fillId="0" borderId="0" xfId="0" applyBorder="1" applyAlignment="1" applyProtection="1">
      <alignment horizontal="left" vertical="center" wrapText="1"/>
      <protection locked="0"/>
    </xf>
    <xf numFmtId="0" fontId="0" fillId="0" borderId="6" xfId="0" applyNumberFormat="1" applyFont="1" applyBorder="1" applyAlignment="1" applyProtection="1">
      <alignment vertical="center" wrapText="1"/>
      <protection locked="0"/>
    </xf>
    <xf numFmtId="0" fontId="0" fillId="0" borderId="7" xfId="0" applyNumberFormat="1" applyFont="1" applyBorder="1" applyAlignment="1" applyProtection="1">
      <alignment vertical="center" wrapText="1"/>
      <protection locked="0"/>
    </xf>
    <xf numFmtId="0" fontId="0" fillId="0" borderId="11" xfId="0" applyNumberFormat="1" applyFont="1" applyBorder="1" applyAlignment="1" applyProtection="1">
      <alignment vertical="center" wrapText="1"/>
      <protection locked="0"/>
    </xf>
    <xf numFmtId="0" fontId="0" fillId="0" borderId="1" xfId="0" applyNumberFormat="1" applyFont="1" applyBorder="1" applyAlignment="1" applyProtection="1">
      <alignment vertical="center" wrapText="1"/>
      <protection locked="0"/>
    </xf>
    <xf numFmtId="0" fontId="0" fillId="0" borderId="0" xfId="0" applyNumberFormat="1" applyFont="1" applyBorder="1" applyAlignment="1" applyProtection="1">
      <alignment vertical="center" wrapText="1"/>
      <protection locked="0"/>
    </xf>
    <xf numFmtId="0" fontId="0" fillId="0" borderId="2" xfId="0" applyNumberFormat="1" applyFont="1" applyBorder="1" applyAlignment="1" applyProtection="1">
      <alignment vertical="center" wrapText="1"/>
      <protection locked="0"/>
    </xf>
    <xf numFmtId="0" fontId="0" fillId="0" borderId="16" xfId="0" applyNumberFormat="1" applyFont="1" applyBorder="1" applyAlignment="1" applyProtection="1">
      <alignment vertical="center" wrapText="1"/>
      <protection locked="0"/>
    </xf>
    <xf numFmtId="0" fontId="0" fillId="0" borderId="3" xfId="0" applyNumberFormat="1" applyFont="1" applyBorder="1" applyAlignment="1" applyProtection="1">
      <alignment vertical="center" wrapText="1"/>
      <protection locked="0"/>
    </xf>
    <xf numFmtId="0" fontId="0" fillId="0" borderId="10" xfId="0" applyNumberFormat="1" applyFont="1" applyBorder="1" applyAlignment="1" applyProtection="1">
      <alignment vertical="center" wrapText="1"/>
      <protection locked="0"/>
    </xf>
    <xf numFmtId="0" fontId="0" fillId="9" borderId="0" xfId="0" applyFill="1" applyAlignment="1">
      <alignment vertical="center" wrapText="1"/>
    </xf>
    <xf numFmtId="43" fontId="0" fillId="9" borderId="0" xfId="0" applyNumberFormat="1" applyFill="1" applyAlignment="1">
      <alignment vertical="center"/>
    </xf>
    <xf numFmtId="0" fontId="0" fillId="9" borderId="4" xfId="0" applyFill="1" applyBorder="1" applyAlignment="1">
      <alignment vertical="center"/>
    </xf>
    <xf numFmtId="0" fontId="42" fillId="9" borderId="0" xfId="0" applyFont="1" applyFill="1" applyBorder="1" applyAlignment="1">
      <alignment horizontal="center" vertical="center" wrapText="1"/>
    </xf>
    <xf numFmtId="0" fontId="0" fillId="4" borderId="3" xfId="0" applyFill="1" applyBorder="1" applyAlignment="1" applyProtection="1">
      <alignment horizontal="center" wrapText="1"/>
      <protection locked="0"/>
    </xf>
    <xf numFmtId="0" fontId="43" fillId="4" borderId="0" xfId="0" applyFont="1" applyFill="1" applyBorder="1" applyAlignment="1">
      <alignment horizontal="left" vertical="center"/>
    </xf>
    <xf numFmtId="0" fontId="0" fillId="4" borderId="3" xfId="0" applyFill="1" applyBorder="1" applyAlignment="1" applyProtection="1">
      <alignment horizontal="center" vertical="center" wrapText="1"/>
      <protection locked="0"/>
    </xf>
    <xf numFmtId="0" fontId="0" fillId="4" borderId="0" xfId="0" applyFill="1" applyBorder="1" applyAlignment="1">
      <alignment horizontal="left" vertical="center" wrapText="1"/>
    </xf>
    <xf numFmtId="0" fontId="0" fillId="4" borderId="0" xfId="0" applyFill="1" applyAlignment="1">
      <alignment horizontal="left" vertical="center" wrapText="1"/>
    </xf>
    <xf numFmtId="0" fontId="0" fillId="0" borderId="0" xfId="0" applyBorder="1" applyAlignment="1" applyProtection="1">
      <alignment horizontal="left" vertical="center"/>
      <protection locked="0"/>
    </xf>
    <xf numFmtId="0" fontId="0" fillId="9" borderId="0" xfId="0" applyFill="1" applyAlignment="1">
      <alignment horizontal="center" vertical="center"/>
    </xf>
    <xf numFmtId="4" fontId="0" fillId="9" borderId="0" xfId="0" applyNumberFormat="1" applyFill="1" applyAlignment="1">
      <alignment vertical="center"/>
    </xf>
    <xf numFmtId="0" fontId="0" fillId="9" borderId="19" xfId="0" applyFill="1" applyBorder="1" applyAlignment="1">
      <alignment horizontal="left" vertical="center" wrapText="1"/>
    </xf>
    <xf numFmtId="43" fontId="42" fillId="0" borderId="12" xfId="1" applyFont="1" applyBorder="1" applyProtection="1">
      <protection locked="0"/>
    </xf>
    <xf numFmtId="43" fontId="42" fillId="0" borderId="14" xfId="1" applyFont="1" applyBorder="1" applyProtection="1">
      <protection locked="0"/>
    </xf>
    <xf numFmtId="43" fontId="47" fillId="5" borderId="12" xfId="1" applyFont="1" applyFill="1" applyBorder="1"/>
    <xf numFmtId="2" fontId="42" fillId="5" borderId="18" xfId="1" applyNumberFormat="1" applyFont="1" applyFill="1" applyBorder="1" applyAlignment="1" applyProtection="1">
      <alignment horizontal="center" vertical="center"/>
    </xf>
    <xf numFmtId="10" fontId="42" fillId="5" borderId="1" xfId="0" quotePrefix="1" applyNumberFormat="1" applyFont="1" applyFill="1" applyBorder="1" applyAlignment="1">
      <alignment horizontal="center" vertical="center" wrapText="1"/>
    </xf>
    <xf numFmtId="0" fontId="42" fillId="5" borderId="1" xfId="0" applyNumberFormat="1" applyFont="1" applyFill="1" applyBorder="1" applyAlignment="1" applyProtection="1">
      <alignment horizontal="center" vertical="center"/>
    </xf>
    <xf numFmtId="10" fontId="49" fillId="5" borderId="16" xfId="9" applyNumberFormat="1" applyFont="1" applyFill="1" applyBorder="1" applyAlignment="1">
      <alignment horizontal="center" vertical="center" wrapText="1"/>
    </xf>
    <xf numFmtId="0" fontId="42" fillId="4" borderId="1" xfId="0" applyFont="1" applyFill="1" applyBorder="1" applyAlignment="1">
      <alignment horizontal="left" vertical="center" wrapText="1" indent="1"/>
    </xf>
    <xf numFmtId="0" fontId="49" fillId="0" borderId="0" xfId="0" applyFont="1" applyAlignment="1">
      <alignment vertical="center"/>
    </xf>
    <xf numFmtId="0" fontId="42" fillId="0" borderId="4" xfId="0" applyFont="1" applyBorder="1" applyAlignment="1" applyProtection="1">
      <alignment horizontal="left" wrapText="1"/>
      <protection locked="0"/>
    </xf>
    <xf numFmtId="166" fontId="0" fillId="5" borderId="4" xfId="0" applyNumberFormat="1" applyFill="1" applyBorder="1" applyAlignment="1" applyProtection="1">
      <alignment horizontal="center" vertical="center"/>
    </xf>
    <xf numFmtId="166" fontId="0" fillId="0" borderId="0" xfId="0" applyNumberFormat="1"/>
    <xf numFmtId="10" fontId="42" fillId="4" borderId="4" xfId="0" applyNumberFormat="1" applyFont="1" applyFill="1" applyBorder="1" applyAlignment="1" applyProtection="1">
      <alignment horizontal="left" vertical="center" wrapText="1"/>
      <protection locked="0"/>
    </xf>
    <xf numFmtId="0" fontId="90" fillId="0" borderId="0" xfId="0" applyFont="1" applyAlignment="1" applyProtection="1">
      <alignment vertical="top" wrapText="1"/>
    </xf>
    <xf numFmtId="41" fontId="48" fillId="0" borderId="0" xfId="0" applyNumberFormat="1" applyFont="1" applyBorder="1" applyAlignment="1" applyProtection="1">
      <alignment horizontal="left" vertical="center"/>
    </xf>
    <xf numFmtId="0" fontId="42" fillId="0" borderId="18" xfId="0" applyFont="1" applyBorder="1" applyAlignment="1" applyProtection="1">
      <alignment vertical="center"/>
      <protection locked="0"/>
    </xf>
    <xf numFmtId="0" fontId="47" fillId="5" borderId="4" xfId="0" applyFont="1" applyFill="1" applyBorder="1" applyAlignment="1">
      <alignment horizontal="center" vertical="center" wrapText="1"/>
    </xf>
    <xf numFmtId="0" fontId="47" fillId="5" borderId="4" xfId="0" applyFont="1" applyFill="1" applyBorder="1" applyAlignment="1" applyProtection="1">
      <alignment horizontal="center" vertical="center" wrapText="1"/>
    </xf>
    <xf numFmtId="0" fontId="42" fillId="0" borderId="4" xfId="0" applyFont="1" applyBorder="1" applyAlignment="1" applyProtection="1">
      <alignment horizontal="left" vertical="center" wrapText="1"/>
      <protection locked="0"/>
    </xf>
    <xf numFmtId="0" fontId="42" fillId="0" borderId="4" xfId="0" applyFont="1" applyBorder="1" applyAlignment="1" applyProtection="1">
      <alignment horizontal="center" vertical="center" wrapText="1"/>
      <protection locked="0"/>
    </xf>
    <xf numFmtId="0" fontId="42" fillId="0" borderId="5" xfId="0" applyFont="1" applyBorder="1" applyAlignment="1" applyProtection="1">
      <alignment horizontal="center" vertical="center" wrapText="1"/>
      <protection locked="0"/>
    </xf>
    <xf numFmtId="0" fontId="42" fillId="0" borderId="0" xfId="0" applyFont="1" applyBorder="1" applyAlignment="1" applyProtection="1">
      <alignment horizontal="left" vertical="center" wrapText="1"/>
    </xf>
    <xf numFmtId="0" fontId="0" fillId="0" borderId="4" xfId="0" applyBorder="1" applyAlignment="1" applyProtection="1">
      <alignment horizontal="left" vertical="top" wrapText="1"/>
      <protection locked="0"/>
    </xf>
    <xf numFmtId="0" fontId="0" fillId="5" borderId="4" xfId="0" applyFill="1" applyBorder="1" applyAlignment="1">
      <alignment horizontal="center" vertical="center" wrapText="1"/>
    </xf>
    <xf numFmtId="0" fontId="42" fillId="4" borderId="1" xfId="0" applyFont="1" applyFill="1" applyBorder="1" applyAlignment="1" applyProtection="1">
      <alignment horizontal="left" vertical="top" wrapText="1"/>
      <protection locked="0"/>
    </xf>
    <xf numFmtId="0" fontId="42" fillId="9" borderId="0" xfId="0" applyFont="1" applyFill="1" applyBorder="1"/>
    <xf numFmtId="0" fontId="42" fillId="9" borderId="4" xfId="0" applyFont="1" applyFill="1" applyBorder="1" applyAlignment="1">
      <alignment horizontal="center" vertical="center" wrapText="1"/>
    </xf>
    <xf numFmtId="41" fontId="48" fillId="4" borderId="0" xfId="0" applyNumberFormat="1" applyFont="1" applyFill="1" applyAlignment="1" applyProtection="1">
      <alignment vertical="center"/>
    </xf>
    <xf numFmtId="0" fontId="48" fillId="4" borderId="0" xfId="0" applyNumberFormat="1" applyFont="1" applyFill="1" applyAlignment="1" applyProtection="1">
      <alignment vertical="center"/>
    </xf>
    <xf numFmtId="1" fontId="48" fillId="4" borderId="0" xfId="0" applyNumberFormat="1" applyFont="1" applyFill="1" applyAlignment="1" applyProtection="1">
      <alignment vertical="center"/>
    </xf>
    <xf numFmtId="0" fontId="0" fillId="5" borderId="4" xfId="0" applyFont="1" applyFill="1" applyBorder="1" applyAlignment="1">
      <alignment horizontal="center" vertical="center" wrapText="1"/>
    </xf>
    <xf numFmtId="0" fontId="42" fillId="0" borderId="0" xfId="0" applyFont="1" applyBorder="1" applyAlignment="1" applyProtection="1">
      <alignment vertical="center" wrapText="1"/>
      <protection locked="0"/>
    </xf>
    <xf numFmtId="0" fontId="47" fillId="0" borderId="0" xfId="0" applyFont="1" applyFill="1" applyBorder="1" applyAlignment="1" applyProtection="1">
      <alignment vertical="center"/>
    </xf>
    <xf numFmtId="0" fontId="42" fillId="0" borderId="19" xfId="0" applyFont="1" applyBorder="1" applyAlignment="1" applyProtection="1">
      <alignment vertical="center"/>
    </xf>
    <xf numFmtId="0" fontId="0" fillId="0" borderId="0" xfId="0"/>
    <xf numFmtId="0" fontId="0" fillId="4" borderId="0" xfId="0" applyFill="1"/>
    <xf numFmtId="0" fontId="0" fillId="0" borderId="0" xfId="0" applyBorder="1"/>
    <xf numFmtId="0" fontId="42" fillId="0" borderId="0" xfId="0" applyFont="1"/>
    <xf numFmtId="0" fontId="46" fillId="0" borderId="0" xfId="0" applyFont="1" applyAlignment="1">
      <alignment horizontal="right"/>
    </xf>
    <xf numFmtId="41" fontId="42" fillId="5" borderId="4" xfId="0" applyNumberFormat="1" applyFont="1" applyFill="1" applyBorder="1"/>
    <xf numFmtId="0" fontId="46" fillId="0" borderId="0" xfId="0" applyFont="1"/>
    <xf numFmtId="0" fontId="42" fillId="0" borderId="0" xfId="0" applyFont="1" applyBorder="1" applyAlignment="1"/>
    <xf numFmtId="0" fontId="42" fillId="0" borderId="0" xfId="0" applyFont="1" applyAlignment="1"/>
    <xf numFmtId="0" fontId="42" fillId="0" borderId="0" xfId="0" applyFont="1" applyBorder="1"/>
    <xf numFmtId="0" fontId="42" fillId="0" borderId="0" xfId="0" applyFont="1" applyFill="1" applyBorder="1" applyAlignment="1">
      <alignment horizontal="center"/>
    </xf>
    <xf numFmtId="0" fontId="42" fillId="4" borderId="4" xfId="0" applyFont="1" applyFill="1" applyBorder="1" applyAlignment="1">
      <alignment horizontal="center" vertical="top"/>
    </xf>
    <xf numFmtId="0" fontId="42" fillId="4" borderId="4" xfId="0" applyFont="1" applyFill="1" applyBorder="1" applyAlignment="1">
      <alignment vertical="top"/>
    </xf>
    <xf numFmtId="10" fontId="42" fillId="0" borderId="0" xfId="0" applyNumberFormat="1" applyFont="1"/>
    <xf numFmtId="0" fontId="42" fillId="0" borderId="7" xfId="0" applyFont="1" applyBorder="1"/>
    <xf numFmtId="0" fontId="42" fillId="0" borderId="14" xfId="0" applyFont="1" applyBorder="1" applyAlignment="1">
      <alignment horizontal="center"/>
    </xf>
    <xf numFmtId="0" fontId="42" fillId="0" borderId="12" xfId="0" applyFont="1" applyBorder="1" applyAlignment="1">
      <alignment horizontal="center"/>
    </xf>
    <xf numFmtId="41" fontId="42" fillId="0" borderId="12" xfId="0" applyNumberFormat="1" applyFont="1" applyBorder="1" applyProtection="1">
      <protection locked="0"/>
    </xf>
    <xf numFmtId="41" fontId="42" fillId="0" borderId="14" xfId="0" applyNumberFormat="1" applyFont="1" applyBorder="1" applyProtection="1">
      <protection locked="0"/>
    </xf>
    <xf numFmtId="0" fontId="42" fillId="0" borderId="0" xfId="0" applyFont="1" applyProtection="1"/>
    <xf numFmtId="43" fontId="42" fillId="0" borderId="20" xfId="0" applyNumberFormat="1" applyFont="1" applyBorder="1" applyProtection="1">
      <protection locked="0"/>
    </xf>
    <xf numFmtId="43" fontId="42" fillId="0" borderId="12" xfId="0" applyNumberFormat="1" applyFont="1" applyBorder="1" applyProtection="1">
      <protection locked="0"/>
    </xf>
    <xf numFmtId="43" fontId="42" fillId="0" borderId="23" xfId="0" applyNumberFormat="1" applyFont="1" applyBorder="1" applyProtection="1"/>
    <xf numFmtId="0" fontId="42" fillId="0" borderId="8" xfId="0" applyFont="1" applyBorder="1" applyAlignment="1">
      <alignment horizontal="center"/>
    </xf>
    <xf numFmtId="0" fontId="42" fillId="0" borderId="23" xfId="0" applyFont="1" applyBorder="1" applyAlignment="1">
      <alignment horizontal="center"/>
    </xf>
    <xf numFmtId="0" fontId="42" fillId="0" borderId="27" xfId="0" applyFont="1" applyBorder="1" applyAlignment="1">
      <alignment horizontal="center"/>
    </xf>
    <xf numFmtId="3" fontId="42" fillId="0" borderId="0" xfId="0" applyNumberFormat="1" applyFont="1" applyBorder="1" applyAlignment="1">
      <alignment horizontal="center"/>
    </xf>
    <xf numFmtId="10" fontId="42" fillId="0" borderId="0" xfId="0" applyNumberFormat="1" applyFont="1" applyBorder="1" applyAlignment="1">
      <alignment horizontal="center"/>
    </xf>
    <xf numFmtId="0" fontId="42" fillId="0" borderId="2" xfId="0" applyFont="1" applyBorder="1" applyAlignment="1"/>
    <xf numFmtId="0" fontId="0" fillId="0" borderId="2" xfId="0" applyBorder="1"/>
    <xf numFmtId="0" fontId="42" fillId="0" borderId="0" xfId="0" applyFont="1" applyAlignment="1" applyProtection="1">
      <alignment horizontal="left"/>
      <protection locked="0"/>
    </xf>
    <xf numFmtId="0" fontId="42" fillId="9" borderId="0" xfId="0" applyFont="1" applyFill="1"/>
    <xf numFmtId="0" fontId="0" fillId="9" borderId="0" xfId="0" applyFont="1" applyFill="1"/>
    <xf numFmtId="0" fontId="0" fillId="9" borderId="0" xfId="0" applyFill="1"/>
    <xf numFmtId="0" fontId="41" fillId="9" borderId="0" xfId="0" applyFont="1" applyFill="1" applyAlignment="1">
      <alignment horizontal="center"/>
    </xf>
    <xf numFmtId="0" fontId="39" fillId="9" borderId="0" xfId="0" applyFont="1" applyFill="1" applyBorder="1" applyAlignment="1">
      <alignment horizontal="left"/>
    </xf>
    <xf numFmtId="41" fontId="0" fillId="9" borderId="0" xfId="0" applyNumberFormat="1" applyFill="1"/>
    <xf numFmtId="0" fontId="47" fillId="9" borderId="0" xfId="0" applyFont="1" applyFill="1" applyBorder="1" applyAlignment="1">
      <alignment horizontal="left"/>
    </xf>
    <xf numFmtId="41" fontId="0" fillId="9" borderId="4" xfId="0" applyNumberFormat="1" applyFill="1" applyBorder="1"/>
    <xf numFmtId="0" fontId="46" fillId="9" borderId="0" xfId="0" applyFont="1" applyFill="1"/>
    <xf numFmtId="166" fontId="42" fillId="9" borderId="0" xfId="0" applyNumberFormat="1" applyFont="1" applyFill="1" applyBorder="1" applyAlignment="1">
      <alignment horizontal="center"/>
    </xf>
    <xf numFmtId="0" fontId="42" fillId="9" borderId="0" xfId="0" applyFont="1" applyFill="1" applyBorder="1" applyAlignment="1">
      <alignment horizontal="center"/>
    </xf>
    <xf numFmtId="0" fontId="42" fillId="9" borderId="0" xfId="0" applyFont="1" applyFill="1" applyBorder="1"/>
    <xf numFmtId="3" fontId="42" fillId="9" borderId="0" xfId="0" applyNumberFormat="1" applyFont="1" applyFill="1" applyBorder="1" applyAlignment="1">
      <alignment horizontal="center"/>
    </xf>
    <xf numFmtId="0" fontId="43" fillId="9" borderId="0" xfId="0" applyFont="1" applyFill="1" applyBorder="1" applyAlignment="1">
      <alignment horizontal="left"/>
    </xf>
    <xf numFmtId="0" fontId="0" fillId="9" borderId="0" xfId="0" applyFill="1" applyBorder="1" applyAlignment="1">
      <alignment horizontal="left" vertical="top" wrapText="1"/>
    </xf>
    <xf numFmtId="0" fontId="0" fillId="9" borderId="0" xfId="0" applyFill="1" applyAlignment="1">
      <alignment horizontal="left" vertical="top" wrapText="1"/>
    </xf>
    <xf numFmtId="0" fontId="0" fillId="9" borderId="0" xfId="0" applyFill="1" applyAlignment="1">
      <alignment vertical="center"/>
    </xf>
    <xf numFmtId="0" fontId="0" fillId="9" borderId="4" xfId="0" applyFill="1" applyBorder="1"/>
    <xf numFmtId="3" fontId="0" fillId="9" borderId="0" xfId="0" applyNumberFormat="1" applyFill="1"/>
    <xf numFmtId="0" fontId="0" fillId="0" borderId="0" xfId="0" applyProtection="1"/>
    <xf numFmtId="0" fontId="42" fillId="0" borderId="1" xfId="0" applyFont="1" applyFill="1" applyBorder="1" applyAlignment="1">
      <alignment horizontal="left" vertical="center" wrapText="1"/>
    </xf>
    <xf numFmtId="0" fontId="77" fillId="9" borderId="0" xfId="0" applyFont="1" applyFill="1"/>
    <xf numFmtId="0" fontId="59" fillId="9" borderId="0" xfId="0" applyFont="1" applyFill="1"/>
    <xf numFmtId="0" fontId="77" fillId="20" borderId="0" xfId="0" applyFont="1" applyFill="1" applyProtection="1">
      <protection locked="0"/>
    </xf>
    <xf numFmtId="0" fontId="42" fillId="4" borderId="23" xfId="0" applyFont="1" applyFill="1" applyBorder="1" applyAlignment="1">
      <alignment horizontal="center" vertical="top"/>
    </xf>
    <xf numFmtId="0" fontId="42" fillId="5" borderId="4" xfId="0" applyFont="1" applyFill="1" applyBorder="1" applyAlignment="1">
      <alignment vertical="center"/>
    </xf>
    <xf numFmtId="0" fontId="42" fillId="5" borderId="14" xfId="0" applyFont="1" applyFill="1" applyBorder="1" applyAlignment="1">
      <alignment horizontal="center"/>
    </xf>
    <xf numFmtId="0" fontId="42" fillId="5" borderId="12" xfId="0" applyFont="1" applyFill="1" applyBorder="1" applyAlignment="1">
      <alignment horizontal="center"/>
    </xf>
    <xf numFmtId="3" fontId="42" fillId="9" borderId="4" xfId="0" applyNumberFormat="1" applyFont="1" applyFill="1" applyBorder="1" applyAlignment="1">
      <alignment horizontal="center"/>
    </xf>
    <xf numFmtId="3" fontId="0" fillId="9" borderId="4" xfId="0" applyNumberFormat="1" applyFill="1" applyBorder="1"/>
    <xf numFmtId="0" fontId="42" fillId="0" borderId="14" xfId="0" applyFont="1" applyBorder="1" applyAlignment="1" applyProtection="1">
      <alignment horizontal="center"/>
    </xf>
    <xf numFmtId="0" fontId="42" fillId="0" borderId="12" xfId="0" applyFont="1" applyBorder="1" applyAlignment="1" applyProtection="1">
      <alignment horizontal="center"/>
    </xf>
    <xf numFmtId="0" fontId="42" fillId="0" borderId="15" xfId="0" applyFont="1" applyBorder="1" applyAlignment="1" applyProtection="1">
      <alignment horizontal="center"/>
    </xf>
    <xf numFmtId="0" fontId="42" fillId="0" borderId="7" xfId="0" applyFont="1" applyBorder="1" applyProtection="1"/>
    <xf numFmtId="0" fontId="42" fillId="0" borderId="0" xfId="0" applyFont="1" applyAlignment="1" applyProtection="1"/>
    <xf numFmtId="3" fontId="42" fillId="0" borderId="0" xfId="0" applyNumberFormat="1" applyFont="1" applyBorder="1" applyAlignment="1" applyProtection="1">
      <alignment horizontal="center"/>
    </xf>
    <xf numFmtId="0" fontId="42" fillId="0" borderId="0" xfId="0" applyFont="1" applyBorder="1" applyAlignment="1" applyProtection="1"/>
    <xf numFmtId="0" fontId="0" fillId="0" borderId="0" xfId="0" applyBorder="1" applyProtection="1"/>
    <xf numFmtId="0" fontId="46" fillId="0" borderId="0" xfId="0" applyFont="1" applyProtection="1"/>
    <xf numFmtId="0" fontId="42" fillId="5" borderId="4" xfId="0" applyFont="1" applyFill="1" applyBorder="1" applyAlignment="1" applyProtection="1">
      <alignment horizontal="center"/>
    </xf>
    <xf numFmtId="0" fontId="42" fillId="0" borderId="43" xfId="0" applyFont="1" applyBorder="1" applyAlignment="1" applyProtection="1">
      <alignment horizontal="center"/>
    </xf>
    <xf numFmtId="0" fontId="42" fillId="0" borderId="44" xfId="0" applyFont="1" applyBorder="1" applyAlignment="1" applyProtection="1">
      <alignment horizontal="center"/>
    </xf>
    <xf numFmtId="0" fontId="42" fillId="0" borderId="45" xfId="0" applyFont="1" applyBorder="1" applyAlignment="1" applyProtection="1">
      <alignment horizontal="center"/>
    </xf>
    <xf numFmtId="0" fontId="42" fillId="0" borderId="46" xfId="0" applyFont="1" applyBorder="1" applyAlignment="1" applyProtection="1">
      <alignment horizontal="center"/>
    </xf>
    <xf numFmtId="0" fontId="42" fillId="0" borderId="33" xfId="0" applyFont="1" applyBorder="1" applyAlignment="1" applyProtection="1">
      <alignment horizontal="center"/>
    </xf>
    <xf numFmtId="0" fontId="42" fillId="0" borderId="47" xfId="0" applyFont="1" applyBorder="1" applyAlignment="1" applyProtection="1">
      <alignment horizontal="center"/>
    </xf>
    <xf numFmtId="0" fontId="0" fillId="5" borderId="4" xfId="0" applyFill="1" applyBorder="1" applyAlignment="1" applyProtection="1">
      <alignment horizontal="center"/>
    </xf>
    <xf numFmtId="0" fontId="39" fillId="6" borderId="8" xfId="0" applyFont="1" applyFill="1" applyBorder="1" applyAlignment="1">
      <alignment wrapText="1"/>
    </xf>
    <xf numFmtId="0" fontId="42" fillId="6" borderId="8" xfId="0" applyFont="1" applyFill="1" applyBorder="1" applyProtection="1">
      <protection locked="0"/>
    </xf>
    <xf numFmtId="41" fontId="42" fillId="4" borderId="8" xfId="0" applyNumberFormat="1" applyFont="1" applyFill="1" applyBorder="1"/>
    <xf numFmtId="0" fontId="39" fillId="6" borderId="27" xfId="0" applyFont="1" applyFill="1" applyBorder="1" applyAlignment="1">
      <alignment wrapText="1"/>
    </xf>
    <xf numFmtId="0" fontId="42" fillId="6" borderId="27" xfId="0" applyFont="1" applyFill="1" applyBorder="1" applyProtection="1">
      <protection locked="0"/>
    </xf>
    <xf numFmtId="0" fontId="42" fillId="5" borderId="18" xfId="0" applyFont="1" applyFill="1" applyBorder="1" applyAlignment="1">
      <alignment horizontal="left" vertical="center"/>
    </xf>
    <xf numFmtId="9" fontId="42" fillId="5" borderId="4" xfId="9" applyFont="1" applyFill="1" applyBorder="1" applyAlignment="1" applyProtection="1">
      <alignment horizontal="center" vertical="center"/>
    </xf>
    <xf numFmtId="9" fontId="35" fillId="0" borderId="4" xfId="9" applyFont="1" applyBorder="1" applyAlignment="1" applyProtection="1">
      <alignment horizontal="right" vertical="center"/>
      <protection hidden="1"/>
    </xf>
    <xf numFmtId="0" fontId="42" fillId="5" borderId="16" xfId="0" applyFont="1" applyFill="1" applyBorder="1" applyAlignment="1">
      <alignment horizontal="left" vertical="center"/>
    </xf>
    <xf numFmtId="0" fontId="42" fillId="5" borderId="27" xfId="0" applyFont="1" applyFill="1" applyBorder="1" applyAlignment="1">
      <alignment horizontal="center" vertical="center"/>
    </xf>
    <xf numFmtId="0" fontId="42" fillId="5" borderId="4" xfId="0" applyFont="1" applyFill="1" applyBorder="1" applyAlignment="1">
      <alignment horizontal="center" vertical="center"/>
    </xf>
    <xf numFmtId="41" fontId="42" fillId="18" borderId="4" xfId="0" applyNumberFormat="1" applyFont="1" applyFill="1" applyBorder="1" applyProtection="1">
      <protection locked="0"/>
    </xf>
    <xf numFmtId="0" fontId="42" fillId="0" borderId="4" xfId="0" applyFont="1" applyFill="1" applyBorder="1" applyAlignment="1" applyProtection="1">
      <alignment horizontal="left" vertical="center" wrapText="1"/>
      <protection locked="0"/>
    </xf>
    <xf numFmtId="43" fontId="42" fillId="0" borderId="4" xfId="0" applyNumberFormat="1" applyFont="1" applyFill="1" applyBorder="1" applyAlignment="1" applyProtection="1">
      <alignment horizontal="left" vertical="center" wrapText="1"/>
      <protection locked="0"/>
    </xf>
    <xf numFmtId="0" fontId="42" fillId="0" borderId="18" xfId="0" applyFont="1" applyFill="1" applyBorder="1" applyAlignment="1" applyProtection="1">
      <alignment vertical="center"/>
      <protection locked="0"/>
    </xf>
    <xf numFmtId="0" fontId="42" fillId="0" borderId="19" xfId="0" applyFont="1" applyFill="1" applyBorder="1" applyAlignment="1" applyProtection="1">
      <alignment vertical="center"/>
      <protection hidden="1"/>
    </xf>
    <xf numFmtId="0" fontId="42" fillId="0" borderId="4" xfId="0" applyFont="1" applyFill="1" applyBorder="1" applyAlignment="1" applyProtection="1">
      <alignment horizontal="center" vertical="center" wrapText="1"/>
      <protection locked="0"/>
    </xf>
    <xf numFmtId="0" fontId="42" fillId="0" borderId="22" xfId="1" applyNumberFormat="1" applyFont="1" applyFill="1" applyBorder="1" applyAlignment="1" applyProtection="1">
      <alignment horizontal="center" vertical="center"/>
      <protection locked="0"/>
    </xf>
    <xf numFmtId="0" fontId="42" fillId="0" borderId="5" xfId="1" applyNumberFormat="1" applyFont="1" applyFill="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2" fillId="0" borderId="4" xfId="0" applyFont="1" applyFill="1" applyBorder="1" applyAlignment="1" applyProtection="1">
      <alignment horizontal="center" vertical="center"/>
      <protection locked="0"/>
    </xf>
    <xf numFmtId="0" fontId="42" fillId="5" borderId="4" xfId="0" applyFont="1" applyFill="1" applyBorder="1" applyAlignment="1">
      <alignment horizontal="center"/>
    </xf>
    <xf numFmtId="0" fontId="42" fillId="0" borderId="0" xfId="0" applyFont="1" applyAlignment="1" applyProtection="1">
      <alignment horizontal="left"/>
    </xf>
    <xf numFmtId="0" fontId="42" fillId="0" borderId="4" xfId="0" applyFont="1" applyBorder="1" applyAlignment="1" applyProtection="1">
      <alignment horizontal="left"/>
    </xf>
    <xf numFmtId="0" fontId="42" fillId="0" borderId="4" xfId="0" applyFont="1" applyBorder="1" applyAlignment="1" applyProtection="1">
      <alignment horizontal="center" vertical="top" wrapText="1"/>
      <protection locked="0"/>
    </xf>
    <xf numFmtId="0" fontId="42" fillId="0" borderId="11" xfId="0" applyFont="1" applyBorder="1" applyAlignment="1"/>
    <xf numFmtId="0" fontId="46" fillId="0" borderId="0" xfId="0" applyFont="1" applyBorder="1"/>
    <xf numFmtId="0" fontId="42" fillId="0" borderId="3" xfId="0" applyFont="1" applyBorder="1"/>
    <xf numFmtId="0" fontId="46" fillId="0" borderId="3" xfId="0" applyFont="1" applyBorder="1"/>
    <xf numFmtId="10" fontId="49" fillId="5" borderId="6" xfId="9" applyNumberFormat="1" applyFont="1" applyFill="1" applyBorder="1" applyAlignment="1">
      <alignment horizontal="center" vertical="center"/>
    </xf>
    <xf numFmtId="4" fontId="0" fillId="0" borderId="0" xfId="0" applyNumberFormat="1"/>
    <xf numFmtId="10" fontId="0" fillId="0" borderId="0" xfId="0" applyNumberFormat="1"/>
    <xf numFmtId="39" fontId="0" fillId="0" borderId="0" xfId="0" applyNumberFormat="1"/>
    <xf numFmtId="41" fontId="42" fillId="9" borderId="18" xfId="0" applyNumberFormat="1" applyFont="1" applyFill="1" applyBorder="1" applyAlignment="1">
      <alignment vertical="center"/>
    </xf>
    <xf numFmtId="41" fontId="49" fillId="0" borderId="6" xfId="0" applyNumberFormat="1" applyFont="1" applyBorder="1" applyAlignment="1" applyProtection="1">
      <alignment horizontal="center" vertical="center"/>
      <protection locked="0"/>
    </xf>
    <xf numFmtId="41" fontId="49" fillId="0" borderId="1" xfId="0" applyNumberFormat="1" applyFont="1" applyBorder="1" applyAlignment="1" applyProtection="1">
      <alignment horizontal="center" vertical="center"/>
      <protection locked="0"/>
    </xf>
    <xf numFmtId="41" fontId="49" fillId="0" borderId="16" xfId="0" applyNumberFormat="1" applyFont="1" applyBorder="1" applyAlignment="1" applyProtection="1">
      <alignment horizontal="center" vertical="center"/>
      <protection locked="0"/>
    </xf>
    <xf numFmtId="43" fontId="42" fillId="0" borderId="8" xfId="0" applyNumberFormat="1" applyFont="1" applyBorder="1" applyAlignment="1" applyProtection="1">
      <alignment horizontal="center" vertical="center"/>
      <protection locked="0"/>
    </xf>
    <xf numFmtId="43" fontId="42" fillId="0" borderId="23" xfId="0" applyNumberFormat="1" applyFont="1" applyBorder="1" applyAlignment="1" applyProtection="1">
      <alignment horizontal="center" vertical="center"/>
      <protection locked="0"/>
    </xf>
    <xf numFmtId="0" fontId="42" fillId="9" borderId="11" xfId="0" applyFont="1" applyFill="1" applyBorder="1" applyAlignment="1">
      <alignment vertical="center"/>
    </xf>
    <xf numFmtId="43" fontId="42" fillId="0" borderId="5" xfId="1" applyFont="1" applyBorder="1" applyAlignment="1" applyProtection="1">
      <alignment horizontal="center" vertical="center" wrapText="1"/>
      <protection locked="0" hidden="1"/>
    </xf>
    <xf numFmtId="10" fontId="42" fillId="0" borderId="13" xfId="0" applyNumberFormat="1" applyFont="1" applyBorder="1" applyProtection="1"/>
    <xf numFmtId="43" fontId="42" fillId="0" borderId="13" xfId="1" applyFont="1" applyBorder="1" applyProtection="1">
      <protection locked="0"/>
    </xf>
    <xf numFmtId="0" fontId="47" fillId="5" borderId="20" xfId="0" applyFont="1" applyFill="1" applyBorder="1" applyAlignment="1">
      <alignment horizontal="left" wrapText="1"/>
    </xf>
    <xf numFmtId="41" fontId="47" fillId="5" borderId="20" xfId="0" applyNumberFormat="1" applyFont="1" applyFill="1" applyBorder="1"/>
    <xf numFmtId="43" fontId="47" fillId="5" borderId="20" xfId="0" applyNumberFormat="1" applyFont="1" applyFill="1" applyBorder="1"/>
    <xf numFmtId="10" fontId="47" fillId="5" borderId="20" xfId="0" applyNumberFormat="1" applyFont="1" applyFill="1" applyBorder="1" applyProtection="1"/>
    <xf numFmtId="10" fontId="42" fillId="0" borderId="20" xfId="0" applyNumberFormat="1" applyFont="1" applyBorder="1" applyProtection="1"/>
    <xf numFmtId="0" fontId="42" fillId="0" borderId="48" xfId="0" applyFont="1" applyBorder="1" applyAlignment="1">
      <alignment wrapText="1"/>
    </xf>
    <xf numFmtId="0" fontId="0" fillId="9" borderId="5" xfId="0" applyFill="1" applyBorder="1"/>
    <xf numFmtId="10" fontId="42" fillId="0" borderId="49" xfId="0" applyNumberFormat="1" applyFont="1" applyBorder="1" applyProtection="1"/>
    <xf numFmtId="0" fontId="0" fillId="9" borderId="50" xfId="0" applyFill="1" applyBorder="1"/>
    <xf numFmtId="41" fontId="49" fillId="9" borderId="18" xfId="0" applyNumberFormat="1" applyFont="1" applyFill="1" applyBorder="1"/>
    <xf numFmtId="43" fontId="35" fillId="9" borderId="0" xfId="1" applyFont="1" applyFill="1"/>
    <xf numFmtId="175" fontId="42" fillId="0" borderId="4" xfId="0" applyNumberFormat="1" applyFont="1" applyBorder="1" applyAlignment="1" applyProtection="1">
      <alignment horizontal="center" vertical="center" wrapText="1"/>
      <protection locked="0"/>
    </xf>
    <xf numFmtId="0" fontId="49" fillId="9" borderId="8" xfId="0" applyFont="1" applyFill="1" applyBorder="1"/>
    <xf numFmtId="0" fontId="49" fillId="9" borderId="51" xfId="0" applyFont="1" applyFill="1" applyBorder="1"/>
    <xf numFmtId="0" fontId="49" fillId="9" borderId="35" xfId="0" applyFont="1" applyFill="1" applyBorder="1"/>
    <xf numFmtId="0" fontId="49" fillId="9" borderId="37" xfId="0" applyFont="1" applyFill="1" applyBorder="1"/>
    <xf numFmtId="0" fontId="49" fillId="9" borderId="41" xfId="0" applyFont="1" applyFill="1" applyBorder="1"/>
    <xf numFmtId="0" fontId="49" fillId="9" borderId="42" xfId="0" applyFont="1" applyFill="1" applyBorder="1"/>
    <xf numFmtId="0" fontId="42" fillId="0" borderId="4" xfId="0" applyFont="1" applyBorder="1" applyAlignment="1" applyProtection="1">
      <alignment horizontal="center" vertical="center" wrapText="1"/>
      <protection locked="0"/>
    </xf>
    <xf numFmtId="0" fontId="42" fillId="0" borderId="4" xfId="0" applyFont="1" applyBorder="1" applyAlignment="1" applyProtection="1">
      <alignment horizontal="left" vertical="center" wrapText="1"/>
      <protection locked="0"/>
    </xf>
    <xf numFmtId="0" fontId="42" fillId="0" borderId="4" xfId="0" applyFont="1" applyBorder="1" applyAlignment="1" applyProtection="1">
      <alignment horizontal="center" vertical="top" wrapText="1"/>
      <protection locked="0"/>
    </xf>
    <xf numFmtId="0" fontId="42" fillId="0" borderId="22" xfId="0" applyFont="1" applyBorder="1" applyAlignment="1" applyProtection="1">
      <alignment horizontal="center" vertical="center" wrapText="1"/>
      <protection locked="0"/>
    </xf>
    <xf numFmtId="0" fontId="42" fillId="0" borderId="5" xfId="0" applyFont="1" applyBorder="1" applyAlignment="1" applyProtection="1">
      <alignment horizontal="center" vertical="center" wrapText="1"/>
      <protection locked="0"/>
    </xf>
    <xf numFmtId="0" fontId="42" fillId="0" borderId="22" xfId="0" applyFont="1" applyBorder="1" applyAlignment="1" applyProtection="1">
      <alignment horizontal="center" vertical="center"/>
      <protection locked="0"/>
    </xf>
    <xf numFmtId="0" fontId="42" fillId="0" borderId="4" xfId="0" quotePrefix="1" applyFont="1" applyBorder="1" applyAlignment="1" applyProtection="1">
      <alignment horizontal="left" vertical="center" wrapText="1"/>
      <protection locked="0"/>
    </xf>
    <xf numFmtId="0" fontId="42" fillId="0" borderId="4" xfId="0" quotePrefix="1" applyFont="1" applyBorder="1" applyAlignment="1" applyProtection="1">
      <alignment horizontal="right" vertical="top" wrapText="1"/>
      <protection locked="0"/>
    </xf>
    <xf numFmtId="0" fontId="42" fillId="0" borderId="4" xfId="0" quotePrefix="1" applyFont="1" applyBorder="1" applyAlignment="1" applyProtection="1">
      <alignment horizontal="right" wrapText="1"/>
      <protection locked="0"/>
    </xf>
    <xf numFmtId="41" fontId="42" fillId="0" borderId="4" xfId="0" applyNumberFormat="1" applyFont="1" applyBorder="1" applyAlignment="1" applyProtection="1">
      <alignment horizontal="center" vertical="top" wrapText="1"/>
      <protection locked="0"/>
    </xf>
    <xf numFmtId="41" fontId="42" fillId="0" borderId="4" xfId="0" applyNumberFormat="1" applyFont="1" applyBorder="1" applyAlignment="1" applyProtection="1">
      <alignment horizontal="center" wrapText="1"/>
      <protection locked="0"/>
    </xf>
    <xf numFmtId="0" fontId="42" fillId="0" borderId="4" xfId="0" applyFont="1" applyBorder="1" applyAlignment="1" applyProtection="1">
      <alignment horizontal="center" wrapText="1"/>
      <protection locked="0"/>
    </xf>
    <xf numFmtId="0" fontId="42" fillId="0" borderId="4" xfId="0" applyFont="1" applyBorder="1" applyAlignment="1" applyProtection="1">
      <alignment horizontal="left" vertical="center" wrapText="1"/>
      <protection locked="0"/>
    </xf>
    <xf numFmtId="0" fontId="42" fillId="0" borderId="4" xfId="0" applyFont="1" applyBorder="1" applyAlignment="1" applyProtection="1">
      <alignment horizontal="left" vertical="center" wrapText="1"/>
      <protection locked="0"/>
    </xf>
    <xf numFmtId="0" fontId="42" fillId="0" borderId="4" xfId="0" applyFont="1" applyFill="1" applyBorder="1" applyAlignment="1" applyProtection="1">
      <alignment horizontal="center" vertical="center"/>
      <protection locked="0"/>
    </xf>
    <xf numFmtId="0" fontId="42" fillId="0" borderId="5" xfId="0" applyFont="1" applyBorder="1" applyAlignment="1" applyProtection="1">
      <alignment horizontal="center" vertical="center" wrapText="1"/>
      <protection locked="0"/>
    </xf>
    <xf numFmtId="0" fontId="42" fillId="0" borderId="4" xfId="0" applyFont="1" applyBorder="1" applyAlignment="1" applyProtection="1">
      <alignment horizontal="center" vertical="center" wrapText="1"/>
      <protection locked="0"/>
    </xf>
    <xf numFmtId="0" fontId="42" fillId="0" borderId="4" xfId="0" applyFont="1" applyBorder="1" applyAlignment="1" applyProtection="1">
      <alignment wrapText="1"/>
      <protection locked="0"/>
    </xf>
    <xf numFmtId="0" fontId="0" fillId="0" borderId="4" xfId="0" applyBorder="1" applyAlignment="1" applyProtection="1">
      <alignment horizontal="left" vertical="top" wrapText="1"/>
      <protection locked="0"/>
    </xf>
    <xf numFmtId="49" fontId="42" fillId="0" borderId="4" xfId="0" quotePrefix="1" applyNumberFormat="1" applyFont="1" applyBorder="1" applyAlignment="1" applyProtection="1">
      <alignment horizontal="center" vertical="center" wrapText="1"/>
      <protection locked="0"/>
    </xf>
    <xf numFmtId="0" fontId="0" fillId="0" borderId="4" xfId="0" quotePrefix="1" applyFill="1" applyBorder="1" applyAlignment="1">
      <alignment horizontal="center" vertical="center" wrapText="1"/>
    </xf>
    <xf numFmtId="168" fontId="0" fillId="0" borderId="4" xfId="0" applyNumberFormat="1" applyFill="1" applyBorder="1" applyAlignment="1">
      <alignment horizontal="center" vertical="center"/>
    </xf>
    <xf numFmtId="0" fontId="0" fillId="0" borderId="4" xfId="0" applyFill="1" applyBorder="1" applyAlignment="1" applyProtection="1">
      <alignment vertical="center" wrapText="1"/>
      <protection locked="0"/>
    </xf>
    <xf numFmtId="0" fontId="0" fillId="0" borderId="4" xfId="0" quotePrefix="1" applyBorder="1" applyAlignment="1">
      <alignment horizontal="center" vertical="center"/>
    </xf>
    <xf numFmtId="0" fontId="42" fillId="0" borderId="4" xfId="0" applyFont="1" applyBorder="1" applyAlignment="1" applyProtection="1">
      <alignment horizontal="center" vertical="center" wrapText="1"/>
      <protection locked="0"/>
    </xf>
    <xf numFmtId="0" fontId="42" fillId="0" borderId="4" xfId="0" applyFont="1" applyBorder="1" applyAlignment="1" applyProtection="1">
      <alignment horizontal="center" vertical="center"/>
      <protection locked="0"/>
    </xf>
    <xf numFmtId="167" fontId="42" fillId="0" borderId="4" xfId="0" applyNumberFormat="1" applyFont="1" applyBorder="1" applyAlignment="1" applyProtection="1">
      <alignment horizontal="center" vertical="center" wrapText="1"/>
      <protection locked="0"/>
    </xf>
    <xf numFmtId="10" fontId="42" fillId="0" borderId="4" xfId="0" applyNumberFormat="1" applyFont="1" applyBorder="1" applyAlignment="1" applyProtection="1">
      <alignment horizontal="center" vertical="center" wrapText="1"/>
      <protection locked="0"/>
    </xf>
    <xf numFmtId="0" fontId="42" fillId="0" borderId="4" xfId="0" applyFont="1" applyBorder="1" applyAlignment="1" applyProtection="1">
      <alignment horizontal="center" vertical="center" wrapText="1"/>
      <protection locked="0"/>
    </xf>
    <xf numFmtId="0" fontId="42" fillId="0" borderId="4" xfId="0" applyFont="1" applyFill="1" applyBorder="1" applyAlignment="1" applyProtection="1">
      <alignment horizontal="center" vertical="center"/>
      <protection locked="0"/>
    </xf>
    <xf numFmtId="0" fontId="42" fillId="0" borderId="4" xfId="0" applyFont="1" applyFill="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2" fillId="0" borderId="4" xfId="0" applyFont="1" applyBorder="1" applyAlignment="1" applyProtection="1">
      <alignment horizontal="center" vertical="center" wrapText="1"/>
      <protection locked="0"/>
    </xf>
    <xf numFmtId="0" fontId="42" fillId="0" borderId="4" xfId="0" applyFont="1" applyBorder="1" applyAlignment="1" applyProtection="1">
      <alignment horizontal="left" vertical="top" wrapText="1"/>
      <protection locked="0"/>
    </xf>
    <xf numFmtId="0" fontId="42" fillId="0" borderId="4" xfId="0" applyFont="1" applyBorder="1" applyAlignment="1" applyProtection="1">
      <alignment horizontal="center" vertical="top" wrapText="1"/>
      <protection locked="0"/>
    </xf>
    <xf numFmtId="0" fontId="42" fillId="0" borderId="4" xfId="0" applyFont="1" applyFill="1" applyBorder="1" applyAlignment="1" applyProtection="1">
      <alignment horizontal="left" vertical="top" wrapText="1"/>
      <protection locked="0"/>
    </xf>
    <xf numFmtId="165" fontId="42" fillId="0" borderId="4" xfId="0" applyNumberFormat="1" applyFont="1" applyBorder="1" applyAlignment="1" applyProtection="1">
      <alignment horizontal="left" vertical="top" wrapText="1"/>
      <protection locked="0"/>
    </xf>
    <xf numFmtId="165" fontId="42" fillId="0" borderId="4" xfId="0" applyNumberFormat="1" applyFont="1" applyBorder="1" applyAlignment="1" applyProtection="1">
      <alignment horizontal="center" vertical="top" wrapText="1"/>
      <protection locked="0"/>
    </xf>
    <xf numFmtId="43" fontId="42" fillId="0" borderId="4" xfId="0" applyNumberFormat="1" applyFont="1" applyBorder="1" applyAlignment="1" applyProtection="1">
      <alignment horizontal="center" vertical="top" wrapText="1"/>
      <protection locked="0"/>
    </xf>
    <xf numFmtId="0" fontId="42" fillId="0" borderId="4" xfId="0" applyFont="1" applyFill="1" applyBorder="1" applyAlignment="1" applyProtection="1">
      <alignment horizontal="center" vertical="top" wrapText="1"/>
      <protection locked="0"/>
    </xf>
    <xf numFmtId="43" fontId="42" fillId="0" borderId="4" xfId="0" applyNumberFormat="1" applyFont="1" applyBorder="1" applyAlignment="1" applyProtection="1">
      <alignment horizontal="left" vertical="top" wrapText="1"/>
      <protection locked="0"/>
    </xf>
    <xf numFmtId="0" fontId="0" fillId="0" borderId="4" xfId="0" quotePrefix="1" applyFill="1" applyBorder="1" applyAlignment="1" applyProtection="1">
      <alignment horizontal="center" vertical="center" wrapText="1"/>
      <protection locked="0"/>
    </xf>
    <xf numFmtId="0" fontId="0" fillId="0" borderId="4" xfId="0" applyFill="1" applyBorder="1" applyAlignment="1" applyProtection="1">
      <alignment horizontal="left" vertical="center" wrapText="1"/>
      <protection locked="0"/>
    </xf>
    <xf numFmtId="0" fontId="1" fillId="3" borderId="4" xfId="7" applyFill="1" applyBorder="1" applyAlignment="1" applyProtection="1">
      <alignment horizontal="center" vertical="center" wrapText="1"/>
      <protection locked="0"/>
    </xf>
    <xf numFmtId="0" fontId="0" fillId="0" borderId="4" xfId="0" quotePrefix="1" applyBorder="1" applyAlignment="1">
      <alignment horizontal="center" vertical="center" wrapText="1"/>
    </xf>
    <xf numFmtId="49" fontId="1" fillId="3" borderId="4" xfId="7" quotePrefix="1" applyNumberFormat="1" applyFill="1" applyBorder="1" applyAlignment="1" applyProtection="1">
      <alignment horizontal="center" vertical="center" wrapText="1"/>
      <protection locked="0"/>
    </xf>
    <xf numFmtId="168" fontId="0" fillId="0" borderId="4" xfId="0" quotePrefix="1" applyNumberFormat="1" applyFill="1" applyBorder="1" applyAlignment="1">
      <alignment horizontal="center" vertical="center"/>
    </xf>
    <xf numFmtId="9" fontId="42" fillId="0" borderId="4" xfId="0" applyNumberFormat="1" applyFont="1" applyBorder="1" applyAlignment="1" applyProtection="1">
      <alignment horizontal="center" vertical="center" wrapText="1"/>
      <protection locked="0"/>
    </xf>
    <xf numFmtId="0" fontId="42" fillId="0" borderId="4" xfId="0" quotePrefix="1" applyFont="1" applyBorder="1" applyAlignment="1" applyProtection="1">
      <alignment horizontal="right" vertical="center" wrapText="1"/>
      <protection locked="0"/>
    </xf>
    <xf numFmtId="0" fontId="42" fillId="0" borderId="4" xfId="0" applyFont="1" applyBorder="1" applyAlignment="1" applyProtection="1">
      <alignment horizontal="center" vertical="center" wrapText="1"/>
      <protection locked="0"/>
    </xf>
    <xf numFmtId="43" fontId="42" fillId="0" borderId="4" xfId="0" applyNumberFormat="1" applyFont="1" applyFill="1" applyBorder="1" applyAlignment="1" applyProtection="1">
      <alignment horizontal="center" vertical="center"/>
      <protection locked="0"/>
    </xf>
    <xf numFmtId="0" fontId="42" fillId="0" borderId="4" xfId="0" quotePrefix="1" applyFont="1" applyFill="1" applyBorder="1" applyAlignment="1" applyProtection="1">
      <alignment horizontal="left" vertical="center" wrapText="1"/>
      <protection locked="0"/>
    </xf>
    <xf numFmtId="0" fontId="0" fillId="4" borderId="4" xfId="0" applyFill="1" applyBorder="1" applyAlignment="1" applyProtection="1">
      <alignment horizontal="center" vertical="top" wrapText="1"/>
      <protection locked="0"/>
    </xf>
    <xf numFmtId="0" fontId="42" fillId="0" borderId="4" xfId="0" quotePrefix="1" applyFont="1" applyBorder="1" applyAlignment="1" applyProtection="1">
      <alignment horizontal="right" vertical="center" wrapText="1"/>
      <protection locked="0"/>
    </xf>
    <xf numFmtId="0" fontId="42" fillId="0" borderId="4" xfId="0" applyFont="1" applyBorder="1" applyAlignment="1" applyProtection="1">
      <alignment horizontal="center" vertical="center" wrapText="1"/>
      <protection locked="0"/>
    </xf>
    <xf numFmtId="0" fontId="42" fillId="4" borderId="18" xfId="0" applyFont="1" applyFill="1" applyBorder="1" applyAlignment="1" applyProtection="1">
      <alignment vertical="top" wrapText="1"/>
      <protection locked="0"/>
    </xf>
    <xf numFmtId="0" fontId="42" fillId="4" borderId="18" xfId="0" applyFont="1" applyFill="1" applyBorder="1" applyAlignment="1" applyProtection="1">
      <alignment vertical="center"/>
      <protection locked="0"/>
    </xf>
    <xf numFmtId="0" fontId="42" fillId="0" borderId="4" xfId="0" applyFont="1" applyBorder="1" applyAlignment="1" applyProtection="1">
      <alignment horizontal="left" vertical="top" wrapText="1"/>
      <protection locked="0"/>
    </xf>
    <xf numFmtId="0" fontId="42" fillId="0" borderId="4" xfId="0" applyFont="1" applyBorder="1" applyAlignment="1" applyProtection="1">
      <alignment horizontal="center" vertical="top" wrapText="1"/>
      <protection locked="0"/>
    </xf>
    <xf numFmtId="0" fontId="47" fillId="0" borderId="0" xfId="0" applyFont="1" applyAlignment="1">
      <alignment horizontal="left"/>
    </xf>
    <xf numFmtId="167" fontId="42" fillId="0" borderId="4" xfId="0" applyNumberFormat="1" applyFont="1" applyFill="1" applyBorder="1" applyAlignment="1" applyProtection="1">
      <alignment horizontal="center" vertical="top"/>
      <protection locked="0"/>
    </xf>
    <xf numFmtId="175" fontId="42" fillId="0" borderId="4" xfId="0" applyNumberFormat="1" applyFont="1" applyBorder="1" applyAlignment="1" applyProtection="1">
      <alignment horizontal="center" vertical="top" wrapText="1"/>
      <protection locked="0"/>
    </xf>
    <xf numFmtId="169" fontId="35" fillId="0" borderId="4" xfId="1" applyNumberFormat="1" applyFont="1" applyBorder="1" applyAlignment="1" applyProtection="1">
      <alignment horizontal="left" vertical="top"/>
      <protection hidden="1"/>
    </xf>
    <xf numFmtId="0" fontId="73" fillId="0" borderId="0" xfId="0" quotePrefix="1" applyFont="1" applyAlignment="1" applyProtection="1">
      <alignment horizontal="left" vertical="top"/>
    </xf>
    <xf numFmtId="0" fontId="73" fillId="0" borderId="0" xfId="0" quotePrefix="1" applyFont="1" applyAlignment="1" applyProtection="1">
      <alignment vertical="top"/>
    </xf>
    <xf numFmtId="0" fontId="73" fillId="0" borderId="0" xfId="0" applyFont="1" applyAlignment="1" applyProtection="1">
      <alignment horizontal="justify" vertical="top"/>
    </xf>
    <xf numFmtId="0" fontId="73" fillId="0" borderId="0" xfId="0" quotePrefix="1" applyFont="1" applyAlignment="1" applyProtection="1">
      <alignment horizontal="justify" vertical="top"/>
    </xf>
    <xf numFmtId="0" fontId="42" fillId="0" borderId="4" xfId="0" applyFont="1" applyBorder="1" applyAlignment="1" applyProtection="1">
      <alignment vertical="top"/>
      <protection locked="0"/>
    </xf>
    <xf numFmtId="0" fontId="42" fillId="0" borderId="4" xfId="0" applyFont="1" applyBorder="1" applyAlignment="1" applyProtection="1">
      <alignment horizontal="center" vertical="top"/>
      <protection locked="0"/>
    </xf>
    <xf numFmtId="0" fontId="47" fillId="0" borderId="18" xfId="0" applyFont="1" applyBorder="1" applyProtection="1">
      <protection locked="0"/>
    </xf>
    <xf numFmtId="0" fontId="47" fillId="0" borderId="19" xfId="0" applyFont="1" applyBorder="1" applyProtection="1">
      <protection locked="0"/>
    </xf>
    <xf numFmtId="168" fontId="47" fillId="0" borderId="19" xfId="0" applyNumberFormat="1" applyFont="1" applyBorder="1" applyProtection="1">
      <protection locked="0"/>
    </xf>
    <xf numFmtId="0" fontId="58" fillId="0" borderId="0" xfId="0" applyFont="1" applyAlignment="1">
      <alignment horizontal="left" vertical="top" wrapText="1"/>
    </xf>
    <xf numFmtId="0" fontId="32" fillId="0" borderId="0" xfId="0" applyFont="1" applyFill="1" applyAlignment="1">
      <alignment horizontal="center" vertical="center" wrapText="1"/>
    </xf>
    <xf numFmtId="0" fontId="94" fillId="0" borderId="0" xfId="0" applyFont="1" applyFill="1" applyAlignment="1">
      <alignment horizontal="center" vertical="center" wrapText="1"/>
    </xf>
    <xf numFmtId="0" fontId="42" fillId="0" borderId="4" xfId="0" applyFont="1" applyBorder="1" applyAlignment="1" applyProtection="1">
      <alignment horizontal="center" vertical="center"/>
      <protection locked="0"/>
    </xf>
    <xf numFmtId="0" fontId="43" fillId="6" borderId="18" xfId="0" applyFont="1" applyFill="1" applyBorder="1" applyAlignment="1" applyProtection="1">
      <alignment horizontal="left" vertical="center"/>
    </xf>
    <xf numFmtId="0" fontId="43" fillId="6" borderId="26" xfId="0" applyFont="1" applyFill="1" applyBorder="1" applyAlignment="1" applyProtection="1">
      <alignment horizontal="left" vertical="center"/>
    </xf>
    <xf numFmtId="0" fontId="43" fillId="6" borderId="19" xfId="0" applyFont="1" applyFill="1" applyBorder="1" applyAlignment="1" applyProtection="1">
      <alignment horizontal="left" vertical="center"/>
    </xf>
    <xf numFmtId="0" fontId="42" fillId="0" borderId="4" xfId="0" applyFont="1" applyBorder="1" applyAlignment="1" applyProtection="1">
      <alignment horizontal="left" vertical="center"/>
      <protection locked="0"/>
    </xf>
    <xf numFmtId="0" fontId="42" fillId="0" borderId="43" xfId="0" applyFont="1" applyBorder="1" applyAlignment="1" applyProtection="1">
      <alignment horizontal="left" vertical="top" wrapText="1"/>
      <protection locked="0"/>
    </xf>
    <xf numFmtId="0" fontId="42" fillId="0" borderId="58" xfId="0" applyFont="1" applyBorder="1" applyAlignment="1" applyProtection="1">
      <alignment horizontal="left" vertical="top" wrapText="1"/>
      <protection locked="0"/>
    </xf>
    <xf numFmtId="0" fontId="42" fillId="0" borderId="45" xfId="0" applyFont="1" applyBorder="1" applyAlignment="1" applyProtection="1">
      <alignment horizontal="left" vertical="top" wrapText="1"/>
      <protection locked="0"/>
    </xf>
    <xf numFmtId="0" fontId="42" fillId="0" borderId="5" xfId="0" applyFont="1" applyBorder="1" applyAlignment="1" applyProtection="1">
      <alignment horizontal="left" vertical="top" wrapText="1"/>
      <protection locked="0"/>
    </xf>
    <xf numFmtId="0" fontId="42" fillId="0" borderId="45" xfId="0" applyFont="1" applyBorder="1" applyAlignment="1" applyProtection="1">
      <alignment horizontal="left" vertical="center" wrapText="1"/>
      <protection locked="0"/>
    </xf>
    <xf numFmtId="0" fontId="42" fillId="0" borderId="5" xfId="0" applyFont="1" applyBorder="1" applyAlignment="1" applyProtection="1">
      <alignment horizontal="left" vertical="center" wrapText="1"/>
      <protection locked="0"/>
    </xf>
    <xf numFmtId="0" fontId="42" fillId="0" borderId="33" xfId="0" applyFont="1" applyBorder="1" applyAlignment="1" applyProtection="1">
      <alignment horizontal="left" vertical="center" wrapText="1"/>
    </xf>
    <xf numFmtId="0" fontId="42" fillId="0" borderId="60" xfId="0" applyFont="1" applyBorder="1" applyAlignment="1" applyProtection="1">
      <alignment horizontal="left" vertical="center" wrapText="1"/>
    </xf>
    <xf numFmtId="0" fontId="42" fillId="0" borderId="47" xfId="0" applyFont="1" applyBorder="1" applyAlignment="1" applyProtection="1">
      <alignment horizontal="left" vertical="center" wrapText="1"/>
    </xf>
    <xf numFmtId="0" fontId="43" fillId="6" borderId="4" xfId="0" applyFont="1" applyFill="1" applyBorder="1" applyAlignment="1" applyProtection="1">
      <alignment horizontal="left" vertical="center"/>
    </xf>
    <xf numFmtId="0" fontId="42" fillId="0" borderId="4" xfId="0" applyFont="1" applyBorder="1" applyAlignment="1" applyProtection="1">
      <alignment horizontal="left" vertical="center" wrapText="1"/>
    </xf>
    <xf numFmtId="0" fontId="42" fillId="0" borderId="18" xfId="0" applyFont="1" applyBorder="1" applyAlignment="1" applyProtection="1">
      <alignment horizontal="left" vertical="center"/>
      <protection locked="0"/>
    </xf>
    <xf numFmtId="0" fontId="42" fillId="0" borderId="26" xfId="0" applyFont="1" applyBorder="1" applyAlignment="1" applyProtection="1">
      <alignment horizontal="left" vertical="center"/>
      <protection locked="0"/>
    </xf>
    <xf numFmtId="0" fontId="42" fillId="0" borderId="19" xfId="0" applyFont="1" applyBorder="1" applyAlignment="1" applyProtection="1">
      <alignment horizontal="left" vertical="center"/>
      <protection locked="0"/>
    </xf>
    <xf numFmtId="0" fontId="42" fillId="0" borderId="0" xfId="0" applyFont="1" applyAlignment="1" applyProtection="1">
      <alignment horizontal="left" vertical="center" wrapText="1"/>
    </xf>
    <xf numFmtId="0" fontId="47" fillId="0" borderId="4" xfId="0" applyFont="1" applyBorder="1" applyAlignment="1" applyProtection="1">
      <alignment horizontal="center" vertical="center"/>
    </xf>
    <xf numFmtId="0" fontId="47" fillId="5" borderId="4" xfId="0" applyFont="1" applyFill="1" applyBorder="1" applyAlignment="1" applyProtection="1">
      <alignment horizontal="center" vertical="center" wrapText="1"/>
    </xf>
    <xf numFmtId="0" fontId="42" fillId="0" borderId="4" xfId="0" applyFont="1" applyBorder="1" applyAlignment="1" applyProtection="1">
      <alignment horizontal="center" vertical="center" wrapText="1"/>
      <protection locked="0"/>
    </xf>
    <xf numFmtId="0" fontId="42" fillId="0" borderId="18" xfId="0" applyFont="1" applyBorder="1" applyAlignment="1" applyProtection="1">
      <alignment horizontal="left" vertical="center" wrapText="1"/>
      <protection locked="0"/>
    </xf>
    <xf numFmtId="0" fontId="42" fillId="0" borderId="26" xfId="0" applyFont="1" applyBorder="1" applyAlignment="1" applyProtection="1">
      <alignment horizontal="left" vertical="center" wrapText="1"/>
      <protection locked="0"/>
    </xf>
    <xf numFmtId="0" fontId="42" fillId="0" borderId="19" xfId="0" applyFont="1" applyBorder="1" applyAlignment="1" applyProtection="1">
      <alignment horizontal="left" vertical="center" wrapText="1"/>
      <protection locked="0"/>
    </xf>
    <xf numFmtId="0" fontId="93" fillId="0" borderId="18" xfId="0" applyFont="1" applyBorder="1" applyAlignment="1" applyProtection="1">
      <alignment horizontal="left" vertical="top" wrapText="1"/>
      <protection locked="0"/>
    </xf>
    <xf numFmtId="0" fontId="42" fillId="0" borderId="26" xfId="0" applyFont="1" applyBorder="1" applyAlignment="1" applyProtection="1">
      <alignment horizontal="left" vertical="top"/>
      <protection locked="0"/>
    </xf>
    <xf numFmtId="0" fontId="42" fillId="0" borderId="19" xfId="0" applyFont="1" applyBorder="1" applyAlignment="1" applyProtection="1">
      <alignment horizontal="left" vertical="top"/>
      <protection locked="0"/>
    </xf>
    <xf numFmtId="0" fontId="42" fillId="0" borderId="22" xfId="0" applyFont="1" applyBorder="1" applyAlignment="1" applyProtection="1">
      <alignment vertical="center"/>
      <protection locked="0"/>
    </xf>
    <xf numFmtId="0" fontId="47" fillId="5" borderId="6" xfId="0" applyFont="1" applyFill="1" applyBorder="1" applyAlignment="1" applyProtection="1">
      <alignment horizontal="center" vertical="center" wrapText="1"/>
    </xf>
    <xf numFmtId="0" fontId="47" fillId="5" borderId="7" xfId="0" applyFont="1" applyFill="1" applyBorder="1" applyAlignment="1" applyProtection="1">
      <alignment horizontal="center" vertical="center" wrapText="1"/>
    </xf>
    <xf numFmtId="0" fontId="47" fillId="5" borderId="16" xfId="0" applyFont="1" applyFill="1" applyBorder="1" applyAlignment="1" applyProtection="1">
      <alignment horizontal="center" vertical="center" wrapText="1"/>
    </xf>
    <xf numFmtId="0" fontId="47" fillId="5" borderId="3" xfId="0" applyFont="1" applyFill="1" applyBorder="1" applyAlignment="1" applyProtection="1">
      <alignment horizontal="center" vertical="center" wrapText="1"/>
    </xf>
    <xf numFmtId="0" fontId="93" fillId="0" borderId="18" xfId="0" applyFont="1" applyBorder="1" applyAlignment="1" applyProtection="1">
      <alignment horizontal="left" vertical="center" wrapText="1"/>
      <protection locked="0"/>
    </xf>
    <xf numFmtId="0" fontId="93" fillId="0" borderId="26" xfId="0" applyFont="1" applyBorder="1" applyAlignment="1" applyProtection="1">
      <alignment horizontal="left" vertical="center" wrapText="1"/>
      <protection locked="0"/>
    </xf>
    <xf numFmtId="0" fontId="42" fillId="0" borderId="5" xfId="0" applyFont="1" applyBorder="1" applyAlignment="1" applyProtection="1">
      <alignment horizontal="left" vertical="center"/>
      <protection locked="0"/>
    </xf>
    <xf numFmtId="0" fontId="42" fillId="0" borderId="22" xfId="0" applyFont="1" applyBorder="1" applyAlignment="1" applyProtection="1">
      <alignment horizontal="left" vertical="center"/>
      <protection locked="0"/>
    </xf>
    <xf numFmtId="0" fontId="42" fillId="0" borderId="32" xfId="0" applyFont="1" applyBorder="1" applyAlignment="1" applyProtection="1">
      <alignment horizontal="left" vertical="center"/>
      <protection locked="0"/>
    </xf>
    <xf numFmtId="0" fontId="42" fillId="0" borderId="59" xfId="0" applyFont="1" applyBorder="1" applyAlignment="1" applyProtection="1">
      <alignment horizontal="left" vertical="center"/>
      <protection locked="0"/>
    </xf>
    <xf numFmtId="0" fontId="42" fillId="0" borderId="0" xfId="0" applyFont="1" applyBorder="1" applyAlignment="1" applyProtection="1">
      <alignment horizontal="left" vertical="center" wrapText="1"/>
    </xf>
    <xf numFmtId="0" fontId="42" fillId="0" borderId="45" xfId="0" applyFont="1" applyBorder="1" applyAlignment="1" applyProtection="1">
      <alignment horizontal="left" vertical="center"/>
      <protection locked="0"/>
    </xf>
    <xf numFmtId="0" fontId="42" fillId="0" borderId="46" xfId="0" applyFont="1" applyBorder="1" applyAlignment="1" applyProtection="1">
      <alignment horizontal="left" vertical="center"/>
      <protection locked="0"/>
    </xf>
    <xf numFmtId="0" fontId="42" fillId="0" borderId="22" xfId="0" applyFont="1" applyBorder="1" applyAlignment="1" applyProtection="1">
      <alignment horizontal="left" vertical="top" wrapText="1"/>
      <protection locked="0"/>
    </xf>
    <xf numFmtId="10" fontId="42" fillId="0" borderId="45" xfId="0" applyNumberFormat="1" applyFont="1" applyBorder="1" applyAlignment="1" applyProtection="1">
      <alignment horizontal="left" vertical="center"/>
      <protection locked="0"/>
    </xf>
    <xf numFmtId="10" fontId="42" fillId="0" borderId="46" xfId="0" applyNumberFormat="1" applyFont="1" applyBorder="1" applyAlignment="1" applyProtection="1">
      <alignment horizontal="left" vertical="center"/>
      <protection locked="0"/>
    </xf>
    <xf numFmtId="10" fontId="42" fillId="0" borderId="43" xfId="0" applyNumberFormat="1" applyFont="1" applyBorder="1" applyAlignment="1" applyProtection="1">
      <alignment horizontal="right" vertical="center"/>
      <protection locked="0"/>
    </xf>
    <xf numFmtId="10" fontId="42" fillId="0" borderId="44" xfId="0" applyNumberFormat="1" applyFont="1" applyBorder="1" applyAlignment="1" applyProtection="1">
      <alignment horizontal="right" vertical="center"/>
      <protection locked="0"/>
    </xf>
    <xf numFmtId="0" fontId="42" fillId="0" borderId="0" xfId="0" applyFont="1" applyAlignment="1" applyProtection="1">
      <alignment horizontal="left" vertical="center"/>
    </xf>
    <xf numFmtId="0" fontId="47" fillId="0" borderId="26" xfId="0" applyFont="1" applyBorder="1" applyAlignment="1" applyProtection="1">
      <alignment horizontal="center" vertical="center" wrapText="1"/>
    </xf>
    <xf numFmtId="0" fontId="47" fillId="0" borderId="19" xfId="0" applyFont="1" applyBorder="1" applyAlignment="1" applyProtection="1">
      <alignment horizontal="center" vertical="center" wrapText="1"/>
    </xf>
    <xf numFmtId="0" fontId="47" fillId="0" borderId="18" xfId="0" applyFont="1" applyBorder="1" applyAlignment="1" applyProtection="1">
      <alignment horizontal="center" vertical="center"/>
    </xf>
    <xf numFmtId="0" fontId="47" fillId="0" borderId="19" xfId="0" applyFont="1" applyBorder="1" applyAlignment="1" applyProtection="1">
      <alignment horizontal="center" vertical="center"/>
    </xf>
    <xf numFmtId="0" fontId="42" fillId="9" borderId="0" xfId="0" applyFont="1" applyFill="1" applyAlignment="1">
      <alignment horizontal="center" vertical="center" wrapText="1"/>
    </xf>
    <xf numFmtId="0" fontId="47" fillId="5" borderId="8" xfId="0" applyFont="1" applyFill="1" applyBorder="1" applyAlignment="1">
      <alignment horizontal="center" vertical="center" wrapText="1"/>
    </xf>
    <xf numFmtId="0" fontId="47" fillId="5" borderId="27" xfId="0" applyFont="1" applyFill="1" applyBorder="1" applyAlignment="1">
      <alignment horizontal="center" vertical="center" wrapText="1"/>
    </xf>
    <xf numFmtId="0" fontId="42" fillId="0" borderId="22" xfId="0" applyFont="1" applyBorder="1" applyAlignment="1" applyProtection="1">
      <alignment horizontal="left" vertical="center" wrapText="1"/>
      <protection locked="0"/>
    </xf>
    <xf numFmtId="0" fontId="42" fillId="0" borderId="4" xfId="0" applyFont="1" applyBorder="1" applyAlignment="1" applyProtection="1">
      <alignment horizontal="left" vertical="top" wrapText="1"/>
      <protection locked="0"/>
    </xf>
    <xf numFmtId="0" fontId="47" fillId="5" borderId="18" xfId="0" applyFont="1" applyFill="1" applyBorder="1" applyAlignment="1" applyProtection="1">
      <alignment horizontal="center" vertical="center" wrapText="1"/>
    </xf>
    <xf numFmtId="0" fontId="47" fillId="5" borderId="26" xfId="0" applyFont="1" applyFill="1" applyBorder="1" applyAlignment="1" applyProtection="1">
      <alignment horizontal="center" vertical="center" wrapText="1"/>
    </xf>
    <xf numFmtId="0" fontId="47" fillId="5" borderId="19" xfId="0" applyFont="1" applyFill="1" applyBorder="1" applyAlignment="1" applyProtection="1">
      <alignment horizontal="center" vertical="center" wrapText="1"/>
    </xf>
    <xf numFmtId="0" fontId="47" fillId="5" borderId="8" xfId="0" applyFont="1" applyFill="1" applyBorder="1" applyAlignment="1" applyProtection="1">
      <alignment horizontal="center" vertical="center" wrapText="1"/>
    </xf>
    <xf numFmtId="0" fontId="47" fillId="5" borderId="27" xfId="0" applyFont="1" applyFill="1" applyBorder="1" applyAlignment="1" applyProtection="1">
      <alignment horizontal="center" vertical="center" wrapText="1"/>
    </xf>
    <xf numFmtId="0" fontId="47" fillId="5" borderId="4" xfId="0" applyFont="1" applyFill="1" applyBorder="1" applyAlignment="1" applyProtection="1">
      <alignment horizontal="center" vertical="center"/>
    </xf>
    <xf numFmtId="0" fontId="42" fillId="0" borderId="18" xfId="0" applyFont="1" applyBorder="1" applyAlignment="1" applyProtection="1">
      <alignment horizontal="center" vertical="center"/>
      <protection locked="0"/>
    </xf>
    <xf numFmtId="0" fontId="42" fillId="0" borderId="19" xfId="0" applyFont="1" applyBorder="1" applyAlignment="1" applyProtection="1">
      <alignment horizontal="center" vertical="center"/>
      <protection locked="0"/>
    </xf>
    <xf numFmtId="0" fontId="47" fillId="5" borderId="6" xfId="0" applyFont="1" applyFill="1" applyBorder="1" applyAlignment="1">
      <alignment horizontal="center" vertical="center" wrapText="1"/>
    </xf>
    <xf numFmtId="0" fontId="47" fillId="5" borderId="11" xfId="0" applyFont="1" applyFill="1" applyBorder="1" applyAlignment="1">
      <alignment horizontal="center" vertical="center" wrapText="1"/>
    </xf>
    <xf numFmtId="0" fontId="51" fillId="0" borderId="0" xfId="0" applyFont="1" applyAlignment="1" applyProtection="1">
      <alignment horizontal="left" vertical="center"/>
    </xf>
    <xf numFmtId="0" fontId="51" fillId="0" borderId="0" xfId="0" applyFont="1" applyFill="1" applyAlignment="1" applyProtection="1">
      <alignment horizontal="left" vertical="center"/>
    </xf>
    <xf numFmtId="0" fontId="51" fillId="0" borderId="22" xfId="0" applyFont="1" applyFill="1" applyBorder="1" applyAlignment="1" applyProtection="1">
      <alignment horizontal="left" vertical="center" wrapText="1"/>
      <protection locked="0"/>
    </xf>
    <xf numFmtId="0" fontId="51" fillId="0" borderId="22" xfId="0" applyFont="1" applyBorder="1" applyAlignment="1" applyProtection="1">
      <alignment horizontal="left" vertical="center" wrapText="1"/>
      <protection locked="0"/>
    </xf>
    <xf numFmtId="0" fontId="42" fillId="0" borderId="0" xfId="0" applyFont="1" applyBorder="1" applyAlignment="1" applyProtection="1">
      <alignment horizontal="center" vertical="center"/>
    </xf>
    <xf numFmtId="0" fontId="42" fillId="0" borderId="18" xfId="0" applyFont="1" applyBorder="1" applyAlignment="1" applyProtection="1">
      <alignment horizontal="left" vertical="top" wrapText="1"/>
      <protection locked="0"/>
    </xf>
    <xf numFmtId="0" fontId="47" fillId="5" borderId="11" xfId="0" applyFont="1" applyFill="1" applyBorder="1" applyAlignment="1" applyProtection="1">
      <alignment horizontal="center" vertical="center" wrapText="1"/>
    </xf>
    <xf numFmtId="0" fontId="47" fillId="5" borderId="10" xfId="0" applyFont="1" applyFill="1" applyBorder="1" applyAlignment="1" applyProtection="1">
      <alignment horizontal="center" vertical="center" wrapText="1"/>
    </xf>
    <xf numFmtId="0" fontId="47" fillId="5" borderId="18" xfId="0" applyFont="1" applyFill="1" applyBorder="1" applyAlignment="1" applyProtection="1">
      <alignment horizontal="center" vertical="center"/>
    </xf>
    <xf numFmtId="0" fontId="47" fillId="5" borderId="19" xfId="0" applyFont="1" applyFill="1" applyBorder="1" applyAlignment="1" applyProtection="1">
      <alignment horizontal="center" vertical="center"/>
    </xf>
    <xf numFmtId="0" fontId="42" fillId="0" borderId="4" xfId="0" applyFont="1" applyBorder="1" applyAlignment="1" applyProtection="1">
      <alignment horizontal="left" vertical="center" wrapText="1"/>
      <protection locked="0"/>
    </xf>
    <xf numFmtId="0" fontId="42" fillId="0" borderId="4" xfId="0" applyFont="1" applyBorder="1" applyAlignment="1" applyProtection="1">
      <alignment vertical="center" wrapText="1"/>
      <protection locked="0"/>
    </xf>
    <xf numFmtId="10" fontId="42" fillId="0" borderId="22" xfId="0" applyNumberFormat="1" applyFont="1" applyBorder="1" applyAlignment="1" applyProtection="1">
      <alignment horizontal="center" vertical="center"/>
      <protection locked="0"/>
    </xf>
    <xf numFmtId="0" fontId="42" fillId="0" borderId="4" xfId="0" applyFont="1" applyBorder="1" applyAlignment="1" applyProtection="1">
      <alignment horizontal="left" wrapText="1"/>
      <protection locked="0"/>
    </xf>
    <xf numFmtId="0" fontId="47" fillId="5" borderId="4" xfId="0" applyFont="1" applyFill="1" applyBorder="1" applyAlignment="1">
      <alignment horizontal="center" vertical="center" wrapText="1"/>
    </xf>
    <xf numFmtId="0" fontId="42" fillId="0" borderId="18" xfId="0" applyFont="1" applyBorder="1" applyAlignment="1" applyProtection="1">
      <alignment horizontal="center" vertical="center" wrapText="1"/>
      <protection locked="0"/>
    </xf>
    <xf numFmtId="0" fontId="42" fillId="0" borderId="19" xfId="0" applyFont="1" applyBorder="1" applyAlignment="1" applyProtection="1">
      <alignment horizontal="center" vertical="center" wrapText="1"/>
      <protection locked="0"/>
    </xf>
    <xf numFmtId="0" fontId="47" fillId="4" borderId="22" xfId="0" applyFont="1" applyFill="1" applyBorder="1" applyAlignment="1" applyProtection="1">
      <alignment horizontal="left" vertical="center" wrapText="1"/>
      <protection locked="0"/>
    </xf>
    <xf numFmtId="0" fontId="47" fillId="4" borderId="5" xfId="0" applyFont="1" applyFill="1" applyBorder="1" applyAlignment="1" applyProtection="1">
      <alignment horizontal="left" vertical="center" wrapText="1"/>
      <protection locked="0"/>
    </xf>
    <xf numFmtId="0" fontId="42" fillId="0" borderId="22" xfId="0" applyFont="1" applyFill="1" applyBorder="1" applyAlignment="1" applyProtection="1">
      <alignment horizontal="left" vertical="center" wrapText="1"/>
      <protection locked="0"/>
    </xf>
    <xf numFmtId="0" fontId="42" fillId="0" borderId="5" xfId="0" applyFont="1" applyFill="1" applyBorder="1" applyAlignment="1" applyProtection="1">
      <alignment horizontal="left" vertical="center" wrapText="1"/>
      <protection locked="0"/>
    </xf>
    <xf numFmtId="0" fontId="47" fillId="0" borderId="4" xfId="0" applyFont="1" applyBorder="1" applyAlignment="1">
      <alignment vertical="center"/>
    </xf>
    <xf numFmtId="0" fontId="42" fillId="0" borderId="18" xfId="0" applyFont="1" applyFill="1" applyBorder="1" applyAlignment="1" applyProtection="1">
      <alignment horizontal="center" wrapText="1"/>
      <protection locked="0"/>
    </xf>
    <xf numFmtId="0" fontId="42" fillId="0" borderId="19" xfId="0" applyFont="1" applyFill="1" applyBorder="1" applyAlignment="1" applyProtection="1">
      <alignment horizontal="center" wrapText="1"/>
      <protection locked="0"/>
    </xf>
    <xf numFmtId="0" fontId="42" fillId="0" borderId="18" xfId="0" applyFont="1" applyFill="1" applyBorder="1" applyAlignment="1" applyProtection="1">
      <alignment horizontal="center" vertical="top" wrapText="1"/>
      <protection locked="0"/>
    </xf>
    <xf numFmtId="0" fontId="42" fillId="0" borderId="19" xfId="0" applyFont="1" applyFill="1" applyBorder="1" applyAlignment="1" applyProtection="1">
      <alignment horizontal="center" vertical="top" wrapText="1"/>
      <protection locked="0"/>
    </xf>
    <xf numFmtId="0" fontId="47" fillId="5" borderId="4" xfId="0" applyFont="1" applyFill="1" applyBorder="1" applyAlignment="1">
      <alignment horizontal="center" vertical="center"/>
    </xf>
    <xf numFmtId="1" fontId="42" fillId="0" borderId="22" xfId="0" applyNumberFormat="1" applyFont="1" applyBorder="1" applyAlignment="1" applyProtection="1">
      <alignment horizontal="left" vertical="center"/>
      <protection locked="0"/>
    </xf>
    <xf numFmtId="0" fontId="42" fillId="0" borderId="22" xfId="0" quotePrefix="1" applyFont="1" applyBorder="1" applyAlignment="1" applyProtection="1">
      <alignment horizontal="left" vertical="center"/>
      <protection locked="0"/>
    </xf>
    <xf numFmtId="0" fontId="42" fillId="0" borderId="4" xfId="0" applyFont="1" applyFill="1" applyBorder="1" applyAlignment="1" applyProtection="1">
      <alignment horizontal="center" vertical="center"/>
      <protection locked="0"/>
    </xf>
    <xf numFmtId="167" fontId="42" fillId="0" borderId="22" xfId="0" applyNumberFormat="1" applyFont="1" applyBorder="1" applyAlignment="1" applyProtection="1">
      <alignment horizontal="left" vertical="center"/>
      <protection locked="0"/>
    </xf>
    <xf numFmtId="1" fontId="63" fillId="4" borderId="0" xfId="0" applyNumberFormat="1" applyFont="1" applyFill="1" applyBorder="1" applyAlignment="1" applyProtection="1">
      <alignment horizontal="left" vertical="center" wrapText="1"/>
    </xf>
    <xf numFmtId="0" fontId="42" fillId="0" borderId="18" xfId="0" quotePrefix="1" applyFont="1" applyBorder="1" applyAlignment="1" applyProtection="1">
      <alignment horizontal="center" vertical="center"/>
      <protection locked="0"/>
    </xf>
    <xf numFmtId="0" fontId="43" fillId="20" borderId="18" xfId="0" applyFont="1" applyFill="1" applyBorder="1" applyAlignment="1" applyProtection="1">
      <alignment horizontal="center" vertical="center"/>
      <protection locked="0"/>
    </xf>
    <xf numFmtId="0" fontId="43" fillId="20" borderId="26" xfId="0" applyFont="1" applyFill="1" applyBorder="1" applyAlignment="1" applyProtection="1">
      <alignment horizontal="center" vertical="center"/>
      <protection locked="0"/>
    </xf>
    <xf numFmtId="0" fontId="42" fillId="0" borderId="22" xfId="0" applyFont="1" applyFill="1" applyBorder="1" applyAlignment="1" applyProtection="1">
      <alignment horizontal="left" vertical="center"/>
      <protection locked="0"/>
    </xf>
    <xf numFmtId="0" fontId="42" fillId="0" borderId="5" xfId="0" quotePrefix="1" applyFont="1" applyFill="1" applyBorder="1" applyAlignment="1" applyProtection="1">
      <alignment horizontal="left" vertical="center" wrapText="1"/>
      <protection locked="0"/>
    </xf>
    <xf numFmtId="0" fontId="42" fillId="0" borderId="24" xfId="0" applyFont="1" applyBorder="1" applyAlignment="1" applyProtection="1">
      <alignment horizontal="left" vertical="center"/>
    </xf>
    <xf numFmtId="167" fontId="47" fillId="4" borderId="5" xfId="0" applyNumberFormat="1" applyFont="1" applyFill="1" applyBorder="1" applyAlignment="1" applyProtection="1">
      <alignment horizontal="left" vertical="center" wrapText="1"/>
      <protection locked="0"/>
    </xf>
    <xf numFmtId="49" fontId="47" fillId="0" borderId="5" xfId="0" quotePrefix="1" applyNumberFormat="1" applyFont="1" applyFill="1" applyBorder="1" applyAlignment="1" applyProtection="1">
      <alignment horizontal="left" vertical="center" wrapText="1"/>
      <protection locked="0"/>
    </xf>
    <xf numFmtId="49" fontId="47" fillId="0" borderId="5" xfId="0" applyNumberFormat="1" applyFont="1" applyFill="1" applyBorder="1" applyAlignment="1" applyProtection="1">
      <alignment horizontal="left" vertical="center" wrapText="1"/>
      <protection locked="0"/>
    </xf>
    <xf numFmtId="0" fontId="42" fillId="0" borderId="0" xfId="0" applyFont="1" applyBorder="1" applyAlignment="1" applyProtection="1">
      <alignment horizontal="left" vertical="center"/>
    </xf>
    <xf numFmtId="167" fontId="47" fillId="4" borderId="22" xfId="0" applyNumberFormat="1" applyFont="1" applyFill="1" applyBorder="1" applyAlignment="1" applyProtection="1">
      <alignment horizontal="left" vertical="center" wrapText="1"/>
      <protection locked="0"/>
    </xf>
    <xf numFmtId="0" fontId="42" fillId="0" borderId="5" xfId="0" quotePrefix="1" applyFont="1" applyBorder="1" applyAlignment="1" applyProtection="1">
      <alignment horizontal="left" vertical="top" wrapText="1"/>
      <protection locked="0"/>
    </xf>
    <xf numFmtId="0" fontId="42" fillId="0" borderId="22" xfId="0" applyFont="1" applyFill="1" applyBorder="1" applyAlignment="1" applyProtection="1">
      <alignment horizontal="center" vertical="center" wrapText="1"/>
      <protection locked="0"/>
    </xf>
    <xf numFmtId="167" fontId="42" fillId="0" borderId="22" xfId="0" applyNumberFormat="1" applyFont="1" applyFill="1" applyBorder="1" applyAlignment="1" applyProtection="1">
      <alignment horizontal="left" vertical="center"/>
      <protection locked="0"/>
    </xf>
    <xf numFmtId="167" fontId="42" fillId="0" borderId="5" xfId="0" applyNumberFormat="1" applyFont="1" applyFill="1" applyBorder="1" applyAlignment="1" applyProtection="1">
      <alignment horizontal="left" vertical="center"/>
      <protection locked="0"/>
    </xf>
    <xf numFmtId="0" fontId="42" fillId="0" borderId="24" xfId="0" applyFont="1" applyBorder="1" applyAlignment="1" applyProtection="1">
      <alignment horizontal="left" vertical="center" wrapText="1"/>
    </xf>
    <xf numFmtId="0" fontId="42" fillId="0" borderId="22" xfId="0" applyNumberFormat="1" applyFont="1" applyFill="1" applyBorder="1" applyAlignment="1" applyProtection="1">
      <alignment horizontal="left" vertical="center" wrapText="1"/>
      <protection locked="0"/>
    </xf>
    <xf numFmtId="0" fontId="47" fillId="0" borderId="5" xfId="0" applyFont="1" applyBorder="1" applyAlignment="1" applyProtection="1">
      <alignment horizontal="left" vertical="top" wrapText="1"/>
      <protection locked="0"/>
    </xf>
    <xf numFmtId="0" fontId="42" fillId="4" borderId="0" xfId="0" applyFont="1" applyFill="1" applyBorder="1" applyAlignment="1" applyProtection="1">
      <alignment horizontal="left" vertical="center" wrapText="1"/>
    </xf>
    <xf numFmtId="0" fontId="42" fillId="4" borderId="5" xfId="0" applyFont="1" applyFill="1" applyBorder="1" applyAlignment="1" applyProtection="1">
      <alignment horizontal="left" vertical="center" wrapText="1"/>
      <protection locked="0"/>
    </xf>
    <xf numFmtId="0" fontId="42" fillId="0" borderId="5" xfId="0" applyFont="1" applyBorder="1" applyAlignment="1" applyProtection="1">
      <alignment horizontal="center" vertical="center" wrapText="1"/>
      <protection locked="0"/>
    </xf>
    <xf numFmtId="0" fontId="47" fillId="5" borderId="18" xfId="0" applyFont="1" applyFill="1" applyBorder="1" applyAlignment="1">
      <alignment horizontal="center" vertical="center"/>
    </xf>
    <xf numFmtId="0" fontId="47" fillId="5" borderId="26" xfId="0" applyFont="1" applyFill="1" applyBorder="1" applyAlignment="1">
      <alignment horizontal="center" vertical="center"/>
    </xf>
    <xf numFmtId="0" fontId="47" fillId="5" borderId="19" xfId="0" applyFont="1" applyFill="1" applyBorder="1" applyAlignment="1">
      <alignment horizontal="center" vertical="center"/>
    </xf>
    <xf numFmtId="0" fontId="46" fillId="0" borderId="0" xfId="0" applyFont="1" applyAlignment="1" applyProtection="1">
      <alignment horizontal="center" vertical="center"/>
    </xf>
    <xf numFmtId="0" fontId="42" fillId="0" borderId="22" xfId="0" applyFont="1" applyBorder="1" applyAlignment="1" applyProtection="1">
      <alignment vertical="center" wrapText="1"/>
      <protection locked="0"/>
    </xf>
    <xf numFmtId="0" fontId="42" fillId="0" borderId="5" xfId="0" applyFont="1" applyBorder="1" applyAlignment="1" applyProtection="1">
      <alignment vertical="center" wrapText="1"/>
      <protection locked="0"/>
    </xf>
    <xf numFmtId="0" fontId="42" fillId="0" borderId="5" xfId="0" applyFont="1" applyBorder="1" applyAlignment="1" applyProtection="1">
      <alignment vertical="center"/>
      <protection locked="0"/>
    </xf>
    <xf numFmtId="0" fontId="47" fillId="5" borderId="18" xfId="0" applyFont="1" applyFill="1" applyBorder="1" applyAlignment="1">
      <alignment horizontal="center" vertical="center" wrapText="1"/>
    </xf>
    <xf numFmtId="0" fontId="47" fillId="5" borderId="19" xfId="0" applyFont="1" applyFill="1" applyBorder="1" applyAlignment="1">
      <alignment horizontal="center" vertical="center" wrapText="1"/>
    </xf>
    <xf numFmtId="1" fontId="42" fillId="0" borderId="22" xfId="1" applyNumberFormat="1" applyFont="1" applyBorder="1" applyAlignment="1" applyProtection="1">
      <alignment horizontal="center" vertical="center"/>
      <protection locked="0"/>
    </xf>
    <xf numFmtId="0" fontId="42" fillId="0" borderId="0" xfId="0" applyFont="1" applyFill="1" applyBorder="1" applyAlignment="1" applyProtection="1">
      <alignment horizontal="left" vertical="center"/>
    </xf>
    <xf numFmtId="0" fontId="42" fillId="0" borderId="33" xfId="0" applyFont="1" applyBorder="1" applyAlignment="1" applyProtection="1">
      <alignment horizontal="left" vertical="center"/>
      <protection locked="0"/>
    </xf>
    <xf numFmtId="0" fontId="42" fillId="0" borderId="47" xfId="0" applyFont="1" applyBorder="1" applyAlignment="1" applyProtection="1">
      <alignment horizontal="left" vertical="center"/>
      <protection locked="0"/>
    </xf>
    <xf numFmtId="0" fontId="42" fillId="0" borderId="22" xfId="0" applyFont="1" applyBorder="1" applyAlignment="1" applyProtection="1">
      <alignment horizontal="center" vertical="center"/>
    </xf>
    <xf numFmtId="0" fontId="42" fillId="0" borderId="22" xfId="0" applyFont="1" applyBorder="1" applyAlignment="1" applyProtection="1">
      <alignment horizontal="center" vertical="center"/>
      <protection locked="0"/>
    </xf>
    <xf numFmtId="0" fontId="42" fillId="0" borderId="4" xfId="0" quotePrefix="1" applyFont="1" applyBorder="1" applyAlignment="1" applyProtection="1">
      <alignment horizontal="right" vertical="center" wrapText="1"/>
      <protection locked="0"/>
    </xf>
    <xf numFmtId="0" fontId="42" fillId="0" borderId="4" xfId="0" applyFont="1" applyBorder="1" applyAlignment="1" applyProtection="1">
      <alignment horizontal="right" vertical="center" wrapText="1"/>
      <protection locked="0"/>
    </xf>
    <xf numFmtId="0" fontId="42" fillId="5" borderId="18" xfId="0" applyFont="1" applyFill="1" applyBorder="1" applyAlignment="1">
      <alignment horizontal="left" vertical="center"/>
    </xf>
    <xf numFmtId="0" fontId="42" fillId="5" borderId="26" xfId="0" applyFont="1" applyFill="1" applyBorder="1" applyAlignment="1">
      <alignment horizontal="left" vertical="center"/>
    </xf>
    <xf numFmtId="0" fontId="42" fillId="5" borderId="19" xfId="0" applyFont="1" applyFill="1" applyBorder="1" applyAlignment="1">
      <alignment horizontal="left" vertical="center"/>
    </xf>
    <xf numFmtId="0" fontId="0" fillId="0" borderId="22" xfId="0" applyBorder="1" applyAlignment="1" applyProtection="1">
      <alignment horizontal="left" vertical="center"/>
      <protection locked="0"/>
    </xf>
    <xf numFmtId="0" fontId="42" fillId="5" borderId="4" xfId="0" applyFont="1" applyFill="1" applyBorder="1" applyAlignment="1">
      <alignment horizontal="left" vertical="center"/>
    </xf>
    <xf numFmtId="0" fontId="92" fillId="4" borderId="9" xfId="0" applyFont="1" applyFill="1" applyBorder="1" applyAlignment="1" applyProtection="1">
      <alignment horizontal="center" vertical="center"/>
    </xf>
    <xf numFmtId="0" fontId="43" fillId="6" borderId="4" xfId="0" applyFont="1" applyFill="1" applyBorder="1" applyAlignment="1" applyProtection="1">
      <alignment horizontal="center" vertical="center"/>
    </xf>
    <xf numFmtId="0" fontId="42" fillId="0" borderId="0" xfId="0" applyFont="1" applyFill="1" applyAlignment="1" applyProtection="1">
      <alignment horizontal="left" vertical="center" wrapText="1"/>
    </xf>
    <xf numFmtId="0" fontId="42" fillId="0" borderId="0" xfId="0" applyFont="1" applyFill="1" applyBorder="1" applyAlignment="1" applyProtection="1">
      <alignment horizontal="left" vertical="center" wrapText="1"/>
    </xf>
    <xf numFmtId="0" fontId="42" fillId="0" borderId="5" xfId="0" applyFont="1" applyBorder="1" applyAlignment="1" applyProtection="1">
      <alignment horizontal="center" vertical="center"/>
      <protection locked="0"/>
    </xf>
    <xf numFmtId="10" fontId="42" fillId="0" borderId="33" xfId="0" applyNumberFormat="1" applyFont="1" applyBorder="1" applyAlignment="1" applyProtection="1">
      <alignment horizontal="left" vertical="center"/>
      <protection locked="0"/>
    </xf>
    <xf numFmtId="10" fontId="42" fillId="0" borderId="47" xfId="0" applyNumberFormat="1" applyFont="1" applyBorder="1" applyAlignment="1" applyProtection="1">
      <alignment horizontal="left" vertical="center"/>
      <protection locked="0"/>
    </xf>
    <xf numFmtId="1" fontId="42" fillId="0" borderId="22" xfId="0" applyNumberFormat="1" applyFont="1" applyBorder="1" applyAlignment="1" applyProtection="1">
      <alignment horizontal="left" vertical="center" wrapText="1"/>
      <protection locked="0"/>
    </xf>
    <xf numFmtId="0" fontId="42" fillId="0" borderId="22" xfId="0" applyFont="1" applyBorder="1" applyAlignment="1" applyProtection="1">
      <alignment horizontal="center" vertical="center" wrapText="1"/>
      <protection locked="0"/>
    </xf>
    <xf numFmtId="0" fontId="42" fillId="4" borderId="0" xfId="0" applyFont="1" applyFill="1" applyBorder="1" applyAlignment="1" applyProtection="1">
      <alignment horizontal="left" vertical="center"/>
    </xf>
    <xf numFmtId="0" fontId="43" fillId="6" borderId="4" xfId="0" applyFont="1" applyFill="1" applyBorder="1" applyAlignment="1" applyProtection="1">
      <alignment horizontal="left" vertical="center" wrapText="1"/>
    </xf>
    <xf numFmtId="0" fontId="43" fillId="6" borderId="4" xfId="0" applyFont="1" applyFill="1" applyBorder="1" applyAlignment="1">
      <alignment horizontal="left" vertical="center"/>
    </xf>
    <xf numFmtId="0" fontId="60" fillId="28" borderId="1" xfId="0" applyFont="1" applyFill="1" applyBorder="1" applyAlignment="1">
      <alignment horizontal="left" vertical="center" wrapText="1"/>
    </xf>
    <xf numFmtId="0" fontId="60" fillId="28" borderId="0" xfId="0" applyFont="1" applyFill="1" applyBorder="1" applyAlignment="1">
      <alignment horizontal="left" vertical="center" wrapText="1"/>
    </xf>
    <xf numFmtId="0" fontId="46" fillId="0" borderId="0" xfId="0" quotePrefix="1" applyFont="1" applyAlignment="1" applyProtection="1">
      <alignment horizontal="left" vertical="center"/>
    </xf>
    <xf numFmtId="0" fontId="47" fillId="5" borderId="16" xfId="0" applyFont="1" applyFill="1" applyBorder="1" applyAlignment="1">
      <alignment horizontal="center" vertical="center" wrapText="1"/>
    </xf>
    <xf numFmtId="0" fontId="47" fillId="0" borderId="0" xfId="0" applyFont="1" applyAlignment="1" applyProtection="1">
      <alignment horizontal="left" vertical="center"/>
    </xf>
    <xf numFmtId="0" fontId="42" fillId="0" borderId="18" xfId="0" applyFont="1" applyFill="1" applyBorder="1" applyAlignment="1" applyProtection="1">
      <alignment horizontal="center" vertical="center" wrapText="1"/>
      <protection locked="0"/>
    </xf>
    <xf numFmtId="0" fontId="42" fillId="0" borderId="19" xfId="0" applyFont="1" applyFill="1" applyBorder="1" applyAlignment="1" applyProtection="1">
      <alignment horizontal="center" vertical="center" wrapText="1"/>
      <protection locked="0"/>
    </xf>
    <xf numFmtId="0" fontId="51" fillId="0" borderId="5" xfId="0" applyFont="1" applyBorder="1" applyAlignment="1" applyProtection="1">
      <alignment horizontal="center" vertical="center" wrapText="1"/>
      <protection locked="0"/>
    </xf>
    <xf numFmtId="0" fontId="0" fillId="0" borderId="5" xfId="0" applyBorder="1" applyAlignment="1" applyProtection="1">
      <alignment vertical="center"/>
      <protection locked="0"/>
    </xf>
    <xf numFmtId="0" fontId="42" fillId="0" borderId="4" xfId="0" quotePrefix="1" applyFont="1" applyBorder="1" applyAlignment="1" applyProtection="1">
      <alignment horizontal="center" vertical="top" wrapText="1"/>
      <protection locked="0"/>
    </xf>
    <xf numFmtId="0" fontId="42" fillId="0" borderId="4" xfId="0" applyFont="1" applyBorder="1" applyAlignment="1" applyProtection="1">
      <alignment horizontal="center" vertical="top" wrapText="1"/>
      <protection locked="0"/>
    </xf>
    <xf numFmtId="0" fontId="46" fillId="0" borderId="0" xfId="0" applyFont="1" applyAlignment="1">
      <alignment horizontal="left" wrapText="1"/>
    </xf>
    <xf numFmtId="0" fontId="42" fillId="0" borderId="0" xfId="0" quotePrefix="1" applyFont="1" applyBorder="1" applyAlignment="1" applyProtection="1">
      <alignment horizontal="left" vertical="center"/>
    </xf>
    <xf numFmtId="0" fontId="51" fillId="0" borderId="0" xfId="0" applyFont="1" applyBorder="1" applyAlignment="1" applyProtection="1">
      <alignment horizontal="left" vertical="center"/>
    </xf>
    <xf numFmtId="0" fontId="51" fillId="0" borderId="5" xfId="0" applyFont="1" applyBorder="1" applyAlignment="1" applyProtection="1">
      <alignment horizontal="left" vertical="center" wrapText="1"/>
      <protection locked="0"/>
    </xf>
    <xf numFmtId="0" fontId="0" fillId="0" borderId="5" xfId="0" applyBorder="1" applyAlignment="1" applyProtection="1">
      <alignment horizontal="left" vertical="center"/>
      <protection locked="0"/>
    </xf>
    <xf numFmtId="0" fontId="51" fillId="0" borderId="0" xfId="0" applyFont="1" applyAlignment="1" applyProtection="1">
      <alignment horizontal="left" vertical="center" wrapText="1"/>
    </xf>
    <xf numFmtId="0" fontId="42" fillId="0" borderId="0" xfId="0" applyFont="1" applyFill="1" applyAlignment="1" applyProtection="1">
      <alignment horizontal="left" vertical="center"/>
    </xf>
    <xf numFmtId="0" fontId="91" fillId="0" borderId="52" xfId="0" applyFont="1" applyBorder="1" applyAlignment="1" applyProtection="1">
      <alignment horizontal="center" vertical="center" wrapText="1"/>
    </xf>
    <xf numFmtId="0" fontId="91" fillId="0" borderId="53" xfId="0" applyFont="1" applyBorder="1" applyAlignment="1" applyProtection="1">
      <alignment horizontal="center" vertical="center" wrapText="1"/>
    </xf>
    <xf numFmtId="0" fontId="91" fillId="0" borderId="54" xfId="0" applyFont="1" applyBorder="1" applyAlignment="1" applyProtection="1">
      <alignment horizontal="center" vertical="center" wrapText="1"/>
    </xf>
    <xf numFmtId="0" fontId="91" fillId="0" borderId="55" xfId="0" applyFont="1" applyBorder="1" applyAlignment="1" applyProtection="1">
      <alignment horizontal="center" vertical="center" wrapText="1"/>
    </xf>
    <xf numFmtId="0" fontId="91" fillId="0" borderId="56" xfId="0" applyFont="1" applyBorder="1" applyAlignment="1" applyProtection="1">
      <alignment horizontal="center" vertical="center" wrapText="1"/>
    </xf>
    <xf numFmtId="0" fontId="91" fillId="0" borderId="57" xfId="0" applyFont="1" applyBorder="1" applyAlignment="1" applyProtection="1">
      <alignment horizontal="center" vertical="center" wrapText="1"/>
    </xf>
    <xf numFmtId="0" fontId="0" fillId="4" borderId="0" xfId="0" applyFill="1" applyBorder="1" applyAlignment="1" applyProtection="1">
      <alignment horizontal="left"/>
      <protection locked="0"/>
    </xf>
    <xf numFmtId="0" fontId="0" fillId="4" borderId="7" xfId="0" applyFill="1" applyBorder="1" applyAlignment="1" applyProtection="1">
      <alignment horizontal="left"/>
      <protection locked="0"/>
    </xf>
    <xf numFmtId="0" fontId="39" fillId="4" borderId="0" xfId="0" applyFont="1" applyFill="1" applyBorder="1" applyAlignment="1" applyProtection="1">
      <alignment horizontal="center"/>
      <protection locked="0"/>
    </xf>
    <xf numFmtId="0" fontId="0" fillId="4" borderId="0" xfId="0" applyFill="1" applyBorder="1" applyAlignment="1" applyProtection="1">
      <alignment horizontal="center"/>
      <protection locked="0"/>
    </xf>
    <xf numFmtId="0" fontId="0" fillId="4" borderId="3" xfId="0" applyFill="1" applyBorder="1" applyAlignment="1" applyProtection="1">
      <alignment horizontal="center"/>
      <protection locked="0"/>
    </xf>
    <xf numFmtId="0" fontId="0" fillId="4" borderId="5" xfId="0" applyFill="1" applyBorder="1" applyAlignment="1" applyProtection="1">
      <alignment horizontal="left"/>
      <protection locked="0"/>
    </xf>
    <xf numFmtId="0" fontId="43" fillId="6" borderId="26" xfId="0" applyFont="1" applyFill="1" applyBorder="1" applyAlignment="1">
      <alignment horizontal="left"/>
    </xf>
    <xf numFmtId="0" fontId="0" fillId="0" borderId="4" xfId="0" applyBorder="1" applyAlignment="1" applyProtection="1">
      <alignment horizontal="left" vertical="top" wrapText="1"/>
      <protection locked="0"/>
    </xf>
    <xf numFmtId="0" fontId="0" fillId="5" borderId="4" xfId="0" applyFill="1" applyBorder="1" applyAlignment="1">
      <alignment horizontal="center" vertical="center" wrapText="1"/>
    </xf>
    <xf numFmtId="0" fontId="0" fillId="5" borderId="4" xfId="0" applyFont="1" applyFill="1" applyBorder="1" applyAlignment="1">
      <alignment horizontal="center" vertical="center" wrapText="1"/>
    </xf>
    <xf numFmtId="0" fontId="0" fillId="5" borderId="4" xfId="0" applyFill="1" applyBorder="1" applyAlignment="1">
      <alignment horizontal="center" wrapText="1"/>
    </xf>
    <xf numFmtId="0" fontId="0" fillId="5" borderId="4" xfId="0" applyFont="1" applyFill="1" applyBorder="1" applyAlignment="1">
      <alignment horizontal="center" wrapText="1"/>
    </xf>
    <xf numFmtId="0" fontId="0" fillId="4" borderId="22" xfId="0" applyFill="1" applyBorder="1" applyAlignment="1">
      <alignment horizontal="left" wrapText="1"/>
    </xf>
    <xf numFmtId="0" fontId="41" fillId="4" borderId="0" xfId="0" applyFont="1" applyFill="1" applyBorder="1" applyAlignment="1">
      <alignment horizontal="center" vertical="center"/>
    </xf>
    <xf numFmtId="0" fontId="0" fillId="4" borderId="0" xfId="0" applyFill="1" applyBorder="1" applyAlignment="1">
      <alignment horizontal="left" vertical="center"/>
    </xf>
    <xf numFmtId="0" fontId="59" fillId="4" borderId="22" xfId="0" applyFont="1" applyFill="1" applyBorder="1" applyAlignment="1" applyProtection="1">
      <alignment horizontal="left" vertical="center"/>
      <protection locked="0"/>
    </xf>
    <xf numFmtId="0" fontId="0" fillId="4" borderId="5" xfId="0" applyFont="1" applyFill="1" applyBorder="1" applyAlignment="1" applyProtection="1">
      <alignment horizontal="left" vertical="center"/>
      <protection locked="0"/>
    </xf>
    <xf numFmtId="167" fontId="0" fillId="4" borderId="5" xfId="0" applyNumberFormat="1" applyFill="1" applyBorder="1" applyAlignment="1" applyProtection="1">
      <alignment horizontal="left" vertical="center"/>
      <protection locked="0"/>
    </xf>
    <xf numFmtId="167" fontId="0" fillId="4" borderId="5" xfId="0" applyNumberFormat="1" applyFont="1" applyFill="1" applyBorder="1" applyAlignment="1" applyProtection="1">
      <alignment horizontal="left" vertical="center"/>
      <protection locked="0"/>
    </xf>
    <xf numFmtId="0" fontId="0" fillId="4" borderId="58" xfId="0" applyFill="1" applyBorder="1" applyAlignment="1" applyProtection="1">
      <alignment horizontal="left"/>
      <protection locked="0"/>
    </xf>
    <xf numFmtId="0" fontId="41" fillId="4" borderId="0" xfId="0" applyFont="1" applyFill="1" applyAlignment="1">
      <alignment horizontal="center"/>
    </xf>
    <xf numFmtId="0" fontId="0" fillId="4" borderId="22" xfId="0" applyFill="1" applyBorder="1" applyAlignment="1" applyProtection="1">
      <alignment horizontal="left"/>
      <protection locked="0"/>
    </xf>
    <xf numFmtId="167" fontId="0" fillId="4" borderId="5" xfId="0" applyNumberFormat="1" applyFill="1" applyBorder="1" applyAlignment="1" applyProtection="1">
      <alignment horizontal="left"/>
      <protection locked="0"/>
    </xf>
    <xf numFmtId="0" fontId="1" fillId="0" borderId="4" xfId="7" applyFont="1" applyFill="1" applyBorder="1" applyAlignment="1" applyProtection="1">
      <alignment horizontal="center" vertical="center" wrapText="1"/>
      <protection locked="0"/>
    </xf>
    <xf numFmtId="0" fontId="0" fillId="4" borderId="4" xfId="0" applyFill="1" applyBorder="1" applyAlignment="1" applyProtection="1">
      <alignment horizontal="center" vertical="top" wrapText="1"/>
      <protection locked="0"/>
    </xf>
    <xf numFmtId="0" fontId="1" fillId="0" borderId="18" xfId="7" applyFont="1" applyFill="1" applyBorder="1" applyAlignment="1" applyProtection="1">
      <alignment horizontal="center" vertical="center" wrapText="1"/>
      <protection locked="0"/>
    </xf>
    <xf numFmtId="0" fontId="0" fillId="0" borderId="19" xfId="0" applyBorder="1" applyAlignment="1">
      <alignment horizontal="center" vertical="center" wrapText="1"/>
    </xf>
    <xf numFmtId="167" fontId="0" fillId="0" borderId="5" xfId="0" applyNumberFormat="1" applyFill="1" applyBorder="1" applyAlignment="1" applyProtection="1">
      <alignment horizontal="left"/>
      <protection locked="0"/>
    </xf>
    <xf numFmtId="0" fontId="43" fillId="6" borderId="1" xfId="0" applyFont="1" applyFill="1" applyBorder="1" applyAlignment="1">
      <alignment horizontal="left"/>
    </xf>
    <xf numFmtId="0" fontId="43" fillId="6" borderId="0" xfId="0" applyFont="1" applyFill="1" applyBorder="1" applyAlignment="1">
      <alignment horizontal="left"/>
    </xf>
    <xf numFmtId="0" fontId="0" fillId="0" borderId="4" xfId="0" applyBorder="1" applyAlignment="1" applyProtection="1">
      <alignment horizontal="left" wrapText="1"/>
      <protection locked="0"/>
    </xf>
    <xf numFmtId="0" fontId="0" fillId="0" borderId="18" xfId="0" applyBorder="1" applyAlignment="1" applyProtection="1">
      <alignment horizontal="left" vertical="top" wrapText="1"/>
      <protection locked="0"/>
    </xf>
    <xf numFmtId="0" fontId="0" fillId="0" borderId="19" xfId="0" applyBorder="1" applyAlignment="1" applyProtection="1">
      <alignment horizontal="left" vertical="top" wrapText="1"/>
      <protection locked="0"/>
    </xf>
    <xf numFmtId="0" fontId="0" fillId="0" borderId="18" xfId="0" applyBorder="1" applyAlignment="1" applyProtection="1">
      <alignment horizontal="center"/>
      <protection locked="0"/>
    </xf>
    <xf numFmtId="0" fontId="0" fillId="0" borderId="19" xfId="0" applyBorder="1" applyAlignment="1" applyProtection="1">
      <alignment horizontal="center"/>
      <protection locked="0"/>
    </xf>
    <xf numFmtId="0" fontId="0" fillId="0" borderId="5" xfId="0" applyFill="1" applyBorder="1" applyAlignment="1" applyProtection="1">
      <alignment horizontal="left"/>
      <protection locked="0"/>
    </xf>
    <xf numFmtId="0" fontId="0" fillId="4" borderId="0" xfId="0" applyFill="1" applyAlignment="1">
      <alignment horizontal="left"/>
    </xf>
    <xf numFmtId="0" fontId="0" fillId="4" borderId="22" xfId="0" applyFill="1" applyBorder="1" applyAlignment="1">
      <alignment horizontal="left"/>
    </xf>
    <xf numFmtId="1" fontId="0" fillId="4" borderId="22" xfId="0" applyNumberFormat="1" applyFill="1" applyBorder="1" applyAlignment="1" applyProtection="1">
      <alignment horizontal="left"/>
      <protection locked="0"/>
    </xf>
    <xf numFmtId="1" fontId="0" fillId="4" borderId="5" xfId="0" applyNumberFormat="1" applyFill="1" applyBorder="1" applyAlignment="1" applyProtection="1">
      <alignment horizontal="left"/>
      <protection locked="0"/>
    </xf>
    <xf numFmtId="168" fontId="0" fillId="4" borderId="5" xfId="0" applyNumberFormat="1" applyFill="1" applyBorder="1" applyAlignment="1" applyProtection="1">
      <alignment horizontal="center"/>
      <protection locked="0"/>
    </xf>
    <xf numFmtId="0" fontId="0" fillId="5" borderId="4" xfId="0" applyFill="1" applyBorder="1" applyAlignment="1">
      <alignment horizontal="center" vertical="center"/>
    </xf>
    <xf numFmtId="0" fontId="0" fillId="5" borderId="18" xfId="0" applyFill="1" applyBorder="1" applyAlignment="1">
      <alignment horizontal="center" vertical="center"/>
    </xf>
    <xf numFmtId="0" fontId="0" fillId="5" borderId="19" xfId="0" applyFill="1" applyBorder="1" applyAlignment="1">
      <alignment horizontal="center" vertical="center"/>
    </xf>
    <xf numFmtId="0" fontId="0" fillId="5" borderId="18" xfId="0" applyFill="1" applyBorder="1" applyAlignment="1">
      <alignment horizontal="center" vertical="center" wrapText="1"/>
    </xf>
    <xf numFmtId="0" fontId="0" fillId="5" borderId="19" xfId="0" applyFill="1" applyBorder="1" applyAlignment="1">
      <alignment horizontal="center" vertical="center" wrapText="1"/>
    </xf>
    <xf numFmtId="0" fontId="0" fillId="0" borderId="18" xfId="0" applyBorder="1" applyAlignment="1" applyProtection="1">
      <alignment horizontal="left" wrapText="1"/>
      <protection locked="0"/>
    </xf>
    <xf numFmtId="0" fontId="0" fillId="0" borderId="19" xfId="0" applyBorder="1" applyAlignment="1" applyProtection="1">
      <alignment horizontal="left" wrapText="1"/>
      <protection locked="0"/>
    </xf>
    <xf numFmtId="0" fontId="0" fillId="0" borderId="5" xfId="0" applyBorder="1" applyAlignment="1" applyProtection="1">
      <alignment horizontal="left" vertical="center" wrapText="1"/>
      <protection locked="0"/>
    </xf>
    <xf numFmtId="0" fontId="0" fillId="0" borderId="22" xfId="0" applyBorder="1" applyAlignment="1" applyProtection="1">
      <alignment horizontal="left" vertical="center" wrapText="1"/>
      <protection locked="0"/>
    </xf>
    <xf numFmtId="10" fontId="0" fillId="0" borderId="24" xfId="0" applyNumberFormat="1" applyFill="1" applyBorder="1" applyAlignment="1" applyProtection="1">
      <alignment horizontal="center" vertical="center"/>
    </xf>
    <xf numFmtId="0" fontId="63" fillId="0" borderId="0" xfId="0" applyFont="1" applyBorder="1" applyAlignment="1">
      <alignment horizontal="left" vertical="center" wrapText="1"/>
    </xf>
    <xf numFmtId="10" fontId="0" fillId="0" borderId="22" xfId="0" applyNumberFormat="1" applyFill="1" applyBorder="1" applyAlignment="1" applyProtection="1">
      <alignment horizontal="left" vertical="center" wrapText="1"/>
      <protection locked="0"/>
    </xf>
    <xf numFmtId="0" fontId="0" fillId="6" borderId="5" xfId="0" applyFill="1" applyBorder="1" applyAlignment="1" applyProtection="1">
      <alignment horizontal="left" vertical="center" wrapText="1"/>
      <protection locked="0"/>
    </xf>
    <xf numFmtId="0" fontId="41" fillId="0" borderId="9" xfId="0" applyFont="1" applyBorder="1" applyAlignment="1">
      <alignment horizontal="center" wrapText="1"/>
    </xf>
    <xf numFmtId="0" fontId="43" fillId="6" borderId="18" xfId="0" applyFont="1" applyFill="1" applyBorder="1" applyAlignment="1">
      <alignment horizontal="left"/>
    </xf>
    <xf numFmtId="0" fontId="43" fillId="6" borderId="19" xfId="0" applyFont="1" applyFill="1" applyBorder="1" applyAlignment="1">
      <alignment horizontal="left"/>
    </xf>
    <xf numFmtId="167" fontId="0" fillId="4" borderId="22" xfId="0" applyNumberFormat="1" applyFill="1" applyBorder="1" applyAlignment="1" applyProtection="1">
      <alignment horizontal="left" vertical="center" wrapText="1"/>
      <protection locked="0"/>
    </xf>
    <xf numFmtId="167" fontId="0" fillId="4" borderId="5" xfId="0" applyNumberFormat="1" applyFill="1" applyBorder="1" applyAlignment="1" applyProtection="1">
      <alignment horizontal="left" vertical="center" wrapText="1"/>
      <protection locked="0"/>
    </xf>
    <xf numFmtId="0" fontId="0" fillId="4" borderId="0" xfId="0" applyFill="1" applyBorder="1" applyAlignment="1">
      <alignment horizontal="left" vertical="center" wrapText="1"/>
    </xf>
    <xf numFmtId="0" fontId="0" fillId="4" borderId="22" xfId="0" applyFill="1" applyBorder="1" applyAlignment="1" applyProtection="1">
      <alignment horizontal="left" vertical="center" wrapText="1"/>
      <protection locked="0"/>
    </xf>
    <xf numFmtId="0" fontId="0" fillId="4" borderId="5" xfId="0" applyFill="1" applyBorder="1" applyAlignment="1" applyProtection="1">
      <alignment horizontal="left" vertical="center" wrapText="1"/>
      <protection locked="0"/>
    </xf>
    <xf numFmtId="0" fontId="0" fillId="0" borderId="0" xfId="0" applyFill="1" applyBorder="1" applyAlignment="1">
      <alignment horizontal="left" vertical="center" wrapText="1"/>
    </xf>
    <xf numFmtId="4" fontId="0" fillId="4" borderId="5" xfId="0" applyNumberFormat="1" applyFill="1" applyBorder="1" applyAlignment="1" applyProtection="1">
      <alignment horizontal="left" vertical="center" wrapText="1"/>
      <protection locked="0"/>
    </xf>
    <xf numFmtId="10" fontId="0" fillId="4" borderId="5" xfId="0" applyNumberFormat="1" applyFill="1" applyBorder="1" applyAlignment="1" applyProtection="1">
      <alignment horizontal="left" vertical="center" wrapText="1"/>
    </xf>
    <xf numFmtId="0" fontId="0" fillId="4" borderId="58" xfId="0" applyFill="1" applyBorder="1" applyAlignment="1" applyProtection="1">
      <alignment horizontal="left" vertical="center" wrapText="1"/>
      <protection locked="0"/>
    </xf>
    <xf numFmtId="0" fontId="0" fillId="4" borderId="22" xfId="0" applyFill="1" applyBorder="1" applyAlignment="1" applyProtection="1">
      <alignment horizontal="left" vertical="center"/>
      <protection locked="0"/>
    </xf>
    <xf numFmtId="10" fontId="0" fillId="4" borderId="5" xfId="0" applyNumberFormat="1" applyFill="1" applyBorder="1" applyAlignment="1">
      <alignment horizontal="left" vertical="center" wrapText="1"/>
    </xf>
    <xf numFmtId="0" fontId="0" fillId="4" borderId="5" xfId="0" applyFill="1" applyBorder="1" applyAlignment="1" applyProtection="1">
      <alignment horizontal="left" vertical="center"/>
      <protection locked="0"/>
    </xf>
    <xf numFmtId="0" fontId="0" fillId="9" borderId="18" xfId="0" applyFill="1" applyBorder="1" applyAlignment="1">
      <alignment horizontal="left" wrapText="1"/>
    </xf>
    <xf numFmtId="0" fontId="0" fillId="9" borderId="19" xfId="0" applyFill="1" applyBorder="1" applyAlignment="1">
      <alignment horizontal="left" wrapText="1"/>
    </xf>
    <xf numFmtId="0" fontId="0" fillId="9" borderId="4" xfId="0" applyFill="1" applyBorder="1" applyAlignment="1">
      <alignment horizontal="center"/>
    </xf>
    <xf numFmtId="0" fontId="39" fillId="0" borderId="18" xfId="0" applyNumberFormat="1" applyFont="1" applyBorder="1" applyAlignment="1" applyProtection="1">
      <alignment horizontal="center" vertical="center"/>
      <protection locked="0"/>
    </xf>
    <xf numFmtId="0" fontId="39" fillId="0" borderId="26" xfId="0" applyNumberFormat="1" applyFont="1" applyBorder="1" applyAlignment="1" applyProtection="1">
      <alignment horizontal="center" vertical="center"/>
      <protection locked="0"/>
    </xf>
    <xf numFmtId="0" fontId="39" fillId="0" borderId="19" xfId="0" applyNumberFormat="1" applyFont="1" applyBorder="1" applyAlignment="1" applyProtection="1">
      <alignment horizontal="center" vertical="center"/>
      <protection locked="0"/>
    </xf>
    <xf numFmtId="0" fontId="0" fillId="0" borderId="18" xfId="0" applyNumberFormat="1" applyBorder="1" applyAlignment="1" applyProtection="1">
      <alignment horizontal="left" vertical="center"/>
      <protection locked="0"/>
    </xf>
    <xf numFmtId="0" fontId="0" fillId="0" borderId="26" xfId="0" applyNumberFormat="1" applyFont="1" applyBorder="1" applyAlignment="1" applyProtection="1">
      <alignment horizontal="left" vertical="center"/>
      <protection locked="0"/>
    </xf>
    <xf numFmtId="0" fontId="0" fillId="0" borderId="19" xfId="0" applyNumberFormat="1" applyFont="1" applyBorder="1" applyAlignment="1" applyProtection="1">
      <alignment horizontal="left" vertical="center"/>
      <protection locked="0"/>
    </xf>
    <xf numFmtId="0" fontId="0" fillId="9" borderId="4" xfId="0" applyFill="1" applyBorder="1" applyAlignment="1">
      <alignment horizontal="center" vertical="center"/>
    </xf>
    <xf numFmtId="10" fontId="0" fillId="0" borderId="61" xfId="0" applyNumberFormat="1" applyBorder="1" applyAlignment="1">
      <alignment horizontal="center" vertical="center" wrapText="1"/>
    </xf>
    <xf numFmtId="0" fontId="44" fillId="0" borderId="0" xfId="0" applyFont="1" applyBorder="1" applyAlignment="1">
      <alignment horizontal="left" indent="2"/>
    </xf>
    <xf numFmtId="10" fontId="0" fillId="0" borderId="22" xfId="0" applyNumberFormat="1" applyFill="1" applyBorder="1" applyAlignment="1" applyProtection="1">
      <alignment horizontal="center" vertical="center"/>
      <protection locked="0"/>
    </xf>
    <xf numFmtId="0" fontId="0" fillId="4" borderId="0" xfId="0" applyFill="1" applyBorder="1" applyAlignment="1" applyProtection="1">
      <alignment horizontal="left" vertical="center" wrapText="1"/>
      <protection locked="0"/>
    </xf>
    <xf numFmtId="0" fontId="0" fillId="0" borderId="0" xfId="0" applyFill="1" applyBorder="1" applyAlignment="1" applyProtection="1">
      <alignment horizontal="left" vertical="center" wrapText="1"/>
      <protection locked="0"/>
    </xf>
    <xf numFmtId="0" fontId="44" fillId="0" borderId="0" xfId="0" applyFont="1" applyBorder="1" applyAlignment="1">
      <alignment horizontal="left"/>
    </xf>
    <xf numFmtId="0" fontId="0" fillId="0" borderId="24" xfId="0" applyBorder="1" applyAlignment="1" applyProtection="1">
      <alignment horizontal="left"/>
      <protection locked="0"/>
    </xf>
    <xf numFmtId="0" fontId="0" fillId="0" borderId="5" xfId="0" applyBorder="1" applyAlignment="1" applyProtection="1">
      <alignment horizontal="left" wrapText="1"/>
      <protection locked="0"/>
    </xf>
    <xf numFmtId="0" fontId="0" fillId="0" borderId="22" xfId="0" applyBorder="1" applyAlignment="1" applyProtection="1">
      <alignment horizontal="left" wrapText="1"/>
      <protection locked="0"/>
    </xf>
    <xf numFmtId="0" fontId="0" fillId="4" borderId="22" xfId="0" applyFill="1" applyBorder="1" applyAlignment="1" applyProtection="1">
      <alignment horizontal="left" wrapText="1"/>
      <protection locked="0"/>
    </xf>
    <xf numFmtId="0" fontId="0" fillId="4" borderId="0" xfId="0" applyFill="1" applyBorder="1" applyAlignment="1" applyProtection="1">
      <alignment horizontal="left" wrapText="1"/>
      <protection locked="0"/>
    </xf>
    <xf numFmtId="0" fontId="0" fillId="0" borderId="0" xfId="0" applyFill="1" applyBorder="1" applyAlignment="1" applyProtection="1">
      <alignment horizontal="left" wrapText="1"/>
      <protection locked="0"/>
    </xf>
    <xf numFmtId="167" fontId="0" fillId="4" borderId="22" xfId="0" applyNumberFormat="1" applyFill="1" applyBorder="1" applyAlignment="1" applyProtection="1">
      <alignment horizontal="left" wrapText="1"/>
      <protection locked="0"/>
    </xf>
    <xf numFmtId="167" fontId="0" fillId="4" borderId="5" xfId="0" applyNumberFormat="1" applyFill="1" applyBorder="1" applyAlignment="1" applyProtection="1">
      <alignment horizontal="left" wrapText="1"/>
      <protection locked="0"/>
    </xf>
    <xf numFmtId="0" fontId="0" fillId="4" borderId="5" xfId="0" applyFill="1" applyBorder="1" applyAlignment="1" applyProtection="1">
      <alignment horizontal="left" wrapText="1"/>
      <protection locked="0"/>
    </xf>
    <xf numFmtId="4" fontId="0" fillId="4" borderId="5" xfId="0" applyNumberFormat="1" applyFill="1" applyBorder="1" applyAlignment="1" applyProtection="1">
      <alignment horizontal="left" wrapText="1"/>
      <protection locked="0"/>
    </xf>
    <xf numFmtId="0" fontId="0" fillId="4" borderId="5" xfId="0" applyNumberFormat="1" applyFill="1" applyBorder="1" applyAlignment="1">
      <alignment horizontal="left" wrapText="1"/>
    </xf>
    <xf numFmtId="10" fontId="0" fillId="4" borderId="5" xfId="0" applyNumberFormat="1" applyFill="1" applyBorder="1" applyAlignment="1">
      <alignment horizontal="left" wrapText="1"/>
    </xf>
    <xf numFmtId="0" fontId="0" fillId="0" borderId="5" xfId="0" applyFill="1" applyBorder="1" applyAlignment="1" applyProtection="1">
      <alignment horizontal="left" wrapText="1"/>
      <protection locked="0"/>
    </xf>
    <xf numFmtId="0" fontId="0" fillId="4" borderId="5" xfId="0" applyFill="1" applyBorder="1" applyAlignment="1" applyProtection="1">
      <alignment horizontal="left" vertical="top" wrapText="1"/>
      <protection locked="0"/>
    </xf>
    <xf numFmtId="0" fontId="0" fillId="0" borderId="22" xfId="0" applyBorder="1" applyAlignment="1" applyProtection="1">
      <alignment horizontal="left"/>
      <protection locked="0"/>
    </xf>
    <xf numFmtId="10" fontId="0" fillId="0" borderId="5" xfId="0" applyNumberFormat="1" applyFill="1" applyBorder="1" applyAlignment="1">
      <alignment horizontal="left" wrapText="1"/>
    </xf>
    <xf numFmtId="0" fontId="39" fillId="0" borderId="18" xfId="0" applyNumberFormat="1" applyFont="1" applyBorder="1" applyAlignment="1" applyProtection="1">
      <alignment horizontal="center"/>
      <protection locked="0"/>
    </xf>
    <xf numFmtId="0" fontId="39" fillId="0" borderId="26" xfId="0" applyNumberFormat="1" applyFont="1" applyBorder="1" applyAlignment="1" applyProtection="1">
      <alignment horizontal="center"/>
      <protection locked="0"/>
    </xf>
    <xf numFmtId="0" fontId="39" fillId="0" borderId="19" xfId="0" applyNumberFormat="1" applyFont="1" applyBorder="1" applyAlignment="1" applyProtection="1">
      <alignment horizontal="center"/>
      <protection locked="0"/>
    </xf>
    <xf numFmtId="0" fontId="0" fillId="0" borderId="18" xfId="0" applyNumberFormat="1" applyFont="1" applyBorder="1" applyAlignment="1" applyProtection="1">
      <alignment horizontal="left"/>
      <protection locked="0"/>
    </xf>
    <xf numFmtId="0" fontId="0" fillId="0" borderId="26" xfId="0" applyNumberFormat="1" applyFont="1" applyBorder="1" applyAlignment="1" applyProtection="1">
      <alignment horizontal="left"/>
      <protection locked="0"/>
    </xf>
    <xf numFmtId="0" fontId="0" fillId="0" borderId="19" xfId="0" applyNumberFormat="1" applyFont="1" applyBorder="1" applyAlignment="1" applyProtection="1">
      <alignment horizontal="left"/>
      <protection locked="0"/>
    </xf>
    <xf numFmtId="2" fontId="42" fillId="29" borderId="45" xfId="0" applyNumberFormat="1" applyFont="1" applyFill="1" applyBorder="1" applyAlignment="1" applyProtection="1">
      <alignment horizontal="center"/>
      <protection locked="0"/>
    </xf>
    <xf numFmtId="2" fontId="42" fillId="29" borderId="46" xfId="0" applyNumberFormat="1" applyFont="1" applyFill="1" applyBorder="1" applyAlignment="1" applyProtection="1">
      <alignment horizontal="center"/>
      <protection locked="0"/>
    </xf>
    <xf numFmtId="43" fontId="42" fillId="29" borderId="45" xfId="1" applyFont="1" applyFill="1" applyBorder="1" applyAlignment="1">
      <alignment horizontal="center"/>
    </xf>
    <xf numFmtId="43" fontId="42" fillId="29" borderId="46" xfId="1" applyFont="1" applyFill="1" applyBorder="1" applyAlignment="1">
      <alignment horizontal="center"/>
    </xf>
    <xf numFmtId="166" fontId="42" fillId="18" borderId="6" xfId="0" applyNumberFormat="1" applyFont="1" applyFill="1" applyBorder="1" applyAlignment="1" applyProtection="1">
      <alignment horizontal="center"/>
      <protection locked="0"/>
    </xf>
    <xf numFmtId="166" fontId="42" fillId="18" borderId="11" xfId="0" applyNumberFormat="1" applyFont="1" applyFill="1" applyBorder="1" applyAlignment="1" applyProtection="1">
      <alignment horizontal="center"/>
      <protection locked="0"/>
    </xf>
    <xf numFmtId="166" fontId="42" fillId="18" borderId="16" xfId="0" applyNumberFormat="1" applyFont="1" applyFill="1" applyBorder="1" applyAlignment="1" applyProtection="1">
      <alignment horizontal="center"/>
      <protection locked="0"/>
    </xf>
    <xf numFmtId="166" fontId="42" fillId="18" borderId="10" xfId="0" applyNumberFormat="1" applyFont="1" applyFill="1" applyBorder="1" applyAlignment="1" applyProtection="1">
      <alignment horizontal="center"/>
      <protection locked="0"/>
    </xf>
    <xf numFmtId="2" fontId="42" fillId="29" borderId="33" xfId="0" applyNumberFormat="1" applyFont="1" applyFill="1" applyBorder="1" applyAlignment="1" applyProtection="1">
      <alignment horizontal="center"/>
      <protection locked="0"/>
    </xf>
    <xf numFmtId="2" fontId="42" fillId="29" borderId="47" xfId="0" applyNumberFormat="1" applyFont="1" applyFill="1" applyBorder="1" applyAlignment="1" applyProtection="1">
      <alignment horizontal="center"/>
      <protection locked="0"/>
    </xf>
    <xf numFmtId="0" fontId="39" fillId="7" borderId="1" xfId="0" applyFont="1" applyFill="1" applyBorder="1" applyAlignment="1">
      <alignment horizontal="left" wrapText="1"/>
    </xf>
    <xf numFmtId="0" fontId="39" fillId="7" borderId="0" xfId="0" applyFont="1" applyFill="1" applyBorder="1" applyAlignment="1">
      <alignment horizontal="left" wrapText="1"/>
    </xf>
    <xf numFmtId="41" fontId="42" fillId="4" borderId="4" xfId="0" applyNumberFormat="1" applyFont="1" applyFill="1" applyBorder="1" applyAlignment="1">
      <alignment horizontal="center"/>
    </xf>
    <xf numFmtId="2" fontId="42" fillId="29" borderId="45" xfId="0" applyNumberFormat="1" applyFont="1" applyFill="1" applyBorder="1" applyAlignment="1">
      <alignment horizontal="center"/>
    </xf>
    <xf numFmtId="2" fontId="42" fillId="29" borderId="46" xfId="0" applyNumberFormat="1" applyFont="1" applyFill="1" applyBorder="1" applyAlignment="1">
      <alignment horizontal="center"/>
    </xf>
    <xf numFmtId="0" fontId="61" fillId="6" borderId="4" xfId="0" applyFont="1" applyFill="1" applyBorder="1" applyAlignment="1" applyProtection="1">
      <alignment horizontal="center"/>
      <protection locked="0"/>
    </xf>
    <xf numFmtId="0" fontId="42" fillId="6" borderId="27" xfId="0" applyFont="1" applyFill="1" applyBorder="1" applyAlignment="1" applyProtection="1">
      <alignment horizontal="center"/>
      <protection locked="0"/>
    </xf>
    <xf numFmtId="0" fontId="42" fillId="6" borderId="4" xfId="0" applyFont="1" applyFill="1" applyBorder="1" applyAlignment="1" applyProtection="1">
      <alignment horizontal="center"/>
    </xf>
    <xf numFmtId="0" fontId="39" fillId="7" borderId="4" xfId="0" applyFont="1" applyFill="1" applyBorder="1" applyAlignment="1">
      <alignment horizontal="left" wrapText="1"/>
    </xf>
    <xf numFmtId="10" fontId="42" fillId="29" borderId="32" xfId="0" applyNumberFormat="1" applyFont="1" applyFill="1" applyBorder="1" applyAlignment="1">
      <alignment horizontal="center"/>
    </xf>
    <xf numFmtId="10" fontId="42" fillId="29" borderId="59" xfId="0" applyNumberFormat="1" applyFont="1" applyFill="1" applyBorder="1" applyAlignment="1">
      <alignment horizontal="center"/>
    </xf>
    <xf numFmtId="0" fontId="42" fillId="6" borderId="18" xfId="0" applyFont="1" applyFill="1" applyBorder="1" applyAlignment="1" applyProtection="1">
      <alignment horizontal="center"/>
      <protection locked="0"/>
    </xf>
    <xf numFmtId="0" fontId="42" fillId="6" borderId="19" xfId="0" applyFont="1" applyFill="1" applyBorder="1" applyAlignment="1" applyProtection="1">
      <alignment horizontal="center"/>
      <protection locked="0"/>
    </xf>
    <xf numFmtId="0" fontId="42" fillId="0" borderId="18" xfId="0" applyNumberFormat="1" applyFont="1" applyBorder="1" applyAlignment="1" applyProtection="1">
      <alignment horizontal="left"/>
      <protection locked="0"/>
    </xf>
    <xf numFmtId="0" fontId="42" fillId="0" borderId="26" xfId="0" applyNumberFormat="1" applyFont="1" applyBorder="1" applyAlignment="1" applyProtection="1">
      <alignment horizontal="left"/>
      <protection locked="0"/>
    </xf>
    <xf numFmtId="0" fontId="42" fillId="0" borderId="19" xfId="0" applyNumberFormat="1" applyFont="1" applyBorder="1" applyAlignment="1" applyProtection="1">
      <alignment horizontal="left"/>
      <protection locked="0"/>
    </xf>
    <xf numFmtId="166" fontId="42" fillId="18" borderId="16" xfId="0" quotePrefix="1" applyNumberFormat="1" applyFont="1" applyFill="1" applyBorder="1" applyAlignment="1" applyProtection="1">
      <alignment horizontal="center"/>
      <protection locked="0"/>
    </xf>
    <xf numFmtId="0" fontId="42" fillId="0" borderId="24" xfId="0" applyFont="1" applyBorder="1" applyAlignment="1">
      <alignment horizontal="left" vertical="top" wrapText="1"/>
    </xf>
    <xf numFmtId="0" fontId="42" fillId="0" borderId="0" xfId="0" applyFont="1" applyAlignment="1">
      <alignment horizontal="left" wrapText="1" indent="1"/>
    </xf>
    <xf numFmtId="0" fontId="47" fillId="0" borderId="0" xfId="0" applyFont="1" applyBorder="1" applyAlignment="1">
      <alignment horizontal="left" vertical="top" wrapText="1"/>
    </xf>
    <xf numFmtId="0" fontId="47" fillId="0" borderId="18" xfId="0" applyNumberFormat="1" applyFont="1" applyBorder="1" applyAlignment="1" applyProtection="1">
      <alignment horizontal="center"/>
      <protection locked="0"/>
    </xf>
    <xf numFmtId="0" fontId="47" fillId="0" borderId="26" xfId="0" applyNumberFormat="1" applyFont="1" applyBorder="1" applyAlignment="1" applyProtection="1">
      <alignment horizontal="center"/>
      <protection locked="0"/>
    </xf>
    <xf numFmtId="0" fontId="47" fillId="0" borderId="19" xfId="0" applyNumberFormat="1" applyFont="1" applyBorder="1" applyAlignment="1" applyProtection="1">
      <alignment horizontal="center"/>
      <protection locked="0"/>
    </xf>
    <xf numFmtId="0" fontId="0" fillId="0" borderId="16" xfId="0" applyBorder="1" applyAlignment="1">
      <alignment horizontal="center" wrapText="1"/>
    </xf>
    <xf numFmtId="0" fontId="0" fillId="0" borderId="3" xfId="0" applyBorder="1" applyAlignment="1">
      <alignment horizontal="center" wrapText="1"/>
    </xf>
    <xf numFmtId="0" fontId="39" fillId="0" borderId="0" xfId="0" applyFont="1" applyBorder="1" applyAlignment="1">
      <alignment horizontal="left" vertical="top" wrapText="1"/>
    </xf>
    <xf numFmtId="10" fontId="42" fillId="18" borderId="18" xfId="9" applyNumberFormat="1" applyFont="1" applyFill="1" applyBorder="1" applyAlignment="1" applyProtection="1">
      <alignment horizontal="center"/>
      <protection locked="0"/>
    </xf>
    <xf numFmtId="10" fontId="42" fillId="18" borderId="19" xfId="9" applyNumberFormat="1" applyFont="1" applyFill="1" applyBorder="1" applyAlignment="1" applyProtection="1">
      <alignment horizontal="center"/>
      <protection locked="0"/>
    </xf>
    <xf numFmtId="0" fontId="47" fillId="6" borderId="18" xfId="0" applyFont="1" applyFill="1" applyBorder="1" applyAlignment="1" applyProtection="1">
      <alignment horizontal="right" vertical="center"/>
      <protection locked="0"/>
    </xf>
    <xf numFmtId="0" fontId="47" fillId="6" borderId="26" xfId="0" applyFont="1" applyFill="1" applyBorder="1" applyAlignment="1" applyProtection="1">
      <alignment horizontal="right" vertical="center"/>
      <protection locked="0"/>
    </xf>
    <xf numFmtId="0" fontId="47" fillId="6" borderId="19" xfId="0" applyFont="1" applyFill="1" applyBorder="1" applyAlignment="1" applyProtection="1">
      <alignment horizontal="right" vertical="center"/>
      <protection locked="0"/>
    </xf>
    <xf numFmtId="10" fontId="42" fillId="0" borderId="0" xfId="0" applyNumberFormat="1" applyFont="1" applyFill="1" applyBorder="1" applyAlignment="1" applyProtection="1">
      <alignment horizontal="center" vertical="center" wrapText="1"/>
      <protection locked="0"/>
    </xf>
    <xf numFmtId="0" fontId="0" fillId="0" borderId="0" xfId="0" applyAlignment="1">
      <alignment horizontal="right" vertical="center"/>
    </xf>
    <xf numFmtId="0" fontId="47" fillId="0" borderId="0" xfId="0" applyFont="1" applyAlignment="1">
      <alignment horizontal="left" vertical="center" wrapText="1"/>
    </xf>
    <xf numFmtId="0" fontId="42" fillId="0" borderId="0" xfId="0" applyFont="1" applyAlignment="1">
      <alignment horizontal="left" wrapText="1"/>
    </xf>
    <xf numFmtId="0" fontId="42" fillId="0" borderId="0" xfId="0" applyFont="1" applyAlignment="1">
      <alignment horizontal="left" vertical="center" wrapText="1"/>
    </xf>
    <xf numFmtId="2" fontId="42" fillId="29" borderId="33" xfId="0" applyNumberFormat="1" applyFont="1" applyFill="1" applyBorder="1" applyAlignment="1">
      <alignment horizontal="center"/>
    </xf>
    <xf numFmtId="2" fontId="42" fillId="29" borderId="47" xfId="0" applyNumberFormat="1" applyFont="1" applyFill="1" applyBorder="1" applyAlignment="1">
      <alignment horizontal="center"/>
    </xf>
    <xf numFmtId="0" fontId="47" fillId="0" borderId="0" xfId="0" applyFont="1" applyAlignment="1">
      <alignment horizontal="left" wrapText="1"/>
    </xf>
    <xf numFmtId="0" fontId="37" fillId="8" borderId="81" xfId="0" applyFont="1" applyFill="1" applyBorder="1" applyAlignment="1">
      <alignment horizontal="center"/>
    </xf>
    <xf numFmtId="0" fontId="37" fillId="8" borderId="3" xfId="0" applyFont="1" applyFill="1" applyBorder="1" applyAlignment="1">
      <alignment horizontal="center"/>
    </xf>
    <xf numFmtId="10" fontId="42" fillId="29" borderId="43" xfId="0" applyNumberFormat="1" applyFont="1" applyFill="1" applyBorder="1" applyAlignment="1">
      <alignment horizontal="center"/>
    </xf>
    <xf numFmtId="10" fontId="42" fillId="29" borderId="44" xfId="0" applyNumberFormat="1" applyFont="1" applyFill="1" applyBorder="1" applyAlignment="1">
      <alignment horizontal="center"/>
    </xf>
    <xf numFmtId="0" fontId="41" fillId="0" borderId="0" xfId="0" applyFont="1" applyAlignment="1">
      <alignment horizontal="center" wrapText="1"/>
    </xf>
    <xf numFmtId="4" fontId="42" fillId="0" borderId="22" xfId="0" applyNumberFormat="1" applyFont="1" applyBorder="1" applyAlignment="1">
      <alignment horizontal="center"/>
    </xf>
    <xf numFmtId="37" fontId="42" fillId="0" borderId="5" xfId="0" applyNumberFormat="1" applyFont="1" applyBorder="1" applyAlignment="1">
      <alignment horizontal="center"/>
    </xf>
    <xf numFmtId="0" fontId="39" fillId="7" borderId="18" xfId="0" applyFont="1" applyFill="1" applyBorder="1" applyAlignment="1">
      <alignment horizontal="left" vertical="center" wrapText="1"/>
    </xf>
    <xf numFmtId="0" fontId="39" fillId="7" borderId="26" xfId="0" applyFont="1" applyFill="1" applyBorder="1" applyAlignment="1">
      <alignment horizontal="left" vertical="center" wrapText="1"/>
    </xf>
    <xf numFmtId="0" fontId="39" fillId="7" borderId="19" xfId="0" applyFont="1" applyFill="1" applyBorder="1" applyAlignment="1">
      <alignment horizontal="left" vertical="center" wrapText="1"/>
    </xf>
    <xf numFmtId="0" fontId="39" fillId="7" borderId="4" xfId="0" applyFont="1" applyFill="1" applyBorder="1" applyAlignment="1">
      <alignment horizontal="left" vertical="center" wrapText="1"/>
    </xf>
    <xf numFmtId="0" fontId="0" fillId="9" borderId="1" xfId="0" applyFill="1" applyBorder="1" applyAlignment="1">
      <alignment horizontal="left" wrapText="1"/>
    </xf>
    <xf numFmtId="0" fontId="0" fillId="9" borderId="0" xfId="0" applyFill="1" applyBorder="1" applyAlignment="1">
      <alignment horizontal="left" wrapText="1"/>
    </xf>
    <xf numFmtId="10" fontId="42" fillId="0" borderId="18" xfId="0" quotePrefix="1" applyNumberFormat="1" applyFont="1" applyBorder="1" applyAlignment="1">
      <alignment horizontal="center" vertical="top" wrapText="1"/>
    </xf>
    <xf numFmtId="10" fontId="42" fillId="0" borderId="19" xfId="0" applyNumberFormat="1" applyFont="1" applyBorder="1" applyAlignment="1">
      <alignment horizontal="center" vertical="top" wrapText="1"/>
    </xf>
    <xf numFmtId="0" fontId="42" fillId="0" borderId="22" xfId="0" quotePrefix="1" applyFont="1" applyBorder="1" applyAlignment="1" applyProtection="1">
      <alignment horizontal="left" vertical="top" wrapText="1"/>
      <protection locked="0"/>
    </xf>
    <xf numFmtId="0" fontId="42" fillId="5" borderId="4" xfId="0" applyFont="1" applyFill="1" applyBorder="1" applyAlignment="1">
      <alignment horizontal="center"/>
    </xf>
    <xf numFmtId="0" fontId="42" fillId="5" borderId="18" xfId="0" applyFont="1" applyFill="1" applyBorder="1" applyAlignment="1">
      <alignment horizontal="center"/>
    </xf>
    <xf numFmtId="0" fontId="42" fillId="5" borderId="19" xfId="0" applyFont="1" applyFill="1" applyBorder="1" applyAlignment="1">
      <alignment horizontal="center"/>
    </xf>
    <xf numFmtId="0" fontId="92" fillId="0" borderId="0" xfId="0" applyFont="1" applyAlignment="1">
      <alignment horizontal="center"/>
    </xf>
    <xf numFmtId="0" fontId="39" fillId="0" borderId="0" xfId="0" applyFont="1" applyAlignment="1">
      <alignment horizontal="left" wrapText="1"/>
    </xf>
    <xf numFmtId="4" fontId="42" fillId="0" borderId="22" xfId="0" applyNumberFormat="1" applyFont="1" applyBorder="1" applyAlignment="1">
      <alignment horizontal="left"/>
    </xf>
    <xf numFmtId="37" fontId="42" fillId="0" borderId="5" xfId="0" applyNumberFormat="1" applyFont="1" applyBorder="1" applyAlignment="1">
      <alignment horizontal="left"/>
    </xf>
    <xf numFmtId="0" fontId="39" fillId="6" borderId="1" xfId="0" applyFont="1" applyFill="1" applyBorder="1" applyAlignment="1">
      <alignment horizontal="left"/>
    </xf>
    <xf numFmtId="0" fontId="39" fillId="6" borderId="0" xfId="0" applyFont="1" applyFill="1" applyBorder="1" applyAlignment="1">
      <alignment horizontal="left"/>
    </xf>
    <xf numFmtId="166" fontId="42" fillId="0" borderId="4" xfId="0" applyNumberFormat="1" applyFont="1" applyBorder="1" applyAlignment="1">
      <alignment horizontal="center"/>
    </xf>
    <xf numFmtId="0" fontId="42" fillId="0" borderId="18" xfId="0" applyFont="1" applyBorder="1" applyAlignment="1">
      <alignment horizontal="center"/>
    </xf>
    <xf numFmtId="0" fontId="42" fillId="0" borderId="19" xfId="0" applyFont="1" applyBorder="1" applyAlignment="1">
      <alignment horizontal="center"/>
    </xf>
    <xf numFmtId="43" fontId="42" fillId="0" borderId="18" xfId="0" applyNumberFormat="1" applyFont="1" applyBorder="1" applyAlignment="1">
      <alignment horizontal="center"/>
    </xf>
    <xf numFmtId="43" fontId="42" fillId="0" borderId="19" xfId="0" applyNumberFormat="1" applyFont="1" applyBorder="1" applyAlignment="1">
      <alignment horizontal="center"/>
    </xf>
    <xf numFmtId="4" fontId="42" fillId="5" borderId="18" xfId="0" applyNumberFormat="1" applyFont="1" applyFill="1" applyBorder="1" applyAlignment="1">
      <alignment horizontal="center" vertical="top"/>
    </xf>
    <xf numFmtId="4" fontId="42" fillId="5" borderId="19" xfId="0" applyNumberFormat="1" applyFont="1" applyFill="1" applyBorder="1" applyAlignment="1">
      <alignment horizontal="center" vertical="top"/>
    </xf>
    <xf numFmtId="10" fontId="42" fillId="0" borderId="6" xfId="0" applyNumberFormat="1" applyFont="1" applyFill="1" applyBorder="1" applyAlignment="1" applyProtection="1">
      <alignment horizontal="center" vertical="center" wrapText="1"/>
      <protection locked="0"/>
    </xf>
    <xf numFmtId="10" fontId="42" fillId="0" borderId="11" xfId="0" applyNumberFormat="1" applyFont="1" applyFill="1" applyBorder="1" applyAlignment="1" applyProtection="1">
      <alignment horizontal="center" vertical="center" wrapText="1"/>
      <protection locked="0"/>
    </xf>
    <xf numFmtId="10" fontId="42" fillId="0" borderId="16" xfId="0" applyNumberFormat="1" applyFont="1" applyFill="1" applyBorder="1" applyAlignment="1" applyProtection="1">
      <alignment horizontal="center" vertical="center" wrapText="1"/>
      <protection locked="0"/>
    </xf>
    <xf numFmtId="10" fontId="42" fillId="0" borderId="10" xfId="0" applyNumberFormat="1" applyFont="1" applyFill="1" applyBorder="1" applyAlignment="1" applyProtection="1">
      <alignment horizontal="center" vertical="center" wrapText="1"/>
      <protection locked="0"/>
    </xf>
    <xf numFmtId="0" fontId="42" fillId="0" borderId="3" xfId="0" applyFont="1" applyBorder="1" applyAlignment="1">
      <alignment horizontal="left" vertical="center" wrapText="1"/>
    </xf>
    <xf numFmtId="0" fontId="42" fillId="0" borderId="10" xfId="0" applyFont="1" applyBorder="1" applyAlignment="1">
      <alignment horizontal="left" vertical="center" wrapText="1"/>
    </xf>
    <xf numFmtId="43" fontId="35" fillId="0" borderId="18" xfId="1" applyFont="1" applyBorder="1" applyAlignment="1" applyProtection="1">
      <alignment horizontal="center" vertical="center"/>
      <protection locked="0"/>
    </xf>
    <xf numFmtId="43" fontId="35" fillId="0" borderId="19" xfId="1" applyFont="1" applyBorder="1" applyAlignment="1" applyProtection="1">
      <alignment horizontal="center" vertical="center"/>
      <protection locked="0"/>
    </xf>
    <xf numFmtId="0" fontId="42" fillId="0" borderId="0" xfId="0" applyFont="1" applyBorder="1" applyAlignment="1">
      <alignment horizontal="left" wrapText="1"/>
    </xf>
    <xf numFmtId="10" fontId="42" fillId="5" borderId="18" xfId="0" applyNumberFormat="1" applyFont="1" applyFill="1" applyBorder="1" applyAlignment="1">
      <alignment horizontal="center" vertical="top"/>
    </xf>
    <xf numFmtId="10" fontId="42" fillId="5" borderId="19" xfId="0" applyNumberFormat="1" applyFont="1" applyFill="1" applyBorder="1" applyAlignment="1">
      <alignment horizontal="center" vertical="top"/>
    </xf>
    <xf numFmtId="0" fontId="42" fillId="0" borderId="4" xfId="0" applyFont="1" applyBorder="1" applyAlignment="1">
      <alignment horizontal="center"/>
    </xf>
    <xf numFmtId="0" fontId="42" fillId="4" borderId="6" xfId="0" applyFont="1" applyFill="1" applyBorder="1" applyAlignment="1">
      <alignment horizontal="center"/>
    </xf>
    <xf numFmtId="0" fontId="42" fillId="4" borderId="7" xfId="0" applyFont="1" applyFill="1" applyBorder="1" applyAlignment="1">
      <alignment horizontal="center"/>
    </xf>
    <xf numFmtId="41" fontId="42" fillId="0" borderId="18" xfId="0" applyNumberFormat="1" applyFont="1" applyFill="1" applyBorder="1" applyAlignment="1" applyProtection="1">
      <alignment horizontal="center"/>
      <protection locked="0"/>
    </xf>
    <xf numFmtId="41" fontId="42" fillId="0" borderId="19" xfId="0" applyNumberFormat="1" applyFont="1" applyFill="1" applyBorder="1" applyAlignment="1" applyProtection="1">
      <alignment horizontal="center"/>
      <protection locked="0"/>
    </xf>
    <xf numFmtId="41" fontId="42" fillId="4" borderId="18" xfId="0" applyNumberFormat="1" applyFont="1" applyFill="1" applyBorder="1" applyAlignment="1" applyProtection="1">
      <alignment horizontal="center"/>
      <protection locked="0"/>
    </xf>
    <xf numFmtId="41" fontId="42" fillId="4" borderId="19" xfId="0" applyNumberFormat="1" applyFont="1" applyFill="1" applyBorder="1" applyAlignment="1" applyProtection="1">
      <alignment horizontal="center"/>
      <protection locked="0"/>
    </xf>
    <xf numFmtId="39" fontId="42" fillId="5" borderId="18" xfId="0" applyNumberFormat="1" applyFont="1" applyFill="1" applyBorder="1" applyAlignment="1">
      <alignment horizontal="center" vertical="top"/>
    </xf>
    <xf numFmtId="39" fontId="42" fillId="5" borderId="19" xfId="0" applyNumberFormat="1" applyFont="1" applyFill="1" applyBorder="1" applyAlignment="1">
      <alignment horizontal="center" vertical="top"/>
    </xf>
    <xf numFmtId="0" fontId="42" fillId="0" borderId="0" xfId="0" applyFont="1" applyAlignment="1">
      <alignment horizontal="left"/>
    </xf>
    <xf numFmtId="3" fontId="42" fillId="0" borderId="22" xfId="0" applyNumberFormat="1" applyFont="1" applyBorder="1" applyAlignment="1" applyProtection="1">
      <alignment horizontal="center"/>
      <protection locked="0"/>
    </xf>
    <xf numFmtId="10" fontId="42" fillId="5" borderId="5" xfId="0" applyNumberFormat="1" applyFont="1" applyFill="1" applyBorder="1" applyAlignment="1" applyProtection="1">
      <alignment horizontal="center"/>
    </xf>
    <xf numFmtId="166" fontId="42" fillId="7" borderId="4" xfId="0" applyNumberFormat="1" applyFont="1" applyFill="1" applyBorder="1" applyAlignment="1" applyProtection="1">
      <alignment horizontal="center"/>
      <protection locked="0"/>
    </xf>
    <xf numFmtId="166" fontId="42" fillId="5" borderId="4" xfId="0" applyNumberFormat="1" applyFont="1" applyFill="1" applyBorder="1" applyAlignment="1">
      <alignment horizontal="center"/>
    </xf>
    <xf numFmtId="49" fontId="42" fillId="0" borderId="22" xfId="0" quotePrefix="1" applyNumberFormat="1" applyFont="1" applyBorder="1" applyAlignment="1" applyProtection="1">
      <alignment horizontal="center"/>
      <protection locked="0"/>
    </xf>
    <xf numFmtId="49" fontId="42" fillId="0" borderId="22" xfId="0" applyNumberFormat="1" applyFont="1" applyBorder="1" applyAlignment="1" applyProtection="1">
      <alignment horizontal="center"/>
      <protection locked="0"/>
    </xf>
    <xf numFmtId="37" fontId="42" fillId="5" borderId="5" xfId="0" applyNumberFormat="1" applyFont="1" applyFill="1" applyBorder="1" applyAlignment="1" applyProtection="1">
      <alignment horizontal="center"/>
    </xf>
    <xf numFmtId="0" fontId="39" fillId="6" borderId="4" xfId="0" applyFont="1" applyFill="1" applyBorder="1" applyAlignment="1">
      <alignment horizontal="left"/>
    </xf>
    <xf numFmtId="0" fontId="47" fillId="6" borderId="4" xfId="0" applyFont="1" applyFill="1" applyBorder="1" applyAlignment="1">
      <alignment horizontal="left"/>
    </xf>
    <xf numFmtId="0" fontId="47" fillId="0" borderId="4" xfId="0" applyFont="1" applyBorder="1" applyAlignment="1">
      <alignment horizontal="left"/>
    </xf>
    <xf numFmtId="0" fontId="42" fillId="0" borderId="6" xfId="0" applyFont="1" applyBorder="1" applyAlignment="1">
      <alignment horizontal="center"/>
    </xf>
    <xf numFmtId="0" fontId="42" fillId="0" borderId="11" xfId="0" applyFont="1" applyBorder="1" applyAlignment="1">
      <alignment horizontal="center"/>
    </xf>
    <xf numFmtId="0" fontId="42" fillId="0" borderId="1" xfId="0" applyFont="1" applyBorder="1" applyAlignment="1">
      <alignment horizontal="center"/>
    </xf>
    <xf numFmtId="0" fontId="42" fillId="0" borderId="2" xfId="0" applyFont="1" applyBorder="1" applyAlignment="1">
      <alignment horizontal="center"/>
    </xf>
    <xf numFmtId="0" fontId="42" fillId="0" borderId="16" xfId="0" applyFont="1" applyBorder="1" applyAlignment="1">
      <alignment horizontal="center"/>
    </xf>
    <xf numFmtId="0" fontId="42" fillId="0" borderId="10" xfId="0" applyFont="1" applyBorder="1" applyAlignment="1">
      <alignment horizontal="center"/>
    </xf>
    <xf numFmtId="0" fontId="47" fillId="0" borderId="18" xfId="0" applyFont="1" applyBorder="1" applyAlignment="1">
      <alignment horizontal="left" vertical="center" wrapText="1"/>
    </xf>
    <xf numFmtId="0" fontId="47" fillId="0" borderId="19" xfId="0" applyFont="1" applyBorder="1" applyAlignment="1">
      <alignment horizontal="left" vertical="center" wrapText="1"/>
    </xf>
    <xf numFmtId="0" fontId="42" fillId="0" borderId="0" xfId="0" applyFont="1" applyAlignment="1" applyProtection="1">
      <alignment horizontal="left"/>
    </xf>
    <xf numFmtId="0" fontId="39" fillId="6" borderId="18" xfId="0" applyFont="1" applyFill="1" applyBorder="1" applyAlignment="1">
      <alignment horizontal="left"/>
    </xf>
    <xf numFmtId="0" fontId="39" fillId="6" borderId="26" xfId="0" applyFont="1" applyFill="1" applyBorder="1" applyAlignment="1">
      <alignment horizontal="left"/>
    </xf>
    <xf numFmtId="0" fontId="39" fillId="6" borderId="19" xfId="0" applyFont="1" applyFill="1" applyBorder="1" applyAlignment="1">
      <alignment horizontal="left"/>
    </xf>
    <xf numFmtId="3" fontId="42" fillId="5" borderId="22" xfId="0" applyNumberFormat="1" applyFont="1" applyFill="1" applyBorder="1" applyAlignment="1">
      <alignment horizontal="center"/>
    </xf>
    <xf numFmtId="3" fontId="42" fillId="5" borderId="5" xfId="0" applyNumberFormat="1" applyFont="1" applyFill="1" applyBorder="1" applyAlignment="1">
      <alignment horizontal="center"/>
    </xf>
    <xf numFmtId="41" fontId="42" fillId="0" borderId="1" xfId="0" applyNumberFormat="1" applyFont="1" applyBorder="1" applyAlignment="1" applyProtection="1">
      <alignment horizontal="center"/>
      <protection locked="0"/>
    </xf>
    <xf numFmtId="41" fontId="42" fillId="0" borderId="2" xfId="0" applyNumberFormat="1" applyFont="1" applyBorder="1" applyAlignment="1" applyProtection="1">
      <alignment horizontal="center"/>
      <protection locked="0"/>
    </xf>
    <xf numFmtId="41" fontId="42" fillId="0" borderId="43" xfId="0" applyNumberFormat="1" applyFont="1" applyBorder="1" applyAlignment="1" applyProtection="1">
      <alignment horizontal="center"/>
      <protection locked="0"/>
    </xf>
    <xf numFmtId="41" fontId="42" fillId="0" borderId="44" xfId="0" applyNumberFormat="1" applyFont="1" applyBorder="1" applyAlignment="1" applyProtection="1">
      <alignment horizontal="center"/>
      <protection locked="0"/>
    </xf>
    <xf numFmtId="0" fontId="42" fillId="5" borderId="6" xfId="0" applyFont="1" applyFill="1" applyBorder="1" applyAlignment="1" applyProtection="1">
      <alignment horizontal="center"/>
    </xf>
    <xf numFmtId="0" fontId="42" fillId="5" borderId="11" xfId="0" applyFont="1" applyFill="1" applyBorder="1" applyAlignment="1" applyProtection="1">
      <alignment horizontal="center"/>
    </xf>
    <xf numFmtId="0" fontId="42" fillId="5" borderId="18" xfId="0" applyFont="1" applyFill="1" applyBorder="1" applyAlignment="1" applyProtection="1">
      <alignment horizontal="center"/>
    </xf>
    <xf numFmtId="0" fontId="42" fillId="5" borderId="19" xfId="0" applyFont="1" applyFill="1" applyBorder="1" applyAlignment="1" applyProtection="1">
      <alignment horizontal="center"/>
    </xf>
    <xf numFmtId="166" fontId="42" fillId="5" borderId="4" xfId="0" applyNumberFormat="1" applyFont="1" applyFill="1" applyBorder="1" applyAlignment="1" applyProtection="1">
      <alignment horizontal="center"/>
    </xf>
    <xf numFmtId="41" fontId="42" fillId="5" borderId="5" xfId="0" applyNumberFormat="1" applyFont="1" applyFill="1" applyBorder="1" applyAlignment="1" applyProtection="1">
      <alignment horizontal="center"/>
    </xf>
    <xf numFmtId="0" fontId="47" fillId="6" borderId="4" xfId="0" applyFont="1" applyFill="1" applyBorder="1" applyAlignment="1" applyProtection="1">
      <alignment horizontal="left"/>
    </xf>
    <xf numFmtId="3" fontId="42" fillId="5" borderId="22" xfId="0" applyNumberFormat="1" applyFont="1" applyFill="1" applyBorder="1" applyAlignment="1" applyProtection="1">
      <alignment horizontal="center"/>
    </xf>
    <xf numFmtId="3" fontId="42" fillId="5" borderId="5" xfId="0" applyNumberFormat="1" applyFont="1" applyFill="1" applyBorder="1" applyAlignment="1" applyProtection="1">
      <alignment horizontal="center"/>
    </xf>
    <xf numFmtId="41" fontId="42" fillId="0" borderId="4" xfId="0" applyNumberFormat="1" applyFont="1" applyBorder="1" applyAlignment="1" applyProtection="1">
      <alignment horizontal="right"/>
      <protection locked="0"/>
    </xf>
    <xf numFmtId="0" fontId="42" fillId="0" borderId="18" xfId="0" applyFont="1" applyBorder="1" applyAlignment="1" applyProtection="1">
      <alignment horizontal="left"/>
    </xf>
    <xf numFmtId="0" fontId="42" fillId="0" borderId="19" xfId="0" applyFont="1" applyBorder="1" applyAlignment="1" applyProtection="1">
      <alignment horizontal="left"/>
    </xf>
    <xf numFmtId="0" fontId="42" fillId="5" borderId="4" xfId="0" applyNumberFormat="1" applyFont="1" applyFill="1" applyBorder="1" applyAlignment="1">
      <alignment horizontal="center"/>
    </xf>
    <xf numFmtId="3" fontId="42" fillId="5" borderId="4" xfId="0" applyNumberFormat="1" applyFont="1" applyFill="1" applyBorder="1" applyAlignment="1">
      <alignment horizontal="center"/>
    </xf>
    <xf numFmtId="0" fontId="42" fillId="0" borderId="4" xfId="0" applyFont="1" applyBorder="1" applyAlignment="1" applyProtection="1">
      <alignment horizontal="left"/>
    </xf>
    <xf numFmtId="41" fontId="42" fillId="5" borderId="4" xfId="0" quotePrefix="1" applyNumberFormat="1" applyFont="1" applyFill="1" applyBorder="1" applyAlignment="1">
      <alignment horizontal="center"/>
    </xf>
    <xf numFmtId="41" fontId="42" fillId="5" borderId="4" xfId="0" applyNumberFormat="1" applyFont="1" applyFill="1" applyBorder="1" applyAlignment="1">
      <alignment horizontal="center"/>
    </xf>
    <xf numFmtId="41" fontId="42" fillId="0" borderId="33" xfId="0" applyNumberFormat="1" applyFont="1" applyBorder="1" applyAlignment="1" applyProtection="1">
      <alignment horizontal="center"/>
      <protection locked="0"/>
    </xf>
    <xf numFmtId="41" fontId="42" fillId="0" borderId="47" xfId="0" applyNumberFormat="1" applyFont="1" applyBorder="1" applyAlignment="1" applyProtection="1">
      <alignment horizontal="center"/>
      <protection locked="0"/>
    </xf>
    <xf numFmtId="41" fontId="42" fillId="0" borderId="62" xfId="0" applyNumberFormat="1" applyFont="1" applyBorder="1" applyAlignment="1" applyProtection="1">
      <alignment horizontal="center"/>
      <protection locked="0"/>
    </xf>
    <xf numFmtId="41" fontId="42" fillId="0" borderId="63" xfId="0" applyNumberFormat="1" applyFont="1" applyBorder="1" applyAlignment="1" applyProtection="1">
      <alignment horizontal="center"/>
      <protection locked="0"/>
    </xf>
    <xf numFmtId="41" fontId="42" fillId="0" borderId="6" xfId="0" applyNumberFormat="1" applyFont="1" applyBorder="1" applyAlignment="1" applyProtection="1">
      <alignment horizontal="center"/>
      <protection locked="0"/>
    </xf>
    <xf numFmtId="41" fontId="42" fillId="0" borderId="11" xfId="0" applyNumberFormat="1" applyFont="1" applyBorder="1" applyAlignment="1" applyProtection="1">
      <alignment horizontal="center"/>
      <protection locked="0"/>
    </xf>
    <xf numFmtId="41" fontId="42" fillId="0" borderId="45" xfId="0" applyNumberFormat="1" applyFont="1" applyBorder="1" applyAlignment="1" applyProtection="1">
      <alignment horizontal="center"/>
      <protection locked="0"/>
    </xf>
    <xf numFmtId="41" fontId="42" fillId="0" borderId="46" xfId="0" applyNumberFormat="1" applyFont="1" applyBorder="1" applyAlignment="1" applyProtection="1">
      <alignment horizontal="center"/>
      <protection locked="0"/>
    </xf>
    <xf numFmtId="0" fontId="0" fillId="0" borderId="5" xfId="0" applyBorder="1" applyAlignment="1" applyProtection="1">
      <alignment horizontal="left" vertical="top" wrapText="1"/>
      <protection locked="0"/>
    </xf>
    <xf numFmtId="0" fontId="47" fillId="0" borderId="4" xfId="0" applyNumberFormat="1" applyFont="1" applyBorder="1" applyAlignment="1" applyProtection="1">
      <alignment horizontal="center"/>
      <protection locked="0"/>
    </xf>
    <xf numFmtId="0" fontId="0" fillId="4" borderId="4" xfId="0" applyFill="1" applyBorder="1" applyAlignment="1">
      <alignment horizontal="center"/>
    </xf>
    <xf numFmtId="0" fontId="42" fillId="0" borderId="4" xfId="0" applyNumberFormat="1" applyFont="1" applyBorder="1" applyAlignment="1" applyProtection="1">
      <alignment horizontal="left"/>
      <protection locked="0"/>
    </xf>
    <xf numFmtId="0" fontId="43" fillId="6" borderId="1" xfId="0" applyFont="1" applyFill="1" applyBorder="1" applyAlignment="1" applyProtection="1">
      <alignment horizontal="left" wrapText="1"/>
    </xf>
    <xf numFmtId="0" fontId="43" fillId="6" borderId="0" xfId="0" applyFont="1" applyFill="1" applyBorder="1" applyAlignment="1" applyProtection="1">
      <alignment horizontal="left" wrapText="1"/>
    </xf>
    <xf numFmtId="10" fontId="42" fillId="5" borderId="5" xfId="0" applyNumberFormat="1" applyFont="1" applyFill="1" applyBorder="1" applyAlignment="1">
      <alignment horizontal="center"/>
    </xf>
    <xf numFmtId="41" fontId="42" fillId="5" borderId="5" xfId="0" applyNumberFormat="1" applyFont="1" applyFill="1" applyBorder="1" applyAlignment="1">
      <alignment horizontal="center"/>
    </xf>
    <xf numFmtId="41" fontId="42" fillId="0" borderId="32" xfId="0" applyNumberFormat="1" applyFont="1" applyBorder="1" applyAlignment="1" applyProtection="1">
      <alignment horizontal="center"/>
      <protection locked="0"/>
    </xf>
    <xf numFmtId="41" fontId="42" fillId="0" borderId="59" xfId="0" applyNumberFormat="1" applyFont="1" applyBorder="1" applyAlignment="1" applyProtection="1">
      <alignment horizontal="center"/>
      <protection locked="0"/>
    </xf>
    <xf numFmtId="0" fontId="42" fillId="0" borderId="3" xfId="0" applyFont="1" applyBorder="1" applyAlignment="1">
      <alignment horizontal="left"/>
    </xf>
    <xf numFmtId="3" fontId="42" fillId="0" borderId="3" xfId="0" applyNumberFormat="1" applyFont="1" applyBorder="1" applyAlignment="1">
      <alignment horizontal="center"/>
    </xf>
    <xf numFmtId="41" fontId="42" fillId="0" borderId="16" xfId="0" applyNumberFormat="1" applyFont="1" applyBorder="1" applyAlignment="1" applyProtection="1">
      <alignment horizontal="center"/>
      <protection locked="0"/>
    </xf>
    <xf numFmtId="41" fontId="42" fillId="0" borderId="10" xfId="0" applyNumberFormat="1" applyFont="1" applyBorder="1" applyAlignment="1" applyProtection="1">
      <alignment horizontal="center"/>
      <protection locked="0"/>
    </xf>
    <xf numFmtId="0" fontId="49" fillId="9" borderId="52" xfId="0" applyFont="1" applyFill="1" applyBorder="1" applyAlignment="1">
      <alignment horizontal="center" vertical="center"/>
    </xf>
    <xf numFmtId="0" fontId="49" fillId="9" borderId="72" xfId="0" applyFont="1" applyFill="1" applyBorder="1" applyAlignment="1">
      <alignment horizontal="center" vertical="center"/>
    </xf>
    <xf numFmtId="0" fontId="49" fillId="9" borderId="73" xfId="0" applyFont="1" applyFill="1" applyBorder="1" applyAlignment="1">
      <alignment horizontal="center" vertical="center"/>
    </xf>
    <xf numFmtId="0" fontId="49" fillId="9" borderId="10" xfId="0" applyFont="1" applyFill="1" applyBorder="1" applyAlignment="1">
      <alignment horizontal="center" vertical="center"/>
    </xf>
    <xf numFmtId="0" fontId="49" fillId="9" borderId="74" xfId="0" applyFont="1" applyFill="1" applyBorder="1" applyAlignment="1">
      <alignment horizontal="center" vertical="center"/>
    </xf>
    <xf numFmtId="0" fontId="49" fillId="9" borderId="54" xfId="0" applyFont="1" applyFill="1" applyBorder="1" applyAlignment="1">
      <alignment horizontal="center" vertical="center"/>
    </xf>
    <xf numFmtId="0" fontId="49" fillId="9" borderId="16" xfId="0" applyFont="1" applyFill="1" applyBorder="1" applyAlignment="1">
      <alignment horizontal="center" vertical="center"/>
    </xf>
    <xf numFmtId="0" fontId="49" fillId="9" borderId="75" xfId="0" applyFont="1" applyFill="1" applyBorder="1" applyAlignment="1">
      <alignment horizontal="center" vertical="center"/>
    </xf>
    <xf numFmtId="0" fontId="42" fillId="0" borderId="4" xfId="0" applyNumberFormat="1" applyFont="1" applyBorder="1" applyAlignment="1" applyProtection="1">
      <alignment horizontal="center" vertical="top" wrapText="1"/>
      <protection locked="0"/>
    </xf>
    <xf numFmtId="43" fontId="7" fillId="0" borderId="4" xfId="0" applyNumberFormat="1" applyFont="1" applyBorder="1" applyAlignment="1">
      <alignment horizontal="center" vertical="top" wrapText="1"/>
    </xf>
    <xf numFmtId="43" fontId="16" fillId="0" borderId="4" xfId="0" applyNumberFormat="1" applyFont="1" applyBorder="1" applyAlignment="1">
      <alignment horizontal="center" vertical="top" wrapText="1"/>
    </xf>
    <xf numFmtId="0" fontId="39" fillId="7" borderId="4" xfId="0" applyFont="1" applyFill="1" applyBorder="1" applyAlignment="1" applyProtection="1">
      <alignment horizontal="center"/>
      <protection locked="0"/>
    </xf>
    <xf numFmtId="43" fontId="49" fillId="0" borderId="4" xfId="0" quotePrefix="1" applyNumberFormat="1" applyFont="1" applyBorder="1" applyAlignment="1">
      <alignment horizontal="center"/>
    </xf>
    <xf numFmtId="0" fontId="47" fillId="6" borderId="7" xfId="0" applyFont="1" applyFill="1" applyBorder="1" applyAlignment="1">
      <alignment horizontal="center"/>
    </xf>
    <xf numFmtId="0" fontId="47" fillId="6" borderId="11" xfId="0" applyFont="1" applyFill="1" applyBorder="1" applyAlignment="1">
      <alignment horizontal="center"/>
    </xf>
    <xf numFmtId="10" fontId="7" fillId="5" borderId="3" xfId="0" applyNumberFormat="1" applyFont="1" applyFill="1" applyBorder="1" applyAlignment="1">
      <alignment horizontal="center" vertical="top" wrapText="1"/>
    </xf>
    <xf numFmtId="10" fontId="7" fillId="5" borderId="10" xfId="0" applyNumberFormat="1" applyFont="1" applyFill="1" applyBorder="1" applyAlignment="1">
      <alignment horizontal="center" vertical="top" wrapText="1"/>
    </xf>
    <xf numFmtId="0" fontId="42" fillId="5" borderId="16" xfId="0" applyFont="1" applyFill="1" applyBorder="1" applyAlignment="1">
      <alignment horizontal="center" vertical="center" wrapText="1"/>
    </xf>
    <xf numFmtId="0" fontId="42" fillId="5" borderId="10" xfId="0" applyFont="1" applyFill="1" applyBorder="1" applyAlignment="1">
      <alignment horizontal="center" vertical="center" wrapText="1"/>
    </xf>
    <xf numFmtId="43" fontId="49" fillId="0" borderId="4" xfId="0" applyNumberFormat="1" applyFont="1" applyBorder="1" applyAlignment="1">
      <alignment horizontal="center" vertical="top"/>
    </xf>
    <xf numFmtId="0" fontId="7" fillId="0" borderId="7" xfId="0" applyFont="1" applyFill="1" applyBorder="1" applyAlignment="1">
      <alignment horizontal="center" vertical="top" wrapText="1"/>
    </xf>
    <xf numFmtId="0" fontId="42" fillId="5" borderId="26" xfId="0" applyFont="1" applyFill="1" applyBorder="1" applyAlignment="1">
      <alignment horizontal="center" vertical="center"/>
    </xf>
    <xf numFmtId="0" fontId="42" fillId="5" borderId="19" xfId="0" applyFont="1" applyFill="1" applyBorder="1" applyAlignment="1">
      <alignment horizontal="center" vertical="center"/>
    </xf>
    <xf numFmtId="10" fontId="7" fillId="5" borderId="0" xfId="0" applyNumberFormat="1" applyFont="1" applyFill="1" applyBorder="1" applyAlignment="1">
      <alignment horizontal="center" vertical="top" wrapText="1"/>
    </xf>
    <xf numFmtId="10" fontId="7" fillId="5" borderId="2" xfId="0" applyNumberFormat="1" applyFont="1" applyFill="1" applyBorder="1" applyAlignment="1">
      <alignment horizontal="center" vertical="top" wrapText="1"/>
    </xf>
    <xf numFmtId="0" fontId="42" fillId="5" borderId="18" xfId="0" applyFont="1" applyFill="1" applyBorder="1" applyAlignment="1">
      <alignment horizontal="center" vertical="center" wrapText="1"/>
    </xf>
    <xf numFmtId="0" fontId="42" fillId="5" borderId="19" xfId="0" applyFont="1" applyFill="1" applyBorder="1" applyAlignment="1">
      <alignment horizontal="center" vertical="center" wrapText="1"/>
    </xf>
    <xf numFmtId="0" fontId="48" fillId="9" borderId="8" xfId="0" applyFont="1" applyFill="1" applyBorder="1" applyAlignment="1">
      <alignment horizontal="center"/>
    </xf>
    <xf numFmtId="0" fontId="48" fillId="9" borderId="27" xfId="0" applyFont="1" applyFill="1" applyBorder="1" applyAlignment="1">
      <alignment horizontal="center"/>
    </xf>
    <xf numFmtId="41" fontId="7" fillId="0" borderId="1" xfId="0" applyNumberFormat="1" applyFont="1" applyBorder="1" applyAlignment="1" applyProtection="1">
      <alignment horizontal="center" vertical="top" wrapText="1"/>
      <protection locked="0"/>
    </xf>
    <xf numFmtId="41" fontId="7" fillId="0" borderId="2" xfId="0" applyNumberFormat="1" applyFont="1" applyBorder="1" applyAlignment="1" applyProtection="1">
      <alignment horizontal="center" vertical="top" wrapText="1"/>
      <protection locked="0"/>
    </xf>
    <xf numFmtId="10" fontId="7" fillId="5" borderId="16" xfId="0" applyNumberFormat="1" applyFont="1" applyFill="1" applyBorder="1" applyAlignment="1">
      <alignment horizontal="center" vertical="center" wrapText="1"/>
    </xf>
    <xf numFmtId="10" fontId="7" fillId="5" borderId="10" xfId="0" applyNumberFormat="1" applyFont="1" applyFill="1" applyBorder="1" applyAlignment="1">
      <alignment horizontal="center" vertical="center" wrapText="1"/>
    </xf>
    <xf numFmtId="41" fontId="7" fillId="5" borderId="6" xfId="0" quotePrefix="1" applyNumberFormat="1" applyFont="1" applyFill="1" applyBorder="1" applyAlignment="1" applyProtection="1">
      <alignment horizontal="center" vertical="top" wrapText="1"/>
      <protection locked="0" hidden="1"/>
    </xf>
    <xf numFmtId="41" fontId="7" fillId="5" borderId="11" xfId="0" applyNumberFormat="1" applyFont="1" applyFill="1" applyBorder="1" applyAlignment="1" applyProtection="1">
      <alignment horizontal="center" vertical="top" wrapText="1"/>
      <protection locked="0" hidden="1"/>
    </xf>
    <xf numFmtId="41" fontId="7" fillId="5" borderId="1" xfId="0" quotePrefix="1" applyNumberFormat="1" applyFont="1" applyFill="1" applyBorder="1" applyAlignment="1" applyProtection="1">
      <alignment horizontal="center" vertical="top" wrapText="1"/>
      <protection locked="0" hidden="1"/>
    </xf>
    <xf numFmtId="41" fontId="7" fillId="5" borderId="2" xfId="0" quotePrefix="1" applyNumberFormat="1" applyFont="1" applyFill="1" applyBorder="1" applyAlignment="1" applyProtection="1">
      <alignment horizontal="center" vertical="top" wrapText="1"/>
      <protection locked="0" hidden="1"/>
    </xf>
    <xf numFmtId="41" fontId="7" fillId="5" borderId="6" xfId="0" applyNumberFormat="1" applyFont="1" applyFill="1" applyBorder="1" applyAlignment="1" applyProtection="1">
      <alignment horizontal="center" vertical="top" wrapText="1"/>
      <protection locked="0" hidden="1"/>
    </xf>
    <xf numFmtId="41" fontId="7" fillId="5" borderId="7" xfId="0" applyNumberFormat="1" applyFont="1" applyFill="1" applyBorder="1" applyAlignment="1" applyProtection="1">
      <alignment horizontal="center" vertical="top" wrapText="1"/>
      <protection locked="0" hidden="1"/>
    </xf>
    <xf numFmtId="0" fontId="7" fillId="9" borderId="4" xfId="0" applyFont="1" applyFill="1" applyBorder="1" applyAlignment="1">
      <alignment horizontal="center" vertical="center" wrapText="1"/>
    </xf>
    <xf numFmtId="0" fontId="42" fillId="0" borderId="32" xfId="0" applyFont="1" applyBorder="1" applyAlignment="1" applyProtection="1">
      <alignment horizontal="left" vertical="center" wrapText="1"/>
      <protection locked="0"/>
    </xf>
    <xf numFmtId="0" fontId="42" fillId="0" borderId="59" xfId="0" applyFont="1" applyBorder="1" applyAlignment="1" applyProtection="1">
      <alignment horizontal="left" vertical="center" wrapText="1"/>
      <protection locked="0"/>
    </xf>
    <xf numFmtId="0" fontId="49" fillId="9" borderId="4" xfId="0" applyFont="1" applyFill="1" applyBorder="1" applyAlignment="1">
      <alignment horizontal="center" wrapText="1"/>
    </xf>
    <xf numFmtId="0" fontId="42" fillId="4" borderId="8" xfId="0" applyFont="1" applyFill="1" applyBorder="1" applyAlignment="1" applyProtection="1">
      <alignment horizontal="center" vertical="top"/>
      <protection locked="0"/>
    </xf>
    <xf numFmtId="0" fontId="42" fillId="4" borderId="23" xfId="0" applyFont="1" applyFill="1" applyBorder="1" applyAlignment="1" applyProtection="1">
      <alignment horizontal="center" vertical="top"/>
      <protection locked="0"/>
    </xf>
    <xf numFmtId="0" fontId="42" fillId="4" borderId="27" xfId="0" applyFont="1" applyFill="1" applyBorder="1" applyAlignment="1" applyProtection="1">
      <alignment horizontal="center" vertical="top"/>
      <protection locked="0"/>
    </xf>
    <xf numFmtId="0" fontId="43" fillId="4" borderId="6" xfId="0" applyFont="1" applyFill="1" applyBorder="1" applyAlignment="1">
      <alignment horizontal="center" vertical="top" wrapText="1"/>
    </xf>
    <xf numFmtId="0" fontId="43" fillId="4" borderId="11" xfId="0" applyFont="1" applyFill="1" applyBorder="1" applyAlignment="1">
      <alignment horizontal="center" vertical="top" wrapText="1"/>
    </xf>
    <xf numFmtId="0" fontId="54" fillId="4" borderId="65" xfId="0" applyFont="1" applyFill="1" applyBorder="1" applyAlignment="1">
      <alignment horizontal="center"/>
    </xf>
    <xf numFmtId="0" fontId="54" fillId="4" borderId="66" xfId="0" applyFont="1" applyFill="1" applyBorder="1" applyAlignment="1">
      <alignment horizontal="center"/>
    </xf>
    <xf numFmtId="43" fontId="42" fillId="29" borderId="27" xfId="0" applyNumberFormat="1" applyFont="1" applyFill="1" applyBorder="1" applyAlignment="1">
      <alignment horizontal="center"/>
    </xf>
    <xf numFmtId="0" fontId="72" fillId="5" borderId="8" xfId="0" applyFont="1" applyFill="1" applyBorder="1" applyAlignment="1">
      <alignment horizontal="center" vertical="top"/>
    </xf>
    <xf numFmtId="0" fontId="72" fillId="5" borderId="23" xfId="0" applyFont="1" applyFill="1" applyBorder="1" applyAlignment="1">
      <alignment horizontal="center" vertical="top"/>
    </xf>
    <xf numFmtId="0" fontId="72" fillId="5" borderId="27" xfId="0" applyFont="1" applyFill="1" applyBorder="1" applyAlignment="1">
      <alignment horizontal="center" vertical="top"/>
    </xf>
    <xf numFmtId="0" fontId="49" fillId="9" borderId="34" xfId="0" applyFont="1" applyFill="1" applyBorder="1" applyAlignment="1">
      <alignment horizontal="center" vertical="center"/>
    </xf>
    <xf numFmtId="0" fontId="49" fillId="9" borderId="36" xfId="0" applyFont="1" applyFill="1" applyBorder="1" applyAlignment="1">
      <alignment horizontal="center" vertical="center"/>
    </xf>
    <xf numFmtId="0" fontId="49" fillId="9" borderId="38" xfId="0" applyFont="1" applyFill="1" applyBorder="1" applyAlignment="1">
      <alignment horizontal="center" vertical="center" wrapText="1"/>
    </xf>
    <xf numFmtId="0" fontId="49" fillId="9" borderId="70" xfId="0" applyFont="1" applyFill="1" applyBorder="1" applyAlignment="1">
      <alignment horizontal="center" vertical="center" wrapText="1"/>
    </xf>
    <xf numFmtId="0" fontId="49" fillId="9" borderId="71" xfId="0" applyFont="1" applyFill="1" applyBorder="1" applyAlignment="1">
      <alignment horizontal="center" vertical="center" wrapText="1"/>
    </xf>
    <xf numFmtId="0" fontId="49" fillId="9" borderId="0" xfId="0" applyFont="1" applyFill="1" applyAlignment="1">
      <alignment horizontal="right"/>
    </xf>
    <xf numFmtId="0" fontId="42" fillId="4" borderId="6" xfId="0" applyFont="1" applyFill="1" applyBorder="1" applyAlignment="1" applyProtection="1">
      <alignment horizontal="left" vertical="top" wrapText="1"/>
      <protection locked="0"/>
    </xf>
    <xf numFmtId="0" fontId="42" fillId="4" borderId="1" xfId="0" applyFont="1" applyFill="1" applyBorder="1" applyAlignment="1" applyProtection="1">
      <alignment horizontal="left" vertical="top" wrapText="1"/>
      <protection locked="0"/>
    </xf>
    <xf numFmtId="0" fontId="42" fillId="4" borderId="16" xfId="0" applyFont="1" applyFill="1" applyBorder="1" applyAlignment="1" applyProtection="1">
      <alignment horizontal="left" vertical="top" wrapText="1"/>
      <protection locked="0"/>
    </xf>
    <xf numFmtId="0" fontId="42" fillId="4" borderId="8" xfId="0" applyFont="1" applyFill="1" applyBorder="1" applyAlignment="1" applyProtection="1">
      <alignment horizontal="left" vertical="top" wrapText="1"/>
      <protection locked="0"/>
    </xf>
    <xf numFmtId="0" fontId="42" fillId="4" borderId="23" xfId="0" applyFont="1" applyFill="1" applyBorder="1" applyAlignment="1" applyProtection="1">
      <alignment horizontal="left" vertical="top" wrapText="1"/>
      <protection locked="0"/>
    </xf>
    <xf numFmtId="0" fontId="42" fillId="4" borderId="27" xfId="0" applyFont="1" applyFill="1" applyBorder="1" applyAlignment="1" applyProtection="1">
      <alignment horizontal="left" vertical="top" wrapText="1"/>
      <protection locked="0"/>
    </xf>
    <xf numFmtId="0" fontId="42" fillId="4" borderId="23" xfId="0" applyFont="1" applyFill="1" applyBorder="1" applyAlignment="1" applyProtection="1">
      <alignment horizontal="center" vertical="center"/>
      <protection locked="0"/>
    </xf>
    <xf numFmtId="0" fontId="42" fillId="4" borderId="27" xfId="0" applyFont="1" applyFill="1" applyBorder="1" applyAlignment="1" applyProtection="1">
      <alignment horizontal="center" vertical="center"/>
      <protection locked="0"/>
    </xf>
    <xf numFmtId="0" fontId="0" fillId="0" borderId="22" xfId="0" applyFont="1" applyBorder="1" applyAlignment="1" applyProtection="1">
      <alignment horizontal="center"/>
      <protection locked="0"/>
    </xf>
    <xf numFmtId="0" fontId="43" fillId="4" borderId="7" xfId="0" applyFont="1" applyFill="1" applyBorder="1" applyAlignment="1">
      <alignment horizontal="center" vertical="top" wrapText="1"/>
    </xf>
    <xf numFmtId="43" fontId="42" fillId="29" borderId="23" xfId="0" applyNumberFormat="1" applyFont="1" applyFill="1" applyBorder="1" applyAlignment="1">
      <alignment horizontal="center"/>
    </xf>
    <xf numFmtId="43" fontId="42" fillId="29" borderId="8" xfId="0" applyNumberFormat="1" applyFont="1" applyFill="1" applyBorder="1" applyAlignment="1">
      <alignment horizontal="center"/>
    </xf>
    <xf numFmtId="43" fontId="42" fillId="29" borderId="23" xfId="0" applyNumberFormat="1" applyFont="1" applyFill="1" applyBorder="1" applyAlignment="1" applyProtection="1">
      <alignment horizontal="center"/>
      <protection locked="0"/>
    </xf>
    <xf numFmtId="43" fontId="42" fillId="29" borderId="8" xfId="0" applyNumberFormat="1" applyFont="1" applyFill="1" applyBorder="1" applyAlignment="1" applyProtection="1">
      <alignment horizontal="center"/>
    </xf>
    <xf numFmtId="0" fontId="39" fillId="7" borderId="0" xfId="0" applyFont="1" applyFill="1" applyAlignment="1">
      <alignment horizontal="left"/>
    </xf>
    <xf numFmtId="0" fontId="42" fillId="6" borderId="18" xfId="0" applyFont="1" applyFill="1" applyBorder="1" applyAlignment="1">
      <alignment horizontal="center"/>
    </xf>
    <xf numFmtId="0" fontId="42" fillId="6" borderId="26" xfId="0" applyFont="1" applyFill="1" applyBorder="1" applyAlignment="1">
      <alignment horizontal="center"/>
    </xf>
    <xf numFmtId="0" fontId="42" fillId="6" borderId="19" xfId="0" applyFont="1" applyFill="1" applyBorder="1" applyAlignment="1">
      <alignment horizontal="center"/>
    </xf>
    <xf numFmtId="0" fontId="42" fillId="0" borderId="43" xfId="0" applyFont="1" applyBorder="1" applyAlignment="1" applyProtection="1">
      <alignment horizontal="left" vertical="center" wrapText="1"/>
      <protection locked="0"/>
    </xf>
    <xf numFmtId="0" fontId="42" fillId="0" borderId="58" xfId="0" applyFont="1" applyBorder="1" applyAlignment="1" applyProtection="1">
      <alignment horizontal="left" vertical="center" wrapText="1"/>
      <protection locked="0"/>
    </xf>
    <xf numFmtId="0" fontId="42" fillId="0" borderId="44" xfId="0" applyFont="1" applyBorder="1" applyAlignment="1" applyProtection="1">
      <alignment horizontal="left" vertical="center" wrapText="1"/>
      <protection locked="0"/>
    </xf>
    <xf numFmtId="10" fontId="7" fillId="5" borderId="3" xfId="0" applyNumberFormat="1" applyFont="1" applyFill="1" applyBorder="1" applyAlignment="1">
      <alignment horizontal="center" vertical="center" wrapText="1"/>
    </xf>
    <xf numFmtId="41" fontId="7" fillId="5" borderId="0" xfId="0" quotePrefix="1" applyNumberFormat="1" applyFont="1" applyFill="1" applyBorder="1" applyAlignment="1" applyProtection="1">
      <alignment horizontal="center" vertical="top" wrapText="1"/>
      <protection locked="0" hidden="1"/>
    </xf>
    <xf numFmtId="41" fontId="7" fillId="5" borderId="16" xfId="0" quotePrefix="1" applyNumberFormat="1" applyFont="1" applyFill="1" applyBorder="1" applyAlignment="1" applyProtection="1">
      <alignment horizontal="center" vertical="top" wrapText="1"/>
      <protection locked="0" hidden="1"/>
    </xf>
    <xf numFmtId="41" fontId="7" fillId="5" borderId="10" xfId="0" quotePrefix="1" applyNumberFormat="1" applyFont="1" applyFill="1" applyBorder="1" applyAlignment="1" applyProtection="1">
      <alignment horizontal="center" vertical="top" wrapText="1"/>
      <protection locked="0" hidden="1"/>
    </xf>
    <xf numFmtId="4" fontId="7" fillId="5" borderId="18" xfId="0" quotePrefix="1" applyNumberFormat="1" applyFont="1" applyFill="1" applyBorder="1" applyAlignment="1">
      <alignment horizontal="center" vertical="top" wrapText="1"/>
    </xf>
    <xf numFmtId="4" fontId="7" fillId="5" borderId="26" xfId="0" applyNumberFormat="1" applyFont="1" applyFill="1" applyBorder="1" applyAlignment="1">
      <alignment horizontal="center" vertical="top" wrapText="1"/>
    </xf>
    <xf numFmtId="41" fontId="7" fillId="5" borderId="3" xfId="0" quotePrefix="1" applyNumberFormat="1" applyFont="1" applyFill="1" applyBorder="1" applyAlignment="1" applyProtection="1">
      <alignment horizontal="center" vertical="top" wrapText="1"/>
      <protection locked="0" hidden="1"/>
    </xf>
    <xf numFmtId="4" fontId="7" fillId="5" borderId="19" xfId="0" applyNumberFormat="1" applyFont="1" applyFill="1" applyBorder="1" applyAlignment="1">
      <alignment horizontal="center" vertical="top" wrapText="1"/>
    </xf>
    <xf numFmtId="43" fontId="42" fillId="0" borderId="4" xfId="0" applyNumberFormat="1" applyFont="1" applyBorder="1" applyAlignment="1" applyProtection="1">
      <alignment horizontal="center" vertical="top" wrapText="1"/>
    </xf>
    <xf numFmtId="0" fontId="42" fillId="0" borderId="4" xfId="0" applyFont="1" applyFill="1" applyBorder="1" applyAlignment="1">
      <alignment horizontal="center" vertical="top" wrapText="1"/>
    </xf>
    <xf numFmtId="0" fontId="42" fillId="0" borderId="46" xfId="0" applyFont="1" applyBorder="1" applyAlignment="1" applyProtection="1">
      <alignment horizontal="left" vertical="center" wrapText="1"/>
      <protection locked="0"/>
    </xf>
    <xf numFmtId="0" fontId="92" fillId="0" borderId="0" xfId="0" applyFont="1" applyAlignment="1">
      <alignment horizontal="center" vertical="center"/>
    </xf>
    <xf numFmtId="0" fontId="42" fillId="0" borderId="0" xfId="0" applyFont="1" applyBorder="1" applyAlignment="1">
      <alignment horizontal="center"/>
    </xf>
    <xf numFmtId="0" fontId="42" fillId="0" borderId="64" xfId="0" applyFont="1" applyBorder="1" applyAlignment="1">
      <alignment horizontal="center"/>
    </xf>
    <xf numFmtId="0" fontId="42" fillId="6" borderId="4" xfId="0" applyFont="1" applyFill="1" applyBorder="1" applyAlignment="1">
      <alignment horizontal="center" vertical="top"/>
    </xf>
    <xf numFmtId="0" fontId="42" fillId="4" borderId="8" xfId="0" applyFont="1" applyFill="1" applyBorder="1" applyAlignment="1">
      <alignment horizontal="center" vertical="top"/>
    </xf>
    <xf numFmtId="0" fontId="42" fillId="4" borderId="23" xfId="0" applyFont="1" applyFill="1" applyBorder="1" applyAlignment="1">
      <alignment horizontal="center" vertical="top"/>
    </xf>
    <xf numFmtId="0" fontId="42" fillId="4" borderId="27" xfId="0" applyFont="1" applyFill="1" applyBorder="1" applyAlignment="1">
      <alignment horizontal="center" vertical="top"/>
    </xf>
    <xf numFmtId="0" fontId="42" fillId="0" borderId="16" xfId="0" applyFont="1" applyBorder="1" applyAlignment="1" applyProtection="1">
      <alignment horizontal="left" vertical="center" wrapText="1"/>
      <protection locked="0"/>
    </xf>
    <xf numFmtId="0" fontId="42" fillId="0" borderId="3" xfId="0" applyFont="1" applyBorder="1" applyAlignment="1" applyProtection="1">
      <alignment horizontal="left" vertical="center" wrapText="1"/>
      <protection locked="0"/>
    </xf>
    <xf numFmtId="0" fontId="42" fillId="0" borderId="10" xfId="0" applyFont="1" applyBorder="1" applyAlignment="1" applyProtection="1">
      <alignment horizontal="left" vertical="center" wrapText="1"/>
      <protection locked="0"/>
    </xf>
    <xf numFmtId="0" fontId="51" fillId="0" borderId="16" xfId="0" applyFont="1" applyBorder="1" applyAlignment="1">
      <alignment horizontal="left"/>
    </xf>
    <xf numFmtId="0" fontId="51" fillId="0" borderId="3" xfId="0" applyFont="1" applyBorder="1" applyAlignment="1">
      <alignment horizontal="left"/>
    </xf>
    <xf numFmtId="0" fontId="51" fillId="0" borderId="10" xfId="0" applyFont="1" applyBorder="1" applyAlignment="1">
      <alignment horizontal="left"/>
    </xf>
    <xf numFmtId="0" fontId="41" fillId="0" borderId="52" xfId="0" applyFont="1" applyBorder="1" applyAlignment="1">
      <alignment horizontal="center" vertical="center" wrapText="1"/>
    </xf>
    <xf numFmtId="0" fontId="41" fillId="0" borderId="54" xfId="0" applyFont="1" applyBorder="1" applyAlignment="1">
      <alignment horizontal="center" vertical="center" wrapText="1"/>
    </xf>
    <xf numFmtId="0" fontId="41" fillId="0" borderId="67" xfId="0" applyFont="1" applyBorder="1" applyAlignment="1">
      <alignment horizontal="center" vertical="center" wrapText="1"/>
    </xf>
    <xf numFmtId="0" fontId="41" fillId="0" borderId="68" xfId="0" applyFont="1" applyBorder="1" applyAlignment="1">
      <alignment horizontal="center" vertical="center" wrapText="1"/>
    </xf>
    <xf numFmtId="0" fontId="41" fillId="0" borderId="55" xfId="0" applyFont="1" applyBorder="1" applyAlignment="1">
      <alignment horizontal="center" vertical="center" wrapText="1"/>
    </xf>
    <xf numFmtId="0" fontId="41" fillId="0" borderId="57" xfId="0" applyFont="1" applyBorder="1" applyAlignment="1">
      <alignment horizontal="center" vertical="center" wrapText="1"/>
    </xf>
    <xf numFmtId="0" fontId="51" fillId="0" borderId="45" xfId="0" applyFont="1" applyBorder="1" applyAlignment="1">
      <alignment horizontal="left"/>
    </xf>
    <xf numFmtId="0" fontId="51" fillId="0" borderId="5" xfId="0" applyFont="1" applyBorder="1" applyAlignment="1">
      <alignment horizontal="left"/>
    </xf>
    <xf numFmtId="0" fontId="51" fillId="0" borderId="46" xfId="0" applyFont="1" applyBorder="1" applyAlignment="1">
      <alignment horizontal="left"/>
    </xf>
    <xf numFmtId="0" fontId="51" fillId="0" borderId="43" xfId="0" applyFont="1" applyBorder="1" applyAlignment="1">
      <alignment horizontal="left"/>
    </xf>
    <xf numFmtId="0" fontId="51" fillId="0" borderId="58" xfId="0" applyFont="1" applyBorder="1" applyAlignment="1">
      <alignment horizontal="left"/>
    </xf>
    <xf numFmtId="0" fontId="51" fillId="0" borderId="44" xfId="0" applyFont="1" applyBorder="1" applyAlignment="1">
      <alignment horizontal="left"/>
    </xf>
    <xf numFmtId="0" fontId="88" fillId="0" borderId="0" xfId="0" applyFont="1" applyAlignment="1">
      <alignment horizontal="left" vertical="top" wrapText="1"/>
    </xf>
    <xf numFmtId="0" fontId="51" fillId="0" borderId="69" xfId="0" applyFont="1" applyBorder="1" applyAlignment="1">
      <alignment horizontal="left" wrapText="1"/>
    </xf>
    <xf numFmtId="0" fontId="51" fillId="0" borderId="5" xfId="0" applyFont="1" applyBorder="1" applyAlignment="1">
      <alignment horizontal="left" wrapText="1"/>
    </xf>
    <xf numFmtId="0" fontId="51" fillId="0" borderId="46" xfId="0" applyFont="1" applyBorder="1" applyAlignment="1">
      <alignment horizontal="left" wrapText="1"/>
    </xf>
    <xf numFmtId="0" fontId="49" fillId="5" borderId="8" xfId="0" applyFont="1" applyFill="1" applyBorder="1" applyAlignment="1">
      <alignment horizontal="center" vertical="top"/>
    </xf>
    <xf numFmtId="0" fontId="49" fillId="5" borderId="23" xfId="0" applyFont="1" applyFill="1" applyBorder="1" applyAlignment="1">
      <alignment horizontal="center" vertical="top"/>
    </xf>
    <xf numFmtId="0" fontId="49" fillId="5" borderId="27" xfId="0" applyFont="1" applyFill="1" applyBorder="1" applyAlignment="1">
      <alignment horizontal="center" vertical="top"/>
    </xf>
    <xf numFmtId="43" fontId="42" fillId="29" borderId="23" xfId="0" quotePrefix="1" applyNumberFormat="1" applyFont="1" applyFill="1" applyBorder="1" applyAlignment="1">
      <alignment horizontal="center"/>
    </xf>
    <xf numFmtId="43" fontId="42" fillId="29" borderId="1" xfId="0" applyNumberFormat="1" applyFont="1" applyFill="1" applyBorder="1" applyAlignment="1">
      <alignment horizontal="center" vertical="center"/>
    </xf>
    <xf numFmtId="43" fontId="42" fillId="29" borderId="2" xfId="0" applyNumberFormat="1" applyFont="1" applyFill="1" applyBorder="1" applyAlignment="1">
      <alignment horizontal="center" vertical="center"/>
    </xf>
    <xf numFmtId="43" fontId="42" fillId="29" borderId="1" xfId="0" applyNumberFormat="1" applyFont="1" applyFill="1" applyBorder="1" applyAlignment="1" applyProtection="1">
      <alignment horizontal="center" vertical="center"/>
      <protection locked="0"/>
    </xf>
    <xf numFmtId="43" fontId="42" fillId="29" borderId="2" xfId="0" applyNumberFormat="1" applyFont="1" applyFill="1" applyBorder="1" applyAlignment="1" applyProtection="1">
      <alignment horizontal="center" vertical="center"/>
      <protection locked="0"/>
    </xf>
    <xf numFmtId="0" fontId="42" fillId="0" borderId="4" xfId="0" applyFont="1" applyBorder="1" applyAlignment="1" applyProtection="1">
      <alignment horizontal="center"/>
      <protection locked="0"/>
    </xf>
    <xf numFmtId="0" fontId="42" fillId="0" borderId="18" xfId="0" applyFont="1" applyBorder="1" applyAlignment="1" applyProtection="1">
      <alignment horizontal="left"/>
      <protection locked="0"/>
    </xf>
    <xf numFmtId="0" fontId="42" fillId="0" borderId="26" xfId="0" applyFont="1" applyBorder="1" applyAlignment="1" applyProtection="1">
      <alignment horizontal="left"/>
      <protection locked="0"/>
    </xf>
    <xf numFmtId="0" fontId="42" fillId="0" borderId="19" xfId="0" applyFont="1" applyBorder="1" applyAlignment="1" applyProtection="1">
      <alignment horizontal="left"/>
      <protection locked="0"/>
    </xf>
    <xf numFmtId="0" fontId="42" fillId="0" borderId="26" xfId="0" applyFont="1" applyBorder="1" applyAlignment="1" applyProtection="1">
      <alignment horizontal="left" vertical="top" wrapText="1"/>
      <protection locked="0"/>
    </xf>
    <xf numFmtId="0" fontId="42" fillId="0" borderId="19" xfId="0" applyFont="1" applyBorder="1" applyAlignment="1" applyProtection="1">
      <alignment horizontal="left" vertical="top" wrapText="1"/>
      <protection locked="0"/>
    </xf>
    <xf numFmtId="0" fontId="47" fillId="5" borderId="18" xfId="0" applyFont="1" applyFill="1" applyBorder="1" applyAlignment="1">
      <alignment horizontal="center"/>
    </xf>
    <xf numFmtId="0" fontId="47" fillId="5" borderId="19" xfId="0" applyFont="1" applyFill="1" applyBorder="1" applyAlignment="1">
      <alignment horizontal="center"/>
    </xf>
    <xf numFmtId="0" fontId="42" fillId="0" borderId="18" xfId="0" applyFont="1" applyBorder="1" applyAlignment="1" applyProtection="1">
      <alignment horizontal="center" vertical="top"/>
      <protection locked="0"/>
    </xf>
    <xf numFmtId="0" fontId="42" fillId="0" borderId="19" xfId="0" applyFont="1" applyBorder="1" applyAlignment="1" applyProtection="1">
      <alignment horizontal="center" vertical="top"/>
      <protection locked="0"/>
    </xf>
    <xf numFmtId="10" fontId="42" fillId="0" borderId="4" xfId="0" applyNumberFormat="1" applyFont="1" applyBorder="1" applyAlignment="1" applyProtection="1">
      <alignment horizontal="center" vertical="center"/>
      <protection locked="0"/>
    </xf>
    <xf numFmtId="0" fontId="47" fillId="0" borderId="4" xfId="0" applyFont="1" applyFill="1" applyBorder="1" applyAlignment="1">
      <alignment horizontal="center" vertical="center" wrapText="1"/>
    </xf>
    <xf numFmtId="10" fontId="42" fillId="0" borderId="4" xfId="0" applyNumberFormat="1" applyFont="1" applyFill="1" applyBorder="1" applyAlignment="1" applyProtection="1">
      <alignment horizontal="center"/>
      <protection locked="0"/>
    </xf>
    <xf numFmtId="0" fontId="42" fillId="0" borderId="4" xfId="0" applyFont="1" applyFill="1" applyBorder="1" applyAlignment="1" applyProtection="1">
      <alignment horizontal="center"/>
      <protection locked="0"/>
    </xf>
    <xf numFmtId="0" fontId="42" fillId="0" borderId="4" xfId="0" applyFont="1" applyBorder="1" applyAlignment="1">
      <alignment horizontal="left" vertical="center"/>
    </xf>
    <xf numFmtId="10" fontId="42" fillId="0" borderId="18" xfId="0" applyNumberFormat="1" applyFont="1" applyFill="1" applyBorder="1" applyAlignment="1" applyProtection="1">
      <alignment horizontal="center" vertical="center"/>
      <protection locked="0"/>
    </xf>
    <xf numFmtId="10" fontId="42" fillId="0" borderId="19" xfId="0" applyNumberFormat="1" applyFont="1" applyFill="1" applyBorder="1" applyAlignment="1" applyProtection="1">
      <alignment horizontal="center" vertical="center"/>
      <protection locked="0"/>
    </xf>
    <xf numFmtId="0" fontId="43" fillId="6" borderId="18" xfId="0" applyFont="1" applyFill="1" applyBorder="1" applyAlignment="1">
      <alignment horizontal="left" vertical="center"/>
    </xf>
    <xf numFmtId="0" fontId="43" fillId="6" borderId="26" xfId="0" applyFont="1" applyFill="1" applyBorder="1" applyAlignment="1">
      <alignment horizontal="left" vertical="center"/>
    </xf>
    <xf numFmtId="0" fontId="43" fillId="6" borderId="19" xfId="0" applyFont="1" applyFill="1" applyBorder="1" applyAlignment="1">
      <alignment horizontal="left" vertical="center"/>
    </xf>
    <xf numFmtId="0" fontId="47" fillId="4" borderId="1" xfId="0" applyFont="1" applyFill="1" applyBorder="1" applyAlignment="1">
      <alignment horizontal="center" vertical="center" wrapText="1"/>
    </xf>
    <xf numFmtId="0" fontId="42" fillId="0" borderId="4" xfId="0" applyFont="1" applyBorder="1" applyAlignment="1">
      <alignment horizontal="left" vertical="center" wrapText="1"/>
    </xf>
    <xf numFmtId="0" fontId="47" fillId="0" borderId="18" xfId="0" applyFont="1" applyFill="1" applyBorder="1" applyAlignment="1">
      <alignment horizontal="center" wrapText="1"/>
    </xf>
    <xf numFmtId="0" fontId="47" fillId="0" borderId="26" xfId="0" applyFont="1" applyFill="1" applyBorder="1" applyAlignment="1">
      <alignment horizontal="center" wrapText="1"/>
    </xf>
    <xf numFmtId="0" fontId="47" fillId="0" borderId="19" xfId="0" applyFont="1" applyFill="1" applyBorder="1" applyAlignment="1">
      <alignment horizontal="center" wrapText="1"/>
    </xf>
    <xf numFmtId="0" fontId="47" fillId="0" borderId="4" xfId="0" applyFont="1" applyBorder="1" applyAlignment="1" applyProtection="1">
      <alignment horizontal="center"/>
      <protection locked="0"/>
    </xf>
    <xf numFmtId="0" fontId="43" fillId="6" borderId="4" xfId="0" applyFont="1" applyFill="1" applyBorder="1" applyAlignment="1" applyProtection="1">
      <alignment horizontal="center"/>
      <protection locked="0"/>
    </xf>
    <xf numFmtId="165" fontId="47" fillId="6" borderId="4" xfId="0" applyNumberFormat="1" applyFont="1" applyFill="1" applyBorder="1" applyAlignment="1" applyProtection="1">
      <alignment horizontal="center"/>
      <protection locked="0"/>
    </xf>
    <xf numFmtId="167" fontId="47" fillId="6" borderId="4" xfId="0" applyNumberFormat="1" applyFont="1" applyFill="1" applyBorder="1" applyAlignment="1" applyProtection="1">
      <alignment horizontal="center"/>
      <protection locked="0"/>
    </xf>
    <xf numFmtId="0" fontId="42" fillId="0" borderId="4" xfId="0" applyFont="1" applyBorder="1" applyAlignment="1" applyProtection="1">
      <alignment horizontal="left" vertical="top"/>
      <protection locked="0"/>
    </xf>
    <xf numFmtId="0" fontId="42" fillId="0" borderId="18" xfId="0" applyFont="1" applyBorder="1" applyAlignment="1" applyProtection="1">
      <alignment horizontal="center"/>
      <protection locked="0"/>
    </xf>
    <xf numFmtId="0" fontId="42" fillId="0" borderId="19" xfId="0" applyFont="1" applyBorder="1" applyAlignment="1" applyProtection="1">
      <alignment horizontal="center"/>
      <protection locked="0"/>
    </xf>
    <xf numFmtId="0" fontId="42" fillId="0" borderId="32" xfId="0" applyFont="1" applyBorder="1" applyAlignment="1" applyProtection="1">
      <alignment horizontal="left" wrapText="1"/>
      <protection locked="0"/>
    </xf>
    <xf numFmtId="0" fontId="42" fillId="0" borderId="22" xfId="0" applyFont="1" applyBorder="1" applyAlignment="1" applyProtection="1">
      <alignment horizontal="left" wrapText="1"/>
      <protection locked="0"/>
    </xf>
    <xf numFmtId="0" fontId="42" fillId="0" borderId="59" xfId="0" applyFont="1" applyBorder="1" applyAlignment="1" applyProtection="1">
      <alignment horizontal="left" wrapText="1"/>
      <protection locked="0"/>
    </xf>
    <xf numFmtId="0" fontId="42" fillId="0" borderId="16" xfId="0" applyFont="1" applyBorder="1" applyAlignment="1" applyProtection="1">
      <alignment horizontal="left" wrapText="1"/>
      <protection locked="0"/>
    </xf>
    <xf numFmtId="0" fontId="42" fillId="0" borderId="3" xfId="0" applyFont="1" applyBorder="1" applyAlignment="1" applyProtection="1">
      <alignment horizontal="left" wrapText="1"/>
      <protection locked="0"/>
    </xf>
    <xf numFmtId="0" fontId="42" fillId="0" borderId="10" xfId="0" applyFont="1" applyBorder="1" applyAlignment="1" applyProtection="1">
      <alignment horizontal="left" wrapText="1"/>
      <protection locked="0"/>
    </xf>
    <xf numFmtId="0" fontId="42" fillId="0" borderId="45" xfId="0" applyFont="1" applyBorder="1" applyAlignment="1" applyProtection="1">
      <alignment horizontal="left" wrapText="1"/>
      <protection locked="0"/>
    </xf>
    <xf numFmtId="0" fontId="42" fillId="0" borderId="5" xfId="0" applyFont="1" applyBorder="1" applyAlignment="1" applyProtection="1">
      <alignment horizontal="left" wrapText="1"/>
      <protection locked="0"/>
    </xf>
    <xf numFmtId="0" fontId="42" fillId="0" borderId="46" xfId="0" applyFont="1" applyBorder="1" applyAlignment="1" applyProtection="1">
      <alignment horizontal="left" wrapText="1"/>
      <protection locked="0"/>
    </xf>
    <xf numFmtId="0" fontId="47" fillId="5" borderId="7" xfId="0" applyFont="1" applyFill="1" applyBorder="1" applyAlignment="1">
      <alignment horizontal="center" vertical="center" wrapText="1"/>
    </xf>
    <xf numFmtId="0" fontId="47" fillId="5" borderId="1" xfId="0" applyFont="1" applyFill="1" applyBorder="1" applyAlignment="1">
      <alignment horizontal="center" vertical="center" wrapText="1"/>
    </xf>
    <xf numFmtId="0" fontId="47" fillId="5" borderId="0" xfId="0" applyFont="1" applyFill="1" applyBorder="1" applyAlignment="1">
      <alignment horizontal="center" vertical="center" wrapText="1"/>
    </xf>
    <xf numFmtId="0" fontId="47" fillId="5" borderId="2" xfId="0" applyFont="1" applyFill="1" applyBorder="1" applyAlignment="1">
      <alignment horizontal="center" vertical="center" wrapText="1"/>
    </xf>
    <xf numFmtId="0" fontId="43" fillId="6" borderId="4" xfId="0" applyFont="1" applyFill="1" applyBorder="1" applyAlignment="1">
      <alignment horizontal="left"/>
    </xf>
    <xf numFmtId="0" fontId="47" fillId="5" borderId="18" xfId="0" applyFont="1" applyFill="1" applyBorder="1" applyAlignment="1">
      <alignment horizontal="left" vertical="center" wrapText="1"/>
    </xf>
    <xf numFmtId="0" fontId="47" fillId="5" borderId="26" xfId="0" applyFont="1" applyFill="1" applyBorder="1" applyAlignment="1">
      <alignment horizontal="left" vertical="center" wrapText="1"/>
    </xf>
    <xf numFmtId="0" fontId="47" fillId="5" borderId="19" xfId="0" applyFont="1" applyFill="1" applyBorder="1" applyAlignment="1">
      <alignment horizontal="left" vertical="center" wrapText="1"/>
    </xf>
    <xf numFmtId="0" fontId="42" fillId="0" borderId="33" xfId="0" applyFont="1" applyBorder="1" applyAlignment="1" applyProtection="1">
      <alignment horizontal="left" vertical="center" wrapText="1"/>
      <protection locked="0"/>
    </xf>
    <xf numFmtId="0" fontId="42" fillId="0" borderId="60" xfId="0" applyFont="1" applyBorder="1" applyAlignment="1" applyProtection="1">
      <alignment horizontal="left" vertical="center" wrapText="1"/>
      <protection locked="0"/>
    </xf>
    <xf numFmtId="0" fontId="42" fillId="0" borderId="47" xfId="0" applyFont="1" applyBorder="1" applyAlignment="1" applyProtection="1">
      <alignment horizontal="left" vertical="center" wrapText="1"/>
      <protection locked="0"/>
    </xf>
    <xf numFmtId="0" fontId="47" fillId="5" borderId="18" xfId="0" applyFont="1" applyFill="1" applyBorder="1"/>
    <xf numFmtId="0" fontId="47" fillId="5" borderId="26" xfId="0" applyFont="1" applyFill="1" applyBorder="1"/>
    <xf numFmtId="0" fontId="47" fillId="5" borderId="19" xfId="0" applyFont="1" applyFill="1" applyBorder="1"/>
    <xf numFmtId="0" fontId="42" fillId="0" borderId="4" xfId="0" applyFont="1" applyBorder="1" applyAlignment="1">
      <alignment horizontal="left" wrapText="1"/>
    </xf>
    <xf numFmtId="0" fontId="47" fillId="0" borderId="4" xfId="0" applyFont="1" applyFill="1" applyBorder="1" applyAlignment="1">
      <alignment horizontal="center" wrapText="1"/>
    </xf>
    <xf numFmtId="4" fontId="42" fillId="0" borderId="4" xfId="0" applyNumberFormat="1" applyFont="1" applyFill="1" applyBorder="1" applyAlignment="1" applyProtection="1">
      <alignment horizontal="center"/>
      <protection locked="0"/>
    </xf>
    <xf numFmtId="0" fontId="42" fillId="0" borderId="4" xfId="0" applyFont="1" applyFill="1" applyBorder="1" applyAlignment="1">
      <alignment horizontal="left" vertical="center"/>
    </xf>
    <xf numFmtId="10" fontId="42" fillId="0" borderId="4" xfId="0" applyNumberFormat="1" applyFont="1" applyBorder="1" applyAlignment="1" applyProtection="1">
      <alignment horizontal="center" vertical="center"/>
      <protection hidden="1"/>
    </xf>
    <xf numFmtId="0" fontId="42" fillId="0" borderId="22" xfId="0" applyFont="1" applyFill="1" applyBorder="1" applyAlignment="1" applyProtection="1">
      <alignment horizontal="center"/>
      <protection locked="0"/>
    </xf>
    <xf numFmtId="10" fontId="42" fillId="0" borderId="4" xfId="0" applyNumberFormat="1" applyFont="1" applyBorder="1" applyAlignment="1" applyProtection="1">
      <alignment horizontal="center"/>
      <protection locked="0"/>
    </xf>
    <xf numFmtId="0" fontId="42" fillId="5" borderId="4" xfId="0" applyFont="1" applyFill="1" applyBorder="1" applyAlignment="1" applyProtection="1">
      <alignment horizontal="center" vertical="center" wrapText="1"/>
    </xf>
    <xf numFmtId="41" fontId="42" fillId="5" borderId="4" xfId="0" applyNumberFormat="1" applyFont="1" applyFill="1" applyBorder="1" applyAlignment="1" applyProtection="1">
      <alignment horizontal="center" vertical="center" wrapText="1"/>
    </xf>
    <xf numFmtId="10" fontId="42" fillId="0" borderId="18" xfId="0" applyNumberFormat="1" applyFont="1" applyBorder="1" applyAlignment="1" applyProtection="1">
      <alignment horizontal="center" vertical="center"/>
      <protection hidden="1"/>
    </xf>
    <xf numFmtId="0" fontId="42" fillId="0" borderId="19" xfId="0" applyFont="1" applyBorder="1" applyAlignment="1" applyProtection="1">
      <alignment horizontal="center" vertical="center"/>
      <protection hidden="1"/>
    </xf>
    <xf numFmtId="0" fontId="47" fillId="5" borderId="4" xfId="0" applyFont="1" applyFill="1" applyBorder="1" applyAlignment="1">
      <alignment horizontal="center" wrapText="1"/>
    </xf>
    <xf numFmtId="0" fontId="47" fillId="0" borderId="22" xfId="0" applyFont="1" applyBorder="1" applyAlignment="1">
      <alignment horizontal="left"/>
    </xf>
    <xf numFmtId="0" fontId="47" fillId="0" borderId="5" xfId="0" applyFont="1" applyBorder="1" applyAlignment="1">
      <alignment horizontal="left"/>
    </xf>
    <xf numFmtId="1" fontId="47" fillId="0" borderId="5" xfId="0" applyNumberFormat="1" applyFont="1" applyBorder="1" applyAlignment="1">
      <alignment horizontal="left"/>
    </xf>
    <xf numFmtId="0" fontId="42" fillId="0" borderId="4" xfId="0" applyFont="1" applyBorder="1" applyAlignment="1">
      <alignment horizontal="left"/>
    </xf>
    <xf numFmtId="4" fontId="42" fillId="0" borderId="4" xfId="0" applyNumberFormat="1" applyFont="1" applyBorder="1" applyAlignment="1" applyProtection="1">
      <alignment horizontal="center" vertical="center"/>
      <protection hidden="1"/>
    </xf>
    <xf numFmtId="167" fontId="47" fillId="0" borderId="22" xfId="0" applyNumberFormat="1" applyFont="1" applyBorder="1" applyAlignment="1" applyProtection="1">
      <alignment horizontal="left"/>
      <protection locked="0"/>
    </xf>
    <xf numFmtId="10" fontId="42" fillId="0" borderId="19" xfId="0" applyNumberFormat="1" applyFont="1" applyBorder="1" applyAlignment="1" applyProtection="1">
      <alignment horizontal="center" vertical="center"/>
      <protection hidden="1"/>
    </xf>
    <xf numFmtId="0" fontId="47" fillId="5" borderId="26" xfId="0" applyFont="1" applyFill="1" applyBorder="1" applyAlignment="1">
      <alignment horizontal="center"/>
    </xf>
    <xf numFmtId="0" fontId="42" fillId="0" borderId="0" xfId="0" applyFont="1" applyBorder="1" applyAlignment="1">
      <alignment horizontal="right"/>
    </xf>
    <xf numFmtId="0" fontId="47" fillId="0" borderId="22" xfId="0" applyFont="1" applyBorder="1" applyAlignment="1" applyProtection="1">
      <alignment horizontal="center"/>
      <protection locked="0"/>
    </xf>
    <xf numFmtId="167" fontId="47" fillId="0" borderId="22" xfId="0" quotePrefix="1" applyNumberFormat="1" applyFont="1" applyBorder="1" applyAlignment="1" applyProtection="1">
      <alignment horizontal="left"/>
      <protection locked="0"/>
    </xf>
    <xf numFmtId="0" fontId="47" fillId="0" borderId="5" xfId="0" applyFont="1" applyBorder="1" applyAlignment="1" applyProtection="1">
      <alignment horizontal="left"/>
      <protection locked="0"/>
    </xf>
    <xf numFmtId="0" fontId="47" fillId="5" borderId="18" xfId="0" applyFont="1" applyFill="1" applyBorder="1" applyAlignment="1">
      <alignment horizontal="center" wrapText="1"/>
    </xf>
    <xf numFmtId="0" fontId="47" fillId="5" borderId="26" xfId="0" applyFont="1" applyFill="1" applyBorder="1" applyAlignment="1">
      <alignment horizontal="center" wrapText="1"/>
    </xf>
    <xf numFmtId="0" fontId="47" fillId="5" borderId="19" xfId="0" applyFont="1" applyFill="1" applyBorder="1" applyAlignment="1">
      <alignment horizontal="center" wrapText="1"/>
    </xf>
    <xf numFmtId="0" fontId="42" fillId="9" borderId="8" xfId="0" applyFont="1" applyFill="1" applyBorder="1" applyAlignment="1">
      <alignment horizontal="center" vertical="center" wrapText="1"/>
    </xf>
    <xf numFmtId="0" fontId="42" fillId="9" borderId="27" xfId="0" applyFont="1" applyFill="1" applyBorder="1" applyAlignment="1">
      <alignment horizontal="center" vertical="center" wrapText="1"/>
    </xf>
    <xf numFmtId="0" fontId="42" fillId="9" borderId="8" xfId="0" applyFont="1" applyFill="1" applyBorder="1" applyAlignment="1">
      <alignment horizontal="center" vertical="center"/>
    </xf>
    <xf numFmtId="0" fontId="42" fillId="9" borderId="27" xfId="0" applyFont="1" applyFill="1" applyBorder="1" applyAlignment="1">
      <alignment horizontal="center" vertical="center"/>
    </xf>
    <xf numFmtId="0" fontId="0" fillId="0" borderId="0" xfId="0" applyAlignment="1" applyProtection="1">
      <alignment horizontal="left" vertical="center" wrapText="1"/>
    </xf>
    <xf numFmtId="0" fontId="0" fillId="0" borderId="0" xfId="0" applyAlignment="1" applyProtection="1">
      <alignment horizontal="justify" vertical="top" wrapText="1"/>
    </xf>
    <xf numFmtId="0" fontId="0" fillId="0" borderId="0" xfId="0" applyAlignment="1" applyProtection="1">
      <alignment horizontal="left" vertical="top" wrapText="1"/>
    </xf>
    <xf numFmtId="0" fontId="0" fillId="0" borderId="18" xfId="0" applyBorder="1" applyAlignment="1" applyProtection="1">
      <alignment horizontal="left" vertical="top" wrapText="1"/>
      <protection hidden="1"/>
    </xf>
    <xf numFmtId="0" fontId="0" fillId="0" borderId="26" xfId="0" applyBorder="1" applyAlignment="1" applyProtection="1">
      <alignment horizontal="left" vertical="top" wrapText="1"/>
      <protection hidden="1"/>
    </xf>
    <xf numFmtId="0" fontId="0" fillId="0" borderId="0" xfId="0" applyBorder="1" applyAlignment="1" applyProtection="1">
      <alignment horizontal="left"/>
    </xf>
    <xf numFmtId="0" fontId="0" fillId="0" borderId="2" xfId="0" applyBorder="1" applyAlignment="1" applyProtection="1">
      <alignment horizontal="left"/>
    </xf>
    <xf numFmtId="0" fontId="0" fillId="0" borderId="3" xfId="0" applyBorder="1" applyAlignment="1" applyProtection="1">
      <alignment horizontal="left"/>
    </xf>
    <xf numFmtId="0" fontId="0" fillId="0" borderId="10" xfId="0" applyBorder="1" applyAlignment="1" applyProtection="1">
      <alignment horizontal="left"/>
    </xf>
    <xf numFmtId="0" fontId="0" fillId="0" borderId="0" xfId="0" applyBorder="1" applyAlignment="1" applyProtection="1">
      <alignment horizontal="center" wrapText="1"/>
    </xf>
    <xf numFmtId="0" fontId="0" fillId="0" borderId="4" xfId="0" applyBorder="1" applyAlignment="1" applyProtection="1">
      <alignment horizontal="left" vertical="center" wrapText="1"/>
      <protection hidden="1"/>
    </xf>
    <xf numFmtId="0" fontId="0" fillId="30" borderId="18" xfId="0" quotePrefix="1" applyNumberFormat="1" applyFill="1" applyBorder="1" applyAlignment="1" applyProtection="1">
      <alignment horizontal="left" vertical="center" wrapText="1"/>
    </xf>
    <xf numFmtId="0" fontId="0" fillId="30" borderId="26" xfId="0" applyNumberFormat="1" applyFill="1" applyBorder="1" applyAlignment="1" applyProtection="1">
      <alignment horizontal="left" vertical="center" wrapText="1"/>
    </xf>
    <xf numFmtId="0" fontId="0" fillId="30" borderId="19" xfId="0" applyNumberFormat="1" applyFill="1" applyBorder="1" applyAlignment="1" applyProtection="1">
      <alignment horizontal="left" vertical="center" wrapText="1"/>
    </xf>
    <xf numFmtId="0" fontId="0" fillId="0" borderId="18" xfId="0" applyFill="1" applyBorder="1" applyAlignment="1" applyProtection="1">
      <alignment horizontal="center"/>
    </xf>
    <xf numFmtId="0" fontId="0" fillId="0" borderId="26" xfId="0" applyFill="1" applyBorder="1" applyAlignment="1" applyProtection="1">
      <alignment horizontal="center"/>
    </xf>
    <xf numFmtId="0" fontId="0" fillId="0" borderId="19" xfId="0" applyFill="1" applyBorder="1" applyAlignment="1" applyProtection="1">
      <alignment horizontal="center"/>
    </xf>
    <xf numFmtId="0" fontId="0" fillId="0" borderId="7" xfId="0" quotePrefix="1" applyBorder="1" applyAlignment="1" applyProtection="1">
      <alignment horizontal="left" vertical="top" wrapText="1"/>
    </xf>
    <xf numFmtId="0" fontId="0" fillId="0" borderId="7" xfId="0" applyBorder="1" applyAlignment="1" applyProtection="1">
      <alignment horizontal="left" vertical="top" wrapText="1"/>
    </xf>
    <xf numFmtId="0" fontId="0" fillId="0" borderId="11" xfId="0" applyBorder="1" applyAlignment="1" applyProtection="1">
      <alignment horizontal="left" vertical="top" wrapText="1"/>
    </xf>
    <xf numFmtId="0" fontId="0" fillId="0" borderId="7" xfId="0" quotePrefix="1" applyFill="1" applyBorder="1" applyAlignment="1" applyProtection="1">
      <alignment horizontal="justify" vertical="top" wrapText="1"/>
    </xf>
    <xf numFmtId="0" fontId="0" fillId="0" borderId="7" xfId="0" applyFill="1" applyBorder="1" applyAlignment="1" applyProtection="1">
      <alignment horizontal="justify" vertical="top"/>
    </xf>
    <xf numFmtId="0" fontId="0" fillId="0" borderId="11" xfId="0" applyFill="1" applyBorder="1" applyAlignment="1" applyProtection="1">
      <alignment horizontal="justify" vertical="top"/>
    </xf>
    <xf numFmtId="0" fontId="0" fillId="0" borderId="0" xfId="0" applyFill="1" applyBorder="1" applyAlignment="1" applyProtection="1">
      <alignment horizontal="justify" vertical="top" wrapText="1"/>
    </xf>
    <xf numFmtId="0" fontId="0" fillId="0" borderId="0" xfId="0" applyFill="1" applyBorder="1" applyAlignment="1" applyProtection="1">
      <alignment horizontal="justify" vertical="top"/>
    </xf>
    <xf numFmtId="0" fontId="0" fillId="0" borderId="2" xfId="0" applyFill="1" applyBorder="1" applyAlignment="1" applyProtection="1">
      <alignment horizontal="justify" vertical="top"/>
    </xf>
    <xf numFmtId="0" fontId="0" fillId="0" borderId="3" xfId="0" quotePrefix="1" applyFill="1" applyBorder="1" applyAlignment="1" applyProtection="1">
      <alignment horizontal="justify" vertical="top" wrapText="1"/>
    </xf>
    <xf numFmtId="0" fontId="0" fillId="0" borderId="3" xfId="0" applyFill="1" applyBorder="1" applyAlignment="1" applyProtection="1">
      <alignment horizontal="justify" vertical="top"/>
    </xf>
    <xf numFmtId="0" fontId="0" fillId="0" borderId="10" xfId="0" applyFill="1" applyBorder="1" applyAlignment="1" applyProtection="1">
      <alignment horizontal="justify" vertical="top"/>
    </xf>
    <xf numFmtId="0" fontId="0" fillId="5" borderId="4" xfId="0" applyFill="1" applyBorder="1" applyAlignment="1" applyProtection="1">
      <alignment horizontal="left" vertical="center"/>
    </xf>
    <xf numFmtId="0" fontId="0" fillId="0" borderId="4" xfId="0" applyBorder="1" applyAlignment="1" applyProtection="1">
      <alignment horizontal="left" vertical="top" wrapText="1"/>
    </xf>
    <xf numFmtId="0" fontId="95" fillId="0" borderId="4" xfId="0" applyFont="1" applyBorder="1" applyAlignment="1" applyProtection="1">
      <alignment horizontal="left" wrapText="1"/>
    </xf>
    <xf numFmtId="0" fontId="0" fillId="0" borderId="4" xfId="0" applyBorder="1" applyAlignment="1" applyProtection="1">
      <alignment horizontal="left"/>
    </xf>
    <xf numFmtId="0" fontId="0" fillId="5" borderId="4" xfId="0" applyFill="1" applyBorder="1" applyAlignment="1" applyProtection="1">
      <alignment horizontal="center"/>
    </xf>
    <xf numFmtId="0" fontId="0" fillId="0" borderId="7" xfId="0" applyBorder="1" applyAlignment="1" applyProtection="1">
      <alignment horizontal="left"/>
    </xf>
    <xf numFmtId="0" fontId="0" fillId="0" borderId="11" xfId="0" applyBorder="1" applyAlignment="1" applyProtection="1">
      <alignment horizontal="left"/>
    </xf>
    <xf numFmtId="0" fontId="0" fillId="0" borderId="0" xfId="0" applyBorder="1" applyAlignment="1" applyProtection="1">
      <alignment horizontal="left" vertical="top" wrapText="1"/>
    </xf>
    <xf numFmtId="0" fontId="0" fillId="0" borderId="2" xfId="0" applyBorder="1" applyAlignment="1" applyProtection="1">
      <alignment horizontal="left" vertical="top" wrapText="1"/>
    </xf>
    <xf numFmtId="0" fontId="0" fillId="0" borderId="3" xfId="0" quotePrefix="1" applyBorder="1" applyAlignment="1" applyProtection="1">
      <alignment horizontal="left" vertical="top" wrapText="1"/>
    </xf>
    <xf numFmtId="0" fontId="0" fillId="0" borderId="3" xfId="0" applyBorder="1" applyAlignment="1" applyProtection="1">
      <alignment horizontal="left" vertical="top" wrapText="1"/>
    </xf>
    <xf numFmtId="0" fontId="0" fillId="0" borderId="10" xfId="0" applyBorder="1" applyAlignment="1" applyProtection="1">
      <alignment horizontal="left" vertical="top" wrapText="1"/>
    </xf>
    <xf numFmtId="0" fontId="52" fillId="0" borderId="18" xfId="0" applyFont="1" applyBorder="1" applyAlignment="1" applyProtection="1">
      <alignment horizontal="center" wrapText="1"/>
    </xf>
    <xf numFmtId="0" fontId="101" fillId="0" borderId="19" xfId="0" applyFont="1" applyBorder="1" applyAlignment="1" applyProtection="1">
      <alignment horizontal="center"/>
    </xf>
    <xf numFmtId="0" fontId="0" fillId="19" borderId="0" xfId="0" applyFill="1" applyAlignment="1" applyProtection="1">
      <alignment horizontal="left"/>
    </xf>
    <xf numFmtId="0" fontId="0" fillId="0" borderId="1" xfId="0" applyBorder="1" applyAlignment="1" applyProtection="1">
      <alignment horizontal="center"/>
    </xf>
    <xf numFmtId="0" fontId="0" fillId="0" borderId="2" xfId="0" applyBorder="1" applyAlignment="1" applyProtection="1">
      <alignment horizontal="center"/>
    </xf>
    <xf numFmtId="0" fontId="99" fillId="0" borderId="18" xfId="0" applyFont="1" applyBorder="1" applyAlignment="1" applyProtection="1">
      <alignment horizontal="center" vertical="top" wrapText="1"/>
      <protection locked="0"/>
    </xf>
    <xf numFmtId="0" fontId="99" fillId="0" borderId="19" xfId="0" applyFont="1" applyBorder="1" applyAlignment="1" applyProtection="1">
      <alignment horizontal="center" vertical="top"/>
      <protection locked="0"/>
    </xf>
    <xf numFmtId="0" fontId="0" fillId="0" borderId="0" xfId="0" applyFill="1" applyAlignment="1" applyProtection="1">
      <alignment horizontal="center" vertical="center" wrapText="1"/>
    </xf>
    <xf numFmtId="0" fontId="0" fillId="0" borderId="0" xfId="0" applyFill="1" applyAlignment="1" applyProtection="1">
      <alignment horizontal="justify" vertical="top" wrapText="1"/>
    </xf>
    <xf numFmtId="0" fontId="62" fillId="0" borderId="0" xfId="0" applyFont="1" applyAlignment="1" applyProtection="1">
      <alignment horizontal="left" vertical="center"/>
    </xf>
    <xf numFmtId="0" fontId="0" fillId="0" borderId="6" xfId="0" applyBorder="1" applyAlignment="1" applyProtection="1">
      <alignment horizontal="center"/>
    </xf>
    <xf numFmtId="0" fontId="0" fillId="0" borderId="11" xfId="0" applyBorder="1" applyAlignment="1" applyProtection="1">
      <alignment horizontal="center"/>
    </xf>
    <xf numFmtId="0" fontId="0" fillId="0" borderId="0" xfId="0" applyAlignment="1" applyProtection="1">
      <alignment horizontal="justify" vertical="center" wrapText="1"/>
    </xf>
    <xf numFmtId="0" fontId="0" fillId="5" borderId="4" xfId="0" applyFill="1" applyBorder="1" applyAlignment="1" applyProtection="1">
      <alignment horizontal="center" vertical="center"/>
    </xf>
    <xf numFmtId="0" fontId="0" fillId="0" borderId="18" xfId="0" applyBorder="1" applyAlignment="1" applyProtection="1">
      <alignment horizontal="justify" vertical="top" wrapText="1"/>
      <protection hidden="1"/>
    </xf>
    <xf numFmtId="0" fontId="0" fillId="0" borderId="26" xfId="0" applyBorder="1" applyAlignment="1" applyProtection="1">
      <alignment horizontal="justify" vertical="top" wrapText="1"/>
      <protection hidden="1"/>
    </xf>
    <xf numFmtId="0" fontId="0" fillId="0" borderId="19" xfId="0" applyBorder="1" applyAlignment="1" applyProtection="1">
      <alignment horizontal="justify" vertical="top" wrapText="1"/>
      <protection hidden="1"/>
    </xf>
    <xf numFmtId="0" fontId="0" fillId="30" borderId="18" xfId="0" quotePrefix="1" applyNumberFormat="1" applyFill="1" applyBorder="1" applyAlignment="1" applyProtection="1">
      <alignment horizontal="justify" vertical="top" wrapText="1"/>
    </xf>
    <xf numFmtId="0" fontId="0" fillId="30" borderId="26" xfId="0" applyNumberFormat="1" applyFill="1" applyBorder="1" applyAlignment="1" applyProtection="1">
      <alignment horizontal="justify" vertical="top" wrapText="1"/>
    </xf>
    <xf numFmtId="0" fontId="0" fillId="30" borderId="19" xfId="0" applyNumberFormat="1" applyFill="1" applyBorder="1" applyAlignment="1" applyProtection="1">
      <alignment horizontal="justify" vertical="top" wrapText="1"/>
    </xf>
    <xf numFmtId="0" fontId="0" fillId="0" borderId="6" xfId="0" applyBorder="1" applyAlignment="1" applyProtection="1">
      <alignment horizontal="left" vertical="top" wrapText="1"/>
      <protection hidden="1"/>
    </xf>
    <xf numFmtId="0" fontId="0" fillId="0" borderId="7" xfId="0" applyBorder="1" applyAlignment="1" applyProtection="1">
      <alignment horizontal="left" vertical="top" wrapText="1"/>
      <protection hidden="1"/>
    </xf>
    <xf numFmtId="0" fontId="0" fillId="5" borderId="4" xfId="0" applyFill="1" applyBorder="1" applyAlignment="1" applyProtection="1">
      <alignment horizontal="center" vertical="center" wrapText="1"/>
      <protection hidden="1"/>
    </xf>
    <xf numFmtId="169" fontId="0" fillId="0" borderId="6" xfId="0" applyNumberFormat="1" applyBorder="1" applyAlignment="1" applyProtection="1">
      <alignment horizontal="center" vertical="center"/>
      <protection hidden="1"/>
    </xf>
    <xf numFmtId="169" fontId="0" fillId="0" borderId="11" xfId="0" applyNumberFormat="1" applyBorder="1" applyAlignment="1" applyProtection="1">
      <alignment horizontal="center" vertical="center"/>
      <protection hidden="1"/>
    </xf>
    <xf numFmtId="169" fontId="0" fillId="0" borderId="18" xfId="0" applyNumberFormat="1" applyBorder="1" applyAlignment="1" applyProtection="1">
      <alignment horizontal="center" vertical="center"/>
      <protection hidden="1"/>
    </xf>
    <xf numFmtId="169" fontId="0" fillId="0" borderId="19" xfId="0" applyNumberFormat="1" applyBorder="1" applyAlignment="1" applyProtection="1">
      <alignment horizontal="center" vertical="center"/>
      <protection hidden="1"/>
    </xf>
    <xf numFmtId="0" fontId="0" fillId="0" borderId="4" xfId="0" applyBorder="1" applyAlignment="1" applyProtection="1">
      <alignment horizontal="left" vertical="center"/>
    </xf>
    <xf numFmtId="0" fontId="0" fillId="0" borderId="18" xfId="0" applyBorder="1" applyAlignment="1" applyProtection="1">
      <alignment horizontal="left" vertical="center" wrapText="1"/>
      <protection hidden="1"/>
    </xf>
    <xf numFmtId="0" fontId="0" fillId="0" borderId="19" xfId="0" applyBorder="1" applyAlignment="1" applyProtection="1">
      <alignment horizontal="left" vertical="center" wrapText="1"/>
      <protection hidden="1"/>
    </xf>
    <xf numFmtId="0" fontId="0" fillId="0" borderId="0" xfId="0" applyAlignment="1" applyProtection="1">
      <alignment horizontal="left" vertical="center"/>
    </xf>
    <xf numFmtId="0" fontId="39" fillId="0" borderId="0" xfId="0" applyFont="1" applyBorder="1" applyAlignment="1" applyProtection="1">
      <alignment horizontal="left" vertical="top" wrapText="1"/>
    </xf>
    <xf numFmtId="0" fontId="0" fillId="0" borderId="0" xfId="0" applyFont="1" applyBorder="1" applyAlignment="1" applyProtection="1">
      <alignment horizontal="left" vertical="top" wrapText="1"/>
    </xf>
    <xf numFmtId="0" fontId="0" fillId="0" borderId="2" xfId="0" applyFont="1" applyBorder="1" applyAlignment="1" applyProtection="1">
      <alignment horizontal="left" vertical="top" wrapText="1"/>
    </xf>
    <xf numFmtId="0" fontId="0" fillId="5" borderId="18" xfId="0" applyFill="1" applyBorder="1" applyAlignment="1" applyProtection="1">
      <alignment horizontal="center" vertical="center" wrapText="1"/>
    </xf>
    <xf numFmtId="0" fontId="0" fillId="5" borderId="26" xfId="0" applyFill="1" applyBorder="1" applyAlignment="1" applyProtection="1">
      <alignment horizontal="center" vertical="center" wrapText="1"/>
    </xf>
    <xf numFmtId="0" fontId="0" fillId="5" borderId="19" xfId="0" applyFill="1" applyBorder="1" applyAlignment="1" applyProtection="1">
      <alignment horizontal="center" vertical="center" wrapText="1"/>
    </xf>
    <xf numFmtId="0" fontId="0" fillId="5" borderId="6" xfId="0" applyFill="1" applyBorder="1" applyAlignment="1" applyProtection="1">
      <alignment horizontal="center" vertical="center" wrapText="1"/>
    </xf>
    <xf numFmtId="0" fontId="0" fillId="5" borderId="7" xfId="0" applyFill="1" applyBorder="1" applyAlignment="1" applyProtection="1">
      <alignment horizontal="center" vertical="center" wrapText="1"/>
    </xf>
    <xf numFmtId="0" fontId="0" fillId="5" borderId="11" xfId="0" applyFill="1" applyBorder="1" applyAlignment="1" applyProtection="1">
      <alignment horizontal="center" vertical="center" wrapText="1"/>
    </xf>
    <xf numFmtId="0" fontId="0" fillId="5" borderId="1" xfId="0" applyFill="1" applyBorder="1" applyAlignment="1" applyProtection="1">
      <alignment horizontal="center" vertical="center" wrapText="1"/>
    </xf>
    <xf numFmtId="0" fontId="0" fillId="5" borderId="0" xfId="0" applyFill="1" applyBorder="1" applyAlignment="1" applyProtection="1">
      <alignment horizontal="center" vertical="center" wrapText="1"/>
    </xf>
    <xf numFmtId="0" fontId="0" fillId="5" borderId="2" xfId="0" applyFill="1" applyBorder="1" applyAlignment="1" applyProtection="1">
      <alignment horizontal="center" vertical="center" wrapText="1"/>
    </xf>
    <xf numFmtId="0" fontId="0" fillId="5" borderId="16" xfId="0" applyFill="1" applyBorder="1" applyAlignment="1" applyProtection="1">
      <alignment horizontal="center" vertical="center" wrapText="1"/>
    </xf>
    <xf numFmtId="0" fontId="0" fillId="5" borderId="3" xfId="0" applyFill="1" applyBorder="1" applyAlignment="1" applyProtection="1">
      <alignment horizontal="center" vertical="center" wrapText="1"/>
    </xf>
    <xf numFmtId="0" fontId="0" fillId="5" borderId="10" xfId="0" applyFill="1" applyBorder="1" applyAlignment="1" applyProtection="1">
      <alignment horizontal="center" vertical="center" wrapText="1"/>
    </xf>
    <xf numFmtId="0" fontId="0" fillId="0" borderId="0" xfId="0" applyFont="1" applyFill="1" applyAlignment="1" applyProtection="1">
      <alignment horizontal="center" vertical="top"/>
    </xf>
    <xf numFmtId="0" fontId="0" fillId="0" borderId="4" xfId="0" applyBorder="1" applyAlignment="1" applyProtection="1">
      <alignment horizontal="left" vertical="center"/>
      <protection locked="0" hidden="1"/>
    </xf>
    <xf numFmtId="169" fontId="0" fillId="0" borderId="18" xfId="0" applyNumberFormat="1" applyBorder="1" applyAlignment="1" applyProtection="1">
      <alignment horizontal="right" vertical="center"/>
      <protection hidden="1"/>
    </xf>
    <xf numFmtId="169" fontId="0" fillId="0" borderId="19" xfId="0" applyNumberFormat="1" applyBorder="1" applyAlignment="1" applyProtection="1">
      <alignment horizontal="right" vertical="center"/>
      <protection hidden="1"/>
    </xf>
    <xf numFmtId="0" fontId="0" fillId="5" borderId="18" xfId="0" applyFill="1" applyBorder="1" applyAlignment="1" applyProtection="1">
      <alignment horizontal="center" vertical="center"/>
    </xf>
    <xf numFmtId="0" fontId="0" fillId="5" borderId="19" xfId="0" applyFill="1" applyBorder="1" applyAlignment="1" applyProtection="1">
      <alignment horizontal="center" vertical="center"/>
    </xf>
    <xf numFmtId="0" fontId="0" fillId="24" borderId="4" xfId="0" applyFill="1" applyBorder="1" applyAlignment="1" applyProtection="1">
      <alignment horizontal="center" vertical="center"/>
      <protection locked="0"/>
    </xf>
    <xf numFmtId="169" fontId="0" fillId="24" borderId="4" xfId="0" applyNumberFormat="1" applyFill="1" applyBorder="1" applyAlignment="1" applyProtection="1">
      <alignment horizontal="center" vertical="center"/>
      <protection locked="0"/>
    </xf>
    <xf numFmtId="0" fontId="0" fillId="11" borderId="0" xfId="0" applyFill="1" applyAlignment="1" applyProtection="1">
      <alignment horizontal="justify" vertical="top" wrapText="1"/>
    </xf>
    <xf numFmtId="43" fontId="0" fillId="0" borderId="18" xfId="0" applyNumberFormat="1" applyBorder="1" applyAlignment="1" applyProtection="1">
      <alignment horizontal="right" vertical="center"/>
      <protection locked="0" hidden="1"/>
    </xf>
    <xf numFmtId="43" fontId="0" fillId="0" borderId="19" xfId="0" applyNumberFormat="1" applyBorder="1" applyAlignment="1" applyProtection="1">
      <alignment horizontal="right" vertical="center"/>
      <protection locked="0" hidden="1"/>
    </xf>
    <xf numFmtId="0" fontId="71" fillId="0" borderId="0" xfId="0" applyFont="1" applyAlignment="1" applyProtection="1">
      <alignment horizontal="center"/>
    </xf>
    <xf numFmtId="0" fontId="0" fillId="0" borderId="18" xfId="0" applyBorder="1" applyAlignment="1" applyProtection="1">
      <alignment horizontal="left" vertical="center"/>
    </xf>
    <xf numFmtId="0" fontId="0" fillId="0" borderId="26" xfId="0" applyBorder="1" applyAlignment="1" applyProtection="1">
      <alignment horizontal="left" vertical="center"/>
    </xf>
    <xf numFmtId="0" fontId="0" fillId="0" borderId="19" xfId="0" applyBorder="1" applyAlignment="1" applyProtection="1">
      <alignment horizontal="left" vertical="center"/>
    </xf>
    <xf numFmtId="0" fontId="43" fillId="0" borderId="26" xfId="0" applyFont="1" applyBorder="1" applyAlignment="1" applyProtection="1">
      <alignment horizontal="left" vertical="center"/>
      <protection hidden="1"/>
    </xf>
    <xf numFmtId="0" fontId="43" fillId="0" borderId="19" xfId="0" applyFont="1" applyBorder="1" applyAlignment="1" applyProtection="1">
      <alignment horizontal="left" vertical="center"/>
      <protection hidden="1"/>
    </xf>
    <xf numFmtId="0" fontId="39" fillId="0" borderId="26" xfId="0" applyFont="1" applyBorder="1" applyAlignment="1" applyProtection="1">
      <alignment horizontal="left" vertical="center"/>
      <protection hidden="1"/>
    </xf>
    <xf numFmtId="0" fontId="39" fillId="0" borderId="19" xfId="0" applyFont="1" applyBorder="1" applyAlignment="1" applyProtection="1">
      <alignment horizontal="left" vertical="center"/>
      <protection hidden="1"/>
    </xf>
    <xf numFmtId="1" fontId="39" fillId="0" borderId="26" xfId="0" applyNumberFormat="1" applyFont="1" applyBorder="1" applyAlignment="1" applyProtection="1">
      <alignment horizontal="left" vertical="center"/>
      <protection hidden="1"/>
    </xf>
    <xf numFmtId="0" fontId="39" fillId="0" borderId="26" xfId="0" applyFont="1" applyFill="1" applyBorder="1" applyAlignment="1" applyProtection="1">
      <alignment horizontal="left" vertical="center"/>
      <protection hidden="1"/>
    </xf>
    <xf numFmtId="0" fontId="39" fillId="0" borderId="19" xfId="0" applyFont="1" applyFill="1" applyBorder="1" applyAlignment="1" applyProtection="1">
      <alignment horizontal="left" vertical="center"/>
      <protection hidden="1"/>
    </xf>
    <xf numFmtId="167" fontId="39" fillId="0" borderId="26" xfId="0" quotePrefix="1" applyNumberFormat="1" applyFont="1" applyBorder="1" applyAlignment="1" applyProtection="1">
      <alignment horizontal="left" vertical="center"/>
      <protection hidden="1"/>
    </xf>
    <xf numFmtId="167" fontId="39" fillId="0" borderId="26" xfId="0" applyNumberFormat="1" applyFont="1" applyBorder="1" applyAlignment="1" applyProtection="1">
      <alignment horizontal="left" vertical="center"/>
      <protection hidden="1"/>
    </xf>
    <xf numFmtId="167" fontId="39" fillId="0" borderId="19" xfId="0" applyNumberFormat="1" applyFont="1" applyBorder="1" applyAlignment="1" applyProtection="1">
      <alignment horizontal="left" vertical="center"/>
      <protection hidden="1"/>
    </xf>
    <xf numFmtId="0" fontId="42" fillId="0" borderId="18" xfId="0" applyFont="1" applyBorder="1" applyAlignment="1">
      <alignment horizontal="left"/>
    </xf>
    <xf numFmtId="0" fontId="42" fillId="0" borderId="26" xfId="0" applyFont="1" applyBorder="1" applyAlignment="1">
      <alignment horizontal="left"/>
    </xf>
    <xf numFmtId="0" fontId="42" fillId="0" borderId="19" xfId="0" applyFont="1" applyBorder="1" applyAlignment="1">
      <alignment horizontal="left"/>
    </xf>
    <xf numFmtId="0" fontId="0" fillId="0" borderId="0" xfId="0" quotePrefix="1" applyFill="1" applyAlignment="1" applyProtection="1">
      <alignment horizontal="justify" vertical="top" wrapText="1"/>
    </xf>
    <xf numFmtId="0" fontId="0" fillId="5" borderId="26" xfId="0" applyFill="1" applyBorder="1" applyAlignment="1" applyProtection="1">
      <alignment horizontal="center" vertical="center"/>
    </xf>
    <xf numFmtId="0" fontId="0" fillId="0" borderId="6" xfId="0" applyFill="1" applyBorder="1" applyAlignment="1" applyProtection="1">
      <alignment horizontal="left" vertical="top" wrapText="1"/>
    </xf>
    <xf numFmtId="0" fontId="0" fillId="0" borderId="7" xfId="0" applyFill="1" applyBorder="1" applyAlignment="1" applyProtection="1">
      <alignment horizontal="left" vertical="top" wrapText="1"/>
    </xf>
    <xf numFmtId="0" fontId="0" fillId="0" borderId="11" xfId="0" applyFill="1" applyBorder="1" applyAlignment="1" applyProtection="1">
      <alignment horizontal="left" vertical="top" wrapText="1"/>
    </xf>
    <xf numFmtId="0" fontId="0" fillId="0" borderId="1" xfId="0" applyFill="1" applyBorder="1" applyAlignment="1" applyProtection="1">
      <alignment horizontal="center" vertical="top" wrapText="1"/>
    </xf>
    <xf numFmtId="0" fontId="0" fillId="0" borderId="0" xfId="0" applyFill="1" applyBorder="1" applyAlignment="1" applyProtection="1">
      <alignment horizontal="center" vertical="top" wrapText="1"/>
    </xf>
    <xf numFmtId="0" fontId="0" fillId="0" borderId="2" xfId="0" applyFill="1" applyBorder="1" applyAlignment="1" applyProtection="1">
      <alignment horizontal="center" vertical="top" wrapText="1"/>
    </xf>
    <xf numFmtId="0" fontId="0" fillId="0" borderId="1" xfId="0" applyFill="1" applyBorder="1" applyAlignment="1" applyProtection="1">
      <alignment horizontal="left" vertical="top" wrapText="1"/>
    </xf>
    <xf numFmtId="0" fontId="0" fillId="0" borderId="0" xfId="0" applyFill="1" applyBorder="1" applyAlignment="1" applyProtection="1">
      <alignment horizontal="left" vertical="top" wrapText="1"/>
    </xf>
    <xf numFmtId="0" fontId="0" fillId="0" borderId="2" xfId="0" applyFill="1" applyBorder="1" applyAlignment="1" applyProtection="1">
      <alignment horizontal="left" vertical="top" wrapText="1"/>
    </xf>
    <xf numFmtId="0" fontId="0" fillId="0" borderId="16" xfId="0" applyFill="1" applyBorder="1" applyAlignment="1" applyProtection="1">
      <alignment horizontal="left" vertical="top" wrapText="1"/>
    </xf>
    <xf numFmtId="0" fontId="0" fillId="0" borderId="3" xfId="0" applyFill="1" applyBorder="1" applyAlignment="1" applyProtection="1">
      <alignment horizontal="left" vertical="top" wrapText="1"/>
    </xf>
    <xf numFmtId="0" fontId="0" fillId="0" borderId="10" xfId="0" applyFill="1" applyBorder="1" applyAlignment="1" applyProtection="1">
      <alignment horizontal="left" vertical="top" wrapText="1"/>
    </xf>
    <xf numFmtId="0" fontId="0" fillId="0" borderId="6" xfId="0" applyFill="1" applyBorder="1" applyAlignment="1" applyProtection="1">
      <alignment horizontal="left" vertical="center"/>
    </xf>
    <xf numFmtId="0" fontId="0" fillId="0" borderId="7" xfId="0" applyFill="1" applyBorder="1" applyAlignment="1" applyProtection="1">
      <alignment horizontal="left" vertical="center"/>
    </xf>
    <xf numFmtId="0" fontId="0" fillId="0" borderId="11" xfId="0" applyFill="1" applyBorder="1" applyAlignment="1" applyProtection="1">
      <alignment horizontal="left" vertical="center"/>
    </xf>
    <xf numFmtId="0" fontId="0" fillId="0" borderId="1"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2" xfId="0" applyFill="1" applyBorder="1" applyAlignment="1" applyProtection="1">
      <alignment horizontal="center" vertical="center"/>
    </xf>
    <xf numFmtId="0" fontId="0" fillId="0" borderId="1" xfId="0" applyFill="1" applyBorder="1" applyAlignment="1" applyProtection="1">
      <alignment horizontal="left" vertical="center"/>
    </xf>
    <xf numFmtId="0" fontId="0" fillId="0" borderId="0" xfId="0" applyFill="1" applyBorder="1" applyAlignment="1" applyProtection="1">
      <alignment horizontal="left" vertical="center"/>
    </xf>
    <xf numFmtId="0" fontId="0" fillId="0" borderId="2" xfId="0" applyFill="1" applyBorder="1" applyAlignment="1" applyProtection="1">
      <alignment horizontal="left" vertical="center"/>
    </xf>
    <xf numFmtId="0" fontId="0" fillId="0" borderId="16" xfId="0" applyFill="1" applyBorder="1" applyAlignment="1" applyProtection="1">
      <alignment horizontal="left" vertical="center"/>
    </xf>
    <xf numFmtId="0" fontId="0" fillId="0" borderId="3" xfId="0" applyFill="1" applyBorder="1" applyAlignment="1" applyProtection="1">
      <alignment horizontal="left" vertical="center"/>
    </xf>
    <xf numFmtId="0" fontId="0" fillId="0" borderId="10" xfId="0" applyFill="1" applyBorder="1" applyAlignment="1" applyProtection="1">
      <alignment horizontal="left" vertical="center"/>
    </xf>
    <xf numFmtId="0" fontId="0" fillId="0" borderId="0" xfId="0" quotePrefix="1" applyFill="1" applyAlignment="1" applyProtection="1">
      <alignment horizontal="left" vertical="top" wrapText="1"/>
    </xf>
    <xf numFmtId="0" fontId="0" fillId="9" borderId="0" xfId="0" quotePrefix="1" applyFill="1" applyAlignment="1" applyProtection="1">
      <alignment horizontal="left" vertical="top" wrapText="1"/>
    </xf>
    <xf numFmtId="43" fontId="0" fillId="24" borderId="4" xfId="0" applyNumberFormat="1" applyFill="1" applyBorder="1" applyAlignment="1" applyProtection="1">
      <alignment horizontal="center" vertical="center"/>
      <protection locked="0"/>
    </xf>
    <xf numFmtId="0" fontId="0" fillId="0" borderId="0" xfId="0" applyAlignment="1" applyProtection="1">
      <alignment horizontal="center"/>
    </xf>
    <xf numFmtId="169" fontId="35" fillId="5" borderId="6" xfId="1" applyNumberFormat="1" applyFont="1" applyFill="1" applyBorder="1" applyAlignment="1" applyProtection="1">
      <alignment horizontal="center" vertical="center"/>
      <protection hidden="1"/>
    </xf>
    <xf numFmtId="169" fontId="35" fillId="5" borderId="11" xfId="1" applyNumberFormat="1" applyFont="1" applyFill="1" applyBorder="1" applyAlignment="1" applyProtection="1">
      <alignment horizontal="center" vertical="center"/>
      <protection hidden="1"/>
    </xf>
    <xf numFmtId="169" fontId="35" fillId="5" borderId="16" xfId="1" applyNumberFormat="1" applyFont="1" applyFill="1" applyBorder="1" applyAlignment="1" applyProtection="1">
      <alignment horizontal="center" vertical="center"/>
      <protection hidden="1"/>
    </xf>
    <xf numFmtId="169" fontId="35" fillId="5" borderId="10" xfId="1" applyNumberFormat="1" applyFont="1" applyFill="1" applyBorder="1" applyAlignment="1" applyProtection="1">
      <alignment horizontal="center" vertical="center"/>
      <protection hidden="1"/>
    </xf>
    <xf numFmtId="169" fontId="0" fillId="5" borderId="18" xfId="0" applyNumberFormat="1" applyFill="1" applyBorder="1" applyAlignment="1" applyProtection="1">
      <alignment horizontal="center" vertical="center"/>
      <protection hidden="1"/>
    </xf>
    <xf numFmtId="169" fontId="0" fillId="5" borderId="19" xfId="0" applyNumberFormat="1" applyFill="1" applyBorder="1" applyAlignment="1" applyProtection="1">
      <alignment horizontal="center" vertical="center"/>
      <protection hidden="1"/>
    </xf>
    <xf numFmtId="0" fontId="0" fillId="5" borderId="8" xfId="0" applyFill="1" applyBorder="1" applyAlignment="1" applyProtection="1">
      <alignment horizontal="center" vertical="center"/>
      <protection hidden="1"/>
    </xf>
    <xf numFmtId="0" fontId="0" fillId="5" borderId="27" xfId="0" applyFill="1" applyBorder="1" applyAlignment="1" applyProtection="1">
      <alignment horizontal="center" vertical="center"/>
      <protection hidden="1"/>
    </xf>
    <xf numFmtId="0" fontId="41" fillId="0" borderId="0" xfId="0" applyFont="1" applyAlignment="1">
      <alignment horizontal="center"/>
    </xf>
    <xf numFmtId="0" fontId="39" fillId="5" borderId="4" xfId="0" applyFont="1" applyFill="1" applyBorder="1" applyAlignment="1">
      <alignment horizontal="center"/>
    </xf>
    <xf numFmtId="0" fontId="47" fillId="4" borderId="4" xfId="0" applyFont="1" applyFill="1" applyBorder="1" applyAlignment="1" applyProtection="1">
      <alignment horizontal="center" vertical="top" wrapText="1"/>
      <protection locked="0"/>
    </xf>
    <xf numFmtId="0" fontId="47" fillId="4" borderId="18" xfId="0" applyFont="1" applyFill="1" applyBorder="1" applyAlignment="1" applyProtection="1">
      <alignment horizontal="center" vertical="top" wrapText="1"/>
      <protection locked="0"/>
    </xf>
    <xf numFmtId="0" fontId="47" fillId="4" borderId="19" xfId="0" applyFont="1" applyFill="1" applyBorder="1" applyAlignment="1" applyProtection="1">
      <alignment horizontal="center" vertical="top" wrapText="1"/>
      <protection locked="0"/>
    </xf>
    <xf numFmtId="0" fontId="42" fillId="0" borderId="5" xfId="0" applyFont="1" applyBorder="1" applyAlignment="1" applyProtection="1">
      <alignment horizontal="left" vertical="top"/>
      <protection locked="0"/>
    </xf>
    <xf numFmtId="1" fontId="42" fillId="0" borderId="22" xfId="0" applyNumberFormat="1" applyFont="1" applyBorder="1" applyAlignment="1" applyProtection="1">
      <alignment horizontal="center"/>
      <protection locked="0"/>
    </xf>
    <xf numFmtId="1" fontId="42" fillId="0" borderId="5" xfId="0" applyNumberFormat="1" applyFont="1" applyBorder="1" applyAlignment="1" applyProtection="1">
      <alignment horizontal="center"/>
      <protection locked="0"/>
    </xf>
    <xf numFmtId="0" fontId="42" fillId="0" borderId="22" xfId="0" applyFont="1" applyBorder="1" applyAlignment="1">
      <alignment horizontal="left"/>
    </xf>
    <xf numFmtId="0" fontId="47" fillId="5" borderId="4" xfId="0" applyFont="1" applyFill="1" applyBorder="1" applyAlignment="1">
      <alignment horizontal="center"/>
    </xf>
    <xf numFmtId="0" fontId="42" fillId="8" borderId="4" xfId="0" applyFont="1" applyFill="1" applyBorder="1" applyAlignment="1" applyProtection="1">
      <alignment horizontal="left" vertical="top" wrapText="1"/>
      <protection locked="0"/>
    </xf>
    <xf numFmtId="0" fontId="42" fillId="0" borderId="4" xfId="0" applyFont="1" applyFill="1" applyBorder="1" applyAlignment="1" applyProtection="1">
      <alignment horizontal="left" vertical="top" wrapText="1"/>
      <protection locked="0"/>
    </xf>
    <xf numFmtId="0" fontId="0" fillId="0" borderId="16"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wrapText="1"/>
    </xf>
    <xf numFmtId="0" fontId="0" fillId="0" borderId="0" xfId="0" applyBorder="1" applyAlignment="1">
      <alignment horizontal="left" wrapText="1"/>
    </xf>
    <xf numFmtId="41" fontId="0" fillId="0" borderId="22" xfId="0" applyNumberFormat="1" applyBorder="1" applyAlignment="1" applyProtection="1">
      <alignment horizontal="center"/>
      <protection locked="0"/>
    </xf>
    <xf numFmtId="41" fontId="0" fillId="0" borderId="59" xfId="0" applyNumberFormat="1" applyBorder="1" applyAlignment="1" applyProtection="1">
      <alignment horizontal="center"/>
      <protection locked="0"/>
    </xf>
    <xf numFmtId="41" fontId="0" fillId="0" borderId="5" xfId="0" applyNumberFormat="1" applyBorder="1" applyAlignment="1" applyProtection="1">
      <alignment horizontal="center"/>
      <protection locked="0"/>
    </xf>
    <xf numFmtId="41" fontId="0" fillId="0" borderId="46" xfId="0" applyNumberFormat="1" applyBorder="1" applyAlignment="1" applyProtection="1">
      <alignment horizontal="center"/>
      <protection locked="0"/>
    </xf>
    <xf numFmtId="0" fontId="43" fillId="6" borderId="4" xfId="0" applyFont="1" applyFill="1" applyBorder="1" applyAlignment="1">
      <alignment horizontal="left" wrapText="1"/>
    </xf>
    <xf numFmtId="0" fontId="42" fillId="0" borderId="0" xfId="0" applyFont="1" applyBorder="1" applyAlignment="1">
      <alignment horizontal="center" wrapText="1"/>
    </xf>
    <xf numFmtId="0" fontId="42" fillId="0" borderId="2" xfId="0" applyFont="1" applyBorder="1" applyAlignment="1">
      <alignment horizontal="center" wrapText="1"/>
    </xf>
    <xf numFmtId="0" fontId="42" fillId="0" borderId="18" xfId="0" applyFont="1" applyBorder="1" applyAlignment="1" applyProtection="1">
      <alignment horizontal="center" vertical="top" wrapText="1"/>
    </xf>
    <xf numFmtId="0" fontId="42" fillId="0" borderId="19" xfId="0" applyFont="1" applyBorder="1" applyAlignment="1" applyProtection="1">
      <alignment horizontal="center" vertical="top" wrapText="1"/>
    </xf>
    <xf numFmtId="0" fontId="42" fillId="0" borderId="18" xfId="0" applyFont="1" applyBorder="1" applyAlignment="1" applyProtection="1">
      <alignment horizontal="center" vertical="top" wrapText="1"/>
      <protection locked="0"/>
    </xf>
    <xf numFmtId="0" fontId="42" fillId="0" borderId="19" xfId="0" applyFont="1" applyBorder="1" applyAlignment="1" applyProtection="1">
      <alignment horizontal="center" vertical="top" wrapText="1"/>
      <protection locked="0"/>
    </xf>
    <xf numFmtId="0" fontId="42" fillId="0" borderId="4" xfId="0" applyFont="1" applyFill="1" applyBorder="1" applyAlignment="1" applyProtection="1">
      <alignment horizontal="left" vertical="top" wrapText="1"/>
      <protection locked="0" hidden="1"/>
    </xf>
    <xf numFmtId="0" fontId="42" fillId="0" borderId="22" xfId="0" applyFont="1" applyBorder="1" applyAlignment="1" applyProtection="1">
      <alignment horizontal="left" vertical="top"/>
      <protection locked="0"/>
    </xf>
    <xf numFmtId="0" fontId="42" fillId="0" borderId="4" xfId="0" applyFont="1" applyFill="1" applyBorder="1" applyAlignment="1" applyProtection="1">
      <alignment horizontal="left" vertical="top" wrapText="1"/>
    </xf>
    <xf numFmtId="15" fontId="42" fillId="0" borderId="22" xfId="0" applyNumberFormat="1" applyFont="1" applyBorder="1" applyAlignment="1" applyProtection="1">
      <alignment horizontal="left" vertical="top"/>
      <protection locked="0"/>
    </xf>
    <xf numFmtId="0" fontId="42" fillId="0" borderId="22" xfId="0" applyFont="1" applyFill="1" applyBorder="1" applyAlignment="1" applyProtection="1">
      <alignment horizontal="left" vertical="top"/>
      <protection locked="0"/>
    </xf>
    <xf numFmtId="1" fontId="42" fillId="0" borderId="5" xfId="0" applyNumberFormat="1" applyFont="1" applyBorder="1" applyAlignment="1" applyProtection="1">
      <alignment horizontal="left" vertical="top"/>
      <protection locked="0"/>
    </xf>
    <xf numFmtId="0" fontId="0" fillId="0" borderId="0" xfId="0" applyAlignment="1">
      <alignment horizontal="justify" wrapText="1"/>
    </xf>
    <xf numFmtId="0" fontId="0" fillId="0" borderId="0" xfId="0" applyNumberFormat="1" applyAlignment="1">
      <alignment horizontal="left"/>
    </xf>
    <xf numFmtId="0" fontId="0" fillId="0" borderId="0" xfId="0" applyAlignment="1">
      <alignment horizontal="left"/>
    </xf>
    <xf numFmtId="0" fontId="61" fillId="0" borderId="0" xfId="0" applyFont="1" applyFill="1" applyAlignment="1">
      <alignment horizontal="left"/>
    </xf>
    <xf numFmtId="0" fontId="0" fillId="0" borderId="0" xfId="0" applyFont="1" applyAlignment="1">
      <alignment horizontal="left"/>
    </xf>
    <xf numFmtId="0" fontId="0" fillId="0" borderId="0" xfId="0" applyAlignment="1">
      <alignment horizontal="justify" vertical="top" wrapText="1"/>
    </xf>
    <xf numFmtId="0" fontId="0" fillId="0" borderId="0" xfId="0" applyAlignment="1">
      <alignment horizontal="left" vertical="top"/>
    </xf>
    <xf numFmtId="10" fontId="0" fillId="0" borderId="0" xfId="0" applyNumberFormat="1" applyAlignment="1" applyProtection="1">
      <alignment horizontal="left"/>
      <protection locked="0" hidden="1"/>
    </xf>
    <xf numFmtId="0" fontId="0" fillId="0" borderId="0" xfId="0" applyAlignment="1" applyProtection="1">
      <alignment horizontal="left"/>
      <protection locked="0" hidden="1"/>
    </xf>
    <xf numFmtId="164" fontId="0" fillId="0" borderId="0" xfId="0" applyNumberFormat="1" applyAlignment="1" applyProtection="1">
      <alignment horizontal="left"/>
      <protection locked="0" hidden="1"/>
    </xf>
    <xf numFmtId="168" fontId="0" fillId="0" borderId="22" xfId="0" applyNumberFormat="1" applyBorder="1" applyAlignment="1" applyProtection="1">
      <alignment horizontal="center"/>
      <protection locked="0" hidden="1"/>
    </xf>
    <xf numFmtId="0" fontId="0" fillId="0" borderId="0" xfId="0" applyAlignment="1" applyProtection="1">
      <alignment horizontal="left" vertical="top" wrapText="1"/>
      <protection locked="0" hidden="1"/>
    </xf>
    <xf numFmtId="0" fontId="36" fillId="0" borderId="0" xfId="0" applyFont="1" applyAlignment="1">
      <alignment horizontal="left" vertical="top" wrapText="1"/>
    </xf>
    <xf numFmtId="0" fontId="0" fillId="0" borderId="0" xfId="0" applyFont="1" applyAlignment="1">
      <alignment horizontal="left" vertical="top" wrapText="1"/>
    </xf>
    <xf numFmtId="0" fontId="0" fillId="0" borderId="0" xfId="0" quotePrefix="1" applyAlignment="1" applyProtection="1">
      <alignment horizontal="left"/>
      <protection locked="0" hidden="1"/>
    </xf>
    <xf numFmtId="0" fontId="0" fillId="0" borderId="0" xfId="0" applyAlignment="1" applyProtection="1">
      <alignment horizontal="center"/>
      <protection locked="0" hidden="1"/>
    </xf>
    <xf numFmtId="41" fontId="0" fillId="0" borderId="0" xfId="0" applyNumberFormat="1" applyAlignment="1">
      <alignment horizontal="left" vertical="top"/>
    </xf>
    <xf numFmtId="0" fontId="0" fillId="0" borderId="0" xfId="0" applyNumberFormat="1" applyAlignment="1">
      <alignment horizontal="left" vertical="top"/>
    </xf>
    <xf numFmtId="41" fontId="0" fillId="0" borderId="0" xfId="0" applyNumberFormat="1" applyAlignment="1">
      <alignment horizontal="left"/>
    </xf>
    <xf numFmtId="0" fontId="0" fillId="0" borderId="22" xfId="0" applyBorder="1" applyAlignment="1" applyProtection="1">
      <alignment horizontal="center"/>
      <protection locked="0" hidden="1"/>
    </xf>
    <xf numFmtId="168" fontId="0" fillId="0" borderId="5" xfId="0" applyNumberFormat="1" applyBorder="1" applyAlignment="1" applyProtection="1">
      <alignment horizontal="center"/>
      <protection locked="0" hidden="1"/>
    </xf>
    <xf numFmtId="0" fontId="0" fillId="9" borderId="0" xfId="0" applyFill="1" applyAlignment="1">
      <alignment horizontal="left" wrapText="1"/>
    </xf>
    <xf numFmtId="0" fontId="0" fillId="0" borderId="0" xfId="0" applyAlignment="1">
      <alignment horizontal="left" vertical="top" wrapText="1"/>
    </xf>
    <xf numFmtId="0" fontId="0" fillId="0" borderId="0" xfId="0" quotePrefix="1" applyAlignment="1">
      <alignment horizontal="left" wrapText="1"/>
    </xf>
    <xf numFmtId="0" fontId="0" fillId="0" borderId="0" xfId="0" applyAlignment="1">
      <alignment horizontal="left" wrapText="1"/>
    </xf>
    <xf numFmtId="0" fontId="0" fillId="0" borderId="0" xfId="0" applyAlignment="1">
      <alignment horizontal="center" wrapText="1"/>
    </xf>
    <xf numFmtId="0" fontId="37" fillId="8" borderId="0" xfId="0" applyFont="1" applyFill="1" applyAlignment="1">
      <alignment horizontal="left"/>
    </xf>
    <xf numFmtId="0" fontId="0" fillId="0" borderId="0" xfId="0" quotePrefix="1" applyAlignment="1">
      <alignment horizontal="left"/>
    </xf>
    <xf numFmtId="10"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center"/>
    </xf>
    <xf numFmtId="0" fontId="0" fillId="0" borderId="22" xfId="0" applyBorder="1" applyAlignment="1">
      <alignment horizontal="center"/>
    </xf>
    <xf numFmtId="168" fontId="0" fillId="0" borderId="5" xfId="0" applyNumberFormat="1" applyBorder="1" applyAlignment="1">
      <alignment horizontal="center"/>
    </xf>
    <xf numFmtId="168" fontId="0" fillId="0" borderId="22" xfId="0" applyNumberFormat="1" applyBorder="1" applyAlignment="1">
      <alignment horizontal="center"/>
    </xf>
    <xf numFmtId="0" fontId="0" fillId="4" borderId="0" xfId="0" applyFill="1" applyAlignment="1">
      <alignment horizontal="center"/>
    </xf>
    <xf numFmtId="0" fontId="0" fillId="4" borderId="0" xfId="0" applyFill="1" applyAlignment="1">
      <alignment horizontal="left" wrapText="1"/>
    </xf>
    <xf numFmtId="0" fontId="0" fillId="4" borderId="0" xfId="0" applyFill="1" applyBorder="1" applyAlignment="1">
      <alignment horizontal="left"/>
    </xf>
    <xf numFmtId="0" fontId="0" fillId="4" borderId="9" xfId="0" applyFill="1" applyBorder="1" applyAlignment="1">
      <alignment horizontal="left"/>
    </xf>
    <xf numFmtId="0" fontId="0" fillId="4" borderId="22" xfId="0" applyFill="1" applyBorder="1" applyAlignment="1">
      <alignment horizontal="center"/>
    </xf>
    <xf numFmtId="0" fontId="0" fillId="4" borderId="5" xfId="0" applyFill="1" applyBorder="1" applyAlignment="1">
      <alignment horizontal="center"/>
    </xf>
    <xf numFmtId="0" fontId="0" fillId="4" borderId="0" xfId="0" applyFill="1" applyAlignment="1">
      <alignment horizontal="left" vertical="top" wrapText="1"/>
    </xf>
    <xf numFmtId="0" fontId="0" fillId="4" borderId="22" xfId="0" applyFill="1" applyBorder="1" applyAlignment="1">
      <alignment horizontal="left" vertical="top" wrapText="1"/>
    </xf>
    <xf numFmtId="0" fontId="49" fillId="0" borderId="0" xfId="0" applyFont="1" applyAlignment="1">
      <alignment horizontal="center" vertical="top"/>
    </xf>
    <xf numFmtId="0" fontId="96" fillId="0" borderId="0" xfId="0" applyFont="1" applyFill="1" applyBorder="1" applyAlignment="1">
      <alignment horizontal="center"/>
    </xf>
    <xf numFmtId="0" fontId="49" fillId="0" borderId="0" xfId="0" applyFont="1" applyFill="1" applyBorder="1" applyAlignment="1">
      <alignment horizontal="center" vertical="top"/>
    </xf>
    <xf numFmtId="0" fontId="59" fillId="0" borderId="0" xfId="0" applyFont="1" applyAlignment="1">
      <alignment horizontal="center" vertical="top"/>
    </xf>
    <xf numFmtId="0" fontId="96" fillId="0" borderId="0" xfId="0" applyFont="1" applyAlignment="1">
      <alignment horizontal="center"/>
    </xf>
    <xf numFmtId="0" fontId="42" fillId="18" borderId="0" xfId="0" applyFont="1" applyFill="1" applyBorder="1" applyAlignment="1">
      <alignment horizontal="center" vertical="top" wrapText="1"/>
    </xf>
  </cellXfs>
  <cellStyles count="10">
    <cellStyle name="Comma" xfId="1" builtinId="3"/>
    <cellStyle name="Comma [0]" xfId="2" builtinId="6"/>
    <cellStyle name="Comma 2" xfId="3"/>
    <cellStyle name="Hyperlink" xfId="4" builtinId="8"/>
    <cellStyle name="Normal" xfId="0" builtinId="0"/>
    <cellStyle name="Normal 2" xfId="5"/>
    <cellStyle name="Normal 2 2" xfId="6"/>
    <cellStyle name="Normal 3" xfId="7"/>
    <cellStyle name="Normal_Mapping BDI Code" xfId="8"/>
    <cellStyle name="Percent" xfId="9" builtinId="5"/>
  </cellStyles>
  <dxfs count="809">
    <dxf>
      <font>
        <color theme="1"/>
      </font>
    </dxf>
    <dxf>
      <font>
        <color auto="1"/>
      </font>
      <border>
        <bottom style="thin">
          <color indexed="64"/>
        </bottom>
      </border>
    </dxf>
    <dxf>
      <font>
        <color theme="0"/>
      </font>
      <border>
        <left/>
        <right/>
        <top/>
        <bottom/>
      </border>
    </dxf>
    <dxf>
      <font>
        <color auto="1"/>
      </font>
      <border>
        <bottom style="thin">
          <color indexed="64"/>
        </bottom>
      </border>
    </dxf>
    <dxf>
      <font>
        <color theme="0"/>
      </font>
      <border>
        <left/>
        <right/>
        <top/>
        <bottom/>
      </border>
    </dxf>
    <dxf>
      <font>
        <color auto="1"/>
      </font>
      <border>
        <bottom style="thin">
          <color indexed="64"/>
        </bottom>
      </border>
    </dxf>
    <dxf>
      <font>
        <color theme="0"/>
      </font>
      <border>
        <left/>
        <right/>
        <top/>
        <bottom/>
      </border>
    </dxf>
    <dxf>
      <font>
        <color auto="1"/>
      </font>
      <border>
        <bottom style="thin">
          <color indexed="64"/>
        </bottom>
      </border>
    </dxf>
    <dxf>
      <font>
        <color theme="0"/>
      </font>
      <border>
        <left/>
        <right/>
        <top/>
        <bottom/>
      </border>
    </dxf>
    <dxf>
      <font>
        <color auto="1"/>
      </font>
      <border>
        <bottom style="thin">
          <color indexed="64"/>
        </bottom>
      </border>
    </dxf>
    <dxf>
      <font>
        <color theme="0"/>
      </font>
      <border>
        <left/>
        <right/>
        <top/>
        <bottom/>
      </border>
    </dxf>
    <dxf>
      <font>
        <color auto="1"/>
      </font>
      <border>
        <bottom style="thin">
          <color indexed="64"/>
        </bottom>
      </border>
    </dxf>
    <dxf>
      <font>
        <color theme="0"/>
      </font>
      <border>
        <left/>
        <right/>
        <top/>
        <bottom/>
      </border>
    </dxf>
    <dxf>
      <font>
        <color auto="1"/>
      </font>
      <border>
        <bottom style="thin">
          <color indexed="64"/>
        </bottom>
      </border>
    </dxf>
    <dxf>
      <font>
        <color theme="0"/>
      </font>
      <border>
        <left/>
        <right/>
        <top/>
        <bottom/>
      </border>
    </dxf>
    <dxf>
      <font>
        <color auto="1"/>
      </font>
    </dxf>
    <dxf>
      <font>
        <color theme="0"/>
      </font>
    </dxf>
    <dxf>
      <font>
        <color theme="1"/>
      </font>
    </dxf>
    <dxf>
      <font>
        <color theme="1"/>
      </font>
    </dxf>
    <dxf>
      <font>
        <color auto="1"/>
      </font>
    </dxf>
    <dxf>
      <font>
        <color theme="0"/>
      </font>
    </dxf>
    <dxf>
      <font>
        <color theme="1"/>
      </font>
    </dxf>
    <dxf>
      <font>
        <color theme="1"/>
      </font>
    </dxf>
    <dxf>
      <font>
        <color auto="1"/>
      </font>
    </dxf>
    <dxf>
      <font>
        <color theme="0"/>
      </font>
    </dxf>
    <dxf>
      <font>
        <color theme="1"/>
      </font>
    </dxf>
    <dxf>
      <font>
        <color theme="1"/>
      </font>
    </dxf>
    <dxf>
      <font>
        <color auto="1"/>
      </font>
    </dxf>
    <dxf>
      <font>
        <color theme="0"/>
      </font>
    </dxf>
    <dxf>
      <font>
        <color theme="1"/>
      </font>
    </dxf>
    <dxf>
      <font>
        <color theme="1"/>
      </font>
    </dxf>
    <dxf>
      <font>
        <color auto="1"/>
      </font>
    </dxf>
    <dxf>
      <font>
        <color theme="0"/>
      </font>
    </dxf>
    <dxf>
      <font>
        <color theme="1"/>
      </font>
    </dxf>
    <dxf>
      <font>
        <color auto="1"/>
      </font>
    </dxf>
    <dxf>
      <font>
        <color theme="0"/>
      </font>
    </dxf>
    <dxf>
      <font>
        <color auto="1"/>
      </font>
    </dxf>
    <dxf>
      <font>
        <color theme="1"/>
      </font>
    </dxf>
    <dxf>
      <font>
        <color auto="1"/>
      </font>
    </dxf>
    <dxf>
      <font>
        <color theme="1"/>
      </font>
    </dxf>
    <dxf>
      <font>
        <color auto="1"/>
      </font>
    </dxf>
    <dxf>
      <font>
        <color theme="1"/>
      </font>
    </dxf>
    <dxf>
      <font>
        <color auto="1"/>
      </font>
    </dxf>
    <dxf>
      <font>
        <color theme="1"/>
      </font>
    </dxf>
    <dxf>
      <font>
        <color auto="1"/>
      </font>
    </dxf>
    <dxf>
      <font>
        <color theme="1"/>
      </font>
    </dxf>
    <dxf>
      <font>
        <color auto="1"/>
      </font>
    </dxf>
    <dxf>
      <font>
        <color theme="1"/>
      </font>
    </dxf>
    <dxf>
      <font>
        <color theme="1"/>
      </font>
    </dxf>
    <dxf>
      <font>
        <color theme="0" tint="-0.14996795556505021"/>
      </font>
    </dxf>
    <dxf>
      <font>
        <color theme="0" tint="-0.14996795556505021"/>
      </font>
    </dxf>
    <dxf>
      <font>
        <color theme="0" tint="-0.14996795556505021"/>
      </font>
    </dxf>
    <dxf>
      <font>
        <color theme="0"/>
      </font>
    </dxf>
    <dxf>
      <font>
        <color theme="0"/>
      </font>
    </dxf>
    <dxf>
      <font>
        <color theme="0"/>
      </font>
    </dxf>
    <dxf>
      <font>
        <color theme="0" tint="-0.14996795556505021"/>
      </font>
    </dxf>
    <dxf>
      <font>
        <color theme="0" tint="-0.14996795556505021"/>
      </font>
    </dxf>
    <dxf>
      <font>
        <color theme="0" tint="-0.14996795556505021"/>
      </font>
    </dxf>
    <dxf>
      <font>
        <color theme="0" tint="-0.14996795556505021"/>
      </font>
    </dxf>
    <dxf>
      <font>
        <color theme="0"/>
      </font>
    </dxf>
    <dxf>
      <font>
        <color theme="0"/>
      </font>
    </dxf>
    <dxf>
      <font>
        <color theme="0"/>
      </font>
    </dxf>
    <dxf>
      <font>
        <color theme="0"/>
      </font>
    </dxf>
    <dxf>
      <font>
        <color theme="0"/>
      </font>
      <fill>
        <patternFill patternType="none">
          <bgColor indexed="65"/>
        </patternFill>
      </fill>
      <border>
        <left/>
        <right/>
        <top/>
        <bottom/>
      </border>
    </dxf>
    <dxf>
      <font>
        <color theme="0"/>
      </font>
      <fill>
        <patternFill patternType="none">
          <bgColor indexed="65"/>
        </patternFill>
      </fill>
      <border>
        <left/>
        <right/>
        <top/>
        <bottom/>
      </border>
    </dxf>
    <dxf>
      <font>
        <color theme="0"/>
      </font>
      <fill>
        <patternFill patternType="none">
          <bgColor indexed="65"/>
        </patternFill>
      </fill>
      <border>
        <left/>
        <right/>
        <top style="thin">
          <color indexed="64"/>
        </top>
        <bottom/>
      </border>
    </dxf>
    <dxf>
      <font>
        <color theme="0" tint="-0.14996795556505021"/>
      </font>
    </dxf>
    <dxf>
      <font>
        <color theme="0" tint="-0.14996795556505021"/>
      </font>
    </dxf>
    <dxf>
      <font>
        <color theme="0" tint="-0.14996795556505021"/>
      </font>
    </dxf>
    <dxf>
      <font>
        <color theme="0" tint="-0.14996795556505021"/>
      </font>
    </dxf>
    <dxf>
      <fill>
        <patternFill>
          <bgColor rgb="FF66FF99"/>
        </patternFill>
      </fill>
    </dxf>
    <dxf>
      <font>
        <color theme="0"/>
      </font>
      <fill>
        <patternFill>
          <bgColor rgb="FFFF0000"/>
        </patternFill>
      </fill>
    </dxf>
    <dxf>
      <fill>
        <patternFill>
          <bgColor rgb="FF66FF99"/>
        </patternFill>
      </fill>
    </dxf>
    <dxf>
      <font>
        <color theme="0"/>
      </font>
      <fill>
        <patternFill>
          <bgColor rgb="FFFF0000"/>
        </patternFill>
      </fill>
    </dxf>
    <dxf>
      <fill>
        <patternFill>
          <bgColor rgb="FF00FF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ont>
        <color theme="0"/>
      </font>
    </dxf>
    <dxf>
      <font>
        <color auto="1"/>
      </font>
      <fill>
        <patternFill patternType="solid">
          <fgColor indexed="64"/>
          <bgColor rgb="FFFFFF00"/>
        </patternFill>
      </fill>
    </dxf>
    <dxf>
      <font>
        <color theme="0"/>
      </font>
    </dxf>
    <dxf>
      <font>
        <color theme="0"/>
      </font>
      <fill>
        <patternFill>
          <bgColor theme="0"/>
        </patternFill>
      </fill>
      <border>
        <right style="thin">
          <color theme="0"/>
        </right>
        <top style="thin">
          <color theme="0"/>
        </top>
        <bottom style="thin">
          <color theme="0"/>
        </bottom>
      </border>
    </dxf>
    <dxf>
      <font>
        <color theme="0"/>
      </font>
      <border>
        <left/>
        <right/>
        <top/>
        <bottom/>
      </border>
    </dxf>
    <dxf>
      <font>
        <color auto="1"/>
      </font>
    </dxf>
    <dxf>
      <font>
        <color theme="0"/>
      </font>
      <border>
        <left/>
        <right/>
        <top/>
        <bottom/>
      </border>
    </dxf>
    <dxf>
      <font>
        <color theme="0"/>
      </font>
      <fill>
        <patternFill>
          <bgColor rgb="FFFF0000"/>
        </patternFill>
      </fill>
    </dxf>
    <dxf>
      <fill>
        <patternFill>
          <bgColor rgb="FF00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8BD21D30-EC42-11CE-9E0D-00AA006002F3}" ax:persistence="persistStreamInit" r:id="rId1"/>
</file>

<file path=xl/activeX/activeX1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8BD21D30-EC42-11CE-9E0D-00AA006002F3}" ax:persistence="persistStreamInit" r:id="rId1"/>
</file>

<file path=xl/activeX/activeX5.xml><?xml version="1.0" encoding="utf-8"?>
<ax:ocx xmlns:ax="http://schemas.microsoft.com/office/2006/activeX" xmlns:r="http://schemas.openxmlformats.org/officeDocument/2006/relationships" ax:classid="{8BD21D30-EC42-11CE-9E0D-00AA006002F3}" ax:persistence="persistStreamInit" r:id="rId1"/>
</file>

<file path=xl/activeX/activeX6.xml><?xml version="1.0" encoding="utf-8"?>
<ax:ocx xmlns:ax="http://schemas.microsoft.com/office/2006/activeX" xmlns:r="http://schemas.openxmlformats.org/officeDocument/2006/relationships" ax:classid="{8BD21D30-EC42-11CE-9E0D-00AA006002F3}" ax:persistence="persistStreamInit" r:id="rId1"/>
</file>

<file path=xl/activeX/activeX7.xml><?xml version="1.0" encoding="utf-8"?>
<ax:ocx xmlns:ax="http://schemas.microsoft.com/office/2006/activeX" xmlns:r="http://schemas.openxmlformats.org/officeDocument/2006/relationships" ax:classid="{8BD21D30-EC42-11CE-9E0D-00AA006002F3}" ax:persistence="persistStreamInit" r:id="rId1"/>
</file>

<file path=xl/activeX/activeX8.xml><?xml version="1.0" encoding="utf-8"?>
<ax:ocx xmlns:ax="http://schemas.microsoft.com/office/2006/activeX" xmlns:r="http://schemas.openxmlformats.org/officeDocument/2006/relationships" ax:classid="{8BD21D30-EC42-11CE-9E0D-00AA006002F3}" ax:persistence="persistStreamInit" r:id="rId1"/>
</file>

<file path=xl/activeX/activeX9.xml><?xml version="1.0" encoding="utf-8"?>
<ax:ocx xmlns:ax="http://schemas.microsoft.com/office/2006/activeX" xmlns:r="http://schemas.openxmlformats.org/officeDocument/2006/relationships" ax:classid="{8BD21D30-EC42-11CE-9E0D-00AA006002F3}" ax:persistence="persistStreamInit" r:id="rId1"/>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14.emf"/><Relationship Id="rId1" Type="http://schemas.openxmlformats.org/officeDocument/2006/relationships/image" Target="../media/image1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4.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4.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5.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1" Type="http://schemas.openxmlformats.org/officeDocument/2006/relationships/image" Target="../media/image7.jpeg"/></Relationships>
</file>

<file path=xl/drawings/_rels/drawing6.xml.rels><?xml version="1.0" encoding="UTF-8" standalone="yes"?>
<Relationships xmlns="http://schemas.openxmlformats.org/package/2006/relationships"><Relationship Id="rId1" Type="http://schemas.openxmlformats.org/officeDocument/2006/relationships/image" Target="../media/image8.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1" Type="http://schemas.openxmlformats.org/officeDocument/2006/relationships/image" Target="../media/image9.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2.emf"/></Relationships>
</file>

<file path=xl/drawings/_rels/vmlDrawing7.vml.rels><?xml version="1.0" encoding="UTF-8" standalone="yes"?>
<Relationships xmlns="http://schemas.openxmlformats.org/package/2006/relationships"><Relationship Id="rId3" Type="http://schemas.openxmlformats.org/officeDocument/2006/relationships/image" Target="../media/image19.emf"/><Relationship Id="rId7" Type="http://schemas.openxmlformats.org/officeDocument/2006/relationships/image" Target="../media/image15.emf"/><Relationship Id="rId2" Type="http://schemas.openxmlformats.org/officeDocument/2006/relationships/image" Target="../media/image20.emf"/><Relationship Id="rId1" Type="http://schemas.openxmlformats.org/officeDocument/2006/relationships/image" Target="../media/image21.emf"/><Relationship Id="rId6" Type="http://schemas.openxmlformats.org/officeDocument/2006/relationships/image" Target="../media/image16.emf"/><Relationship Id="rId5" Type="http://schemas.openxmlformats.org/officeDocument/2006/relationships/image" Target="../media/image17.emf"/><Relationship Id="rId4" Type="http://schemas.openxmlformats.org/officeDocument/2006/relationships/image" Target="../media/image18.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3.emf"/></Relationships>
</file>

<file path=xl/drawings/drawing1.xml><?xml version="1.0" encoding="utf-8"?>
<xdr:wsDr xmlns:xdr="http://schemas.openxmlformats.org/drawingml/2006/spreadsheetDrawing" xmlns:a="http://schemas.openxmlformats.org/drawingml/2006/main">
  <xdr:twoCellAnchor>
    <xdr:from>
      <xdr:col>15</xdr:col>
      <xdr:colOff>800100</xdr:colOff>
      <xdr:row>1</xdr:row>
      <xdr:rowOff>57150</xdr:rowOff>
    </xdr:from>
    <xdr:to>
      <xdr:col>17</xdr:col>
      <xdr:colOff>0</xdr:colOff>
      <xdr:row>1</xdr:row>
      <xdr:rowOff>419100</xdr:rowOff>
    </xdr:to>
    <xdr:pic>
      <xdr:nvPicPr>
        <xdr:cNvPr id="115746" name="Picture 1" descr="Logo btpn -abu - Copy"/>
        <xdr:cNvPicPr>
          <a:picLocks noChangeAspect="1" noChangeArrowheads="1"/>
        </xdr:cNvPicPr>
      </xdr:nvPicPr>
      <xdr:blipFill>
        <a:blip xmlns:r="http://schemas.openxmlformats.org/officeDocument/2006/relationships" r:embed="rId1" cstate="print"/>
        <a:srcRect/>
        <a:stretch>
          <a:fillRect/>
        </a:stretch>
      </xdr:blipFill>
      <xdr:spPr bwMode="auto">
        <a:xfrm>
          <a:off x="14859000" y="1066800"/>
          <a:ext cx="1038225" cy="36195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2</xdr:col>
          <xdr:colOff>85725</xdr:colOff>
          <xdr:row>79</xdr:row>
          <xdr:rowOff>28575</xdr:rowOff>
        </xdr:from>
        <xdr:to>
          <xdr:col>3</xdr:col>
          <xdr:colOff>514350</xdr:colOff>
          <xdr:row>79</xdr:row>
          <xdr:rowOff>352425</xdr:rowOff>
        </xdr:to>
        <xdr:sp macro="" textlink="">
          <xdr:nvSpPr>
            <xdr:cNvPr id="14951" name="BIR_hide" hidden="1">
              <a:extLst>
                <a:ext uri="{63B3BB69-23CF-44E3-9099-C40C66FF867C}">
                  <a14:compatExt spid="_x0000_s14951"/>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9</xdr:col>
      <xdr:colOff>571500</xdr:colOff>
      <xdr:row>1</xdr:row>
      <xdr:rowOff>38100</xdr:rowOff>
    </xdr:from>
    <xdr:to>
      <xdr:col>11</xdr:col>
      <xdr:colOff>104775</xdr:colOff>
      <xdr:row>1</xdr:row>
      <xdr:rowOff>466725</xdr:rowOff>
    </xdr:to>
    <xdr:pic>
      <xdr:nvPicPr>
        <xdr:cNvPr id="110151" name="Picture 1" descr="Logo btpn -abu - Copy"/>
        <xdr:cNvPicPr>
          <a:picLocks noChangeAspect="1" noChangeArrowheads="1"/>
        </xdr:cNvPicPr>
      </xdr:nvPicPr>
      <xdr:blipFill>
        <a:blip xmlns:r="http://schemas.openxmlformats.org/officeDocument/2006/relationships" r:embed="rId1" cstate="print"/>
        <a:srcRect/>
        <a:stretch>
          <a:fillRect/>
        </a:stretch>
      </xdr:blipFill>
      <xdr:spPr bwMode="auto">
        <a:xfrm>
          <a:off x="9172575" y="200025"/>
          <a:ext cx="1095375" cy="428625"/>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11205</xdr:colOff>
      <xdr:row>70</xdr:row>
      <xdr:rowOff>392206</xdr:rowOff>
    </xdr:from>
    <xdr:to>
      <xdr:col>3</xdr:col>
      <xdr:colOff>784410</xdr:colOff>
      <xdr:row>71</xdr:row>
      <xdr:rowOff>4693</xdr:rowOff>
    </xdr:to>
    <xdr:pic>
      <xdr:nvPicPr>
        <xdr:cNvPr id="2" name="Picture 1"/>
        <xdr:cNvPicPr/>
      </xdr:nvPicPr>
      <xdr:blipFill>
        <a:blip xmlns:r="http://schemas.openxmlformats.org/officeDocument/2006/relationships" r:embed="rId1"/>
        <a:srcRect l="16386" t="60724" r="60080" b="30468"/>
        <a:stretch>
          <a:fillRect/>
        </a:stretch>
      </xdr:blipFill>
      <xdr:spPr bwMode="auto">
        <a:xfrm>
          <a:off x="526676" y="8594912"/>
          <a:ext cx="2274793" cy="508958"/>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26</xdr:col>
          <xdr:colOff>142875</xdr:colOff>
          <xdr:row>265</xdr:row>
          <xdr:rowOff>190500</xdr:rowOff>
        </xdr:from>
        <xdr:to>
          <xdr:col>29</xdr:col>
          <xdr:colOff>133350</xdr:colOff>
          <xdr:row>265</xdr:row>
          <xdr:rowOff>514350</xdr:rowOff>
        </xdr:to>
        <xdr:sp macro="" textlink="">
          <xdr:nvSpPr>
            <xdr:cNvPr id="29752" name="Hide_button" hidden="1">
              <a:extLst>
                <a:ext uri="{63B3BB69-23CF-44E3-9099-C40C66FF867C}">
                  <a14:compatExt spid="_x0000_s297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123825</xdr:colOff>
          <xdr:row>263</xdr:row>
          <xdr:rowOff>152400</xdr:rowOff>
        </xdr:from>
        <xdr:to>
          <xdr:col>29</xdr:col>
          <xdr:colOff>114300</xdr:colOff>
          <xdr:row>265</xdr:row>
          <xdr:rowOff>95250</xdr:rowOff>
        </xdr:to>
        <xdr:sp macro="" textlink="">
          <xdr:nvSpPr>
            <xdr:cNvPr id="29753" name="Auto_fit" hidden="1">
              <a:extLst>
                <a:ext uri="{63B3BB69-23CF-44E3-9099-C40C66FF867C}">
                  <a14:compatExt spid="_x0000_s29753"/>
                </a:ext>
              </a:extLst>
            </xdr:cNvPr>
            <xdr:cNvSpPr/>
          </xdr:nvSpPr>
          <xdr:spPr>
            <a:xfrm>
              <a:off x="0" y="0"/>
              <a:ext cx="0" cy="0"/>
            </a:xfrm>
            <a:prstGeom prst="rect">
              <a:avLst/>
            </a:prstGeom>
          </xdr:spPr>
        </xdr:sp>
        <xdr:clientData/>
      </xdr:twoCellAnchor>
    </mc:Choice>
    <mc:Fallback/>
  </mc:AlternateContent>
  <xdr:twoCellAnchor>
    <xdr:from>
      <xdr:col>3</xdr:col>
      <xdr:colOff>89647</xdr:colOff>
      <xdr:row>60</xdr:row>
      <xdr:rowOff>100853</xdr:rowOff>
    </xdr:from>
    <xdr:to>
      <xdr:col>4</xdr:col>
      <xdr:colOff>33618</xdr:colOff>
      <xdr:row>60</xdr:row>
      <xdr:rowOff>134471</xdr:rowOff>
    </xdr:to>
    <xdr:cxnSp macro="">
      <xdr:nvCxnSpPr>
        <xdr:cNvPr id="4" name="Straight Connector 3"/>
        <xdr:cNvCxnSpPr/>
      </xdr:nvCxnSpPr>
      <xdr:spPr>
        <a:xfrm>
          <a:off x="2106706" y="6533029"/>
          <a:ext cx="1255059" cy="3361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95250</xdr:colOff>
      <xdr:row>118</xdr:row>
      <xdr:rowOff>1914526</xdr:rowOff>
    </xdr:from>
    <xdr:to>
      <xdr:col>8</xdr:col>
      <xdr:colOff>972534</xdr:colOff>
      <xdr:row>118</xdr:row>
      <xdr:rowOff>2676525</xdr:rowOff>
    </xdr:to>
    <xdr:pic>
      <xdr:nvPicPr>
        <xdr:cNvPr id="11" name="Picture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1450301"/>
          <a:ext cx="8021034" cy="761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8</xdr:col>
      <xdr:colOff>1447800</xdr:colOff>
      <xdr:row>1</xdr:row>
      <xdr:rowOff>85725</xdr:rowOff>
    </xdr:from>
    <xdr:to>
      <xdr:col>9</xdr:col>
      <xdr:colOff>1371600</xdr:colOff>
      <xdr:row>3</xdr:row>
      <xdr:rowOff>95250</xdr:rowOff>
    </xdr:to>
    <xdr:pic>
      <xdr:nvPicPr>
        <xdr:cNvPr id="61081" name="Picture 1" descr="Logo btpn -abu - Copy"/>
        <xdr:cNvPicPr>
          <a:picLocks noChangeAspect="1" noChangeArrowheads="1"/>
        </xdr:cNvPicPr>
      </xdr:nvPicPr>
      <xdr:blipFill>
        <a:blip xmlns:r="http://schemas.openxmlformats.org/officeDocument/2006/relationships" r:embed="rId1" cstate="print"/>
        <a:srcRect/>
        <a:stretch>
          <a:fillRect/>
        </a:stretch>
      </xdr:blipFill>
      <xdr:spPr bwMode="auto">
        <a:xfrm>
          <a:off x="13525500" y="247650"/>
          <a:ext cx="1457325" cy="6858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2</xdr:col>
          <xdr:colOff>1428750</xdr:colOff>
          <xdr:row>37</xdr:row>
          <xdr:rowOff>76200</xdr:rowOff>
        </xdr:from>
        <xdr:to>
          <xdr:col>3</xdr:col>
          <xdr:colOff>9525</xdr:colOff>
          <xdr:row>37</xdr:row>
          <xdr:rowOff>238125</xdr:rowOff>
        </xdr:to>
        <xdr:sp macro="" textlink="">
          <xdr:nvSpPr>
            <xdr:cNvPr id="60506" name="ComboBox1" hidden="1">
              <a:extLst>
                <a:ext uri="{63B3BB69-23CF-44E3-9099-C40C66FF867C}">
                  <a14:compatExt spid="_x0000_s605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1390650</xdr:colOff>
          <xdr:row>37</xdr:row>
          <xdr:rowOff>76200</xdr:rowOff>
        </xdr:from>
        <xdr:to>
          <xdr:col>5</xdr:col>
          <xdr:colOff>9525</xdr:colOff>
          <xdr:row>37</xdr:row>
          <xdr:rowOff>238125</xdr:rowOff>
        </xdr:to>
        <xdr:sp macro="" textlink="">
          <xdr:nvSpPr>
            <xdr:cNvPr id="60507" name="ComboBox2" hidden="1">
              <a:extLst>
                <a:ext uri="{63B3BB69-23CF-44E3-9099-C40C66FF867C}">
                  <a14:compatExt spid="_x0000_s605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1381125</xdr:colOff>
          <xdr:row>37</xdr:row>
          <xdr:rowOff>66675</xdr:rowOff>
        </xdr:from>
        <xdr:to>
          <xdr:col>7</xdr:col>
          <xdr:colOff>9525</xdr:colOff>
          <xdr:row>37</xdr:row>
          <xdr:rowOff>228600</xdr:rowOff>
        </xdr:to>
        <xdr:sp macro="" textlink="">
          <xdr:nvSpPr>
            <xdr:cNvPr id="60508" name="ComboBox3" hidden="1">
              <a:extLst>
                <a:ext uri="{63B3BB69-23CF-44E3-9099-C40C66FF867C}">
                  <a14:compatExt spid="_x0000_s605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1400175</xdr:colOff>
          <xdr:row>37</xdr:row>
          <xdr:rowOff>76200</xdr:rowOff>
        </xdr:from>
        <xdr:to>
          <xdr:col>9</xdr:col>
          <xdr:colOff>19050</xdr:colOff>
          <xdr:row>37</xdr:row>
          <xdr:rowOff>238125</xdr:rowOff>
        </xdr:to>
        <xdr:sp macro="" textlink="">
          <xdr:nvSpPr>
            <xdr:cNvPr id="60509" name="ComboBox4" hidden="1">
              <a:extLst>
                <a:ext uri="{63B3BB69-23CF-44E3-9099-C40C66FF867C}">
                  <a14:compatExt spid="_x0000_s605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1428750</xdr:colOff>
          <xdr:row>54</xdr:row>
          <xdr:rowOff>114300</xdr:rowOff>
        </xdr:from>
        <xdr:to>
          <xdr:col>3</xdr:col>
          <xdr:colOff>9525</xdr:colOff>
          <xdr:row>54</xdr:row>
          <xdr:rowOff>276225</xdr:rowOff>
        </xdr:to>
        <xdr:sp macro="" textlink="">
          <xdr:nvSpPr>
            <xdr:cNvPr id="60510" name="ComboBox5" hidden="1">
              <a:extLst>
                <a:ext uri="{63B3BB69-23CF-44E3-9099-C40C66FF867C}">
                  <a14:compatExt spid="_x0000_s605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1381125</xdr:colOff>
          <xdr:row>54</xdr:row>
          <xdr:rowOff>114300</xdr:rowOff>
        </xdr:from>
        <xdr:to>
          <xdr:col>5</xdr:col>
          <xdr:colOff>9525</xdr:colOff>
          <xdr:row>54</xdr:row>
          <xdr:rowOff>276225</xdr:rowOff>
        </xdr:to>
        <xdr:sp macro="" textlink="">
          <xdr:nvSpPr>
            <xdr:cNvPr id="60511" name="ComboBox6" hidden="1">
              <a:extLst>
                <a:ext uri="{63B3BB69-23CF-44E3-9099-C40C66FF867C}">
                  <a14:compatExt spid="_x0000_s605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1390650</xdr:colOff>
          <xdr:row>54</xdr:row>
          <xdr:rowOff>114300</xdr:rowOff>
        </xdr:from>
        <xdr:to>
          <xdr:col>7</xdr:col>
          <xdr:colOff>19050</xdr:colOff>
          <xdr:row>54</xdr:row>
          <xdr:rowOff>276225</xdr:rowOff>
        </xdr:to>
        <xdr:sp macro="" textlink="">
          <xdr:nvSpPr>
            <xdr:cNvPr id="60512" name="ComboBox7" hidden="1">
              <a:extLst>
                <a:ext uri="{63B3BB69-23CF-44E3-9099-C40C66FF867C}">
                  <a14:compatExt spid="_x0000_s60512"/>
                </a:ext>
              </a:extLst>
            </xdr:cNvPr>
            <xdr:cNvSpPr/>
          </xdr:nvSpPr>
          <xdr:spPr>
            <a:xfrm>
              <a:off x="0" y="0"/>
              <a:ext cx="0" cy="0"/>
            </a:xfrm>
            <a:prstGeom prst="rect">
              <a:avLst/>
            </a:prstGeom>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2981325</xdr:colOff>
          <xdr:row>2</xdr:row>
          <xdr:rowOff>38100</xdr:rowOff>
        </xdr:from>
        <xdr:to>
          <xdr:col>3</xdr:col>
          <xdr:colOff>19050</xdr:colOff>
          <xdr:row>4</xdr:row>
          <xdr:rowOff>47625</xdr:rowOff>
        </xdr:to>
        <xdr:sp macro="" textlink="">
          <xdr:nvSpPr>
            <xdr:cNvPr id="27651" name="CommandButton1" hidden="1">
              <a:extLst>
                <a:ext uri="{63B3BB69-23CF-44E3-9099-C40C66FF867C}">
                  <a14:compatExt spid="_x0000_s27651"/>
                </a:ext>
              </a:extLst>
            </xdr:cNvPr>
            <xdr:cNvSpPr/>
          </xdr:nvSpPr>
          <xdr:spPr>
            <a:xfrm>
              <a:off x="0" y="0"/>
              <a:ext cx="0" cy="0"/>
            </a:xfrm>
            <a:prstGeom prst="rect">
              <a:avLst/>
            </a:prstGeom>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6</xdr:col>
      <xdr:colOff>1428750</xdr:colOff>
      <xdr:row>1</xdr:row>
      <xdr:rowOff>66675</xdr:rowOff>
    </xdr:from>
    <xdr:to>
      <xdr:col>6</xdr:col>
      <xdr:colOff>2686050</xdr:colOff>
      <xdr:row>2</xdr:row>
      <xdr:rowOff>133350</xdr:rowOff>
    </xdr:to>
    <xdr:pic>
      <xdr:nvPicPr>
        <xdr:cNvPr id="111119" name="Picture 1" descr="Logo btpn -abu - Copy"/>
        <xdr:cNvPicPr>
          <a:picLocks noChangeAspect="1" noChangeArrowheads="1"/>
        </xdr:cNvPicPr>
      </xdr:nvPicPr>
      <xdr:blipFill>
        <a:blip xmlns:r="http://schemas.openxmlformats.org/officeDocument/2006/relationships" r:embed="rId1" cstate="print"/>
        <a:srcRect/>
        <a:stretch>
          <a:fillRect/>
        </a:stretch>
      </xdr:blipFill>
      <xdr:spPr bwMode="auto">
        <a:xfrm>
          <a:off x="5943600" y="257175"/>
          <a:ext cx="1257300" cy="59055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1428750</xdr:colOff>
      <xdr:row>1</xdr:row>
      <xdr:rowOff>66675</xdr:rowOff>
    </xdr:from>
    <xdr:to>
      <xdr:col>6</xdr:col>
      <xdr:colOff>2686050</xdr:colOff>
      <xdr:row>2</xdr:row>
      <xdr:rowOff>133350</xdr:rowOff>
    </xdr:to>
    <xdr:pic>
      <xdr:nvPicPr>
        <xdr:cNvPr id="34535" name="Picture 1" descr="Logo btpn -abu - Copy"/>
        <xdr:cNvPicPr>
          <a:picLocks noChangeAspect="1" noChangeArrowheads="1"/>
        </xdr:cNvPicPr>
      </xdr:nvPicPr>
      <xdr:blipFill>
        <a:blip xmlns:r="http://schemas.openxmlformats.org/officeDocument/2006/relationships" r:embed="rId1" cstate="print"/>
        <a:srcRect/>
        <a:stretch>
          <a:fillRect/>
        </a:stretch>
      </xdr:blipFill>
      <xdr:spPr bwMode="auto">
        <a:xfrm>
          <a:off x="5486400" y="257175"/>
          <a:ext cx="1257300" cy="59055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1123950</xdr:colOff>
      <xdr:row>0</xdr:row>
      <xdr:rowOff>47625</xdr:rowOff>
    </xdr:from>
    <xdr:to>
      <xdr:col>4</xdr:col>
      <xdr:colOff>2371725</xdr:colOff>
      <xdr:row>1</xdr:row>
      <xdr:rowOff>38100</xdr:rowOff>
    </xdr:to>
    <xdr:pic>
      <xdr:nvPicPr>
        <xdr:cNvPr id="112143" name="Picture 1" descr="Logo btpn -abu - Copy"/>
        <xdr:cNvPicPr>
          <a:picLocks noChangeAspect="1" noChangeArrowheads="1"/>
        </xdr:cNvPicPr>
      </xdr:nvPicPr>
      <xdr:blipFill>
        <a:blip xmlns:r="http://schemas.openxmlformats.org/officeDocument/2006/relationships" r:embed="rId1" cstate="print"/>
        <a:srcRect/>
        <a:stretch>
          <a:fillRect/>
        </a:stretch>
      </xdr:blipFill>
      <xdr:spPr bwMode="auto">
        <a:xfrm>
          <a:off x="4876800" y="47625"/>
          <a:ext cx="1247775" cy="59055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57150</xdr:colOff>
          <xdr:row>31</xdr:row>
          <xdr:rowOff>180975</xdr:rowOff>
        </xdr:from>
        <xdr:to>
          <xdr:col>1</xdr:col>
          <xdr:colOff>123825</xdr:colOff>
          <xdr:row>33</xdr:row>
          <xdr:rowOff>19050</xdr:rowOff>
        </xdr:to>
        <xdr:sp macro="" textlink="">
          <xdr:nvSpPr>
            <xdr:cNvPr id="22529" name="Check Box 1" hidden="1">
              <a:extLst>
                <a:ext uri="{63B3BB69-23CF-44E3-9099-C40C66FF867C}">
                  <a14:compatExt spid="_x0000_s225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33</xdr:row>
          <xdr:rowOff>0</xdr:rowOff>
        </xdr:from>
        <xdr:to>
          <xdr:col>1</xdr:col>
          <xdr:colOff>123825</xdr:colOff>
          <xdr:row>34</xdr:row>
          <xdr:rowOff>28575</xdr:rowOff>
        </xdr:to>
        <xdr:sp macro="" textlink="">
          <xdr:nvSpPr>
            <xdr:cNvPr id="22530" name="Check Box 2" hidden="1">
              <a:extLst>
                <a:ext uri="{63B3BB69-23CF-44E3-9099-C40C66FF867C}">
                  <a14:compatExt spid="_x0000_s225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34</xdr:row>
          <xdr:rowOff>0</xdr:rowOff>
        </xdr:from>
        <xdr:to>
          <xdr:col>1</xdr:col>
          <xdr:colOff>123825</xdr:colOff>
          <xdr:row>35</xdr:row>
          <xdr:rowOff>28575</xdr:rowOff>
        </xdr:to>
        <xdr:sp macro="" textlink="">
          <xdr:nvSpPr>
            <xdr:cNvPr id="22531" name="Check Box 3" hidden="1">
              <a:extLst>
                <a:ext uri="{63B3BB69-23CF-44E3-9099-C40C66FF867C}">
                  <a14:compatExt spid="_x0000_s22531"/>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8</xdr:col>
      <xdr:colOff>1285875</xdr:colOff>
      <xdr:row>1</xdr:row>
      <xdr:rowOff>66675</xdr:rowOff>
    </xdr:from>
    <xdr:to>
      <xdr:col>9</xdr:col>
      <xdr:colOff>942975</xdr:colOff>
      <xdr:row>2</xdr:row>
      <xdr:rowOff>371475</xdr:rowOff>
    </xdr:to>
    <xdr:pic>
      <xdr:nvPicPr>
        <xdr:cNvPr id="102928" name="Picture 1" descr="Logo btpn -abu - Copy"/>
        <xdr:cNvPicPr>
          <a:picLocks noChangeAspect="1" noChangeArrowheads="1"/>
        </xdr:cNvPicPr>
      </xdr:nvPicPr>
      <xdr:blipFill>
        <a:blip xmlns:r="http://schemas.openxmlformats.org/officeDocument/2006/relationships" r:embed="rId1" cstate="print"/>
        <a:srcRect/>
        <a:stretch>
          <a:fillRect/>
        </a:stretch>
      </xdr:blipFill>
      <xdr:spPr bwMode="auto">
        <a:xfrm>
          <a:off x="9953625" y="257175"/>
          <a:ext cx="1038225" cy="4572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xdr:col>
          <xdr:colOff>1381125</xdr:colOff>
          <xdr:row>34</xdr:row>
          <xdr:rowOff>0</xdr:rowOff>
        </xdr:from>
        <xdr:to>
          <xdr:col>1</xdr:col>
          <xdr:colOff>1724025</xdr:colOff>
          <xdr:row>35</xdr:row>
          <xdr:rowOff>28575</xdr:rowOff>
        </xdr:to>
        <xdr:sp macro="" textlink="">
          <xdr:nvSpPr>
            <xdr:cNvPr id="4098" name="Check Box 2" hidden="1">
              <a:extLst>
                <a:ext uri="{63B3BB69-23CF-44E3-9099-C40C66FF867C}">
                  <a14:compatExt spid="_x0000_s4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1381125</xdr:colOff>
          <xdr:row>35</xdr:row>
          <xdr:rowOff>171450</xdr:rowOff>
        </xdr:from>
        <xdr:to>
          <xdr:col>1</xdr:col>
          <xdr:colOff>1724025</xdr:colOff>
          <xdr:row>37</xdr:row>
          <xdr:rowOff>9525</xdr:rowOff>
        </xdr:to>
        <xdr:sp macro="" textlink="">
          <xdr:nvSpPr>
            <xdr:cNvPr id="4099" name="Check Box 3" hidden="1">
              <a:extLst>
                <a:ext uri="{63B3BB69-23CF-44E3-9099-C40C66FF867C}">
                  <a14:compatExt spid="_x0000_s4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1381125</xdr:colOff>
          <xdr:row>36</xdr:row>
          <xdr:rowOff>171450</xdr:rowOff>
        </xdr:from>
        <xdr:to>
          <xdr:col>1</xdr:col>
          <xdr:colOff>1724025</xdr:colOff>
          <xdr:row>38</xdr:row>
          <xdr:rowOff>9525</xdr:rowOff>
        </xdr:to>
        <xdr:sp macro="" textlink="">
          <xdr:nvSpPr>
            <xdr:cNvPr id="4100" name="Check Box 4" hidden="1">
              <a:extLst>
                <a:ext uri="{63B3BB69-23CF-44E3-9099-C40C66FF867C}">
                  <a14:compatExt spid="_x0000_s4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1381125</xdr:colOff>
          <xdr:row>38</xdr:row>
          <xdr:rowOff>0</xdr:rowOff>
        </xdr:from>
        <xdr:to>
          <xdr:col>1</xdr:col>
          <xdr:colOff>1724025</xdr:colOff>
          <xdr:row>39</xdr:row>
          <xdr:rowOff>28575</xdr:rowOff>
        </xdr:to>
        <xdr:sp macro="" textlink="">
          <xdr:nvSpPr>
            <xdr:cNvPr id="4101" name="Check Box 5" hidden="1">
              <a:extLst>
                <a:ext uri="{63B3BB69-23CF-44E3-9099-C40C66FF867C}">
                  <a14:compatExt spid="_x0000_s4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1381125</xdr:colOff>
          <xdr:row>39</xdr:row>
          <xdr:rowOff>0</xdr:rowOff>
        </xdr:from>
        <xdr:to>
          <xdr:col>1</xdr:col>
          <xdr:colOff>1724025</xdr:colOff>
          <xdr:row>40</xdr:row>
          <xdr:rowOff>28575</xdr:rowOff>
        </xdr:to>
        <xdr:sp macro="" textlink="">
          <xdr:nvSpPr>
            <xdr:cNvPr id="4102" name="Check Box 6" hidden="1">
              <a:extLst>
                <a:ext uri="{63B3BB69-23CF-44E3-9099-C40C66FF867C}">
                  <a14:compatExt spid="_x0000_s4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1381125</xdr:colOff>
          <xdr:row>34</xdr:row>
          <xdr:rowOff>180975</xdr:rowOff>
        </xdr:from>
        <xdr:to>
          <xdr:col>1</xdr:col>
          <xdr:colOff>1724025</xdr:colOff>
          <xdr:row>36</xdr:row>
          <xdr:rowOff>19050</xdr:rowOff>
        </xdr:to>
        <xdr:sp macro="" textlink="">
          <xdr:nvSpPr>
            <xdr:cNvPr id="102559" name="Check Box 1183" hidden="1">
              <a:extLst>
                <a:ext uri="{63B3BB69-23CF-44E3-9099-C40C66FF867C}">
                  <a14:compatExt spid="_x0000_s10255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8</xdr:col>
      <xdr:colOff>1828800</xdr:colOff>
      <xdr:row>2</xdr:row>
      <xdr:rowOff>38100</xdr:rowOff>
    </xdr:from>
    <xdr:to>
      <xdr:col>8</xdr:col>
      <xdr:colOff>2857500</xdr:colOff>
      <xdr:row>3</xdr:row>
      <xdr:rowOff>38100</xdr:rowOff>
    </xdr:to>
    <xdr:pic>
      <xdr:nvPicPr>
        <xdr:cNvPr id="116766" name="Picture 1" descr="Logo btpn -abu - Copy"/>
        <xdr:cNvPicPr>
          <a:picLocks noChangeAspect="1" noChangeArrowheads="1"/>
        </xdr:cNvPicPr>
      </xdr:nvPicPr>
      <xdr:blipFill>
        <a:blip xmlns:r="http://schemas.openxmlformats.org/officeDocument/2006/relationships" r:embed="rId1"/>
        <a:srcRect/>
        <a:stretch>
          <a:fillRect/>
        </a:stretch>
      </xdr:blipFill>
      <xdr:spPr bwMode="auto">
        <a:xfrm>
          <a:off x="9858375" y="419100"/>
          <a:ext cx="0" cy="495300"/>
        </a:xfrm>
        <a:prstGeom prst="rect">
          <a:avLst/>
        </a:prstGeom>
        <a:noFill/>
        <a:ln w="9525">
          <a:noFill/>
          <a:miter lim="800000"/>
          <a:headEnd/>
          <a:tailEnd/>
        </a:ln>
      </xdr:spPr>
    </xdr:pic>
    <xdr:clientData/>
  </xdr:twoCellAnchor>
  <xdr:twoCellAnchor>
    <xdr:from>
      <xdr:col>9</xdr:col>
      <xdr:colOff>1257300</xdr:colOff>
      <xdr:row>2</xdr:row>
      <xdr:rowOff>95250</xdr:rowOff>
    </xdr:from>
    <xdr:to>
      <xdr:col>9</xdr:col>
      <xdr:colOff>2552700</xdr:colOff>
      <xdr:row>3</xdr:row>
      <xdr:rowOff>133350</xdr:rowOff>
    </xdr:to>
    <xdr:pic>
      <xdr:nvPicPr>
        <xdr:cNvPr id="116767" name="Picture 1" descr="Logo btpn -abu - Copy"/>
        <xdr:cNvPicPr>
          <a:picLocks noChangeAspect="1" noChangeArrowheads="1"/>
        </xdr:cNvPicPr>
      </xdr:nvPicPr>
      <xdr:blipFill>
        <a:blip xmlns:r="http://schemas.openxmlformats.org/officeDocument/2006/relationships" r:embed="rId2" cstate="print"/>
        <a:srcRect/>
        <a:stretch>
          <a:fillRect/>
        </a:stretch>
      </xdr:blipFill>
      <xdr:spPr bwMode="auto">
        <a:xfrm>
          <a:off x="11115675" y="476250"/>
          <a:ext cx="1295400" cy="5334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xdr:row>
      <xdr:rowOff>85725</xdr:rowOff>
    </xdr:from>
    <xdr:to>
      <xdr:col>12</xdr:col>
      <xdr:colOff>1095375</xdr:colOff>
      <xdr:row>1</xdr:row>
      <xdr:rowOff>542925</xdr:rowOff>
    </xdr:to>
    <xdr:pic>
      <xdr:nvPicPr>
        <xdr:cNvPr id="104975" name="Picture 1" descr="Logo btpn -abu - Copy"/>
        <xdr:cNvPicPr>
          <a:picLocks noChangeAspect="1" noChangeArrowheads="1"/>
        </xdr:cNvPicPr>
      </xdr:nvPicPr>
      <xdr:blipFill>
        <a:blip xmlns:r="http://schemas.openxmlformats.org/officeDocument/2006/relationships" r:embed="rId1" cstate="print"/>
        <a:srcRect/>
        <a:stretch>
          <a:fillRect/>
        </a:stretch>
      </xdr:blipFill>
      <xdr:spPr bwMode="auto">
        <a:xfrm>
          <a:off x="12096750" y="276225"/>
          <a:ext cx="1028700" cy="4572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xdr:col>
          <xdr:colOff>866775</xdr:colOff>
          <xdr:row>31</xdr:row>
          <xdr:rowOff>142875</xdr:rowOff>
        </xdr:from>
        <xdr:to>
          <xdr:col>1</xdr:col>
          <xdr:colOff>1209675</xdr:colOff>
          <xdr:row>32</xdr:row>
          <xdr:rowOff>171450</xdr:rowOff>
        </xdr:to>
        <xdr:sp macro="" textlink="">
          <xdr:nvSpPr>
            <xdr:cNvPr id="6145" name="Check Box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866775</xdr:colOff>
          <xdr:row>32</xdr:row>
          <xdr:rowOff>142875</xdr:rowOff>
        </xdr:from>
        <xdr:to>
          <xdr:col>1</xdr:col>
          <xdr:colOff>1209675</xdr:colOff>
          <xdr:row>33</xdr:row>
          <xdr:rowOff>171450</xdr:rowOff>
        </xdr:to>
        <xdr:sp macro="" textlink="">
          <xdr:nvSpPr>
            <xdr:cNvPr id="6146" name="Check Box 2" hidden="1">
              <a:extLst>
                <a:ext uri="{63B3BB69-23CF-44E3-9099-C40C66FF867C}">
                  <a14:compatExt spid="_x0000_s6146"/>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8</xdr:col>
      <xdr:colOff>114300</xdr:colOff>
      <xdr:row>0</xdr:row>
      <xdr:rowOff>66675</xdr:rowOff>
    </xdr:from>
    <xdr:to>
      <xdr:col>9</xdr:col>
      <xdr:colOff>904875</xdr:colOff>
      <xdr:row>0</xdr:row>
      <xdr:rowOff>504825</xdr:rowOff>
    </xdr:to>
    <xdr:pic>
      <xdr:nvPicPr>
        <xdr:cNvPr id="106015" name="Picture 1" descr="Logo btpn -abu - Copy"/>
        <xdr:cNvPicPr>
          <a:picLocks noChangeAspect="1" noChangeArrowheads="1"/>
        </xdr:cNvPicPr>
      </xdr:nvPicPr>
      <xdr:blipFill>
        <a:blip xmlns:r="http://schemas.openxmlformats.org/officeDocument/2006/relationships" r:embed="rId1" cstate="print"/>
        <a:srcRect/>
        <a:stretch>
          <a:fillRect/>
        </a:stretch>
      </xdr:blipFill>
      <xdr:spPr bwMode="auto">
        <a:xfrm>
          <a:off x="8696325" y="66675"/>
          <a:ext cx="1114425" cy="4381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9</xdr:col>
      <xdr:colOff>333375</xdr:colOff>
      <xdr:row>1</xdr:row>
      <xdr:rowOff>57150</xdr:rowOff>
    </xdr:from>
    <xdr:to>
      <xdr:col>9</xdr:col>
      <xdr:colOff>1276350</xdr:colOff>
      <xdr:row>1</xdr:row>
      <xdr:rowOff>476250</xdr:rowOff>
    </xdr:to>
    <xdr:pic>
      <xdr:nvPicPr>
        <xdr:cNvPr id="107037" name="Picture 2" descr="Logo btpn -abu - Copy"/>
        <xdr:cNvPicPr>
          <a:picLocks noChangeAspect="1" noChangeArrowheads="1"/>
        </xdr:cNvPicPr>
      </xdr:nvPicPr>
      <xdr:blipFill>
        <a:blip xmlns:r="http://schemas.openxmlformats.org/officeDocument/2006/relationships" r:embed="rId1" cstate="print"/>
        <a:srcRect/>
        <a:stretch>
          <a:fillRect/>
        </a:stretch>
      </xdr:blipFill>
      <xdr:spPr bwMode="auto">
        <a:xfrm>
          <a:off x="8696325" y="247650"/>
          <a:ext cx="942975" cy="41910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266700</xdr:colOff>
      <xdr:row>1</xdr:row>
      <xdr:rowOff>47625</xdr:rowOff>
    </xdr:from>
    <xdr:to>
      <xdr:col>9</xdr:col>
      <xdr:colOff>1314450</xdr:colOff>
      <xdr:row>1</xdr:row>
      <xdr:rowOff>504825</xdr:rowOff>
    </xdr:to>
    <xdr:pic>
      <xdr:nvPicPr>
        <xdr:cNvPr id="113132" name="Picture 1" descr="Logo btpn -abu - Copy"/>
        <xdr:cNvPicPr>
          <a:picLocks noChangeAspect="1" noChangeArrowheads="1"/>
        </xdr:cNvPicPr>
      </xdr:nvPicPr>
      <xdr:blipFill>
        <a:blip xmlns:r="http://schemas.openxmlformats.org/officeDocument/2006/relationships" r:embed="rId1" cstate="print"/>
        <a:srcRect/>
        <a:stretch>
          <a:fillRect/>
        </a:stretch>
      </xdr:blipFill>
      <xdr:spPr bwMode="auto">
        <a:xfrm>
          <a:off x="8629650" y="238125"/>
          <a:ext cx="1047750" cy="45720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428625</xdr:colOff>
      <xdr:row>0</xdr:row>
      <xdr:rowOff>133350</xdr:rowOff>
    </xdr:from>
    <xdr:to>
      <xdr:col>15</xdr:col>
      <xdr:colOff>428625</xdr:colOff>
      <xdr:row>2</xdr:row>
      <xdr:rowOff>19050</xdr:rowOff>
    </xdr:to>
    <xdr:pic>
      <xdr:nvPicPr>
        <xdr:cNvPr id="108159" name="Picture 1" descr="Logo btpn -abu - Copy"/>
        <xdr:cNvPicPr>
          <a:picLocks noChangeAspect="1" noChangeArrowheads="1"/>
        </xdr:cNvPicPr>
      </xdr:nvPicPr>
      <xdr:blipFill>
        <a:blip xmlns:r="http://schemas.openxmlformats.org/officeDocument/2006/relationships" r:embed="rId1" cstate="print"/>
        <a:srcRect/>
        <a:stretch>
          <a:fillRect/>
        </a:stretch>
      </xdr:blipFill>
      <xdr:spPr bwMode="auto">
        <a:xfrm>
          <a:off x="8858250" y="133350"/>
          <a:ext cx="1047750" cy="45720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1381125</xdr:colOff>
      <xdr:row>1</xdr:row>
      <xdr:rowOff>133350</xdr:rowOff>
    </xdr:from>
    <xdr:to>
      <xdr:col>7</xdr:col>
      <xdr:colOff>2409825</xdr:colOff>
      <xdr:row>2</xdr:row>
      <xdr:rowOff>123825</xdr:rowOff>
    </xdr:to>
    <xdr:pic>
      <xdr:nvPicPr>
        <xdr:cNvPr id="56062" name="Picture 1" descr="Logo btpn -abu - Copy"/>
        <xdr:cNvPicPr>
          <a:picLocks noChangeAspect="1" noChangeArrowheads="1"/>
        </xdr:cNvPicPr>
      </xdr:nvPicPr>
      <xdr:blipFill>
        <a:blip xmlns:r="http://schemas.openxmlformats.org/officeDocument/2006/relationships" r:embed="rId1"/>
        <a:srcRect/>
        <a:stretch>
          <a:fillRect/>
        </a:stretch>
      </xdr:blipFill>
      <xdr:spPr bwMode="auto">
        <a:xfrm>
          <a:off x="8696325" y="295275"/>
          <a:ext cx="0" cy="4572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838200</xdr:colOff>
          <xdr:row>22</xdr:row>
          <xdr:rowOff>114300</xdr:rowOff>
        </xdr:from>
        <xdr:to>
          <xdr:col>6</xdr:col>
          <xdr:colOff>133350</xdr:colOff>
          <xdr:row>23</xdr:row>
          <xdr:rowOff>152400</xdr:rowOff>
        </xdr:to>
        <xdr:sp macro="" textlink="">
          <xdr:nvSpPr>
            <xdr:cNvPr id="55519" name="Button 1247" hidden="1">
              <a:extLst>
                <a:ext uri="{63B3BB69-23CF-44E3-9099-C40C66FF867C}">
                  <a14:compatExt spid="_x0000_s55519"/>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Credit Review - Start</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3040257/Data/Edit%20Database,%20Database%20Form,%20Script%20Macro/TEMPLATE/Template%20Spread%2011%20Oct%202016%20ef.17Oct%202016/Template%20SME%20v28%20(Edit%20Pelaporan%20BI%20&amp;%20Warn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15050062/AppData/Local/Temp/Template%20v50%20(s.d.%2015%20Milya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13040257/Desktop/Template%20i-SME%20v4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13037757/AppData/Local/Microsoft/Windows/Temporary%20Internet%20Files/Content.Outlook/IIILR6QE/Template%20i-SME%20v12%20(data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3040257/Data/Edit%20Database,%20Database%20Form,%20Script%20Macro/TEMPLATE/Template%20Spread%2011%20Oct%202016%20ef.17Oct%202016/Template%20SME%20v28%20edit%20Pelaporan%20BI.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13037757/AppData/Local/Microsoft/Windows/Temporary%20Internet%20Files/Content.Outlook/IIILR6QE/PT%20Cipta%20Prima%20Mandiri%20-%20Perpanjanga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13040257/Desktop/Template%20i-SME%20v4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14046415/Documents/proposal/Template%20i-SME%20v45.1_Safril%20Rohimi%20Mulia-%20Fin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3040257/Data/Edit%20Database,%20Database%20Form,%20Script%20Macro/TEMPLATE/Template%20Spread%2011%20Oct%202016%20ef.17Oct%202016/Template%20i-SME%20v45%201b%20(Final-jun1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erhitungan%20DSR%20Oh%20Njen%20Lieng%20Net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BIR"/>
      <sheetName val="Informasi Debitur"/>
      <sheetName val="Order appraisal"/>
      <sheetName val="Oder BI checking_old"/>
      <sheetName val="Oder BI checking"/>
      <sheetName val="Order Trade Checking"/>
      <sheetName val="Supplier Checking"/>
      <sheetName val="Buyer Checking"/>
      <sheetName val="Spreading"/>
      <sheetName val="Summary Spreading"/>
      <sheetName val="Fin. Needs Analysis"/>
      <sheetName val="Analisa Rek Koran"/>
      <sheetName val="Parameter"/>
      <sheetName val="RAC"/>
      <sheetName val="MKK"/>
      <sheetName val="Pelaporan BI"/>
      <sheetName val="Surat Penawaran"/>
      <sheetName val="Order Notaris"/>
      <sheetName val="Mapping SIDLBU"/>
      <sheetName val="Database"/>
      <sheetName val="Sheet2"/>
      <sheetName val="Value"/>
      <sheetName val="Tabel Map Industry"/>
      <sheetName val="Random Checking"/>
      <sheetName val="Analisa Lap Keu"/>
      <sheetName val="Memo Review"/>
      <sheetName val="Sandi BI Existing Debitur"/>
      <sheetName val="Surat Penawaran (2)"/>
      <sheetName val="Cabang S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2">
          <cell r="AR2" t="str">
            <v>05 - Dengan perjanjian kredit - Kredit yang diberikan</v>
          </cell>
          <cell r="AT2" t="str">
            <v>1 - Diukur pada nilai wajar melalui laporan laba rugi - Diperdagangkan</v>
          </cell>
        </row>
        <row r="3">
          <cell r="AR3" t="str">
            <v>10 - Dengan perjanjian kredit - Kredit dalam rangka pembiayaan bersama (Sindikasi)</v>
          </cell>
          <cell r="AT3" t="str">
            <v>2 - Diukur pada nilai wajar melalui laporan laba rugi - Ditetapkan untuk diukur pada nilai wajar</v>
          </cell>
        </row>
        <row r="4">
          <cell r="AR4" t="str">
            <v>20 - Dengan perjanjian kredit - Kredit kepada pihak ketiga melalui lembaga lain secara channeling</v>
          </cell>
          <cell r="AT4" t="str">
            <v>3 - Tersedia untuk dijual</v>
          </cell>
        </row>
        <row r="5">
          <cell r="AR5" t="str">
            <v>25 - Dengan perjanjian kredit - Kredit kepada pihak ketiga melalui lembaga lain secara executing</v>
          </cell>
          <cell r="AT5" t="str">
            <v>4 - Dimiliki hingga jatuh tempo</v>
          </cell>
        </row>
        <row r="6">
          <cell r="AR6" t="str">
            <v>30 - Dengan perjanjian kredit - Kartu Kredit</v>
          </cell>
          <cell r="AT6" t="str">
            <v>6 - Pinjaman yang Diberikan dan Piutang</v>
          </cell>
        </row>
        <row r="7">
          <cell r="AR7" t="str">
            <v>45 - Dengan perjanjian kredit - Surat berharga dengan Note Purchase Agreement (NPA)</v>
          </cell>
        </row>
        <row r="8">
          <cell r="AR8" t="str">
            <v>80 - Tanpa perjanjian kredit - Giro bersaldo debet</v>
          </cell>
        </row>
        <row r="9">
          <cell r="AR9" t="str">
            <v>85 - Tanpa perjanjian kredit - Tagihan atas transaksi perdagangan</v>
          </cell>
        </row>
        <row r="10">
          <cell r="AR10" t="str">
            <v>99 - Tanpa perjanjian kredit - Lainnya</v>
          </cell>
        </row>
        <row r="11">
          <cell r="AR11" t="str">
            <v>98 - Khusus untuk agunan atau jaminan kedua dan seterusnya</v>
          </cell>
        </row>
      </sheetData>
      <sheetData sheetId="23" refreshError="1">
        <row r="2">
          <cell r="D2" t="str">
            <v>Industri Pakan Ternak  - 153300</v>
          </cell>
        </row>
        <row r="3">
          <cell r="D3" t="str">
            <v>Pembibitan dan Budidaya Sapi Potong  - 012110</v>
          </cell>
        </row>
        <row r="4">
          <cell r="D4" t="str">
            <v>Pembibitan dan Budidaya Domba dan Kambing Potong  - 012191</v>
          </cell>
        </row>
        <row r="5">
          <cell r="D5" t="str">
            <v>Pembibitan dan Budidaya Ternak Perah - 012192</v>
          </cell>
        </row>
        <row r="6">
          <cell r="D6" t="str">
            <v>Pembibitan dan Budidaya Babi - 012210</v>
          </cell>
        </row>
        <row r="7">
          <cell r="D7" t="str">
            <v>Pembibitan dan Budidaya Unggas - 012291</v>
          </cell>
        </row>
        <row r="8">
          <cell r="D8" t="str">
            <v>Kombinasi Pertanian Atau Perkebunan Dengan Peternakan (Mixed Farming)  - 013000</v>
          </cell>
        </row>
        <row r="9">
          <cell r="D9" t="str">
            <v>Perburuan Penangkapan dan Penangkaran Satwa Liar  - 015000</v>
          </cell>
        </row>
        <row r="10">
          <cell r="D10" t="str">
            <v>Industri Pemotongan Hewan  - 151110</v>
          </cell>
        </row>
        <row r="11">
          <cell r="D11" t="str">
            <v>Perdagangan Besar Dalam Negeri Binatang Hidup - 512120</v>
          </cell>
        </row>
        <row r="12">
          <cell r="D12" t="str">
            <v>Perdagangan Ekspor Binatang Hidup - 532120</v>
          </cell>
        </row>
        <row r="13">
          <cell r="D13" t="str">
            <v>Penangkapan Ikan Tuna - 050111</v>
          </cell>
        </row>
        <row r="14">
          <cell r="D14" t="str">
            <v>Penangkapan Ikan Lainnya - 050119</v>
          </cell>
        </row>
        <row r="15">
          <cell r="D15" t="str">
            <v>Penangkapan Udang Laut  - 050121</v>
          </cell>
        </row>
        <row r="16">
          <cell r="D16" t="str">
            <v>Penangkapan Crustacea Lainnya di Laut - 050122</v>
          </cell>
        </row>
        <row r="17">
          <cell r="D17" t="str">
            <v>Lainnya (penangkapan biota laut) - 050190</v>
          </cell>
        </row>
        <row r="18">
          <cell r="D18" t="str">
            <v>Budidaya Biota Laut Udang - 050211</v>
          </cell>
        </row>
        <row r="19">
          <cell r="D19" t="str">
            <v>Budidaya Biota Laut Tuna - 050212</v>
          </cell>
        </row>
        <row r="20">
          <cell r="D20" t="str">
            <v>Budidaya Biota Laut Rumput Laut - 050213</v>
          </cell>
        </row>
        <row r="21">
          <cell r="D21" t="str">
            <v>Budidaya Biota Laut Lainnya - 050219</v>
          </cell>
        </row>
        <row r="22">
          <cell r="D22" t="str">
            <v>Pembenihan Biota Laut  - 050220</v>
          </cell>
        </row>
        <row r="23">
          <cell r="D23" t="str">
            <v>Penangkapan Ikan di Perairan Umum  - 050310</v>
          </cell>
        </row>
        <row r="24">
          <cell r="D24" t="str">
            <v>Penangkapan Crustacea, Mollusca, dan Biota Lainnya di Perairan Umum  - 050320</v>
          </cell>
        </row>
        <row r="25">
          <cell r="D25" t="str">
            <v>Budidaya Biota Air Tawar Udang - 050411</v>
          </cell>
        </row>
        <row r="26">
          <cell r="D26" t="str">
            <v>Budidaya Biota Air Tawar Lainnya - 050419</v>
          </cell>
        </row>
        <row r="27">
          <cell r="D27" t="str">
            <v>Budidaya Biota Air Payau Udang - 050421</v>
          </cell>
        </row>
        <row r="28">
          <cell r="D28" t="str">
            <v>Budidaya Biota Air Payau Lainnya - 050429</v>
          </cell>
        </row>
        <row r="29">
          <cell r="D29" t="str">
            <v>Pembenihan Biota Air Tawar dan Air Payau  - 050490</v>
          </cell>
        </row>
        <row r="30">
          <cell r="D30" t="str">
            <v>Jasa Sarana Produksi Perikanan Laut  - 050510</v>
          </cell>
        </row>
        <row r="31">
          <cell r="D31" t="str">
            <v>Jasa Sarana Produksi Perikanan Darat  - 050580</v>
          </cell>
        </row>
        <row r="32">
          <cell r="D32" t="str">
            <v>Jasa Perikanan Lainnya - 050590</v>
          </cell>
        </row>
        <row r="33">
          <cell r="D33" t="str">
            <v>Perdagangan Besar Dalam Negeri Hasil Perikanan - 512130</v>
          </cell>
        </row>
        <row r="34">
          <cell r="D34" t="str">
            <v>Perdagangan Ekspor Hasil Perikanan - 532130</v>
          </cell>
        </row>
        <row r="35">
          <cell r="D35" t="str">
            <v>Perdagangan Ekspor Udang Olahan - 532201</v>
          </cell>
        </row>
        <row r="36">
          <cell r="D36" t="str">
            <v>Pertanian Padi  - 011110</v>
          </cell>
        </row>
        <row r="37">
          <cell r="D37" t="str">
            <v>Pertanian Palawija Jagung - 011121</v>
          </cell>
        </row>
        <row r="38">
          <cell r="D38" t="str">
            <v>Pertanian Palawija Ketela pohon - 011122</v>
          </cell>
        </row>
        <row r="39">
          <cell r="D39" t="str">
            <v>Pertanian Palawija Ubi jalar - 011123</v>
          </cell>
        </row>
        <row r="40">
          <cell r="D40" t="str">
            <v>Pertanian Palawija Umbi-umbian lainnya - 011124</v>
          </cell>
        </row>
        <row r="41">
          <cell r="D41" t="str">
            <v>Pertanian Palawija Kacang tanah - 011125</v>
          </cell>
        </row>
        <row r="42">
          <cell r="D42" t="str">
            <v>Pertanian Palawija Kedele - 011126</v>
          </cell>
        </row>
        <row r="43">
          <cell r="D43" t="str">
            <v>Pertanian Palawija Kacang-kacangan lainnya - 011129</v>
          </cell>
        </row>
        <row r="44">
          <cell r="D44" t="str">
            <v>Perkebunan Tebu dan Tanaman Pemanis Lainnya  - 011130</v>
          </cell>
        </row>
        <row r="45">
          <cell r="D45" t="str">
            <v>Perkebunan Tanaman Minyak Atsiri  - 011180</v>
          </cell>
        </row>
        <row r="46">
          <cell r="D46" t="str">
            <v>Perkebunan Tanaman Lainnya yang Tidak Diklasifikasikan di Tempat Lain  - 011190</v>
          </cell>
        </row>
        <row r="47">
          <cell r="D47" t="str">
            <v>Pertanian Hortikultura Sayuran yang dipanen Sekali Bawang Merah - 011211</v>
          </cell>
        </row>
        <row r="48">
          <cell r="D48" t="str">
            <v>Pertanian Hortikultura Sayuran yang dipanen Sekali Lainnya - 011219</v>
          </cell>
        </row>
        <row r="49">
          <cell r="D49" t="str">
            <v>Pertanian Hortikultura Sayuran yang dipanen Lebih dari Sekali  - 011220</v>
          </cell>
        </row>
        <row r="50">
          <cell r="D50" t="str">
            <v>Pertanian Hortikultura Bunga-bungaan Anggrek - 011231</v>
          </cell>
        </row>
        <row r="51">
          <cell r="D51" t="str">
            <v>Pertanian Hortikultura Bunga-bungaan Lainnya - 011239</v>
          </cell>
        </row>
        <row r="52">
          <cell r="D52" t="str">
            <v>Pertanian Tanaman Hias Lainnya  - 011240</v>
          </cell>
        </row>
        <row r="53">
          <cell r="D53" t="str">
            <v>Pembibitan dan Pembenihan Hortikultura Sayuran dan Bunga-bungaan  - 011250</v>
          </cell>
        </row>
        <row r="54">
          <cell r="D54" t="str">
            <v>Pertanian Buah-buahan Musiman Jeruk - 011311</v>
          </cell>
        </row>
        <row r="55">
          <cell r="D55" t="str">
            <v>Pertanian Buah-buahan Musiman Lainnya - 011319</v>
          </cell>
        </row>
        <row r="56">
          <cell r="D56" t="str">
            <v>Pertanian Buah-buahan Sepanjang Tahun Pisang - 011321</v>
          </cell>
        </row>
        <row r="57">
          <cell r="D57" t="str">
            <v>Pertanian Buah-buahan Sepanjang Tahun Lainnya - 011329</v>
          </cell>
        </row>
        <row r="58">
          <cell r="D58" t="str">
            <v>Perkebunan Kelapa  - 011330</v>
          </cell>
        </row>
      </sheetData>
      <sheetData sheetId="24"/>
      <sheetData sheetId="25"/>
      <sheetData sheetId="26"/>
      <sheetData sheetId="27"/>
      <sheetData sheetId="28" refreshError="1"/>
      <sheetData sheetId="2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BIR"/>
      <sheetName val="Informasi Debitur"/>
      <sheetName val="Order appraisal"/>
      <sheetName val="Oder BI checking"/>
      <sheetName val="Order Trade Checking"/>
      <sheetName val="Supplier Checking"/>
      <sheetName val="Buyer Checking"/>
      <sheetName val="Random Checking"/>
      <sheetName val="Analisa Lap Keu"/>
      <sheetName val="Analisa Rek Koran"/>
      <sheetName val="Parameter"/>
      <sheetName val="RAC"/>
      <sheetName val="MKK"/>
      <sheetName val="Memo Review"/>
      <sheetName val="Pelaporan BI"/>
      <sheetName val="Sandi BI Existing Debitur"/>
      <sheetName val="Tabel Map Industry"/>
      <sheetName val="Surat Penawaran"/>
      <sheetName val="Surat Penawaran (2)"/>
      <sheetName val="Order Notaris"/>
      <sheetName val="Database"/>
      <sheetName val="Mapping SIDLBU"/>
      <sheetName val="Sheet2"/>
      <sheetName val="Value"/>
      <sheetName val="Cabang SME"/>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ow r="68">
          <cell r="I68">
            <v>0</v>
          </cell>
        </row>
      </sheetData>
      <sheetData sheetId="10" refreshError="1"/>
      <sheetData sheetId="11" refreshError="1"/>
      <sheetData sheetId="12" refreshError="1"/>
      <sheetData sheetId="13">
        <row r="20">
          <cell r="E20">
            <v>0</v>
          </cell>
        </row>
        <row r="41">
          <cell r="G41">
            <v>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BIR"/>
      <sheetName val="Informasi Debitur"/>
      <sheetName val="Order appraisal"/>
      <sheetName val="Oder BI checking"/>
      <sheetName val="Order Trade Checking"/>
      <sheetName val="Supplier Checking"/>
      <sheetName val="Buyer Checking"/>
      <sheetName val="Random Checking"/>
      <sheetName val="Analisa Lap Keu"/>
      <sheetName val="Analisa Rek Koran"/>
      <sheetName val="Parameter"/>
      <sheetName val="RAC"/>
      <sheetName val="MKK"/>
      <sheetName val="Memo Review"/>
      <sheetName val="Pelaporan BI"/>
      <sheetName val="Sandi BI Existing Debitur"/>
      <sheetName val="Tabel Map Industry"/>
      <sheetName val="Surat Penawaran"/>
      <sheetName val="Surat Penawaran (2)"/>
      <sheetName val="Order Notaris"/>
      <sheetName val="Mapping SIDLBU"/>
      <sheetName val="Database"/>
      <sheetName val="Sheet2"/>
      <sheetName val="Value"/>
      <sheetName val="Cabang SME"/>
    </sheetNames>
    <sheetDataSet>
      <sheetData sheetId="0"/>
      <sheetData sheetId="1"/>
      <sheetData sheetId="2"/>
      <sheetData sheetId="3"/>
      <sheetData sheetId="4"/>
      <sheetData sheetId="5"/>
      <sheetData sheetId="6">
        <row r="185">
          <cell r="B185" t="str">
            <v>Tepat Waktu</v>
          </cell>
        </row>
        <row r="186">
          <cell r="B186" t="str">
            <v>Terlambat s.d. 1 minggu</v>
          </cell>
        </row>
        <row r="187">
          <cell r="B187" t="str">
            <v>Terlambat s.d. 2 minggu</v>
          </cell>
        </row>
        <row r="188">
          <cell r="B188" t="str">
            <v>Terlambat s.d. 3 minggu</v>
          </cell>
        </row>
        <row r="189">
          <cell r="B189" t="str">
            <v>Terlambat s.d. 4 minggu</v>
          </cell>
        </row>
        <row r="190">
          <cell r="B190" t="str">
            <v>Terlambat s.d. 5 minggu</v>
          </cell>
        </row>
        <row r="191">
          <cell r="B191" t="str">
            <v>Terlambat s.d. 6 minggu</v>
          </cell>
        </row>
        <row r="192">
          <cell r="B192" t="str">
            <v>Terlambat &gt; 6 minggu</v>
          </cell>
        </row>
      </sheetData>
      <sheetData sheetId="7"/>
      <sheetData sheetId="8"/>
      <sheetData sheetId="9"/>
      <sheetData sheetId="10"/>
      <sheetData sheetId="11"/>
      <sheetData sheetId="12"/>
      <sheetData sheetId="13">
        <row r="34">
          <cell r="A34">
            <v>0</v>
          </cell>
        </row>
        <row r="35">
          <cell r="A35">
            <v>0</v>
          </cell>
        </row>
        <row r="36">
          <cell r="A36">
            <v>0</v>
          </cell>
        </row>
        <row r="37">
          <cell r="A37">
            <v>0</v>
          </cell>
        </row>
        <row r="38">
          <cell r="A38">
            <v>0</v>
          </cell>
        </row>
        <row r="39">
          <cell r="A39">
            <v>0</v>
          </cell>
        </row>
        <row r="40">
          <cell r="A40">
            <v>0</v>
          </cell>
        </row>
      </sheetData>
      <sheetData sheetId="14"/>
      <sheetData sheetId="15"/>
      <sheetData sheetId="16"/>
      <sheetData sheetId="17">
        <row r="2">
          <cell r="J2" t="str">
            <v>ANIMALS, FISHERIES AND FARMING</v>
          </cell>
        </row>
        <row r="3">
          <cell r="J3" t="str">
            <v>AUTOMOTIVE &amp; COMPONENT</v>
          </cell>
        </row>
        <row r="4">
          <cell r="J4" t="str">
            <v>BUILDING MATERIAL</v>
          </cell>
        </row>
        <row r="5">
          <cell r="J5" t="str">
            <v>CHEMICAL &amp; PHARMACEUTICAL</v>
          </cell>
        </row>
        <row r="6">
          <cell r="J6" t="str">
            <v>COAL, MINING &amp; QUARRYING</v>
          </cell>
        </row>
        <row r="7">
          <cell r="J7" t="str">
            <v>COMODITY INDUSTRY</v>
          </cell>
        </row>
        <row r="8">
          <cell r="J8" t="str">
            <v>CONSTRUCTION</v>
          </cell>
        </row>
        <row r="9">
          <cell r="J9" t="str">
            <v>CONSULTING &amp; SERVICE INDUSTRY</v>
          </cell>
        </row>
        <row r="10">
          <cell r="J10" t="str">
            <v>CONSUMABLE GOOD</v>
          </cell>
        </row>
        <row r="11">
          <cell r="J11" t="str">
            <v xml:space="preserve">LEATHER &amp; TEXTILE </v>
          </cell>
        </row>
        <row r="12">
          <cell r="J12" t="str">
            <v>GARMEN (Incl. Jewelry &amp; Accessories)</v>
          </cell>
        </row>
        <row r="13">
          <cell r="J13" t="str">
            <v>CRUMB RUBBER</v>
          </cell>
        </row>
        <row r="14">
          <cell r="J14" t="str">
            <v>ELECTRICITY, ENGINE &amp; MACHINERIES</v>
          </cell>
        </row>
        <row r="15">
          <cell r="J15" t="str">
            <v>FABRICATED METAL, STEEL &amp; OTHER BASIC INDUSTRY</v>
          </cell>
        </row>
        <row r="16">
          <cell r="J16" t="str">
            <v>FOOD &amp; BEVERAGE</v>
          </cell>
        </row>
        <row r="17">
          <cell r="J17" t="str">
            <v>FORESTRY</v>
          </cell>
        </row>
        <row r="18">
          <cell r="J18" t="str">
            <v>HOME APPLIANCES</v>
          </cell>
        </row>
        <row r="19">
          <cell r="J19" t="str">
            <v>HOSPITAL &amp; MEDICAL EQUIPMENT</v>
          </cell>
        </row>
        <row r="20">
          <cell r="J20" t="str">
            <v>HOTEL, RESTAURANT &amp; ACCOMMODATION SERVICE</v>
          </cell>
        </row>
        <row r="21">
          <cell r="J21" t="str">
            <v xml:space="preserve">OIL &amp; GAS </v>
          </cell>
        </row>
        <row r="22">
          <cell r="J22" t="str">
            <v>OTHERS INDUSTRY</v>
          </cell>
        </row>
        <row r="23">
          <cell r="J23" t="str">
            <v>PLANTATION</v>
          </cell>
        </row>
        <row r="24">
          <cell r="J24" t="str">
            <v>PLASTIC, PULP &amp; PAPER</v>
          </cell>
        </row>
        <row r="25">
          <cell r="J25" t="str">
            <v>PRINTING, MEDIA &amp; ADVERTISING</v>
          </cell>
        </row>
        <row r="26">
          <cell r="J26" t="str">
            <v>PROPERTIES &amp; REAL ESTATE</v>
          </cell>
        </row>
        <row r="27">
          <cell r="J27" t="str">
            <v>RENTAL SERVICE</v>
          </cell>
        </row>
        <row r="28">
          <cell r="J28" t="str">
            <v>TELECOMMUNICATION</v>
          </cell>
        </row>
        <row r="29">
          <cell r="J29" t="str">
            <v>TRANSPORTATION AND COURIER SERVICE</v>
          </cell>
        </row>
        <row r="30">
          <cell r="J30" t="str">
            <v>SPBU</v>
          </cell>
        </row>
        <row r="31">
          <cell r="J31" t="str">
            <v>WOOD PRODUCT</v>
          </cell>
        </row>
        <row r="59">
          <cell r="D59" t="str">
            <v>Industri Kendaraan Bermotor Roda Empat Atau Lebih - 341000</v>
          </cell>
        </row>
        <row r="60">
          <cell r="D60" t="str">
            <v>Industri Karoseri Kendaraan Bermotor Roda Empat Atau Lebih - 342000</v>
          </cell>
        </row>
        <row r="61">
          <cell r="D61" t="str">
            <v>Industri Perlengkapan dan Komponen Kendaraan Bermotor Roda Empat Atau Lebih - 343000</v>
          </cell>
        </row>
        <row r="62">
          <cell r="D62" t="str">
            <v>Industri Kendaraan Bermotor Roda Dua dan Tiga Serta Komponen dan Perlengkapannya  - 359100</v>
          </cell>
        </row>
        <row r="63">
          <cell r="D63" t="str">
            <v>Penjualan Mobil - 501000</v>
          </cell>
        </row>
        <row r="64">
          <cell r="D64" t="str">
            <v>Penjualan Suku Cadang dan Aksesoris Mobil  - 502000</v>
          </cell>
        </row>
        <row r="65">
          <cell r="D65" t="str">
            <v>Penjualan Sepeda Motor - 503001</v>
          </cell>
        </row>
        <row r="66">
          <cell r="D66" t="str">
            <v>Penjualan Suku Cadang dan Aksesoris Sepeda Motor - 503002</v>
          </cell>
        </row>
        <row r="67">
          <cell r="D67" t="str">
            <v>Rumah Tangga untuk Pemilikan Kendaraan Bermotor - Rumah Tangga untuk Pemilikan Mobil Roda Empat - 002100</v>
          </cell>
        </row>
        <row r="68">
          <cell r="D68" t="str">
            <v>Rumah Tangga untuk Pemilikan Kendaraan Bermotor - Rumah Tangga untuk Pemilikan Sepeda Bermotor - 002200</v>
          </cell>
        </row>
        <row r="69">
          <cell r="D69" t="str">
            <v>Rumah Tangga untuk Pemilikan Kendaraan Bermotor - Rumah Tangga untuk Pemilikan Truk dan Kendaraan Bermotor Roda Enam atau Lebih - 002300</v>
          </cell>
        </row>
        <row r="70">
          <cell r="D70" t="str">
            <v>Rumah Tangga untuk Pemilikan Kendaraan Bermotor - Rumah Tangga untuk Pemilikan Kendaraan Bermotor Lainnya - 002900</v>
          </cell>
        </row>
      </sheetData>
      <sheetData sheetId="18"/>
      <sheetData sheetId="19"/>
      <sheetData sheetId="20"/>
      <sheetData sheetId="21">
        <row r="2">
          <cell r="E2" t="str">
            <v>0110 - Pengendali dan atau keluarga pengendali Bank</v>
          </cell>
          <cell r="G2" t="str">
            <v>15 - Dalam rangka restrukturisasi kredit</v>
          </cell>
        </row>
        <row r="3">
          <cell r="E3" t="str">
            <v>0210 - Pengurus Bank dan atau keluarga pengurus Bank</v>
          </cell>
          <cell r="G3" t="str">
            <v>40 - Pengambilalihan kredit</v>
          </cell>
        </row>
        <row r="4">
          <cell r="E4" t="str">
            <v>9900 - Tidak terkait dengan Bank</v>
          </cell>
          <cell r="G4" t="str">
            <v>79 - Lainnya</v>
          </cell>
        </row>
        <row r="7">
          <cell r="E7" t="str">
            <v>0199 - Lainnya - Perorangan</v>
          </cell>
        </row>
        <row r="8">
          <cell r="E8" t="str">
            <v>0202 - Commanditer Venotschap</v>
          </cell>
        </row>
        <row r="9">
          <cell r="E9" t="str">
            <v>0208 - Koperasi</v>
          </cell>
        </row>
        <row r="10">
          <cell r="E10" t="str">
            <v>0213 - Perusahaan Daerah</v>
          </cell>
        </row>
        <row r="11">
          <cell r="E11" t="str">
            <v>0218 - Perseroan Terbatas</v>
          </cell>
        </row>
        <row r="12">
          <cell r="E12" t="str">
            <v>0221 - Usaha Dagang</v>
          </cell>
        </row>
        <row r="15">
          <cell r="E15" t="str">
            <v>70 - Debitur UMKM - UMKM Lainnya - Mikro</v>
          </cell>
        </row>
        <row r="16">
          <cell r="E16" t="str">
            <v>80 - Debitur UMKM - UMKM Lainnya - Kecil</v>
          </cell>
        </row>
        <row r="17">
          <cell r="E17" t="str">
            <v>90 - Debitur UMKM - UMKM Lainnya - Menengah</v>
          </cell>
        </row>
        <row r="18">
          <cell r="E18" t="str">
            <v>99 - Bukan Debitur Usaha Mikro, Kecil, dan Menengah</v>
          </cell>
        </row>
        <row r="37">
          <cell r="A37" t="str">
            <v>860 - Badan Usaha Milik Daerah (BUMD)</v>
          </cell>
        </row>
        <row r="38">
          <cell r="A38" t="str">
            <v>891 - Perusahaan Otomotif</v>
          </cell>
        </row>
        <row r="39">
          <cell r="A39" t="str">
            <v>892 - Perusahaan Perminyakan</v>
          </cell>
        </row>
        <row r="40">
          <cell r="A40" t="str">
            <v>893 - Perusahaan Tekstil</v>
          </cell>
        </row>
        <row r="41">
          <cell r="A41" t="str">
            <v>894 - Perusahaan Perkayuan (HPH)</v>
          </cell>
        </row>
        <row r="42">
          <cell r="A42" t="str">
            <v>895 - Perusahaan Jasa Konstruksi</v>
          </cell>
        </row>
        <row r="43">
          <cell r="A43" t="str">
            <v>896 - Perusahaan Industri Rokok</v>
          </cell>
        </row>
        <row r="44">
          <cell r="A44" t="str">
            <v>897 - Perusahaan Industri Makanan</v>
          </cell>
        </row>
        <row r="45">
          <cell r="A45" t="str">
            <v>898 - Perusahaan Agrobusiness</v>
          </cell>
        </row>
        <row r="46">
          <cell r="A46" t="str">
            <v>900 - Perusahaan lainnya - Swasta</v>
          </cell>
        </row>
        <row r="47">
          <cell r="A47" t="str">
            <v>901 - Koperasi Primer (Bukan Simpan Pinjam)</v>
          </cell>
        </row>
        <row r="48">
          <cell r="A48" t="str">
            <v>902 - Koperasi Lainnya (Bukan Simpan Pinjam)</v>
          </cell>
        </row>
        <row r="49">
          <cell r="A49" t="str">
            <v>907 - PENDUDUK - Perorangan</v>
          </cell>
        </row>
      </sheetData>
      <sheetData sheetId="22">
        <row r="156">
          <cell r="E156" t="str">
            <v>Tidak Ada</v>
          </cell>
        </row>
        <row r="157">
          <cell r="E157" t="str">
            <v>&lt; 7 hari, DPD &lt; 4x</v>
          </cell>
        </row>
        <row r="158">
          <cell r="E158" t="str">
            <v>&lt; 7 hari, DPD ≥ 4x</v>
          </cell>
        </row>
        <row r="159">
          <cell r="E159" t="str">
            <v>&gt;7 - ≤ 14 Hari, DPD 1x</v>
          </cell>
        </row>
        <row r="160">
          <cell r="E160" t="str">
            <v>&gt;7 - ≤ 14 Hari, DPD 2x</v>
          </cell>
        </row>
        <row r="161">
          <cell r="E161" t="str">
            <v>&gt;7 - ≤ 14 Hari, DPD 3x</v>
          </cell>
        </row>
        <row r="162">
          <cell r="E162" t="str">
            <v>&gt;7 - ≤ 14 Hari, DPD &gt;3x</v>
          </cell>
        </row>
        <row r="163">
          <cell r="E163" t="str">
            <v>&gt;14 - ≤ 30 Hari, DPD 1x</v>
          </cell>
        </row>
        <row r="164">
          <cell r="E164" t="str">
            <v>&gt;14 - ≤ 30 Hari, DPD 2x</v>
          </cell>
        </row>
        <row r="165">
          <cell r="E165" t="str">
            <v>&gt;14 - ≤ 30 Hari, DPD &gt;2x</v>
          </cell>
        </row>
        <row r="166">
          <cell r="E166" t="str">
            <v>&gt;30 Hari, DPD 1x</v>
          </cell>
        </row>
        <row r="167">
          <cell r="E167" t="str">
            <v>&gt;30 Hari, DPD 2x</v>
          </cell>
        </row>
        <row r="168">
          <cell r="E168" t="str">
            <v>&gt;30 Hari, DPD &gt;2x</v>
          </cell>
        </row>
        <row r="176">
          <cell r="A176" t="str">
            <v>Increase</v>
          </cell>
        </row>
        <row r="177">
          <cell r="A177" t="str">
            <v>Maintain</v>
          </cell>
        </row>
        <row r="178">
          <cell r="A178" t="str">
            <v>Decrease</v>
          </cell>
        </row>
        <row r="179">
          <cell r="A179" t="str">
            <v>Phase Out</v>
          </cell>
        </row>
      </sheetData>
      <sheetData sheetId="23"/>
      <sheetData sheetId="24">
        <row r="1">
          <cell r="A1" t="str">
            <v>Rp</v>
          </cell>
          <cell r="C1" t="str">
            <v>Deposito</v>
          </cell>
          <cell r="E1" t="str">
            <v>Jaminan baru</v>
          </cell>
          <cell r="F1" t="str">
            <v>Terbatas</v>
          </cell>
          <cell r="G1" t="str">
            <v>Baru</v>
          </cell>
          <cell r="H1" t="str">
            <v>Disetujui sesuai pengajuan</v>
          </cell>
          <cell r="I1" t="str">
            <v>Cessie</v>
          </cell>
          <cell r="J1" t="str">
            <v>1 - Lancar</v>
          </cell>
          <cell r="K1" t="str">
            <v>Tunai / Cash</v>
          </cell>
          <cell r="L1" t="str">
            <v>Audited</v>
          </cell>
          <cell r="M1" t="str">
            <v>Tidak Ada</v>
          </cell>
          <cell r="S1" t="str">
            <v>Diri Sendiri</v>
          </cell>
          <cell r="T1" t="str">
            <v>Pemegang saham / manajemen inti  sendiri</v>
          </cell>
          <cell r="U1" t="str">
            <v>Kredit untuk investasi/modal kerja usaha utama</v>
          </cell>
          <cell r="V1" t="str">
            <v>N/A</v>
          </cell>
          <cell r="W1" t="str">
            <v>Calon debitur secara rutin memesan dari beberapa supplier utama – supplier ini dapat dengan mudah digantikan tanpa mempengaruhi usaha</v>
          </cell>
          <cell r="X1" t="str">
            <v>Tidak ada kontrak (walk in). Hal ini berlaku untuk ritel, produk kebutuhan pokok atau produk khusus (tertentu) dengan basis pelanggan yang stabil</v>
          </cell>
          <cell r="Y1" t="str">
            <v>Calon debitur menjaminkan seluruh tanah / bangunan yang dia miliki sebagai jaminan</v>
          </cell>
          <cell r="Z1" t="str">
            <v>Pemegang saham / manajemen inti menjaminkan seluruh tanah / bangunan yang dimiliki sebagai jaminan</v>
          </cell>
          <cell r="AA1" t="str">
            <v>Jaminan telah dibeli dari pihak luar (bukan kerabat calon debitur / pemegang saham / manajemen inti)</v>
          </cell>
          <cell r="AB1" t="str">
            <v>Tidak Ada , karena hanya ada satu jaminan</v>
          </cell>
          <cell r="AC1" t="str">
            <v>Perorangan</v>
          </cell>
          <cell r="AD1" t="str">
            <v>Tidak Ada</v>
          </cell>
          <cell r="AE1" t="str">
            <v>Bulanan</v>
          </cell>
          <cell r="AF1" t="str">
            <v>Dengan perjanjian kredit</v>
          </cell>
          <cell r="AX1" t="str">
            <v>Aceh Barat Daya, Kab. - 3213</v>
          </cell>
          <cell r="AY1" t="str">
            <v>00 - Pengurus - Pemilik</v>
          </cell>
          <cell r="BA1" t="str">
            <v>Region 1A – Jakarta</v>
          </cell>
        </row>
        <row r="2">
          <cell r="A2" t="str">
            <v>Australian Dollar (AUD)</v>
          </cell>
          <cell r="C2" t="str">
            <v>Tanah dan Bangunan</v>
          </cell>
          <cell r="E2" t="str">
            <v>Jaminan eksisting</v>
          </cell>
          <cell r="F2" t="str">
            <v>Tidak Terbatas</v>
          </cell>
          <cell r="G2" t="str">
            <v>Tambahan</v>
          </cell>
          <cell r="H2" t="str">
            <v>Disetujui hanya sebagian</v>
          </cell>
          <cell r="I2" t="str">
            <v>Fidusia</v>
          </cell>
          <cell r="J2" t="str">
            <v>2 - Dalam Perhatian Khusus</v>
          </cell>
          <cell r="K2" t="str">
            <v>Kredit</v>
          </cell>
          <cell r="L2" t="str">
            <v>Un-Audited</v>
          </cell>
          <cell r="M2" t="str">
            <v>Max. 1 kali dalam 3 bulan</v>
          </cell>
          <cell r="S2" t="str">
            <v>Suami / Istri</v>
          </cell>
          <cell r="T2" t="str">
            <v xml:space="preserve">Suami istri dari pemegang saham/manajemen inti </v>
          </cell>
          <cell r="U2" t="str">
            <v>Kredit untuk investasi/modal kerja usaha sampingan/ tambahan</v>
          </cell>
          <cell r="V2" t="str">
            <v>100% ditempati</v>
          </cell>
          <cell r="W2" t="str">
            <v>Calon debitur secara rutin memesan dari beberapa supplier utama  –  supplier ini tidak dapat dengan mudah digantikan tanpa berdampak pada usaha</v>
          </cell>
          <cell r="X2" t="str">
            <v>Ini adalah usaha ritel atau grosir. Calon debitur memiliki beberapa pembeli utama yang dapat dengan mudah digantikan</v>
          </cell>
          <cell r="Y2" t="str">
            <v>Calon debitur memiliki dua atau lebih tanah / bangunan dan menjaminkan sebagian darinya sebagai jaminan</v>
          </cell>
          <cell r="Z2" t="str">
            <v>Pemegang saham / manajemen inti memiliki dua atau lebih tanah / bangunan dan menjaminkan sebagian darinya sebagai jaminan</v>
          </cell>
          <cell r="AA2" t="str">
            <v xml:space="preserve">Jaminan telah dibeli dari kerabat calon debitur / pemegang saham / manajemen inti </v>
          </cell>
          <cell r="AB2" t="str">
            <v>Jaminan telah dibeli dari pihak luar (bukan kerabat calon debitur / pemegang saham / manajemen inti)</v>
          </cell>
          <cell r="AC2" t="str">
            <v>Badan Hukum Firma</v>
          </cell>
          <cell r="AD2">
            <v>1</v>
          </cell>
          <cell r="AE2" t="str">
            <v>Mingguan</v>
          </cell>
          <cell r="AF2" t="str">
            <v>10 - Dalam rangka pembiayaan bersama</v>
          </cell>
          <cell r="AM2" t="str">
            <v>0102 - Bekasi, Kab.</v>
          </cell>
          <cell r="AN2" t="str">
            <v>ADP - Andorran Peseta</v>
          </cell>
          <cell r="AR2" t="str">
            <v>05 - Dengan perjanjian kredit - Kredit yang diberikan</v>
          </cell>
          <cell r="AS2" t="str">
            <v>1 - Kredit yang direstrukturisasi</v>
          </cell>
          <cell r="AT2" t="str">
            <v>1 - Diukur pada nilai wajar melalui laporan laba rugi - Diperdagangkan</v>
          </cell>
          <cell r="AV2" t="str">
            <v>8105 - Kabupaten Seram Bagian Barat</v>
          </cell>
          <cell r="AX2" t="str">
            <v>Aceh Barat, Kab. - 3206</v>
          </cell>
          <cell r="AY2" t="str">
            <v>01 - Direktur Utama / Pres. Dir (Pemilik)</v>
          </cell>
          <cell r="BA2" t="str">
            <v>Region 1B – Jakarta</v>
          </cell>
        </row>
        <row r="3">
          <cell r="A3" t="str">
            <v>British Pound (GBP)</v>
          </cell>
          <cell r="C3" t="str">
            <v>Tanah Kosong</v>
          </cell>
          <cell r="E3" t="str">
            <v>Jaminan telah ditarik</v>
          </cell>
          <cell r="G3" t="str">
            <v>Perpanjangan</v>
          </cell>
          <cell r="H3" t="str">
            <v>Disetujui hanya fasilitas perpanjangan</v>
          </cell>
          <cell r="I3" t="str">
            <v>Gadai</v>
          </cell>
          <cell r="J3" t="str">
            <v>3 - Kurang Lancar</v>
          </cell>
          <cell r="L3" t="str">
            <v>Proforma</v>
          </cell>
          <cell r="M3" t="str">
            <v>Max. 2 kali dalam 3 bulan</v>
          </cell>
          <cell r="S3" t="str">
            <v>Orang Tua / Kakek Nenek</v>
          </cell>
          <cell r="T3" t="str">
            <v xml:space="preserve">Orang tua / kakek nenek dari pemegang saham  / manajemen inti </v>
          </cell>
          <cell r="U3" t="str">
            <v>Calon debitur tidak dapat menjelaskan tujuan pengajuan kredit dengan jelas – kemungkinan maksud penggunaannya adalah untuk kebutuhan pribadi</v>
          </cell>
          <cell r="V3" t="str">
            <v>80 - 100% ditempati</v>
          </cell>
          <cell r="W3" t="str">
            <v>Calon debitur secara rutin memesan dari satu supplier – supplier ini  dapat dengan mudah digantikan tanpa mempengaruhi usaha</v>
          </cell>
          <cell r="X3" t="str">
            <v>Ini adalah usaha ritel atau grosir.  Calon debitur memiliki beberapa pembeli utama yang sulit digantikan</v>
          </cell>
          <cell r="Y3" t="str">
            <v>Calon debitur  menjaminkan tanah / bangunan milik kerabat dekatnya (milik orang tua, anak, suami/istri) sebagai jaminan</v>
          </cell>
          <cell r="Z3" t="str">
            <v>Pemegang saham / manajemen inti menjaminkan tanah / bangunan milik kerabat dekatnya (milik orang tua, anak, suami/istri) sebagai jaminan</v>
          </cell>
          <cell r="AA3" t="str">
            <v xml:space="preserve">Jaminan telah dialihkan dari kerabat calon debitur / pemegang saham / manajemen inti </v>
          </cell>
          <cell r="AB3" t="str">
            <v xml:space="preserve">Jaminan telah dibeli dari kerabat calon debitur / pemegang saham / manajemen inti </v>
          </cell>
          <cell r="AC3" t="str">
            <v>Commaditer Venootschap (CV)</v>
          </cell>
          <cell r="AD3">
            <v>2</v>
          </cell>
          <cell r="AE3" t="str">
            <v>Harian</v>
          </cell>
          <cell r="AF3" t="str">
            <v>15 - Dalam rangka restrukturisasi kredit</v>
          </cell>
          <cell r="AM3" t="str">
            <v>0103 - Purwakarta, Kab.</v>
          </cell>
          <cell r="AN3" t="str">
            <v>AED - UAD Dirham</v>
          </cell>
          <cell r="AR3" t="str">
            <v>10 - Dengan perjanjian kredit - Kredit dalam rangka pembiayaan bersama (Sindikasi)</v>
          </cell>
          <cell r="AS3" t="str">
            <v>2 - Pengambilalihan kredit</v>
          </cell>
          <cell r="AT3" t="str">
            <v>2 - Diukur pada nilai wajar melalui laporan laba rugi - Ditetapkan untuk diukur pada nilai wajar</v>
          </cell>
          <cell r="AV3" t="str">
            <v>8106 - Kabupaten Seram Bagian Timur</v>
          </cell>
          <cell r="AX3" t="str">
            <v>Aceh Besar, Kab. - 3201</v>
          </cell>
          <cell r="AY3" t="str">
            <v>02 - Direktur (Pemilik)</v>
          </cell>
          <cell r="BA3" t="str">
            <v>Region 2 – Medan</v>
          </cell>
        </row>
        <row r="4">
          <cell r="A4" t="str">
            <v>Canadian Dollar (CAD)</v>
          </cell>
          <cell r="C4" t="str">
            <v>Kendaraan Baru</v>
          </cell>
          <cell r="E4" t="str">
            <v>Jaminan telah ditarik</v>
          </cell>
          <cell r="F4" t="str">
            <v>Corporate Guarantee</v>
          </cell>
          <cell r="G4" t="str">
            <v>Banding</v>
          </cell>
          <cell r="H4" t="str">
            <v>Disetujui sebagian dan fasilitas  perpanjangan</v>
          </cell>
          <cell r="I4" t="str">
            <v>Hak Tanggungan</v>
          </cell>
          <cell r="J4" t="str">
            <v>4 - Diragukan</v>
          </cell>
          <cell r="L4" t="str">
            <v>In-House</v>
          </cell>
          <cell r="M4" t="str">
            <v>3 kali dalam 3 bulan</v>
          </cell>
          <cell r="S4" t="str">
            <v>Lainnya</v>
          </cell>
          <cell r="T4" t="str">
            <v>Lainnya</v>
          </cell>
          <cell r="V4" t="str">
            <v>60 - 80% ditempati</v>
          </cell>
          <cell r="W4" t="str">
            <v>Calon debitur secara rutin memesan dari satu supplier – supplier ini tidak dapat dengan mudah digantikan tanpa mempengaruhi usaha</v>
          </cell>
          <cell r="X4" t="str">
            <v>Penjualan berdasarkan kontrak (job order), tetapi barang/produk bersifat umum (tidak customized/tailored), sehingga  mudah untuk dijual ke pembeli lain</v>
          </cell>
          <cell r="Y4" t="str">
            <v xml:space="preserve">Tidak dapat diaplikasikan,karena jaminan bukan merupakan tanah/bangunan </v>
          </cell>
          <cell r="Z4" t="str">
            <v>Tidak dapat diaplikasikan,karena jaminan bukan merupakan tanah/bangunan</v>
          </cell>
          <cell r="AA4" t="str">
            <v>Jaminan telah dialihkan dari pihak luar (bukan kerabat calon debitur / pemegang saham / manajemen inti)</v>
          </cell>
          <cell r="AB4" t="str">
            <v xml:space="preserve">Jaminan telah dialihkan dari kerabat calon debitur / pemegang saham / manajemen inti </v>
          </cell>
          <cell r="AC4" t="str">
            <v>Perusahaan Terbatas (PT) NV Limited (LTD)</v>
          </cell>
          <cell r="AD4">
            <v>3</v>
          </cell>
          <cell r="AE4" t="str">
            <v>Berdasarkan kontrak</v>
          </cell>
          <cell r="AF4" t="str">
            <v xml:space="preserve">20 - Penyaluran kredit melalui lembaga lain kredit (channelling) </v>
          </cell>
          <cell r="AM4" t="str">
            <v>0106 - Karawang, Kab.</v>
          </cell>
          <cell r="AN4" t="str">
            <v>AFN - Afghanistan Afghani</v>
          </cell>
          <cell r="AR4" t="str">
            <v>20 - Dengan perjanjian kredit - Kredit kepada pihak ketiga melalui lembaga lain secara channeling</v>
          </cell>
          <cell r="AS4" t="str">
            <v>3 - Kredit Subordinasi</v>
          </cell>
          <cell r="AT4" t="str">
            <v>3 - Tersedia untuk dijual</v>
          </cell>
          <cell r="AV4" t="str">
            <v>8107 - Kabupaten Kepulauan Aru</v>
          </cell>
          <cell r="AX4" t="str">
            <v>Aceh Jaya, Kab. - 3214</v>
          </cell>
          <cell r="AY4" t="str">
            <v>03 -  Komisaris Utama / Pres. Kom (Pemilik)</v>
          </cell>
          <cell r="BA4" t="str">
            <v>Region 3 – Palembang</v>
          </cell>
        </row>
        <row r="5">
          <cell r="A5" t="str">
            <v>European Euro (EUR)</v>
          </cell>
          <cell r="C5" t="str">
            <v>Kendaraan Bekas</v>
          </cell>
          <cell r="F5" t="str">
            <v>Personal Guarantee</v>
          </cell>
          <cell r="G5" t="str">
            <v>Perubahan</v>
          </cell>
          <cell r="H5" t="str">
            <v>Ditolak</v>
          </cell>
          <cell r="I5" t="str">
            <v>Hipotik</v>
          </cell>
          <cell r="J5" t="str">
            <v>5 - Macet</v>
          </cell>
          <cell r="M5" t="str">
            <v>4 kali dalam 3 bulan</v>
          </cell>
          <cell r="V5" t="str">
            <v>40 - 60% ditempati</v>
          </cell>
          <cell r="W5" t="str">
            <v>N/A,karena tidak ada supplier tetap untuk industri ini</v>
          </cell>
          <cell r="X5" t="str">
            <v>Penjualan berdasarkan kontrak (job order), tetapi barang/produk customized/tailored, sehingga tidak mudah untuk dijual ke pembeli lain</v>
          </cell>
          <cell r="AB5" t="str">
            <v>Jaminan telah dialihkan dari pihak luar (bukan kerabat calon debitur / pemegang saham / manajemen inti)</v>
          </cell>
          <cell r="AC5" t="str">
            <v>Perseroan Terbatas (PT/PERSEROAN)</v>
          </cell>
          <cell r="AD5">
            <v>4</v>
          </cell>
          <cell r="AE5" t="str">
            <v>Berdasarkan order</v>
          </cell>
          <cell r="AF5" t="str">
            <v>30 - Kartu kredit</v>
          </cell>
          <cell r="AM5" t="str">
            <v>0108 - Bogor, Kab.</v>
          </cell>
          <cell r="AN5" t="str">
            <v>ALL - Albanian Lek</v>
          </cell>
          <cell r="AR5" t="str">
            <v>25 - Dengan perjanjian kredit - Kredit kepada pihak ketiga melalui lembaga lain secara executing</v>
          </cell>
          <cell r="AS5" t="str">
            <v>9 - Lainnya</v>
          </cell>
          <cell r="AT5" t="str">
            <v>4 - Dimiliki hingga jatuh tempo</v>
          </cell>
          <cell r="AV5" t="str">
            <v>8108 - Kab. Maluku Barat Daya</v>
          </cell>
          <cell r="AX5" t="str">
            <v>Aceh Jeumpa/Bireuen, Kab. - 3210</v>
          </cell>
          <cell r="AY5" t="str">
            <v>04 -  Komisaris (Pemilik)</v>
          </cell>
          <cell r="BA5" t="str">
            <v>Region 4 – Bandung</v>
          </cell>
        </row>
        <row r="6">
          <cell r="A6" t="str">
            <v>Japanese Yen (JPY)</v>
          </cell>
          <cell r="B6" t="str">
            <v>Modal Kerja</v>
          </cell>
          <cell r="C6" t="str">
            <v>Mesin Baru</v>
          </cell>
          <cell r="G6" t="str">
            <v>Lainnya</v>
          </cell>
          <cell r="M6" t="str">
            <v>&gt; 4 kali dalam 3 bulan</v>
          </cell>
          <cell r="V6" t="str">
            <v>0 - 40% ditempati</v>
          </cell>
          <cell r="AC6" t="str">
            <v>Perseroan Umum (PERUM)</v>
          </cell>
          <cell r="AD6">
            <v>5</v>
          </cell>
          <cell r="AF6" t="str">
            <v>40 - Pengambilalihan kredit</v>
          </cell>
          <cell r="AM6" t="str">
            <v>0109 - Sukabumi, Kab.</v>
          </cell>
          <cell r="AN6" t="str">
            <v>AMD - Armenia Dram</v>
          </cell>
          <cell r="AR6" t="str">
            <v>30 - Dengan perjanjian kredit - Kartu Kredit</v>
          </cell>
          <cell r="AT6" t="str">
            <v>6 - Pinjaman yang Diberikan dan Piutang</v>
          </cell>
          <cell r="AV6" t="str">
            <v>8109 - Kab. Buru Selatan</v>
          </cell>
          <cell r="AX6" t="str">
            <v>Aceh Selatan, Kab. - 3205</v>
          </cell>
          <cell r="AY6" t="str">
            <v>06 - Kuasa Direksi (Pemilik)</v>
          </cell>
          <cell r="BA6" t="str">
            <v>Region 5 – Semarang</v>
          </cell>
        </row>
        <row r="7">
          <cell r="A7" t="str">
            <v>New Zealand Dollar (NZD)</v>
          </cell>
          <cell r="B7" t="str">
            <v>Investasi</v>
          </cell>
          <cell r="C7" t="str">
            <v>Mesin Bekas</v>
          </cell>
          <cell r="G7" t="str">
            <v>Perpanjangan &amp; Tambahan</v>
          </cell>
          <cell r="AC7" t="str">
            <v>Perseroan Jawatan (PERJAN)</v>
          </cell>
          <cell r="AD7">
            <v>6</v>
          </cell>
          <cell r="AF7" t="str">
            <v>45 - Surat berharga dengan Note Purchase Agreement (NPA)</v>
          </cell>
          <cell r="AM7" t="str">
            <v>0110 - Cianjur, Kab.</v>
          </cell>
          <cell r="AN7" t="str">
            <v>ANG - Netherlands Antillian Guilder /Florin</v>
          </cell>
          <cell r="AR7" t="str">
            <v>45 - Dengan perjanjian kredit - Surat berharga dengan Note Purchase Agreement (NPA)</v>
          </cell>
          <cell r="AV7" t="str">
            <v>8191 - Kota Ambon</v>
          </cell>
          <cell r="AX7" t="str">
            <v>Aceh Singkil, Kab. - 3209</v>
          </cell>
          <cell r="AY7" t="str">
            <v>07 - Pemilik Bukan Pengurus</v>
          </cell>
          <cell r="BA7" t="str">
            <v>Region 6 – Surabaya</v>
          </cell>
        </row>
        <row r="8">
          <cell r="A8" t="str">
            <v>Swiss Franc (CHF)</v>
          </cell>
          <cell r="B8" t="str">
            <v>Lainnya</v>
          </cell>
          <cell r="C8" t="str">
            <v>Equipment Baru</v>
          </cell>
          <cell r="AC8" t="str">
            <v>Perseroan Daerah (PERUSDA)</v>
          </cell>
          <cell r="AD8">
            <v>7</v>
          </cell>
          <cell r="AF8" t="str">
            <v>50 - Pembiayaan Musyarakah</v>
          </cell>
          <cell r="AM8" t="str">
            <v>0111 - Bandung, Kab.</v>
          </cell>
          <cell r="AN8" t="str">
            <v>AOA - Angolan Kwanza</v>
          </cell>
          <cell r="AR8" t="str">
            <v>80 - Tanpa perjanjian kredit - Giro bersaldo debet</v>
          </cell>
          <cell r="AV8" t="str">
            <v>8192 - Kota Tual</v>
          </cell>
          <cell r="AX8" t="str">
            <v>Aceh Tamiang, Kab. - 3211</v>
          </cell>
          <cell r="AY8" t="str">
            <v>09 - Masyarakat (Pemilik)</v>
          </cell>
          <cell r="BA8" t="str">
            <v>Region 7 – Balikpapan</v>
          </cell>
        </row>
        <row r="9">
          <cell r="A9" t="str">
            <v>US Dollar (USD)</v>
          </cell>
          <cell r="C9" t="str">
            <v>Equipment Bekas</v>
          </cell>
          <cell r="AC9" t="str">
            <v>Koperasi</v>
          </cell>
          <cell r="AD9">
            <v>8</v>
          </cell>
          <cell r="AF9" t="str">
            <v xml:space="preserve">55 - Pembiayaan Mudharabah </v>
          </cell>
          <cell r="AM9" t="str">
            <v>0112 - Sumedang, Kab.</v>
          </cell>
          <cell r="AN9" t="str">
            <v>ARS - Argentine Peso</v>
          </cell>
          <cell r="AR9" t="str">
            <v>85 - Tanpa perjanjian kredit - Tagihan atas transaksi perdagangan</v>
          </cell>
          <cell r="AV9" t="str">
            <v>8201 - Kab. Jayapura</v>
          </cell>
          <cell r="AX9" t="str">
            <v>Aceh Tengah, Kab. - 3207</v>
          </cell>
          <cell r="AY9" t="str">
            <v>10 - Ketua Umum (Pemilik)</v>
          </cell>
          <cell r="BA9" t="str">
            <v>Region 8 – Makassar</v>
          </cell>
        </row>
        <row r="10">
          <cell r="C10" t="str">
            <v>Piutang</v>
          </cell>
          <cell r="AC10" t="str">
            <v>Yayasan</v>
          </cell>
          <cell r="AD10">
            <v>9</v>
          </cell>
          <cell r="AF10" t="str">
            <v>60 - Piutang Murabahah</v>
          </cell>
          <cell r="AM10" t="str">
            <v>0113 - Tasikmalaya, Kab.</v>
          </cell>
          <cell r="AN10" t="str">
            <v>ATS - Austrian Schilling</v>
          </cell>
          <cell r="AR10" t="str">
            <v>99 - Tanpa perjanjian kredit - Lainnya</v>
          </cell>
          <cell r="AV10" t="str">
            <v>8202 - Kab. Biak Numfor</v>
          </cell>
          <cell r="AX10" t="str">
            <v>Aceh Tenggara, Kab. - 3208</v>
          </cell>
          <cell r="AY10" t="str">
            <v>11 - Ketua (Pemilik)</v>
          </cell>
        </row>
        <row r="11">
          <cell r="C11" t="str">
            <v>Persediaan Barang Dagangan</v>
          </cell>
          <cell r="AC11" t="str">
            <v>Badan Hukum Lainnya</v>
          </cell>
          <cell r="AD11">
            <v>10</v>
          </cell>
          <cell r="AF11" t="str">
            <v>65 - Piutang Salam</v>
          </cell>
          <cell r="AM11" t="str">
            <v>0114 - Garut, Kab.</v>
          </cell>
          <cell r="AN11" t="str">
            <v>AUD - Australian Dollar</v>
          </cell>
          <cell r="AR11" t="str">
            <v>98 - Khusus untuk agunan atau jaminan kedua dan seterusnya</v>
          </cell>
          <cell r="AV11" t="str">
            <v>8210 - Kab. Yapen-Waropen</v>
          </cell>
          <cell r="AX11" t="str">
            <v>Aceh Timur, Kab. - 3204</v>
          </cell>
          <cell r="AY11" t="str">
            <v>12 - Sekretaris (Pemilik)</v>
          </cell>
        </row>
        <row r="12">
          <cell r="A12" t="str">
            <v>PRK</v>
          </cell>
          <cell r="C12" t="str">
            <v>Heavy Equipment</v>
          </cell>
          <cell r="AD12">
            <v>11</v>
          </cell>
          <cell r="AF12" t="str">
            <v>70 - Piutang Istishna</v>
          </cell>
          <cell r="AM12" t="str">
            <v>0115 - Ciamis, Kab.</v>
          </cell>
          <cell r="AN12" t="str">
            <v>AWG - Aruban Guilder</v>
          </cell>
          <cell r="AV12" t="str">
            <v>8211 - Kab. Merauke</v>
          </cell>
          <cell r="AX12" t="str">
            <v>Aceh Utara, Kab. - 3203</v>
          </cell>
          <cell r="AY12" t="str">
            <v>13 - Bendahara (Pemilik)</v>
          </cell>
        </row>
        <row r="13">
          <cell r="A13" t="str">
            <v>PAB</v>
          </cell>
          <cell r="C13" t="str">
            <v>Commercial Transport Vehicle</v>
          </cell>
          <cell r="AD13">
            <v>12</v>
          </cell>
          <cell r="AF13" t="str">
            <v>79 - Lainnya</v>
          </cell>
          <cell r="AM13" t="str">
            <v>0116 - Cirebon, Kab.</v>
          </cell>
          <cell r="AN13" t="str">
            <v>AZM - Azerbaijan Mant</v>
          </cell>
          <cell r="AV13" t="str">
            <v>8212 - Kab. Paniai</v>
          </cell>
          <cell r="AX13" t="str">
            <v>Agam, Kab. - 3401</v>
          </cell>
          <cell r="AY13" t="str">
            <v>19 - Lainnya (Pemilik)</v>
          </cell>
        </row>
        <row r="14">
          <cell r="A14" t="str">
            <v>PB</v>
          </cell>
          <cell r="C14" t="str">
            <v>Tug Bot &amp; Barge</v>
          </cell>
          <cell r="AD14">
            <v>13</v>
          </cell>
          <cell r="AF14" t="str">
            <v>Tanpa perjanjian kredit</v>
          </cell>
          <cell r="AM14" t="str">
            <v>0117 - Kuningan, Kab.</v>
          </cell>
          <cell r="AN14" t="str">
            <v>BAM - Bosnia-Herze Conv Marka</v>
          </cell>
          <cell r="AV14" t="str">
            <v>8213 - Kab. Jayawijaya</v>
          </cell>
          <cell r="AX14" t="str">
            <v>Alor, Kab. - 7405</v>
          </cell>
          <cell r="AY14" t="str">
            <v>50 - Pengurus Bukan Pemilik</v>
          </cell>
        </row>
        <row r="15">
          <cell r="A15" t="str">
            <v>PRK 1</v>
          </cell>
          <cell r="C15" t="str">
            <v>Tug Bot &amp; Barge</v>
          </cell>
          <cell r="AD15">
            <v>14</v>
          </cell>
          <cell r="AF15" t="str">
            <v>80 - Giro bersaldo debet</v>
          </cell>
          <cell r="AM15" t="str">
            <v>0118 - Indramayu, Kab.</v>
          </cell>
          <cell r="AN15" t="str">
            <v>BBD - Barbados Dollar</v>
          </cell>
          <cell r="AV15" t="str">
            <v>8214 - Kab. Nabire</v>
          </cell>
          <cell r="AX15" t="str">
            <v>Ambon, Kota. - 8191</v>
          </cell>
          <cell r="AY15" t="str">
            <v>51 - Direktur Utama / Pres. Dir (Bukan Pemilik)</v>
          </cell>
        </row>
        <row r="16">
          <cell r="A16" t="str">
            <v>PRK 2</v>
          </cell>
          <cell r="AF16" t="str">
            <v>85 - Tagihan atas transaksi perdagangan</v>
          </cell>
          <cell r="AM16" t="str">
            <v>3216 - Kab. Simeuleu</v>
          </cell>
          <cell r="AN16" t="str">
            <v>BDT - Bangladesh Taka</v>
          </cell>
          <cell r="AV16" t="str">
            <v>7420 - Kab. Sabu Raijua</v>
          </cell>
          <cell r="AX16" t="str">
            <v>Anambas, Kab - 3805</v>
          </cell>
          <cell r="AY16" t="str">
            <v>52 - Direktur (Bukan Pemilik)</v>
          </cell>
        </row>
        <row r="17">
          <cell r="A17" t="str">
            <v>PRK 3</v>
          </cell>
          <cell r="AD17">
            <v>15</v>
          </cell>
          <cell r="AM17" t="str">
            <v>0119 - Majalengka, Kab.</v>
          </cell>
          <cell r="AN17" t="str">
            <v>BEF - Belgian Franc</v>
          </cell>
          <cell r="AV17" t="str">
            <v>8215 - Kab. Mimika</v>
          </cell>
          <cell r="AX17" t="str">
            <v>Angkola Sipirok, Kab - 3320</v>
          </cell>
          <cell r="AY17" t="str">
            <v>53 - Komisaris Utama / Pres. Kom (Bukan Pemilik)</v>
          </cell>
        </row>
        <row r="18">
          <cell r="A18" t="str">
            <v>PRK 4</v>
          </cell>
          <cell r="AD18">
            <v>16</v>
          </cell>
          <cell r="AM18" t="str">
            <v>0121 - Subang, Kab.</v>
          </cell>
          <cell r="AN18" t="str">
            <v>BEN - Bulgarian Lev</v>
          </cell>
          <cell r="AV18" t="str">
            <v>8216 - Kab. Puncak Jaya</v>
          </cell>
          <cell r="AX18" t="str">
            <v>Asahan, Kab. - 3306</v>
          </cell>
          <cell r="AY18" t="str">
            <v>54 - Komisaris (Bukan Pemilik)</v>
          </cell>
        </row>
        <row r="19">
          <cell r="A19" t="str">
            <v>PRK 5</v>
          </cell>
          <cell r="AD19">
            <v>17</v>
          </cell>
          <cell r="AM19" t="str">
            <v>0122 - Bandung Barat, Kab</v>
          </cell>
          <cell r="AN19" t="str">
            <v>BHD - Bahraini Dinar</v>
          </cell>
          <cell r="AV19" t="str">
            <v>8217 - Kab. Sarmi</v>
          </cell>
          <cell r="AX19" t="str">
            <v>Asmat, Kab. - 8228</v>
          </cell>
          <cell r="AY19" t="str">
            <v>55 - Kuasa Direksi (Bukan Pemilik)</v>
          </cell>
        </row>
        <row r="20">
          <cell r="A20" t="str">
            <v>PB 1</v>
          </cell>
          <cell r="AD20">
            <v>18</v>
          </cell>
          <cell r="AM20" t="str">
            <v>0180 - Banjar, Kota.</v>
          </cell>
          <cell r="AN20" t="str">
            <v>BIF - Burundi Franc</v>
          </cell>
          <cell r="AV20" t="str">
            <v>8218 - Kab. Keerom</v>
          </cell>
          <cell r="AX20" t="str">
            <v>Badung, Kab. - 7204</v>
          </cell>
          <cell r="AY20" t="str">
            <v>57 - Ketua Umum (Bukan Pemilik)</v>
          </cell>
        </row>
        <row r="21">
          <cell r="A21" t="str">
            <v>PB 2</v>
          </cell>
          <cell r="AD21">
            <v>19</v>
          </cell>
          <cell r="AM21" t="str">
            <v>0191 - Bandung, Kota.</v>
          </cell>
          <cell r="AN21" t="str">
            <v>BMD - Bermudian Dollar</v>
          </cell>
          <cell r="AV21" t="str">
            <v>8221 - Kab. Pegunungan Bintang</v>
          </cell>
          <cell r="AX21" t="str">
            <v>Balangan, Kab. - 5111</v>
          </cell>
          <cell r="AY21" t="str">
            <v>58 - Ketua (Bukan Pemilik)</v>
          </cell>
        </row>
        <row r="22">
          <cell r="A22" t="str">
            <v>PB 3</v>
          </cell>
          <cell r="AD22">
            <v>20</v>
          </cell>
          <cell r="AM22" t="str">
            <v>0192 - Bogor, Kota.</v>
          </cell>
          <cell r="AN22" t="str">
            <v>BND - Brunei Dollar</v>
          </cell>
          <cell r="AV22" t="str">
            <v>8222 - Kab. Yahukimo</v>
          </cell>
          <cell r="AX22" t="str">
            <v>Balikpapan, Kota. - 5492</v>
          </cell>
          <cell r="AY22" t="str">
            <v>59 - Sekretaris (Bukan Pemilik)</v>
          </cell>
        </row>
        <row r="23">
          <cell r="A23" t="str">
            <v>PB 4</v>
          </cell>
          <cell r="AD23">
            <v>21</v>
          </cell>
          <cell r="AM23" t="str">
            <v>0193 - Sukabumi, Kota.</v>
          </cell>
          <cell r="AN23" t="str">
            <v>BOB - Bolivian Boliviano</v>
          </cell>
          <cell r="AV23" t="str">
            <v>8223 - Kab. Tolikara</v>
          </cell>
          <cell r="AX23" t="str">
            <v>Banda Aceh, Kota. - 3291</v>
          </cell>
          <cell r="AY23" t="str">
            <v>60 - Bendahara (Bukan Pemilik)</v>
          </cell>
        </row>
        <row r="24">
          <cell r="A24" t="str">
            <v>PB 5</v>
          </cell>
          <cell r="AD24">
            <v>22</v>
          </cell>
          <cell r="AM24" t="str">
            <v>0194 - Cirebon, Kota.</v>
          </cell>
          <cell r="AN24" t="str">
            <v>BRL - Brazilian Real</v>
          </cell>
          <cell r="AV24" t="str">
            <v>8224 - Kab. Waropen</v>
          </cell>
          <cell r="AX24" t="str">
            <v>Bandar Lampung, Kota. - 3991</v>
          </cell>
          <cell r="AY24" t="str">
            <v>69 - Lainnya (Bukan Pemilik)</v>
          </cell>
        </row>
        <row r="25">
          <cell r="A25" t="str">
            <v>PAB 1</v>
          </cell>
          <cell r="AD25">
            <v>23</v>
          </cell>
          <cell r="AM25" t="str">
            <v>0195 - Tasikmalaya, Kota.</v>
          </cell>
          <cell r="AN25" t="str">
            <v>BSD - Bahamas Dollar</v>
          </cell>
          <cell r="AV25" t="str">
            <v>8226 - Kab. Boven Digoel</v>
          </cell>
          <cell r="AX25" t="str">
            <v>Bandung Barat, Kab - 0122</v>
          </cell>
        </row>
        <row r="26">
          <cell r="A26" t="str">
            <v>PAB 2</v>
          </cell>
          <cell r="AD26">
            <v>24</v>
          </cell>
          <cell r="AM26" t="str">
            <v>0196 - Cimahi, Kota.</v>
          </cell>
          <cell r="AN26" t="str">
            <v>BTN - Bhutan Ngultrum</v>
          </cell>
          <cell r="AV26" t="str">
            <v>8227 - Kab. Mappi</v>
          </cell>
          <cell r="AX26" t="str">
            <v>Bandung, Kab. - 0111</v>
          </cell>
        </row>
        <row r="27">
          <cell r="A27" t="str">
            <v>PAB 3</v>
          </cell>
          <cell r="AD27">
            <v>25</v>
          </cell>
          <cell r="AM27" t="str">
            <v>0197 - Depok, Kota.</v>
          </cell>
          <cell r="AN27" t="str">
            <v>BWP - Botswana Pula</v>
          </cell>
          <cell r="AV27" t="str">
            <v>8228 - Kab. Asmat</v>
          </cell>
          <cell r="AX27" t="str">
            <v>Bandung, Kota. - 0191</v>
          </cell>
        </row>
        <row r="28">
          <cell r="A28" t="str">
            <v>PAB 4</v>
          </cell>
          <cell r="AM28" t="str">
            <v>3323 - Padang Lawas Utara, Kab</v>
          </cell>
          <cell r="AN28" t="str">
            <v>BYR - Belarus Rouble</v>
          </cell>
          <cell r="AV28" t="str">
            <v>3902 - Kab. Lampung Tengah</v>
          </cell>
          <cell r="AX28" t="str">
            <v>Banggai Kepulauan, Kab - 6005</v>
          </cell>
        </row>
        <row r="29">
          <cell r="A29" t="str">
            <v>PAB 5</v>
          </cell>
          <cell r="AD29">
            <v>26</v>
          </cell>
          <cell r="AM29" t="str">
            <v>0198 - Bekasi, Kota.</v>
          </cell>
          <cell r="AN29" t="str">
            <v>BZD - Belize Dollar</v>
          </cell>
          <cell r="AV29" t="str">
            <v>8231 - Kab. Supiori</v>
          </cell>
          <cell r="AX29" t="str">
            <v>Bangka Barat, Kab - 3703</v>
          </cell>
        </row>
        <row r="30">
          <cell r="A30" t="str">
            <v>PAB 6</v>
          </cell>
          <cell r="AM30" t="str">
            <v>3217 - Kab. Bener Meriah</v>
          </cell>
          <cell r="AN30" t="str">
            <v>CAD - Canadian Dollar</v>
          </cell>
          <cell r="AV30" t="str">
            <v>7491 - Kota Kupang</v>
          </cell>
          <cell r="AX30" t="str">
            <v>Bangka Belitung, Kab - 3707</v>
          </cell>
        </row>
        <row r="31">
          <cell r="A31" t="str">
            <v>PAB 7</v>
          </cell>
          <cell r="AD31">
            <v>27</v>
          </cell>
          <cell r="AM31" t="str">
            <v>0201 - Lebak, Kab.</v>
          </cell>
          <cell r="AN31" t="str">
            <v>CDF - Democratic Rep.Congo Franc</v>
          </cell>
          <cell r="AV31" t="str">
            <v>8232 - Kab. Mamberamo Raya</v>
          </cell>
          <cell r="AX31" t="str">
            <v>Bangka Selatan, Kab - 3704</v>
          </cell>
        </row>
        <row r="32">
          <cell r="A32" t="str">
            <v>PAB 8</v>
          </cell>
          <cell r="AM32" t="str">
            <v>0202 - Pandeglang, Kab.</v>
          </cell>
          <cell r="AN32" t="str">
            <v>CDZ - New Zaire</v>
          </cell>
          <cell r="AV32" t="str">
            <v>8233 - Kab. Dogiyai</v>
          </cell>
          <cell r="AX32" t="str">
            <v>Bangka Tengah, Kab - 3705</v>
          </cell>
        </row>
        <row r="33">
          <cell r="A33" t="str">
            <v>PAB 9</v>
          </cell>
          <cell r="AM33" t="str">
            <v>0203 - Serang, Kab.</v>
          </cell>
          <cell r="AN33" t="str">
            <v>CHF - Swiss Franc</v>
          </cell>
          <cell r="AV33" t="str">
            <v>8234 - Kab. Lanny Jaya</v>
          </cell>
          <cell r="AX33" t="str">
            <v>Bangka, Kab. - 3701</v>
          </cell>
        </row>
        <row r="34">
          <cell r="A34" t="str">
            <v>PAB 10</v>
          </cell>
          <cell r="AM34" t="str">
            <v>0204 - Tangerang, Kab.</v>
          </cell>
          <cell r="AN34" t="str">
            <v>CLF - Chilean Fomento</v>
          </cell>
          <cell r="AV34" t="str">
            <v>8235 - Kab. Mamberamo Tengah</v>
          </cell>
          <cell r="AX34" t="str">
            <v>Bangkalan, Kab. - 1208</v>
          </cell>
        </row>
        <row r="35">
          <cell r="A35" t="str">
            <v>PAB 10</v>
          </cell>
          <cell r="AM35" t="str">
            <v>0291 - Cilegon, Kota.</v>
          </cell>
          <cell r="AN35" t="str">
            <v>CLP - Chilean Peso</v>
          </cell>
          <cell r="AV35" t="str">
            <v>8236 - Kab. Nduga Tengah</v>
          </cell>
          <cell r="AX35" t="str">
            <v>Bangli, Kab. - 7207</v>
          </cell>
        </row>
        <row r="36">
          <cell r="AM36" t="str">
            <v>0292 - Tangerang, Kota.</v>
          </cell>
          <cell r="AN36" t="str">
            <v>CNY - China Yuan Renminbi</v>
          </cell>
          <cell r="AV36" t="str">
            <v>8237 - Kab. Yalimo</v>
          </cell>
          <cell r="AX36" t="str">
            <v>Banjar, Kab. - 5101</v>
          </cell>
        </row>
        <row r="37">
          <cell r="AM37" t="str">
            <v>0293 - Serang. Kota.</v>
          </cell>
          <cell r="AN37" t="str">
            <v>COP - Colombian Peso</v>
          </cell>
          <cell r="AV37" t="str">
            <v>8238 - Kab. Puncak</v>
          </cell>
          <cell r="AX37" t="str">
            <v>Banjar, Kota. - 0180</v>
          </cell>
        </row>
        <row r="38">
          <cell r="AM38" t="str">
            <v>0294 - Kota Tangerang Selatan</v>
          </cell>
          <cell r="AN38" t="str">
            <v>CRC - Costa Rican Colon</v>
          </cell>
          <cell r="AV38" t="str">
            <v>8239 - Kab. Intan Jaya</v>
          </cell>
          <cell r="AX38" t="str">
            <v>Banjarbaru, Kota. - 5192</v>
          </cell>
        </row>
        <row r="39">
          <cell r="AM39" t="str">
            <v>0391 - Jakarta Pusat, Wil. Kota</v>
          </cell>
          <cell r="AN39" t="str">
            <v>CUP - Cuban Peso</v>
          </cell>
          <cell r="AV39" t="str">
            <v>8240 - Kab. Deiyai</v>
          </cell>
          <cell r="AX39" t="str">
            <v>Banjarmasin, Kota. - 5191</v>
          </cell>
        </row>
        <row r="40">
          <cell r="AM40" t="str">
            <v>0392 - Jakarta Utara ., Wil. Kota</v>
          </cell>
          <cell r="AN40" t="str">
            <v>CVE - Cape Verde Escudo</v>
          </cell>
          <cell r="AV40" t="str">
            <v>8291 - Kota Jayapura</v>
          </cell>
          <cell r="AX40" t="str">
            <v>Banjarnegara, Kab. - 0917</v>
          </cell>
        </row>
        <row r="41">
          <cell r="AM41" t="str">
            <v>0393 - Jakarta Barat, Wil. Kota</v>
          </cell>
          <cell r="AN41" t="str">
            <v>CYP - Cyprus Pound</v>
          </cell>
          <cell r="AV41" t="str">
            <v>8302 - Kab. Halmahera Tengah</v>
          </cell>
          <cell r="AX41" t="str">
            <v>Bantaeng, Kab. - 6112</v>
          </cell>
        </row>
        <row r="42">
          <cell r="AM42" t="str">
            <v>0394 - Jakarta Selatan, Wil. Kota</v>
          </cell>
          <cell r="AN42" t="str">
            <v>CZK - Czech Koruna</v>
          </cell>
          <cell r="AV42" t="str">
            <v>8303 - Kab. Halmahera Utara</v>
          </cell>
          <cell r="AX42" t="str">
            <v>Bantul, Kab. - 0501</v>
          </cell>
        </row>
        <row r="43">
          <cell r="AM43" t="str">
            <v>0395 - Jakarta Timur, Wil. Kota</v>
          </cell>
          <cell r="AN43" t="str">
            <v>DEM - Deutsche Mark</v>
          </cell>
          <cell r="AV43" t="str">
            <v>8304 - Kab. Halmahera Timur</v>
          </cell>
          <cell r="AX43" t="str">
            <v>Banyuasin, Kab - 3613</v>
          </cell>
        </row>
        <row r="44">
          <cell r="AM44" t="str">
            <v>0396 - Kepulauan Seribu, Wilayah</v>
          </cell>
          <cell r="AN44" t="str">
            <v>DJF - Djibouti Franc</v>
          </cell>
          <cell r="AV44" t="str">
            <v>8305 - Kab. Halmahera Barat</v>
          </cell>
          <cell r="AX44" t="str">
            <v>Banyumas, Kab. - 0914</v>
          </cell>
        </row>
        <row r="45">
          <cell r="AM45" t="str">
            <v>0501 - Bantul, Kab.</v>
          </cell>
          <cell r="AN45" t="str">
            <v>DKK - Danish Krone</v>
          </cell>
          <cell r="AV45" t="str">
            <v>8306 - Kab. Halmahera Selatan</v>
          </cell>
          <cell r="AX45" t="str">
            <v>Banyuwangi, Kab. - 1211</v>
          </cell>
        </row>
        <row r="46">
          <cell r="AM46" t="str">
            <v>0502 - Sleman, Kab.</v>
          </cell>
          <cell r="AN46" t="str">
            <v>DOP - Dominican Republic Peso</v>
          </cell>
          <cell r="AV46" t="str">
            <v>8307 - Kab. Kepulauan Sula</v>
          </cell>
          <cell r="AX46" t="str">
            <v>Barito Kuala, Kab. - 5107</v>
          </cell>
        </row>
        <row r="47">
          <cell r="AM47" t="str">
            <v>0503 - Gunung Kidul, Kab.</v>
          </cell>
          <cell r="AN47" t="str">
            <v>DZD - Algerian Dinar</v>
          </cell>
          <cell r="AV47" t="str">
            <v>8308 - Kab. Pulau Morotai</v>
          </cell>
          <cell r="AX47" t="str">
            <v>Barito Selatan, Kab. - 5806</v>
          </cell>
        </row>
        <row r="48">
          <cell r="AM48" t="str">
            <v>0504 - Kulon Progo, Kab.</v>
          </cell>
          <cell r="AN48" t="str">
            <v>ECS - Ecuadorean Sucre</v>
          </cell>
          <cell r="AV48" t="str">
            <v>8390 - Kota Ternate</v>
          </cell>
          <cell r="AX48" t="str">
            <v>Barito Timur, Kab. - 5805</v>
          </cell>
        </row>
        <row r="49">
          <cell r="AM49" t="str">
            <v>0591 - Yogyakarta, Kota.</v>
          </cell>
          <cell r="AN49" t="str">
            <v>EEK - Estonian Kroon</v>
          </cell>
          <cell r="AV49" t="str">
            <v>8391 - Kota Tidore Kepulauan</v>
          </cell>
          <cell r="AX49" t="str">
            <v>Barito Utara, Kab. - 5808</v>
          </cell>
        </row>
        <row r="50">
          <cell r="AM50" t="str">
            <v>0901 - Semarang, Kab.</v>
          </cell>
          <cell r="AN50" t="str">
            <v>EGP - Egyptian Pound</v>
          </cell>
          <cell r="AV50" t="str">
            <v>8401 - Kab. Sorong</v>
          </cell>
          <cell r="AX50" t="str">
            <v>Barru, Kab. - 6116</v>
          </cell>
        </row>
        <row r="51">
          <cell r="AM51" t="str">
            <v>0902 - Kendal, Kab.</v>
          </cell>
          <cell r="AN51" t="str">
            <v>ERN - Eritreian Nakfa</v>
          </cell>
          <cell r="AV51" t="str">
            <v>8402 - Kab. Fak-Fak</v>
          </cell>
          <cell r="AX51" t="str">
            <v>Batam, Kota - 3892</v>
          </cell>
        </row>
        <row r="52">
          <cell r="AM52" t="str">
            <v>0903 - Demak, Kab.</v>
          </cell>
          <cell r="AN52" t="str">
            <v>ESB - Spanish Peseta</v>
          </cell>
          <cell r="AV52" t="str">
            <v>8403 - Kab. Manokwari</v>
          </cell>
          <cell r="AX52" t="str">
            <v>Batang, Kab. - 0929</v>
          </cell>
        </row>
        <row r="53">
          <cell r="AM53" t="str">
            <v>0904 - Grobogan, Kab.</v>
          </cell>
          <cell r="AN53" t="str">
            <v>ESP - Spanish Peseta</v>
          </cell>
          <cell r="AV53" t="str">
            <v>8404 - Kab. Sorong Selatan</v>
          </cell>
          <cell r="AX53" t="str">
            <v>Batanghari, Kab. - 3101</v>
          </cell>
        </row>
        <row r="54">
          <cell r="AM54" t="str">
            <v>0905 - Pekalongan, Kab.</v>
          </cell>
          <cell r="AN54" t="str">
            <v>ESS - Ecuadoran Sucre</v>
          </cell>
          <cell r="AV54" t="str">
            <v>8405 - Kab. Raja Ampat</v>
          </cell>
          <cell r="AX54" t="str">
            <v>Batu Bara, Kab - 3321</v>
          </cell>
        </row>
        <row r="55">
          <cell r="AM55" t="str">
            <v>0906 - Tegal, Kab.</v>
          </cell>
          <cell r="AN55" t="str">
            <v>ETB - Ethiopian Birr</v>
          </cell>
          <cell r="AV55" t="str">
            <v>8406 - Kab. Kaimana</v>
          </cell>
          <cell r="AX55" t="str">
            <v>Batu, Kota. - 1271</v>
          </cell>
        </row>
        <row r="56">
          <cell r="AM56" t="str">
            <v>0907 - Brebes, Kab.</v>
          </cell>
          <cell r="AN56" t="str">
            <v>EUR - Euro</v>
          </cell>
          <cell r="AV56" t="str">
            <v>8407 - Kab. Teluk Bintuni</v>
          </cell>
          <cell r="AX56" t="str">
            <v>Bau-Bau,Kota. - 6990</v>
          </cell>
        </row>
        <row r="57">
          <cell r="AM57" t="str">
            <v>0908 - Pati, Kab.</v>
          </cell>
          <cell r="AN57" t="str">
            <v>FIM - Finnis Markka</v>
          </cell>
          <cell r="AV57" t="str">
            <v>8408 - Kab. Teluk Wondama</v>
          </cell>
          <cell r="AX57" t="str">
            <v>Bekasi, Kab. - 0102</v>
          </cell>
        </row>
        <row r="58">
          <cell r="AM58" t="str">
            <v>0909 - Kudus, Kab.</v>
          </cell>
          <cell r="AN58" t="str">
            <v>FJD - Fiji Dollar</v>
          </cell>
          <cell r="AV58" t="str">
            <v>8409 - Kab. Tembrauw</v>
          </cell>
          <cell r="AX58" t="str">
            <v>Bekasi, Kota. - 0198</v>
          </cell>
        </row>
        <row r="59">
          <cell r="AM59" t="str">
            <v>0910 - Pemalang, Kab.</v>
          </cell>
          <cell r="AN59" t="str">
            <v>FKP - Falkland Islands Pound</v>
          </cell>
          <cell r="AV59" t="str">
            <v>8410 - Kab. Maybrat</v>
          </cell>
          <cell r="AX59" t="str">
            <v>Belitung Timur, Kab - 3706</v>
          </cell>
        </row>
        <row r="60">
          <cell r="AM60" t="str">
            <v>0911 - Jepara, Kab.</v>
          </cell>
          <cell r="AN60" t="str">
            <v>FRF - French Franc</v>
          </cell>
          <cell r="AV60" t="str">
            <v>8491 - Kota Sorong</v>
          </cell>
          <cell r="AX60" t="str">
            <v>Belitung, Kab. - 3702</v>
          </cell>
        </row>
        <row r="61">
          <cell r="AM61" t="str">
            <v>0912 - Rembang, Kab.</v>
          </cell>
          <cell r="AN61" t="str">
            <v>GBP - Pound Sterling (United Kingdom Pound)</v>
          </cell>
          <cell r="AV61" t="str">
            <v>9999 - DI LUAR INDONESIA</v>
          </cell>
          <cell r="AX61" t="str">
            <v>Belu, Kab. - 7404</v>
          </cell>
        </row>
        <row r="62">
          <cell r="AM62" t="str">
            <v>3218 - Pide Jaya, Kab</v>
          </cell>
          <cell r="AN62" t="str">
            <v>GEK - Georgian Coupon</v>
          </cell>
          <cell r="AV62" t="str">
            <v>8101 - Kab. Maluku Tengah</v>
          </cell>
          <cell r="AX62" t="str">
            <v>Bener Meriah, Kab - 3217</v>
          </cell>
        </row>
        <row r="63">
          <cell r="AM63" t="str">
            <v>0913 - Blora, Kab.</v>
          </cell>
          <cell r="AN63" t="str">
            <v>GEL - Georgian Lari</v>
          </cell>
          <cell r="AV63" t="str">
            <v>6105 - Kab. Bone</v>
          </cell>
          <cell r="AX63" t="str">
            <v>Bengkalis, Kab. - 3502</v>
          </cell>
        </row>
        <row r="64">
          <cell r="AM64" t="str">
            <v>0914 - Banyumas, Kab.</v>
          </cell>
          <cell r="AN64" t="str">
            <v>GHC - Ghana Cedi</v>
          </cell>
          <cell r="AV64" t="str">
            <v>6106 - Kab. Tana Toraja</v>
          </cell>
          <cell r="AX64" t="str">
            <v>Bengkayang, Kab. - 5307</v>
          </cell>
        </row>
        <row r="65">
          <cell r="AM65" t="str">
            <v>0915 - Cilacap, Kab.</v>
          </cell>
          <cell r="AN65" t="str">
            <v>GIP - Gibraltar Pound</v>
          </cell>
          <cell r="AV65" t="str">
            <v>6107 - Kab. Maros</v>
          </cell>
          <cell r="AX65" t="str">
            <v>Bengkulu Selatan, Kab. - 2301</v>
          </cell>
        </row>
        <row r="66">
          <cell r="AM66" t="str">
            <v>3219 - Subulussalam</v>
          </cell>
          <cell r="AN66" t="str">
            <v>GMD - Gambian Dalasi</v>
          </cell>
          <cell r="AV66" t="str">
            <v>8102 - Kab. Maluku Tenggara</v>
          </cell>
          <cell r="AX66" t="str">
            <v>Bengkulu Tengah, Kab - 2309</v>
          </cell>
        </row>
        <row r="67">
          <cell r="AM67" t="str">
            <v>0916 - Purbalingga, Kab.</v>
          </cell>
          <cell r="AN67" t="str">
            <v>GNF - Guinea Franc</v>
          </cell>
          <cell r="AV67" t="str">
            <v>6109 - Kab. Luwu</v>
          </cell>
          <cell r="AX67" t="str">
            <v>Bengkulu Utara, Kab. - 2302</v>
          </cell>
        </row>
        <row r="68">
          <cell r="AM68" t="str">
            <v>0917 - Banjarnegara, Kab.</v>
          </cell>
          <cell r="AN68" t="str">
            <v>GNS - Guinea Franc/Guinea Syli</v>
          </cell>
          <cell r="AV68" t="str">
            <v>6110 - Kab. Sinjai</v>
          </cell>
          <cell r="AX68" t="str">
            <v>Bengkulu, Kota. - 2391</v>
          </cell>
        </row>
        <row r="69">
          <cell r="AM69" t="str">
            <v>0918 - Magelang, Kab.</v>
          </cell>
          <cell r="AN69" t="str">
            <v>GQE - ekwele</v>
          </cell>
          <cell r="AV69" t="str">
            <v>6111 - Kab. Bulukumba</v>
          </cell>
          <cell r="AX69" t="str">
            <v>Berau, Kab. - 5402</v>
          </cell>
        </row>
        <row r="70">
          <cell r="AM70" t="str">
            <v>0919 - Temanggung, Kab.</v>
          </cell>
          <cell r="AN70" t="str">
            <v>GRD - Greek Drachma</v>
          </cell>
          <cell r="AV70" t="str">
            <v>6112 - Kab. Bantaeng</v>
          </cell>
          <cell r="AX70" t="str">
            <v>Biak Numfor, Kab. - 8202</v>
          </cell>
        </row>
        <row r="71">
          <cell r="AM71" t="str">
            <v>0920 - Wonosobo, Kab.</v>
          </cell>
          <cell r="AN71" t="str">
            <v>GTQ - Guatemala Quetzal</v>
          </cell>
          <cell r="AV71" t="str">
            <v>6113 - Kab. Jeneponto</v>
          </cell>
          <cell r="AX71" t="str">
            <v>Bima, Kab. - 7105</v>
          </cell>
        </row>
        <row r="72">
          <cell r="AM72" t="str">
            <v>0921 - Purworejo, Kab.</v>
          </cell>
          <cell r="AN72" t="str">
            <v>GWP - Guinea-Bissau Peso</v>
          </cell>
          <cell r="AV72" t="str">
            <v>6114 - Kab. Selayar</v>
          </cell>
          <cell r="AX72" t="str">
            <v>Binjai, Kota. - 3392</v>
          </cell>
        </row>
        <row r="73">
          <cell r="AM73" t="str">
            <v>0922 - Kebumen, Kab.</v>
          </cell>
          <cell r="AN73" t="str">
            <v>GYD - Guyana Dollar</v>
          </cell>
          <cell r="AV73" t="str">
            <v>6115 - Kab. Takalar</v>
          </cell>
          <cell r="AX73" t="str">
            <v>Bintan, Kab (d/h Kab. Kepulauan Riau - 3804</v>
          </cell>
        </row>
        <row r="74">
          <cell r="AM74" t="str">
            <v>0923 - Klaten, Kab.</v>
          </cell>
          <cell r="AN74" t="str">
            <v>HKD - Hong Kong Dollar</v>
          </cell>
          <cell r="AV74" t="str">
            <v>6116 - Kab. Barru</v>
          </cell>
          <cell r="AX74" t="str">
            <v>Bitung, Kota. - 6293</v>
          </cell>
        </row>
        <row r="75">
          <cell r="AM75" t="str">
            <v>0924 - Boyolali, Kab.</v>
          </cell>
          <cell r="AN75" t="str">
            <v>HNL - Honduras Lempira</v>
          </cell>
          <cell r="AV75" t="str">
            <v>6117 - Kab. Sidenreng Rappang</v>
          </cell>
          <cell r="AX75" t="str">
            <v>Blitar, Kab. - 1221</v>
          </cell>
        </row>
        <row r="76">
          <cell r="AM76" t="str">
            <v>0925 - Sragen, Kab.</v>
          </cell>
          <cell r="AN76" t="str">
            <v>HRD - Croatian Dinar</v>
          </cell>
          <cell r="AV76" t="str">
            <v>6118 - Kab. Pangkajene Kepulauan</v>
          </cell>
          <cell r="AX76" t="str">
            <v>Blitar, Kota. - 1296</v>
          </cell>
        </row>
        <row r="77">
          <cell r="AM77" t="str">
            <v>0926 - Sukoharjo, Kab.</v>
          </cell>
          <cell r="AN77" t="str">
            <v>HRK - Croatian Kuna</v>
          </cell>
          <cell r="AV77" t="str">
            <v>6119 - Kab. Soppeng (d/h Watansoppeng)</v>
          </cell>
          <cell r="AX77" t="str">
            <v>Blora, Kab. - 0913</v>
          </cell>
        </row>
        <row r="78">
          <cell r="AM78" t="str">
            <v>0927 - Karanganyar, Kab.</v>
          </cell>
          <cell r="AN78" t="str">
            <v>HTG - Haiti Gourde</v>
          </cell>
          <cell r="AV78" t="str">
            <v>6121 - Kab. Enrekang</v>
          </cell>
          <cell r="AX78" t="str">
            <v>Bogor, Kab. - 0108</v>
          </cell>
        </row>
        <row r="79">
          <cell r="AM79" t="str">
            <v>0928 - Wonogiri, Kab.</v>
          </cell>
          <cell r="AN79" t="str">
            <v>HUF - Hungarian Forint</v>
          </cell>
          <cell r="AV79" t="str">
            <v>6122 - Kab. Luwu Timur (d/h Luwu Selatan)</v>
          </cell>
          <cell r="AX79" t="str">
            <v>Bogor, Kota. - 0192</v>
          </cell>
        </row>
        <row r="80">
          <cell r="AM80" t="str">
            <v>0929 - Batang, Kab.</v>
          </cell>
          <cell r="AN80" t="str">
            <v>IDR - Indonesian Rupiah</v>
          </cell>
          <cell r="AV80" t="str">
            <v>6124 - Kab. Luwu Utara</v>
          </cell>
          <cell r="AX80" t="str">
            <v>Bojonegoro, Kab. - 1227</v>
          </cell>
        </row>
        <row r="81">
          <cell r="AM81" t="str">
            <v>3291 - Banda Aceh, Kota.</v>
          </cell>
          <cell r="AN81" t="str">
            <v>IEP - Irish Punt</v>
          </cell>
          <cell r="AV81" t="str">
            <v>8103 - Kab. Maluku Tenggara Barat</v>
          </cell>
          <cell r="AX81" t="str">
            <v>Bolaang Mongondow Selatan, Kab - 6212</v>
          </cell>
        </row>
        <row r="82">
          <cell r="AM82" t="str">
            <v>3292 - Sabang, Kota.</v>
          </cell>
          <cell r="AN82" t="str">
            <v>ILS - Israeli Shekel</v>
          </cell>
          <cell r="AV82" t="str">
            <v>8104 - Kab Buru</v>
          </cell>
          <cell r="AX82" t="str">
            <v>Bolaang Mongondow Timur, Kab - 6213</v>
          </cell>
        </row>
        <row r="83">
          <cell r="AM83" t="str">
            <v>0991 - Semarang, Kota.</v>
          </cell>
          <cell r="AN83" t="str">
            <v>INR - Indian Rupee</v>
          </cell>
          <cell r="AV83" t="str">
            <v>6125 - Kab. Toraja Utara</v>
          </cell>
          <cell r="AX83" t="str">
            <v>Bolaang Mongondow, Kab. - 6203</v>
          </cell>
        </row>
        <row r="84">
          <cell r="AM84" t="str">
            <v>0992 - Salatiga, Kota.</v>
          </cell>
          <cell r="AN84" t="str">
            <v>IQD - Iraqi Dinar</v>
          </cell>
          <cell r="AV84" t="str">
            <v>6191 - Kota Makassar</v>
          </cell>
          <cell r="AX84" t="str">
            <v>Bolaang Mongoundow Utara, Kab. - 6210</v>
          </cell>
        </row>
        <row r="85">
          <cell r="AM85" t="str">
            <v>0993 - Pekalongan, Kota.</v>
          </cell>
          <cell r="AN85" t="str">
            <v>IRR - Iranian Rial</v>
          </cell>
          <cell r="AV85" t="str">
            <v>6192 - Kota Pare-Pare</v>
          </cell>
          <cell r="AX85" t="str">
            <v>Bombana, Kab. - 6908</v>
          </cell>
        </row>
        <row r="86">
          <cell r="AM86" t="str">
            <v>0994 - Tegal, Kota.</v>
          </cell>
          <cell r="AN86" t="str">
            <v>ISK - Icelandic Krona</v>
          </cell>
          <cell r="AV86" t="str">
            <v>6193 - Kota Palopo</v>
          </cell>
          <cell r="AX86" t="str">
            <v>Bondowoso, Kab. - 1209</v>
          </cell>
        </row>
        <row r="87">
          <cell r="AM87" t="str">
            <v>0995 - Magelang, Kota.</v>
          </cell>
          <cell r="AN87" t="str">
            <v>ISS - Israeli Shekel</v>
          </cell>
          <cell r="AV87" t="str">
            <v>6202 - Kab. Minahasa</v>
          </cell>
          <cell r="AX87" t="str">
            <v>Bone, Kab. - 6105</v>
          </cell>
        </row>
        <row r="88">
          <cell r="AM88" t="str">
            <v>0996 - Surakarta, Kota.</v>
          </cell>
          <cell r="AN88" t="str">
            <v>ITL - Italian Lira</v>
          </cell>
          <cell r="AV88" t="str">
            <v>6203 - Kab. Bolaang Mongondow</v>
          </cell>
          <cell r="AX88" t="str">
            <v>Bonebolango, Kab. - 6303</v>
          </cell>
        </row>
        <row r="89">
          <cell r="AM89" t="str">
            <v>1201 - Gresik, Kab.</v>
          </cell>
          <cell r="AN89" t="str">
            <v>JMD - Jamaican Dollar</v>
          </cell>
          <cell r="AV89" t="str">
            <v>6204 - Kab. Kepulauan Sangihe</v>
          </cell>
          <cell r="AX89" t="str">
            <v>Bontang, Kota. - 5494</v>
          </cell>
        </row>
        <row r="90">
          <cell r="AM90" t="str">
            <v>1202 - Sidoarjo, Kab.</v>
          </cell>
          <cell r="AN90" t="str">
            <v>JOD - Jordanian Dinar</v>
          </cell>
          <cell r="AV90" t="str">
            <v>6205 - Kab. kepulauan Talaud</v>
          </cell>
          <cell r="AX90" t="str">
            <v>Boven Digoel, Kab. - 8226</v>
          </cell>
        </row>
        <row r="91">
          <cell r="AM91" t="str">
            <v>1203 - Mojokerto, Kab.</v>
          </cell>
          <cell r="AN91" t="str">
            <v>JPY - Japanese Yen</v>
          </cell>
          <cell r="AV91" t="str">
            <v>6206 - Kab. Minahasa Selatan</v>
          </cell>
          <cell r="AX91" t="str">
            <v>Boyolali, Kab. - 0924</v>
          </cell>
        </row>
        <row r="92">
          <cell r="AM92" t="str">
            <v>1204 - Jombang, Kab.</v>
          </cell>
          <cell r="AN92" t="str">
            <v>KES - Kenyan Shilling</v>
          </cell>
          <cell r="AV92" t="str">
            <v>6207 - Kab. Minahasa Utara</v>
          </cell>
          <cell r="AX92" t="str">
            <v>Brebes, Kab. - 0907</v>
          </cell>
        </row>
        <row r="93">
          <cell r="AM93" t="str">
            <v>1205 - Sampang, Kab.</v>
          </cell>
          <cell r="AN93" t="str">
            <v>KGS - Kyrgyzstan Som</v>
          </cell>
          <cell r="AV93" t="str">
            <v>6209 - Kab. Minahasa Tenggara</v>
          </cell>
          <cell r="AX93" t="str">
            <v>Bualemo, Kab. - 6302</v>
          </cell>
        </row>
        <row r="94">
          <cell r="AM94" t="str">
            <v>1206 - Pamekasan, Kab.</v>
          </cell>
          <cell r="AN94" t="str">
            <v>KHR - Cambodia Riel</v>
          </cell>
          <cell r="AV94" t="str">
            <v>6210 - Kab. Bolaang Mongondow Utara</v>
          </cell>
          <cell r="AX94" t="str">
            <v>Bukittinggi, Kota. - 3491</v>
          </cell>
        </row>
        <row r="95">
          <cell r="AM95" t="str">
            <v>1207 - Sumenep, Kab.</v>
          </cell>
          <cell r="AN95" t="str">
            <v>KMF - Comoros Franc</v>
          </cell>
          <cell r="AV95" t="str">
            <v>6211 - Kab. Kepulauan Sitaro</v>
          </cell>
          <cell r="AX95" t="str">
            <v>Buleleng, Kab. - 7201</v>
          </cell>
        </row>
        <row r="96">
          <cell r="AM96" t="str">
            <v>1208 - Bangkalan, Kab.</v>
          </cell>
          <cell r="AN96" t="str">
            <v>KPW - North Korean Won</v>
          </cell>
          <cell r="AV96" t="str">
            <v>6212 - Kab. Bolaang Mongondow Selatan</v>
          </cell>
          <cell r="AX96" t="str">
            <v>Bulukumba, Kab. - 6111</v>
          </cell>
        </row>
        <row r="97">
          <cell r="AM97" t="str">
            <v>1209 - Bondowoso, Kab.</v>
          </cell>
          <cell r="AN97" t="str">
            <v>KRW - Korean Won</v>
          </cell>
          <cell r="AV97" t="str">
            <v>6213 - Kab. Bolaang Mongondow Timur</v>
          </cell>
          <cell r="AX97" t="str">
            <v>Bulungan, Kab. - 5404</v>
          </cell>
        </row>
        <row r="98">
          <cell r="AM98" t="str">
            <v>1211 - Banyuwangi, Kab.</v>
          </cell>
          <cell r="AN98" t="str">
            <v>KTS - Kazakhstan Tenge</v>
          </cell>
          <cell r="AV98" t="str">
            <v>6291 - Kota Menado</v>
          </cell>
          <cell r="AX98" t="str">
            <v>Bungo, Kab - 3112</v>
          </cell>
        </row>
        <row r="99">
          <cell r="AM99" t="str">
            <v>1212 - Jember, Kab.</v>
          </cell>
          <cell r="AN99" t="str">
            <v>KWD - Kuwaiti Dinar</v>
          </cell>
          <cell r="AV99" t="str">
            <v>6292 - Kota Kotamobagu</v>
          </cell>
          <cell r="AX99" t="str">
            <v>Buol, Kab. - 6007</v>
          </cell>
        </row>
        <row r="100">
          <cell r="AM100" t="str">
            <v>3293 - Lhokseumawe, Kota.</v>
          </cell>
          <cell r="AN100" t="str">
            <v>KYD - Cayman Islands Dollar</v>
          </cell>
          <cell r="AV100" t="str">
            <v>3615 - Kab. Ogan Komeing Ulu Timur</v>
          </cell>
          <cell r="AX100" t="str">
            <v>Buru Selatan, Kab - 8109</v>
          </cell>
        </row>
        <row r="101">
          <cell r="AM101" t="str">
            <v>3215 - Nagan Raya, Kab.</v>
          </cell>
          <cell r="AN101" t="str">
            <v>KYS - Kyrgyzstan Som</v>
          </cell>
          <cell r="AV101" t="str">
            <v>7419 - Kab. Nagekeo</v>
          </cell>
          <cell r="AX101" t="str">
            <v>Buru, Kab - 8104</v>
          </cell>
        </row>
        <row r="102">
          <cell r="AM102" t="str">
            <v>1213 - Malang, Kab.</v>
          </cell>
          <cell r="AN102" t="str">
            <v>KZT - Kazakhstan Tenge</v>
          </cell>
          <cell r="AV102" t="str">
            <v>6293 - Kota Bitung</v>
          </cell>
          <cell r="AX102" t="str">
            <v>Buton Utara, Kab. - 6910</v>
          </cell>
        </row>
        <row r="103">
          <cell r="AM103" t="str">
            <v>1214 - Pasuruan, Kab.</v>
          </cell>
          <cell r="AN103" t="str">
            <v>LAK - Laos New Kip</v>
          </cell>
          <cell r="AV103" t="str">
            <v>6294 - Kota. Tomohon</v>
          </cell>
          <cell r="AX103" t="str">
            <v>Buton, Kab. - 6901</v>
          </cell>
        </row>
        <row r="104">
          <cell r="AM104" t="str">
            <v>1215 - Probolinggo, Kab.</v>
          </cell>
          <cell r="AN104" t="str">
            <v>LBP - Lebanese Pound</v>
          </cell>
          <cell r="AV104" t="str">
            <v>6301 - Kab. Gorontalo</v>
          </cell>
          <cell r="AX104" t="str">
            <v>Ciamis, Kab. - 0115</v>
          </cell>
        </row>
        <row r="105">
          <cell r="AM105" t="str">
            <v>1216 - Lumajang, Kab.</v>
          </cell>
          <cell r="AN105" t="str">
            <v>LKR - Sri Langka Rupee</v>
          </cell>
          <cell r="AV105" t="str">
            <v>6302 - Kab. Bualemo</v>
          </cell>
          <cell r="AX105" t="str">
            <v>Cianjur, Kab. - 0110</v>
          </cell>
        </row>
        <row r="106">
          <cell r="AM106" t="str">
            <v>1217 - Kediri, Kab.</v>
          </cell>
          <cell r="AN106" t="str">
            <v>LRD - Liberian Dollar</v>
          </cell>
          <cell r="AV106" t="str">
            <v>6303 - Kab. Bonebolango</v>
          </cell>
          <cell r="AX106" t="str">
            <v>Cilacap, Kab. - 0915</v>
          </cell>
        </row>
        <row r="107">
          <cell r="AM107" t="str">
            <v>1218 - Nganjuk, Kab.</v>
          </cell>
          <cell r="AN107" t="str">
            <v>LSL - Loti Lesotho</v>
          </cell>
          <cell r="AV107" t="str">
            <v>6304 - Kab. Pohuwato</v>
          </cell>
          <cell r="AX107" t="str">
            <v>Cilegon, Kota. - 0291</v>
          </cell>
        </row>
        <row r="108">
          <cell r="AM108" t="str">
            <v>1219 - Tulungagung, Kab.</v>
          </cell>
          <cell r="AN108" t="str">
            <v>LSM - Lesotho Maloti</v>
          </cell>
          <cell r="AV108" t="str">
            <v>6305 - Kab. Gorontalo Utara</v>
          </cell>
          <cell r="AX108" t="str">
            <v>Cimahi, Kota. - 0196</v>
          </cell>
        </row>
        <row r="109">
          <cell r="AM109" t="str">
            <v>1220 - Trenggalek, Kab.</v>
          </cell>
          <cell r="AN109" t="str">
            <v>LTL - Lithuanian Litas</v>
          </cell>
          <cell r="AV109" t="str">
            <v>6391 - Kota Gorontalo</v>
          </cell>
          <cell r="AX109" t="str">
            <v>Cirebon, Kab. - 0116</v>
          </cell>
        </row>
        <row r="110">
          <cell r="AM110" t="str">
            <v>1221 - Blitar, Kab.</v>
          </cell>
          <cell r="AN110" t="str">
            <v>LTT - Litas</v>
          </cell>
          <cell r="AV110" t="str">
            <v>6401 - Kab. Polewali Mandar</v>
          </cell>
          <cell r="AX110" t="str">
            <v>Cirebon, Kota. - 0194</v>
          </cell>
        </row>
        <row r="111">
          <cell r="AM111" t="str">
            <v>1222 - Madiun, Kab.</v>
          </cell>
          <cell r="AN111" t="str">
            <v>LUF - Luxembourg Franc</v>
          </cell>
          <cell r="AV111" t="str">
            <v>6402 - Kab. Majene</v>
          </cell>
          <cell r="AX111" t="str">
            <v>Dairi, Kab. - 3307</v>
          </cell>
        </row>
        <row r="112">
          <cell r="AM112" t="str">
            <v>3294 - Langsa, Kota.</v>
          </cell>
          <cell r="AN112" t="str">
            <v>LVL - Latvian Lats</v>
          </cell>
          <cell r="AV112" t="str">
            <v>3616 - Kab. Ogan Ilir</v>
          </cell>
          <cell r="AX112" t="str">
            <v>Deiyai, Kab - 8240</v>
          </cell>
        </row>
        <row r="113">
          <cell r="AM113" t="str">
            <v>1223 - Ngawi, Kab.</v>
          </cell>
          <cell r="AN113" t="str">
            <v>LVR - Latvian Rouble</v>
          </cell>
          <cell r="AV113" t="str">
            <v>6403 - Kab. Mamasa</v>
          </cell>
          <cell r="AX113" t="str">
            <v>Deli Serdang, Kab. - 3301</v>
          </cell>
        </row>
        <row r="114">
          <cell r="AM114" t="str">
            <v>1224 - Magetan, Kab.</v>
          </cell>
          <cell r="AN114" t="str">
            <v>LYD - Libyan Dinar</v>
          </cell>
          <cell r="AV114" t="str">
            <v>6404 - Kab. Mamuju Utara</v>
          </cell>
          <cell r="AX114" t="str">
            <v>Demak, Kab. - 0903</v>
          </cell>
        </row>
        <row r="115">
          <cell r="AM115" t="str">
            <v>1225 - Ponorogo, Kab.</v>
          </cell>
          <cell r="AN115" t="str">
            <v>MAD - Morrocoan Dirham</v>
          </cell>
          <cell r="AV115" t="str">
            <v>6491 - Kota Mamuju</v>
          </cell>
          <cell r="AX115" t="str">
            <v>Denpasar, Kota. - 7291</v>
          </cell>
        </row>
        <row r="116">
          <cell r="AM116" t="str">
            <v>1226 - Pacitan, Kab.</v>
          </cell>
          <cell r="AN116" t="str">
            <v>MDL - Moldova Lei</v>
          </cell>
          <cell r="AV116" t="str">
            <v>6901 - Kab. Buton</v>
          </cell>
          <cell r="AX116" t="str">
            <v>Depok, Kota. - 0197</v>
          </cell>
        </row>
        <row r="117">
          <cell r="AM117" t="str">
            <v>1227 - Bojonegoro, Kab.</v>
          </cell>
          <cell r="AN117" t="str">
            <v>MGF - Madagascar Franc</v>
          </cell>
          <cell r="AV117" t="str">
            <v>6903 - Kab. Muna</v>
          </cell>
          <cell r="AX117" t="str">
            <v>Dharmasraya, Kab. - 3411</v>
          </cell>
        </row>
        <row r="118">
          <cell r="AM118" t="str">
            <v>1228 - Tuban, Kab.</v>
          </cell>
          <cell r="AN118" t="str">
            <v>MKD - Macedonian Denar</v>
          </cell>
          <cell r="AV118" t="str">
            <v>6904 - Kab. Kolaka</v>
          </cell>
          <cell r="AX118" t="str">
            <v>DI  LUAR  INDONESIA - 9999</v>
          </cell>
        </row>
        <row r="119">
          <cell r="AM119" t="str">
            <v>1229 - Lamongan, Kab.</v>
          </cell>
          <cell r="AN119" t="str">
            <v>MLF - Malian Franc</v>
          </cell>
          <cell r="AV119" t="str">
            <v>6905 - Kab. Wakatobi</v>
          </cell>
          <cell r="AX119" t="str">
            <v>Dogiyai, Kab. - 8233</v>
          </cell>
        </row>
        <row r="120">
          <cell r="AM120" t="str">
            <v>1230 - Situbondo, Kab.</v>
          </cell>
          <cell r="AN120" t="str">
            <v>MMK - Myanmar Kyat</v>
          </cell>
          <cell r="AV120" t="str">
            <v>6906 - Kab. Konawe</v>
          </cell>
          <cell r="AX120" t="str">
            <v>Dompu, Kab. - 7106</v>
          </cell>
        </row>
        <row r="121">
          <cell r="AM121" t="str">
            <v>1271 - Batu, Kota.</v>
          </cell>
          <cell r="AN121" t="str">
            <v>MNT - Mongolia Tugrik</v>
          </cell>
          <cell r="AV121" t="str">
            <v>6907 - Kab. Konawe Selatan</v>
          </cell>
          <cell r="AX121" t="str">
            <v>Donggala, Kab. - 6001</v>
          </cell>
        </row>
        <row r="122">
          <cell r="AM122" t="str">
            <v>1291 - Surabaya, Kota.</v>
          </cell>
          <cell r="AN122" t="str">
            <v>MOP - Macau Pataca</v>
          </cell>
          <cell r="AV122" t="str">
            <v>6908 - Kab. Bombana</v>
          </cell>
          <cell r="AX122" t="str">
            <v>Dumai, Kota. - 3592</v>
          </cell>
        </row>
        <row r="123">
          <cell r="AM123" t="str">
            <v>1292 - Mojokerto, Kota.</v>
          </cell>
          <cell r="AN123" t="str">
            <v>MRO - Mauritania Ouguiya</v>
          </cell>
          <cell r="AV123" t="str">
            <v>6909 - Kab. Kolaka Utara</v>
          </cell>
          <cell r="AX123" t="str">
            <v>Empat Lawang - 3617</v>
          </cell>
        </row>
        <row r="124">
          <cell r="AM124" t="str">
            <v>1293 - Malang, Kota.</v>
          </cell>
          <cell r="AN124" t="str">
            <v>MTL - Maltese Lira</v>
          </cell>
          <cell r="AV124" t="str">
            <v>6910 - Kab. Buton Utara</v>
          </cell>
          <cell r="AX124" t="str">
            <v>Ende, Kab. - 7408</v>
          </cell>
        </row>
        <row r="125">
          <cell r="AM125" t="str">
            <v>1294 - Pasuruan, Kota.</v>
          </cell>
          <cell r="AN125" t="str">
            <v>MUR - Maurutius Rupee</v>
          </cell>
          <cell r="AV125" t="str">
            <v>6911 - Kab. Konawe Utara</v>
          </cell>
          <cell r="AX125" t="str">
            <v>Enrekang, Kab. - 6121</v>
          </cell>
        </row>
        <row r="126">
          <cell r="AM126" t="str">
            <v>1295 - Probolinggo, Kota.</v>
          </cell>
          <cell r="AN126" t="str">
            <v>MVR - Maldives Rufiyaa</v>
          </cell>
          <cell r="AV126" t="str">
            <v>6990 - Kota Bau-Bau</v>
          </cell>
          <cell r="AX126" t="str">
            <v>Fak-Fak, Kab. - 8402</v>
          </cell>
        </row>
        <row r="127">
          <cell r="AM127" t="str">
            <v>1296 - Blitar, Kota.</v>
          </cell>
          <cell r="AN127" t="str">
            <v>MVS - Moldova Leu</v>
          </cell>
          <cell r="AV127" t="str">
            <v>6991 - Kota Kendari</v>
          </cell>
          <cell r="AX127" t="str">
            <v>Flores Timur, Kab. - 7406</v>
          </cell>
        </row>
        <row r="128">
          <cell r="AM128" t="str">
            <v>1297 - Kediri, Kota.</v>
          </cell>
          <cell r="AN128" t="str">
            <v>MWK - Malawi Kwacha</v>
          </cell>
          <cell r="AV128" t="str">
            <v>7101 - Kab. Lombok Barat</v>
          </cell>
          <cell r="AX128" t="str">
            <v>Garut, Kab. - 0114</v>
          </cell>
        </row>
        <row r="129">
          <cell r="AM129" t="str">
            <v>1298 - Madiun, Kota.</v>
          </cell>
          <cell r="AN129" t="str">
            <v>MXN - Mexican New Peso</v>
          </cell>
          <cell r="AV129" t="str">
            <v>7102 - Kab. Lombok Tengah</v>
          </cell>
          <cell r="AX129" t="str">
            <v>Gayo Luwes, Kab. - 3212</v>
          </cell>
        </row>
        <row r="130">
          <cell r="AM130" t="str">
            <v>2301 - Bengkulu Selatan, Kab.</v>
          </cell>
          <cell r="AN130" t="str">
            <v>MYR - Malaysian Ringgit</v>
          </cell>
          <cell r="AV130" t="str">
            <v>7103 - Kab. Lombok Timur</v>
          </cell>
          <cell r="AX130" t="str">
            <v>Gianyar, Kab. - 7205</v>
          </cell>
        </row>
        <row r="131">
          <cell r="AM131" t="str">
            <v>2302 - Bengkulu Utara, Kab.</v>
          </cell>
          <cell r="AN131" t="str">
            <v>MZM - Mozambique Metical</v>
          </cell>
          <cell r="AV131" t="str">
            <v>7104 - Kab. Sumbawa</v>
          </cell>
          <cell r="AX131" t="str">
            <v>Gorontalo Utara, Kab. - 6305</v>
          </cell>
        </row>
        <row r="132">
          <cell r="AM132" t="str">
            <v>2303 - Rejang Lebong, Kab.</v>
          </cell>
          <cell r="AN132" t="str">
            <v>N11 - Lainnya atau sandi yang telah ditentukan</v>
          </cell>
          <cell r="AV132" t="str">
            <v>7105 - Kab. Bima</v>
          </cell>
          <cell r="AX132" t="str">
            <v>Gorontalo, Kab. - 6301</v>
          </cell>
        </row>
        <row r="133">
          <cell r="AM133" t="str">
            <v>2304 - Lebong, Kab</v>
          </cell>
          <cell r="AN133" t="str">
            <v>NAD - Namibia Dollar</v>
          </cell>
          <cell r="AV133" t="str">
            <v>7106 - Kab. Dompu</v>
          </cell>
          <cell r="AX133" t="str">
            <v>Gorontalo, Kota. - 6391</v>
          </cell>
        </row>
        <row r="134">
          <cell r="AM134" t="str">
            <v>2305 - Kepahiang, Kab</v>
          </cell>
          <cell r="AN134" t="str">
            <v>NGN - Nigeria Naira</v>
          </cell>
          <cell r="AV134" t="str">
            <v>7107 - Kab. Sumbawa Barat</v>
          </cell>
          <cell r="AX134" t="str">
            <v>Gowa, Kab. - 6102</v>
          </cell>
        </row>
        <row r="135">
          <cell r="AM135" t="str">
            <v>2306 - Mukomuko, Kab</v>
          </cell>
          <cell r="AN135" t="str">
            <v>NIC - Nicaragua Cordoba</v>
          </cell>
          <cell r="AV135" t="str">
            <v>7108 - Kab. Lombok Utara</v>
          </cell>
          <cell r="AX135" t="str">
            <v>Gresik, Kab. - 1201</v>
          </cell>
        </row>
        <row r="136">
          <cell r="AM136" t="str">
            <v>2307 - Seluma, Kab</v>
          </cell>
          <cell r="AN136" t="str">
            <v>NIO - Nicaragua Cordoba Oro</v>
          </cell>
          <cell r="AV136" t="str">
            <v>7191 - Kota Mataram</v>
          </cell>
          <cell r="AX136" t="str">
            <v>Grobogan, Kab. - 0904</v>
          </cell>
        </row>
        <row r="137">
          <cell r="AM137" t="str">
            <v>2308 - Kaur, Kab</v>
          </cell>
          <cell r="AN137" t="str">
            <v>NLG - Netherlands Guilder/ Gulden/Florin</v>
          </cell>
          <cell r="AV137" t="str">
            <v>7192 - Kota. Bima</v>
          </cell>
          <cell r="AX137" t="str">
            <v>Gunung Kidul, Kab. - 0503</v>
          </cell>
        </row>
        <row r="138">
          <cell r="AM138" t="str">
            <v>2309 - Kab. Bengkulu Tengah</v>
          </cell>
          <cell r="AN138" t="str">
            <v>NOK - Norwegian Krone</v>
          </cell>
          <cell r="AV138" t="str">
            <v>7201 - Kab. Buleleng</v>
          </cell>
          <cell r="AX138" t="str">
            <v>Gunung Mas, Kab. - 5807</v>
          </cell>
        </row>
        <row r="139">
          <cell r="AM139" t="str">
            <v>2391 - Bengkulu, Kota.</v>
          </cell>
          <cell r="AN139" t="str">
            <v>NPR - Nepalese Rupee</v>
          </cell>
          <cell r="AV139" t="str">
            <v>7202 - Kab. Jembrana</v>
          </cell>
          <cell r="AX139" t="str">
            <v>Halmahera Barat, Kab. - 8305</v>
          </cell>
        </row>
        <row r="140">
          <cell r="AM140" t="str">
            <v>3101 - Batanghari, Kab.</v>
          </cell>
          <cell r="AN140" t="str">
            <v>NZD - New Zealand Dollar</v>
          </cell>
          <cell r="AV140" t="str">
            <v>7203 - Kab. Tabanan</v>
          </cell>
          <cell r="AX140" t="str">
            <v>Halmahera Selatan, Kab. - 8306</v>
          </cell>
        </row>
        <row r="141">
          <cell r="AM141" t="str">
            <v>3104 - Sarolangun, Kab.</v>
          </cell>
          <cell r="AN141" t="str">
            <v>OMR - Omani Rial</v>
          </cell>
          <cell r="AV141" t="str">
            <v>7204 - Kab. Badung</v>
          </cell>
          <cell r="AX141" t="str">
            <v>Halmahera Tengah, Kab. - 8302</v>
          </cell>
        </row>
        <row r="142">
          <cell r="AM142" t="str">
            <v>3105 - Kerinci, Kab.</v>
          </cell>
          <cell r="AN142" t="str">
            <v>PAB - Panamanian Balboa</v>
          </cell>
          <cell r="AV142" t="str">
            <v>7205 - Kab. Gianyar</v>
          </cell>
          <cell r="AX142" t="str">
            <v>Halmahera Timur, Kab. - 8304</v>
          </cell>
        </row>
        <row r="143">
          <cell r="AM143" t="str">
            <v>3106 - Muaro Jambi, Kab.</v>
          </cell>
          <cell r="AN143" t="str">
            <v>PEI - Inti</v>
          </cell>
          <cell r="AV143" t="str">
            <v>7206 - Kab. Klungkung</v>
          </cell>
          <cell r="AX143" t="str">
            <v>Halmahera Utara, Kab. - 8303</v>
          </cell>
        </row>
        <row r="144">
          <cell r="AM144" t="str">
            <v>3107 - Tanjung Jabung Barat, Kab.</v>
          </cell>
          <cell r="AN144" t="str">
            <v>PEN - Peruvian Nuevo Sol</v>
          </cell>
          <cell r="AV144" t="str">
            <v>7207 - Kab. Bangli</v>
          </cell>
          <cell r="AX144" t="str">
            <v>Hulu Sungai Selatan, Kab. - 5104</v>
          </cell>
        </row>
        <row r="145">
          <cell r="AM145" t="str">
            <v>3108 - Tanjung Jabung Timur, Kab.</v>
          </cell>
          <cell r="AN145" t="str">
            <v>PGK - Papua New Guinea Kina</v>
          </cell>
          <cell r="AV145" t="str">
            <v>7208 - Kab. Karangasem</v>
          </cell>
          <cell r="AX145" t="str">
            <v>Hulu Sungai Tengah, Kab. - 5105</v>
          </cell>
        </row>
        <row r="146">
          <cell r="AM146" t="str">
            <v>3109 - Tebo, Kab.</v>
          </cell>
          <cell r="AN146" t="str">
            <v>PHP - Philippines Peso</v>
          </cell>
          <cell r="AV146" t="str">
            <v>7291 - Kota Denpasar</v>
          </cell>
          <cell r="AX146" t="str">
            <v>Hulu Sungai Utara, Kab. - 5106</v>
          </cell>
        </row>
        <row r="147">
          <cell r="AM147" t="str">
            <v>3111 - Merangin, Kab.</v>
          </cell>
          <cell r="AN147" t="str">
            <v>PKR - Pakistan Rupee</v>
          </cell>
          <cell r="AV147" t="str">
            <v>7401 - Kab. Kupang</v>
          </cell>
          <cell r="AX147" t="str">
            <v>Humbang Hasundutan, Kab - 3316</v>
          </cell>
        </row>
        <row r="148">
          <cell r="AM148" t="str">
            <v>3112 - Bungo, Kab</v>
          </cell>
          <cell r="AN148" t="str">
            <v>PLN - Polish Zloty/New Zloty</v>
          </cell>
          <cell r="AV148" t="str">
            <v>7402 - Kab. Timor-Tengah Selatan</v>
          </cell>
          <cell r="AX148" t="str">
            <v>Indragiri Hilir, Kab. - 3505</v>
          </cell>
        </row>
        <row r="149">
          <cell r="AM149" t="str">
            <v>3191 - Jambi, Kota.</v>
          </cell>
          <cell r="AN149" t="str">
            <v>PLZ - Zloty</v>
          </cell>
          <cell r="AV149" t="str">
            <v>7403 - Kab. Timor-Tengah Utara</v>
          </cell>
          <cell r="AX149" t="str">
            <v>Indragiri Hulu, Kab. - 3504</v>
          </cell>
        </row>
        <row r="150">
          <cell r="AM150" t="str">
            <v>3192 - Kota Sungai Penuh</v>
          </cell>
          <cell r="AN150" t="str">
            <v>PSS - Peruvian New Sol</v>
          </cell>
          <cell r="AV150" t="str">
            <v>7404 - Kab. Belu</v>
          </cell>
          <cell r="AX150" t="str">
            <v>Indramayu, Kab. - 0118</v>
          </cell>
        </row>
        <row r="151">
          <cell r="AM151" t="str">
            <v>3301 - Deli Serdang, Kab.</v>
          </cell>
          <cell r="AN151" t="str">
            <v>PTE - Portuguese Escudo</v>
          </cell>
          <cell r="AV151" t="str">
            <v>3617 - Kab. Empat Lawang</v>
          </cell>
          <cell r="AX151" t="str">
            <v>Intan Jaya, Kab - 8239</v>
          </cell>
        </row>
        <row r="152">
          <cell r="AM152" t="str">
            <v>3201 - Aceh Besar, Kab.</v>
          </cell>
          <cell r="AN152" t="str">
            <v>PYG - Paraguayan Guarani</v>
          </cell>
          <cell r="AV152" t="str">
            <v>7405 - Kab. Alor</v>
          </cell>
          <cell r="AX152" t="str">
            <v>Jakarta Barat, Wil. Kota - 0393</v>
          </cell>
        </row>
        <row r="153">
          <cell r="AM153" t="str">
            <v>3202 - Pidie, Kab.</v>
          </cell>
          <cell r="AN153" t="str">
            <v>QAR - Qatari Rial</v>
          </cell>
          <cell r="AV153" t="str">
            <v>7406 - Kab. Flores Timur</v>
          </cell>
          <cell r="AX153" t="str">
            <v>Jakarta Pusat, Wil. Kota - 0391</v>
          </cell>
        </row>
        <row r="154">
          <cell r="AM154" t="str">
            <v>3203 - Aceh Utara, Kab.</v>
          </cell>
          <cell r="AN154" t="str">
            <v>ROL - Romanian Leu</v>
          </cell>
          <cell r="AV154" t="str">
            <v>7407 - Kab. Sikka</v>
          </cell>
          <cell r="AX154" t="str">
            <v>Jakarta Selatan, Wil. Kota - 0394</v>
          </cell>
        </row>
        <row r="155">
          <cell r="AM155" t="str">
            <v>3204 - Aceh Timur, Kab.</v>
          </cell>
          <cell r="AN155" t="str">
            <v>RUR - Russian Rouble</v>
          </cell>
          <cell r="AV155" t="str">
            <v>7408 - Kab. Ende</v>
          </cell>
          <cell r="AX155" t="str">
            <v>Jakarta Timur, Wil. Kota - 0395</v>
          </cell>
        </row>
        <row r="156">
          <cell r="AM156" t="str">
            <v>3205 - Aceh Selatan, Kab.</v>
          </cell>
          <cell r="AN156" t="str">
            <v>RWF - Rwanda Franc</v>
          </cell>
          <cell r="AV156" t="str">
            <v>7409 - Kab. Ngada</v>
          </cell>
          <cell r="AX156" t="str">
            <v>Jakarta Utara ., Wil. Kota - 0392</v>
          </cell>
        </row>
        <row r="157">
          <cell r="AM157" t="str">
            <v>3206 - Aceh Barat, Kab.</v>
          </cell>
          <cell r="AN157" t="str">
            <v>SAR - Saudi Riyal</v>
          </cell>
          <cell r="AV157" t="str">
            <v>7410 - Kab. Manggarai</v>
          </cell>
          <cell r="AX157" t="str">
            <v>Jambi, Kota. - 3191</v>
          </cell>
        </row>
        <row r="158">
          <cell r="AM158" t="str">
            <v>3207 - Aceh Tengah, Kab.</v>
          </cell>
          <cell r="AN158" t="str">
            <v>SBD - Solomon Islands Dollar</v>
          </cell>
          <cell r="AV158" t="str">
            <v>7411 - Kab. Sumba Timur</v>
          </cell>
          <cell r="AX158" t="str">
            <v>Jayapura, Kab. - 8201</v>
          </cell>
        </row>
        <row r="159">
          <cell r="AM159" t="str">
            <v>3208 - Aceh Tenggara, Kab.</v>
          </cell>
          <cell r="AN159" t="str">
            <v>SCR - Seychelles Rupee</v>
          </cell>
          <cell r="AV159" t="str">
            <v>7412 - Kab. Sumba Barat</v>
          </cell>
          <cell r="AX159" t="str">
            <v>Jayapura, Kota. - 8291</v>
          </cell>
        </row>
        <row r="160">
          <cell r="AM160" t="str">
            <v>3209 - Aceh Singkil, Kab.</v>
          </cell>
          <cell r="AN160" t="str">
            <v>SDD - Sudanese Dinar</v>
          </cell>
          <cell r="AV160" t="str">
            <v>7413 - Kab. Lembata</v>
          </cell>
          <cell r="AX160" t="str">
            <v>Jayawijaya, Kab. - 8213</v>
          </cell>
        </row>
        <row r="161">
          <cell r="AM161" t="str">
            <v>3210 - Aceh Jeumpa/Bireuen, Kab.</v>
          </cell>
          <cell r="AN161" t="str">
            <v>SDP - Sudanese Pound</v>
          </cell>
          <cell r="AV161" t="str">
            <v>7414 - Kab. Rote</v>
          </cell>
          <cell r="AX161" t="str">
            <v>Jember, Kab. - 1212</v>
          </cell>
        </row>
        <row r="162">
          <cell r="AM162" t="str">
            <v>3211 - Aceh Tamiang, Kab.</v>
          </cell>
          <cell r="AN162" t="str">
            <v>SEK - Swedish Krone</v>
          </cell>
          <cell r="AV162" t="str">
            <v>7415 - Kab. Manggarai Barat</v>
          </cell>
          <cell r="AX162" t="str">
            <v>Jembrana, Kab. - 7202</v>
          </cell>
        </row>
        <row r="163">
          <cell r="AM163" t="str">
            <v>3212 - Gayo Luwes, Kab.</v>
          </cell>
          <cell r="AN163" t="str">
            <v>SGD - Singapore Dollar</v>
          </cell>
          <cell r="AV163" t="str">
            <v>7416 - Kab. Sumba Tengah</v>
          </cell>
          <cell r="AX163" t="str">
            <v>Jeneponto, Kab. - 6113</v>
          </cell>
        </row>
        <row r="164">
          <cell r="AM164" t="str">
            <v>3213 - Aceh Barat Daya, Kab.</v>
          </cell>
          <cell r="AN164" t="str">
            <v>SHP - St. Helena Pound</v>
          </cell>
          <cell r="AV164" t="str">
            <v>7417 - Kab. Sumba Barat Daya</v>
          </cell>
          <cell r="AX164" t="str">
            <v>Jepara, Kab. - 0911</v>
          </cell>
        </row>
        <row r="165">
          <cell r="AM165" t="str">
            <v>3214 - Aceh Jaya, Kab.</v>
          </cell>
          <cell r="AN165" t="str">
            <v>SIT - Slovenia Tolar</v>
          </cell>
          <cell r="AV165" t="str">
            <v>7418 - Kab. Manggarai Timur</v>
          </cell>
          <cell r="AX165" t="str">
            <v>Jombang, Kab. - 1204</v>
          </cell>
        </row>
        <row r="166">
          <cell r="AM166" t="str">
            <v>3324 - Kab. Labuanbatu Selatan</v>
          </cell>
          <cell r="AN166" t="str">
            <v>SKK - Slovakia Koruna</v>
          </cell>
          <cell r="AV166" t="str">
            <v>3903 - Kab. Lampung Utara</v>
          </cell>
          <cell r="AX166" t="str">
            <v>Kaimana, Kab. - 8406</v>
          </cell>
        </row>
        <row r="167">
          <cell r="AM167" t="str">
            <v>3325 - Kab. Labuanbatu Utara</v>
          </cell>
          <cell r="AN167" t="str">
            <v>SLL - Sierra Leone Leone</v>
          </cell>
          <cell r="AV167" t="str">
            <v>3904 - Kab. Lampung Barat</v>
          </cell>
          <cell r="AX167" t="str">
            <v>Kampar, Kab. - 3501</v>
          </cell>
        </row>
        <row r="168">
          <cell r="AM168" t="str">
            <v>3326 - Kab. Nias Barat</v>
          </cell>
          <cell r="AN168" t="str">
            <v>SOS - Somalia Schilling</v>
          </cell>
          <cell r="AV168" t="str">
            <v>3905 - Kab. Tulang Bawang</v>
          </cell>
          <cell r="AX168" t="str">
            <v>Kapuas Hulu, Kab. - 5306</v>
          </cell>
        </row>
        <row r="169">
          <cell r="AM169" t="str">
            <v>3327 - Kab. Nias Utara</v>
          </cell>
          <cell r="AN169" t="str">
            <v>SRD - Surinam Dollar</v>
          </cell>
          <cell r="AV169" t="str">
            <v>3906 - Kab. Tanggamus</v>
          </cell>
          <cell r="AX169" t="str">
            <v>Kapuas, Kab. - 5801</v>
          </cell>
        </row>
        <row r="170">
          <cell r="AM170" t="str">
            <v>3391 - Tebing Tinggi, Kota.</v>
          </cell>
          <cell r="AN170" t="str">
            <v>SRG - Surinam Guilder</v>
          </cell>
          <cell r="AV170" t="str">
            <v>3907 - Kab. Lampung Timur</v>
          </cell>
          <cell r="AX170" t="str">
            <v>Karanganyar, Kab. - 0927</v>
          </cell>
        </row>
        <row r="171">
          <cell r="AM171" t="str">
            <v>3392 - Binjai, Kota.</v>
          </cell>
          <cell r="AN171" t="str">
            <v>STD - Sao Tome Dobra</v>
          </cell>
          <cell r="AV171" t="str">
            <v>3908 - Kab. Way Kanan</v>
          </cell>
          <cell r="AX171" t="str">
            <v>Karangasem, Kab. - 7208</v>
          </cell>
        </row>
        <row r="172">
          <cell r="AM172" t="str">
            <v>3393 - Pematang Siantar, Kota.</v>
          </cell>
          <cell r="AN172" t="str">
            <v>SUR - USSR Rouble</v>
          </cell>
          <cell r="AV172" t="str">
            <v>3909 - Kab. Pesawaran</v>
          </cell>
          <cell r="AX172" t="str">
            <v>Karawang, Kab. - 0106</v>
          </cell>
        </row>
        <row r="173">
          <cell r="AM173" t="str">
            <v>3394 - Tanjung Balai, Kota.</v>
          </cell>
          <cell r="AN173" t="str">
            <v>SVC - El Salvador Colon</v>
          </cell>
          <cell r="AV173" t="str">
            <v>3910 - Kab. Pringsewu</v>
          </cell>
          <cell r="AX173" t="str">
            <v>Karimun, Kab - 3801</v>
          </cell>
        </row>
        <row r="174">
          <cell r="AM174" t="str">
            <v>3395 - Sibolga, Kota.</v>
          </cell>
          <cell r="AN174" t="str">
            <v>SYP - Syrian Pound</v>
          </cell>
          <cell r="AV174" t="str">
            <v>3911 - Kab. Tulang Bawang Barat</v>
          </cell>
          <cell r="AX174" t="str">
            <v>Karo, Kab. - 3303</v>
          </cell>
        </row>
        <row r="175">
          <cell r="AM175" t="str">
            <v>3396 - Medan, Kota.</v>
          </cell>
          <cell r="AN175" t="str">
            <v>SZL - Swaziland Lilangeni</v>
          </cell>
          <cell r="AV175" t="str">
            <v>3912 - Kab. Mesuji</v>
          </cell>
          <cell r="AX175" t="str">
            <v>Katingan, Kab. - 5811</v>
          </cell>
        </row>
        <row r="176">
          <cell r="AM176" t="str">
            <v>3397 - Kota Gunung Sitoli</v>
          </cell>
          <cell r="AN176" t="str">
            <v>THB - Thai Bath</v>
          </cell>
          <cell r="AV176" t="str">
            <v>3991 - Kota Bandar Lampung</v>
          </cell>
          <cell r="AX176" t="str">
            <v>Kaur, Kab - 2308</v>
          </cell>
        </row>
        <row r="177">
          <cell r="AM177" t="str">
            <v>3399 - Padang Sidempuan, Kota.</v>
          </cell>
          <cell r="AN177" t="str">
            <v>TJR - Tajik Ruble</v>
          </cell>
          <cell r="AV177" t="str">
            <v>3992 - Kota Metro</v>
          </cell>
          <cell r="AX177" t="str">
            <v>Kayong Utara, Kab. - 5311</v>
          </cell>
        </row>
        <row r="178">
          <cell r="AM178" t="str">
            <v>3401 - Agam, Kab.</v>
          </cell>
          <cell r="AN178" t="str">
            <v>TJS - Tajikistan Somoni</v>
          </cell>
          <cell r="AV178" t="str">
            <v>5101 - Kab. Banjar</v>
          </cell>
          <cell r="AX178" t="str">
            <v>Kebumen, Kab. - 0922</v>
          </cell>
        </row>
        <row r="179">
          <cell r="AM179" t="str">
            <v>3402 - Pasaman, Kab.</v>
          </cell>
          <cell r="AN179" t="str">
            <v>TMM - Turkmenistan Manat</v>
          </cell>
          <cell r="AV179" t="str">
            <v>5102 - Kab. Tanah Laut</v>
          </cell>
          <cell r="AX179" t="str">
            <v>Kediri, Kab. - 1217</v>
          </cell>
        </row>
        <row r="180">
          <cell r="AM180" t="str">
            <v>3403 - Limapuluh Koto, Kab.</v>
          </cell>
          <cell r="AN180" t="str">
            <v>TND - Tunisian Dinar</v>
          </cell>
          <cell r="AV180" t="str">
            <v>5103 - Kab. Tapin</v>
          </cell>
          <cell r="AX180" t="str">
            <v>Kediri, Kota. - 1297</v>
          </cell>
        </row>
        <row r="181">
          <cell r="AM181" t="str">
            <v>3404 - Solok Selatan, Kab.</v>
          </cell>
          <cell r="AN181" t="str">
            <v>TOP - Tonga Paanga</v>
          </cell>
          <cell r="AV181" t="str">
            <v>5104 - Kab. Hulu Sungai Selatan</v>
          </cell>
          <cell r="AX181" t="str">
            <v>Keerom, Kab. - 8218</v>
          </cell>
        </row>
        <row r="182">
          <cell r="AM182" t="str">
            <v>3405 - Padang Pariaman, Kab.</v>
          </cell>
          <cell r="AN182" t="str">
            <v>TRL - Turkish Lira</v>
          </cell>
          <cell r="AV182" t="str">
            <v>5105 - Kab. Hulu Sungai Tengah</v>
          </cell>
          <cell r="AX182" t="str">
            <v>Kendal, Kab. - 0902</v>
          </cell>
        </row>
        <row r="183">
          <cell r="AM183" t="str">
            <v>3406 - Pesisir Selatan, Kab.</v>
          </cell>
          <cell r="AN183" t="str">
            <v>TTD - Trinidad &amp; Tobago Dollar</v>
          </cell>
          <cell r="AV183" t="str">
            <v>5106 - Kab. Hulu Sungai Utara</v>
          </cell>
          <cell r="AX183" t="str">
            <v>Kendari, Kota. - 6991</v>
          </cell>
        </row>
        <row r="184">
          <cell r="AM184" t="str">
            <v>3407 - Tanah Datar, Kab.</v>
          </cell>
          <cell r="AN184" t="str">
            <v>TWD - Taiwan Dollar</v>
          </cell>
          <cell r="AV184" t="str">
            <v>5107 - Kab. Barito Kuala</v>
          </cell>
          <cell r="AX184" t="str">
            <v>Kepahiang, Kab - 2305</v>
          </cell>
        </row>
        <row r="185">
          <cell r="AM185" t="str">
            <v>3408 - Kab. Sijunjung</v>
          </cell>
          <cell r="AN185" t="str">
            <v>TZS - Tanzanian Shilling</v>
          </cell>
          <cell r="AV185" t="str">
            <v>5108 - Kab. Kota Baru</v>
          </cell>
          <cell r="AX185" t="str">
            <v>Kepulauan Aru, Kota. - 8107</v>
          </cell>
        </row>
        <row r="186">
          <cell r="AM186" t="str">
            <v>3409 - Kepulauan Mentawai, Kab.</v>
          </cell>
          <cell r="AN186" t="str">
            <v>UAH - Ukraine Hryvna</v>
          </cell>
          <cell r="AV186" t="str">
            <v>5109 - Kab. Tabalong</v>
          </cell>
          <cell r="AX186" t="str">
            <v>Kepulauan Mentawai, Kab. - 3409</v>
          </cell>
        </row>
        <row r="187">
          <cell r="AM187" t="str">
            <v>3302 - Langkat, Kab.</v>
          </cell>
          <cell r="AN187" t="str">
            <v>UAK - Ukraine Karbovanet</v>
          </cell>
          <cell r="AV187" t="str">
            <v>3691 - Kota Palembang</v>
          </cell>
          <cell r="AX187" t="str">
            <v>Kepulauan Meranti, Kab - 3513</v>
          </cell>
        </row>
        <row r="188">
          <cell r="AM188" t="str">
            <v>3410 - Pasaman Barat, Kab</v>
          </cell>
          <cell r="AN188" t="str">
            <v>UGS - Ugandan Shilling</v>
          </cell>
          <cell r="AV188" t="str">
            <v>5110 - Kab.Tanah Bumbu</v>
          </cell>
          <cell r="AX188" t="str">
            <v>Kepulauan Seribu, Wilayah - 0396</v>
          </cell>
        </row>
        <row r="189">
          <cell r="AM189" t="str">
            <v>3411 - Dharmasraya, Kab.</v>
          </cell>
          <cell r="AN189" t="str">
            <v>UGX - Ugandan Shilling</v>
          </cell>
          <cell r="AV189" t="str">
            <v>5111 - Kab. Balangan</v>
          </cell>
          <cell r="AX189" t="str">
            <v>Kepulauan Sitaro, Kab. - 6211</v>
          </cell>
        </row>
        <row r="190">
          <cell r="AM190" t="str">
            <v>3412 - Solok, Kab</v>
          </cell>
          <cell r="AN190" t="str">
            <v>USD - US Dollar</v>
          </cell>
          <cell r="AV190" t="str">
            <v>5191 - Kota Banjarmasin</v>
          </cell>
          <cell r="AX190" t="str">
            <v>Kepulauan Sula, Kab. - 8307</v>
          </cell>
        </row>
        <row r="191">
          <cell r="AM191" t="str">
            <v>3491 - Bukittinggi, Kota.</v>
          </cell>
          <cell r="AN191" t="str">
            <v>USP - US Dollar</v>
          </cell>
          <cell r="AV191" t="str">
            <v>5192 - Kota Banjarbaru</v>
          </cell>
          <cell r="AX191" t="str">
            <v>kepulauan Talaud, Kab. - 6205</v>
          </cell>
        </row>
        <row r="192">
          <cell r="AM192" t="str">
            <v>3492 - Padang, Kota.</v>
          </cell>
          <cell r="AN192" t="str">
            <v>UYP - Uruguay Peso</v>
          </cell>
          <cell r="AV192" t="str">
            <v>5301 - Kab. Pontianak</v>
          </cell>
          <cell r="AX192" t="str">
            <v>Kerinci, Kab. - 3105</v>
          </cell>
        </row>
        <row r="193">
          <cell r="AM193" t="str">
            <v>3493 - Sawahlunto, Kota.</v>
          </cell>
          <cell r="AN193" t="str">
            <v>UYU - Uruguay Peso</v>
          </cell>
          <cell r="AV193" t="str">
            <v>5302 - Kab. Sambas</v>
          </cell>
          <cell r="AX193" t="str">
            <v>Ketapang, Kab. - 5303</v>
          </cell>
        </row>
        <row r="194">
          <cell r="AM194" t="str">
            <v>3494 - Padang Panjang, Kota.</v>
          </cell>
          <cell r="AN194" t="str">
            <v>UZS - Uzbekistan Sum</v>
          </cell>
          <cell r="AV194" t="str">
            <v>5303 - Kab. Ketapang</v>
          </cell>
          <cell r="AX194" t="str">
            <v>Klaten, Kab. - 0923</v>
          </cell>
        </row>
        <row r="195">
          <cell r="AM195" t="str">
            <v>3495 - Solok, Kota.</v>
          </cell>
          <cell r="AN195" t="str">
            <v>VEB - Venezuelan Bolivar</v>
          </cell>
          <cell r="AV195" t="str">
            <v>5304 - Kab. Sanggau</v>
          </cell>
          <cell r="AX195" t="str">
            <v>Klungkung, Kab. - 7206</v>
          </cell>
        </row>
        <row r="196">
          <cell r="AM196" t="str">
            <v>3496 - Payakumbuh, Kota.</v>
          </cell>
          <cell r="AN196" t="str">
            <v>VND - Vietnam Dong</v>
          </cell>
          <cell r="AV196" t="str">
            <v>5305 - Kab. Sintang</v>
          </cell>
          <cell r="AX196" t="str">
            <v>Kolaka Utara, Kab. - 6909</v>
          </cell>
        </row>
        <row r="197">
          <cell r="AM197" t="str">
            <v>3497 - Pariaman, Kota.</v>
          </cell>
          <cell r="AN197" t="str">
            <v>VUV - Vanuatu Vatu</v>
          </cell>
          <cell r="AV197" t="str">
            <v>5306 - Kab. Kapuas Hulu</v>
          </cell>
          <cell r="AX197" t="str">
            <v>Kolaka, Kab. - 6904</v>
          </cell>
        </row>
        <row r="198">
          <cell r="AM198" t="str">
            <v>3501 - Kampar, Kab.</v>
          </cell>
          <cell r="AN198" t="str">
            <v>WST - Samoan (West) Tala</v>
          </cell>
          <cell r="AV198" t="str">
            <v>5307 - Kab. Bengkayang</v>
          </cell>
          <cell r="AX198" t="str">
            <v>Konawe Selatan, Kab. - 6907</v>
          </cell>
        </row>
        <row r="199">
          <cell r="AM199" t="str">
            <v>3502 - Bengkalis, Kab.</v>
          </cell>
          <cell r="AN199" t="str">
            <v>XAF - Franc de la Communaute financiere Africaine</v>
          </cell>
          <cell r="AV199" t="str">
            <v>5308 - Kab. Landak</v>
          </cell>
          <cell r="AX199" t="str">
            <v>Konawe Utara, Kab. - 6911</v>
          </cell>
        </row>
        <row r="200">
          <cell r="AM200" t="str">
            <v>3504 - Indragiri Hulu, Kab.</v>
          </cell>
          <cell r="AN200" t="str">
            <v>XAG - Silver</v>
          </cell>
          <cell r="AV200" t="str">
            <v>5309 - Kab. Sekadau</v>
          </cell>
          <cell r="AX200" t="str">
            <v>Konawe, Kab. - 6906</v>
          </cell>
        </row>
        <row r="201">
          <cell r="AM201" t="str">
            <v>3505 - Indragiri Hilir, Kab.</v>
          </cell>
          <cell r="AN201" t="str">
            <v>XAU - Gold</v>
          </cell>
          <cell r="AV201" t="str">
            <v>5310 - Kab. Melawi</v>
          </cell>
          <cell r="AX201" t="str">
            <v>Kota Baru, Kab. - 5108</v>
          </cell>
        </row>
        <row r="202">
          <cell r="AM202" t="str">
            <v>3508 - Rokan Hulu, Kab.</v>
          </cell>
          <cell r="AN202" t="str">
            <v>XCD - East Caribbean Dollar</v>
          </cell>
          <cell r="AV202" t="str">
            <v>5311 - Kab. Kayong Utara</v>
          </cell>
          <cell r="AX202" t="str">
            <v>Kota Gunung Sitoli - 3397</v>
          </cell>
        </row>
        <row r="203">
          <cell r="AM203" t="str">
            <v>3509 - Rokan Hilir, Kab.</v>
          </cell>
          <cell r="AN203" t="str">
            <v>XDR - Special Drawing Right</v>
          </cell>
          <cell r="AV203" t="str">
            <v>5312 - Kab. Kubu Raya</v>
          </cell>
          <cell r="AX203" t="str">
            <v>Kota Sungai Penuh - 3192</v>
          </cell>
        </row>
        <row r="204">
          <cell r="AM204" t="str">
            <v>3510 - Pelalawan, Kab.</v>
          </cell>
          <cell r="AN204" t="str">
            <v>XOF - CFA Franc BCEAO</v>
          </cell>
          <cell r="AV204" t="str">
            <v>5391 - Kota Pontianak</v>
          </cell>
          <cell r="AX204" t="str">
            <v>Kota Tangerang Selatan - 0294</v>
          </cell>
        </row>
        <row r="205">
          <cell r="AM205" t="str">
            <v>3511 - Siak, Kab.</v>
          </cell>
          <cell r="AN205" t="str">
            <v>XPF - Franc Pacific Is.Fran</v>
          </cell>
          <cell r="AV205" t="str">
            <v>5392 - Kota Singkawang</v>
          </cell>
          <cell r="AX205" t="str">
            <v>Kota. Bima - 7192</v>
          </cell>
        </row>
        <row r="206">
          <cell r="AM206" t="str">
            <v>3512 - Kuantan Singingi, Kab.</v>
          </cell>
          <cell r="AN206" t="str">
            <v>YER - Yemeni Rial</v>
          </cell>
          <cell r="AV206" t="str">
            <v>5401 - Kab. Kutai Kartanegara</v>
          </cell>
          <cell r="AX206" t="str">
            <v>Kota. Tomohon - 6294</v>
          </cell>
        </row>
        <row r="207">
          <cell r="AM207" t="str">
            <v>3513 - Kab. Kepulauan Meranti</v>
          </cell>
          <cell r="AN207" t="str">
            <v>YUD - New Dinar</v>
          </cell>
          <cell r="AV207" t="str">
            <v>5402 - Kab. Berau</v>
          </cell>
          <cell r="AX207" t="str">
            <v>Kotamobagu, Kota. - 6292</v>
          </cell>
        </row>
        <row r="208">
          <cell r="AM208" t="str">
            <v>3591 - Pekanbaru, Kota.</v>
          </cell>
          <cell r="AN208" t="str">
            <v>YUN - New Yugoslavian</v>
          </cell>
          <cell r="AV208" t="str">
            <v>5403 - Kab. Pasir</v>
          </cell>
          <cell r="AX208" t="str">
            <v>Kotawaringin Barat, Kab. - 5802</v>
          </cell>
        </row>
        <row r="209">
          <cell r="AM209" t="str">
            <v>3592 - Dumai, Kota.</v>
          </cell>
          <cell r="AN209" t="str">
            <v>ZAL - Rand (South African Rand)</v>
          </cell>
          <cell r="AV209" t="str">
            <v>5404 - Kab. Bulungan</v>
          </cell>
          <cell r="AX209" t="str">
            <v>Kotawaringin Timur, Kab. - 5803</v>
          </cell>
        </row>
        <row r="210">
          <cell r="AM210" t="str">
            <v>3606 - Musi Banyuasin, Kab.</v>
          </cell>
          <cell r="AN210" t="str">
            <v>ZAR - Rand (South African Rand)</v>
          </cell>
          <cell r="AV210" t="str">
            <v>5405 - Kab. Kutai Barat</v>
          </cell>
          <cell r="AX210" t="str">
            <v>Kuantan Singingi, Kab. - 3512</v>
          </cell>
        </row>
        <row r="211">
          <cell r="AM211" t="str">
            <v>3607 - Ogan Komering Ulu, Kab.</v>
          </cell>
          <cell r="AN211" t="str">
            <v>ZMK - Zambian Kwacha</v>
          </cell>
          <cell r="AV211" t="str">
            <v>5406 - Kab. Kutai Timur</v>
          </cell>
          <cell r="AX211" t="str">
            <v>Kubu Raya, Kab. - 5312</v>
          </cell>
        </row>
        <row r="212">
          <cell r="AM212" t="str">
            <v>3608 - Lematang Ilir Ogan Tengah (Muara Enim), Kab.</v>
          </cell>
          <cell r="AN212" t="str">
            <v>ZWD - Zimbabwe Dollar</v>
          </cell>
          <cell r="AV212" t="str">
            <v>5409 - Kab. Nunukan</v>
          </cell>
          <cell r="AX212" t="str">
            <v>Kudus, Kab. - 0909</v>
          </cell>
        </row>
        <row r="213">
          <cell r="AM213" t="str">
            <v>3609 - Lahat, Kab.</v>
          </cell>
          <cell r="AV213" t="str">
            <v>5410 - Kab. Malinau</v>
          </cell>
          <cell r="AX213" t="str">
            <v>Kulon Progo, Kab. - 0504</v>
          </cell>
        </row>
        <row r="214">
          <cell r="AM214" t="str">
            <v>3610 - Musi Rawas, Kab.</v>
          </cell>
          <cell r="AV214" t="str">
            <v>5411 - Kab. Penajam Paser Utara</v>
          </cell>
          <cell r="AX214" t="str">
            <v>Kuningan, Kab. - 0117</v>
          </cell>
        </row>
        <row r="215">
          <cell r="AM215" t="str">
            <v>3611 - Ogan Komering Ilir, Kab.</v>
          </cell>
          <cell r="AV215" t="str">
            <v>5412 - Kab. Tana Tidung</v>
          </cell>
          <cell r="AX215" t="str">
            <v>Kupang, Kab. - 7401</v>
          </cell>
        </row>
        <row r="216">
          <cell r="AM216" t="str">
            <v>3613 - Banyuasin, Kab</v>
          </cell>
          <cell r="AV216" t="str">
            <v>5491 - Kota Samarinda</v>
          </cell>
          <cell r="AX216" t="str">
            <v>Kupang, Kota. - 7491</v>
          </cell>
        </row>
        <row r="217">
          <cell r="AM217" t="str">
            <v>3614 - Ogan Komering Ulu Selatan, Kab</v>
          </cell>
          <cell r="AV217" t="str">
            <v>5492 - Kota Balikpapan</v>
          </cell>
          <cell r="AX217" t="str">
            <v>Kutai Barat, Kab. - 5405</v>
          </cell>
        </row>
        <row r="218">
          <cell r="AM218" t="str">
            <v>3615 - Ogan Komering Ulu Timur, Kab</v>
          </cell>
          <cell r="AV218" t="str">
            <v>5493 - Kota Tarakan</v>
          </cell>
          <cell r="AX218" t="str">
            <v>Kutai Kartanegara, Kab. - 5401</v>
          </cell>
        </row>
        <row r="219">
          <cell r="AM219" t="str">
            <v>3616 - Ogan Ilir, Kab</v>
          </cell>
          <cell r="AV219" t="str">
            <v>5494 - Kota Bontang</v>
          </cell>
          <cell r="AX219" t="str">
            <v>Kutai Timur, Kab. - 5406</v>
          </cell>
        </row>
        <row r="220">
          <cell r="AM220" t="str">
            <v>3303 - Karo, Kab.</v>
          </cell>
          <cell r="AV220" t="str">
            <v>3693 - Kota Lubuklinggau</v>
          </cell>
          <cell r="AX220" t="str">
            <v>Labuanbatu Selatan, Kab - 3324</v>
          </cell>
        </row>
        <row r="221">
          <cell r="AM221" t="str">
            <v>3304 - Simalungun, Kab.</v>
          </cell>
          <cell r="AV221" t="str">
            <v>3694 - Kota Prabumulih</v>
          </cell>
          <cell r="AX221" t="str">
            <v>Labuanbatu Utara, Kab - 3325</v>
          </cell>
        </row>
        <row r="222">
          <cell r="AM222" t="str">
            <v>3617 - Empat Lawang</v>
          </cell>
          <cell r="AV222" t="str">
            <v>5801 - Kab. Kapuas</v>
          </cell>
          <cell r="AX222" t="str">
            <v>Labuhan Batu, Kab. - 3305</v>
          </cell>
        </row>
        <row r="223">
          <cell r="AM223" t="str">
            <v>3691 - Palembang, Kota.</v>
          </cell>
          <cell r="AV223" t="str">
            <v>5802 - Kab. Kotawaringin Barat</v>
          </cell>
          <cell r="AX223" t="str">
            <v>Lahat, Kab. - 3609</v>
          </cell>
        </row>
        <row r="224">
          <cell r="AM224" t="str">
            <v>3693 - Lubuklinggau, Kota.</v>
          </cell>
          <cell r="AV224" t="str">
            <v>5803 - Kab. Kotawaringin Timur</v>
          </cell>
          <cell r="AX224" t="str">
            <v>Lamandau, Kab. - 5813</v>
          </cell>
        </row>
        <row r="225">
          <cell r="AM225" t="str">
            <v>3694 - Prabumulih, Kota.</v>
          </cell>
          <cell r="AV225" t="str">
            <v>5806 - Kab. Barito Selatan</v>
          </cell>
          <cell r="AX225" t="str">
            <v>Lamongan, Kab. - 1229</v>
          </cell>
        </row>
        <row r="226">
          <cell r="AM226" t="str">
            <v>3697 - Pagar Alam, Kota.</v>
          </cell>
          <cell r="AV226" t="str">
            <v>5808 - Kab. Barito Utara</v>
          </cell>
          <cell r="AX226" t="str">
            <v>Lampung Barat, Kab. - 3904</v>
          </cell>
        </row>
        <row r="227">
          <cell r="AM227" t="str">
            <v>3701 - Bangka, Kab.</v>
          </cell>
          <cell r="AV227" t="str">
            <v>5804 - Kab. Murung Raya</v>
          </cell>
          <cell r="AX227" t="str">
            <v>Lampung Selatan, Kab. - 3901</v>
          </cell>
        </row>
        <row r="228">
          <cell r="AM228" t="str">
            <v>3702 - Belitung, Kab.</v>
          </cell>
          <cell r="AV228" t="str">
            <v>5805 - Kab. Barito Timur</v>
          </cell>
          <cell r="AX228" t="str">
            <v>Lampung Tengah, Kab. - 3902</v>
          </cell>
        </row>
        <row r="229">
          <cell r="AM229" t="str">
            <v>3703 - Bangka Barat, Kab</v>
          </cell>
          <cell r="AV229" t="str">
            <v>5807 - Kab. Gunung Mas</v>
          </cell>
          <cell r="AX229" t="str">
            <v>Lampung Timur, Kab. - 3907</v>
          </cell>
        </row>
        <row r="230">
          <cell r="AM230" t="str">
            <v>3704 - Bangka Selatan, Kab</v>
          </cell>
          <cell r="AV230" t="str">
            <v>5809 - Kab. Pulang Pisau</v>
          </cell>
          <cell r="AX230" t="str">
            <v>Lampung Utara, Kab. - 3903</v>
          </cell>
        </row>
        <row r="231">
          <cell r="AM231" t="str">
            <v>3705 - Bangka Tengah, Kab</v>
          </cell>
          <cell r="AV231" t="str">
            <v>5810 - Kab. Seruyan</v>
          </cell>
          <cell r="AX231" t="str">
            <v>Landak, Kab. - 5308</v>
          </cell>
        </row>
        <row r="232">
          <cell r="AM232" t="str">
            <v>3706 - Belitung Timur, Kab</v>
          </cell>
          <cell r="AV232" t="str">
            <v>5811 - Kab. Katingan</v>
          </cell>
          <cell r="AX232" t="str">
            <v>Langkat, Kab. - 3302</v>
          </cell>
        </row>
        <row r="233">
          <cell r="AM233" t="str">
            <v>3707 - Kab. Bangka Belitung</v>
          </cell>
          <cell r="AV233" t="str">
            <v>5812 - Kab. Sukamara</v>
          </cell>
          <cell r="AX233" t="str">
            <v>Langsa, Kota. - 3294</v>
          </cell>
        </row>
        <row r="234">
          <cell r="AM234" t="str">
            <v>3791 - Pangkal Pinang, Kota.</v>
          </cell>
          <cell r="AV234" t="str">
            <v>5813 - Kab. Lamandau</v>
          </cell>
          <cell r="AX234" t="str">
            <v>Lanny Jaya, Kab. - 8234</v>
          </cell>
        </row>
        <row r="235">
          <cell r="AM235" t="str">
            <v>3801 - Karimun, Kab</v>
          </cell>
          <cell r="AV235" t="str">
            <v>5892 - Kota Palangkaraya</v>
          </cell>
          <cell r="AX235" t="str">
            <v>Lebak, Kab. - 0201</v>
          </cell>
        </row>
        <row r="236">
          <cell r="AM236" t="str">
            <v>3802 - Lingga, Kab</v>
          </cell>
          <cell r="AV236" t="str">
            <v>6001 - Kab. Donggala</v>
          </cell>
          <cell r="AX236" t="str">
            <v>Lebong, Kab - 2304</v>
          </cell>
        </row>
        <row r="237">
          <cell r="AM237" t="str">
            <v>3803 - Natuna, Kab</v>
          </cell>
          <cell r="AV237" t="str">
            <v>6002 - Kab. Poso</v>
          </cell>
          <cell r="AX237" t="str">
            <v>Lematang Ilir Ogan Tengah (Muara Enim), Kab. - 3608</v>
          </cell>
        </row>
        <row r="238">
          <cell r="AM238" t="str">
            <v>3804 - Bintan, Kab (d/h Kab. Kepulauan Riau</v>
          </cell>
          <cell r="AV238" t="str">
            <v>6003 - Kab. Parimo/Banggai</v>
          </cell>
          <cell r="AX238" t="str">
            <v>Lembata, Kab. - 7413</v>
          </cell>
        </row>
        <row r="239">
          <cell r="AM239" t="str">
            <v>3805 - Kab. Anambas</v>
          </cell>
          <cell r="AV239" t="str">
            <v>6004 - Kab. Toli-Toli</v>
          </cell>
          <cell r="AX239" t="str">
            <v>Lhokseumawe, Kota. - 3293</v>
          </cell>
        </row>
        <row r="240">
          <cell r="AM240" t="str">
            <v>3891 - Tanjungpinang, Kota</v>
          </cell>
          <cell r="AV240" t="str">
            <v>6005 - Kab.Banggai Kepulauan</v>
          </cell>
          <cell r="AX240" t="str">
            <v>Limapuluh Koto, Kab. - 3403</v>
          </cell>
        </row>
        <row r="241">
          <cell r="AM241" t="str">
            <v>3892 - Batam, Kota</v>
          </cell>
          <cell r="AV241" t="str">
            <v>6006 - Kab. Morowali</v>
          </cell>
          <cell r="AX241" t="str">
            <v>Lingga, Kab - 3802</v>
          </cell>
        </row>
        <row r="242">
          <cell r="AM242" t="str">
            <v>3901 - Lampung Selatan, Kab.</v>
          </cell>
          <cell r="AV242" t="str">
            <v>6007 - Kab. Buol</v>
          </cell>
          <cell r="AX242" t="str">
            <v>Lombok Barat, Kab. - 7101</v>
          </cell>
        </row>
        <row r="243">
          <cell r="AM243" t="str">
            <v>3902 - Lampung Tengah, Kab.</v>
          </cell>
          <cell r="AV243" t="str">
            <v>6008 - Kab. Tojo Una-Una</v>
          </cell>
          <cell r="AX243" t="str">
            <v>Lombok Tengah, Kab. - 7102</v>
          </cell>
        </row>
        <row r="244">
          <cell r="AM244" t="str">
            <v>3903 - Lampung Utara, Kab.</v>
          </cell>
          <cell r="AV244" t="str">
            <v>6009 - Kab. Parigi Moutong</v>
          </cell>
          <cell r="AX244" t="str">
            <v>Lombok Timur, Kab. - 7103</v>
          </cell>
        </row>
        <row r="245">
          <cell r="AM245" t="str">
            <v>3305 - Labuhan Batu, Kab.</v>
          </cell>
          <cell r="AV245" t="str">
            <v>3697 - Kota Pagar Alam</v>
          </cell>
          <cell r="AX245" t="str">
            <v>Lombok Utara, Kab - 7108</v>
          </cell>
        </row>
        <row r="246">
          <cell r="AM246" t="str">
            <v>3904 - Lampung Barat, Kab.</v>
          </cell>
          <cell r="AV246" t="str">
            <v>6010 - Kab. Sigi</v>
          </cell>
          <cell r="AX246" t="str">
            <v>Lubuklinggau, Kota. - 3693</v>
          </cell>
        </row>
        <row r="247">
          <cell r="AM247" t="str">
            <v>3905 - Tulang Bawang, Kab.</v>
          </cell>
          <cell r="AV247" t="str">
            <v>6091 - Kota Palu</v>
          </cell>
          <cell r="AX247" t="str">
            <v>Lumajang, Kab. - 1216</v>
          </cell>
        </row>
        <row r="248">
          <cell r="AM248" t="str">
            <v>3306 - Asahan, Kab.</v>
          </cell>
          <cell r="AV248" t="str">
            <v>3701 - Kab. Bangka</v>
          </cell>
          <cell r="AX248" t="str">
            <v>Luwu Timur, Kab (d/h Luwu Selatan) - 6122</v>
          </cell>
        </row>
        <row r="249">
          <cell r="AM249" t="str">
            <v>3906 - Tanggamus, Kab.</v>
          </cell>
          <cell r="AV249" t="str">
            <v>6101 - Kab. Pinrang</v>
          </cell>
          <cell r="AX249" t="str">
            <v>Luwu Utara, Kab. - 6124</v>
          </cell>
        </row>
        <row r="250">
          <cell r="AM250" t="str">
            <v>3907 - Lampung Timur, Kab.</v>
          </cell>
          <cell r="AV250" t="str">
            <v>6102 - Kab. Gowa</v>
          </cell>
          <cell r="AX250" t="str">
            <v>Luwu, Kab. - 6109</v>
          </cell>
        </row>
        <row r="251">
          <cell r="AM251" t="str">
            <v>3908 - Way Kanan, Kab.</v>
          </cell>
          <cell r="AV251" t="str">
            <v>6103 - Kab. Wajo</v>
          </cell>
          <cell r="AX251" t="str">
            <v>Madiun, Kab. - 1222</v>
          </cell>
        </row>
        <row r="252">
          <cell r="AM252" t="str">
            <v>3909 - Pesawaran, Kab</v>
          </cell>
          <cell r="AV252" t="str">
            <v>2391 - Kota Bengkulu</v>
          </cell>
          <cell r="AX252" t="str">
            <v>Madiun, Kota. - 1298</v>
          </cell>
        </row>
        <row r="253">
          <cell r="AM253" t="str">
            <v>3910 - Kab. Pringsewu</v>
          </cell>
          <cell r="AV253" t="str">
            <v>3101 - Kab. Batanghari</v>
          </cell>
          <cell r="AX253" t="str">
            <v>Magelang, Kab. - 0918</v>
          </cell>
        </row>
        <row r="254">
          <cell r="AM254" t="str">
            <v>3911 - Kab. Tulang Bawang Barat</v>
          </cell>
          <cell r="AV254" t="str">
            <v>3104 - Kab. Sarolangun</v>
          </cell>
          <cell r="AX254" t="str">
            <v>Magelang, Kota. - 0995</v>
          </cell>
        </row>
        <row r="255">
          <cell r="AM255" t="str">
            <v>3912 - Kab. Mesuji</v>
          </cell>
          <cell r="AV255" t="str">
            <v>3105 - Kab. Kerinci</v>
          </cell>
          <cell r="AX255" t="str">
            <v>Magetan, Kab. - 1224</v>
          </cell>
        </row>
        <row r="256">
          <cell r="AM256" t="str">
            <v>3991 - Bandar Lampung, Kota.</v>
          </cell>
          <cell r="AV256" t="str">
            <v>3106 - Kab. Muaro Jambi</v>
          </cell>
          <cell r="AX256" t="str">
            <v>Majalengka, Kab. - 0119</v>
          </cell>
        </row>
        <row r="257">
          <cell r="AM257" t="str">
            <v>3992 - Metro, Kota.</v>
          </cell>
          <cell r="AV257" t="str">
            <v>3107 - Kab. Tanjung Jabung Barat</v>
          </cell>
          <cell r="AX257" t="str">
            <v>Majene, Kab. - 6402</v>
          </cell>
        </row>
        <row r="258">
          <cell r="AM258" t="str">
            <v>5101 - Banjar, Kab.</v>
          </cell>
          <cell r="AV258" t="str">
            <v>3108 - Kab. Tanjung Jabung Timur</v>
          </cell>
          <cell r="AX258" t="str">
            <v>Makassar, Kota. - 6191</v>
          </cell>
        </row>
        <row r="259">
          <cell r="AM259" t="str">
            <v>5102 - Tanah Laut, Kab.</v>
          </cell>
          <cell r="AV259" t="str">
            <v>3109 - Kab. Tebo</v>
          </cell>
          <cell r="AX259" t="str">
            <v>Malang, Kab. - 1213</v>
          </cell>
        </row>
        <row r="260">
          <cell r="AM260" t="str">
            <v>5103 - Tapin, Kab.</v>
          </cell>
          <cell r="AV260" t="str">
            <v>3111 - Kab. Merangin</v>
          </cell>
          <cell r="AX260" t="str">
            <v>Malang, Kota. - 1293</v>
          </cell>
        </row>
        <row r="261">
          <cell r="AM261" t="str">
            <v>5104 - Hulu Sungai Selatan, Kab.</v>
          </cell>
          <cell r="AV261" t="str">
            <v>3112 - Kab. Bungo</v>
          </cell>
          <cell r="AX261" t="str">
            <v>Malinau, Kab. - 5410</v>
          </cell>
        </row>
        <row r="262">
          <cell r="AM262" t="str">
            <v>3307 - Dairi, Kab.</v>
          </cell>
          <cell r="AV262" t="str">
            <v>3702 - Kab. Belitung</v>
          </cell>
          <cell r="AX262" t="str">
            <v>Maluku Barat Daya, Kab - 8108</v>
          </cell>
        </row>
        <row r="263">
          <cell r="AM263" t="str">
            <v>5105 - Hulu Sungai Tengah, Kab.</v>
          </cell>
          <cell r="AV263" t="str">
            <v>3191 - Kota Jambi</v>
          </cell>
          <cell r="AX263" t="str">
            <v>Maluku Tengah, Kab. - 8101</v>
          </cell>
        </row>
        <row r="264">
          <cell r="AM264" t="str">
            <v>5106 - Hulu Sungai Utara, Kab.</v>
          </cell>
          <cell r="AV264" t="str">
            <v>3192 - Kota Sungai Penuh</v>
          </cell>
          <cell r="AX264" t="str">
            <v>Maluku Tenggara Barat, Kab. - 8103</v>
          </cell>
        </row>
        <row r="265">
          <cell r="AM265" t="str">
            <v>5107 - Barito Kuala, Kab.</v>
          </cell>
          <cell r="AV265" t="str">
            <v>3201 - Kab. Aceh Besar</v>
          </cell>
          <cell r="AX265" t="str">
            <v>Maluku Tenggara, Kab. - 8102</v>
          </cell>
        </row>
        <row r="266">
          <cell r="AM266" t="str">
            <v>5108 - Kota Baru, Kab.</v>
          </cell>
          <cell r="AV266" t="str">
            <v>3202 - Kab. Pidie</v>
          </cell>
          <cell r="AX266" t="str">
            <v>Mamasa, Kab. - 6403</v>
          </cell>
        </row>
        <row r="267">
          <cell r="AM267" t="str">
            <v>5109 - Tabalong, Kab.</v>
          </cell>
          <cell r="AV267" t="str">
            <v>3203 - Kab. Aceh Utara</v>
          </cell>
          <cell r="AX267" t="str">
            <v>Mamberamo Raya, Kab. - 8232</v>
          </cell>
        </row>
        <row r="268">
          <cell r="AM268" t="str">
            <v>5110 - Tanah Bumbu, Kab.</v>
          </cell>
          <cell r="AV268" t="str">
            <v>3204 - Kab. Aceh Timur</v>
          </cell>
          <cell r="AX268" t="str">
            <v>Mamberamo Tengah, Kab. - 8235</v>
          </cell>
        </row>
        <row r="269">
          <cell r="AM269" t="str">
            <v>5111 - Balangan, Kab.</v>
          </cell>
          <cell r="AV269" t="str">
            <v>3205 - Kab. Aceh Selatan</v>
          </cell>
          <cell r="AX269" t="str">
            <v>Mamuju Utara, Kab. - 6404</v>
          </cell>
        </row>
        <row r="270">
          <cell r="AM270" t="str">
            <v>5191 - Banjarmasin, Kota.</v>
          </cell>
          <cell r="AV270" t="str">
            <v>3206 - Kab. Aceh Barat</v>
          </cell>
          <cell r="AX270" t="str">
            <v>Mamuju, Kota. - 6491</v>
          </cell>
        </row>
        <row r="271">
          <cell r="AM271" t="str">
            <v>5192 - Banjarbaru, Kota.</v>
          </cell>
          <cell r="AV271" t="str">
            <v>3207 - Kab. Aceh Tengah</v>
          </cell>
          <cell r="AX271" t="str">
            <v>Mandailing Natal, Kab. - 3314</v>
          </cell>
        </row>
        <row r="272">
          <cell r="AM272" t="str">
            <v>5301 - Pontianak, Kab.</v>
          </cell>
          <cell r="AV272" t="str">
            <v>3208 - Kab. Aceh Tenggara</v>
          </cell>
          <cell r="AX272" t="str">
            <v>Manggarai Barat, Kab. - 7415</v>
          </cell>
        </row>
        <row r="273">
          <cell r="AM273" t="str">
            <v>5302 - Sambas, Kab.</v>
          </cell>
          <cell r="AV273" t="str">
            <v>3209 - Kab. Aceh Singkil</v>
          </cell>
          <cell r="AX273" t="str">
            <v>Manggarai Timur, Kab. - 7418</v>
          </cell>
        </row>
        <row r="274">
          <cell r="AM274" t="str">
            <v>5303 - Ketapang, Kab.</v>
          </cell>
          <cell r="AV274" t="str">
            <v>3210 - Kab. Aceh Jeumpa/Bireuen</v>
          </cell>
          <cell r="AX274" t="str">
            <v>Manggarai, Kab. - 7410</v>
          </cell>
        </row>
        <row r="275">
          <cell r="AM275" t="str">
            <v>5304 - Sanggau, Kab.</v>
          </cell>
          <cell r="AV275" t="str">
            <v>3211 - Kab. Aceh Tamiang</v>
          </cell>
          <cell r="AX275" t="str">
            <v>Manokwari, Kab. - 8403</v>
          </cell>
        </row>
        <row r="276">
          <cell r="AM276" t="str">
            <v>5305 - Sintang, Kab.</v>
          </cell>
          <cell r="AV276" t="str">
            <v>3212 - Kab. Gayo Luwes</v>
          </cell>
          <cell r="AX276" t="str">
            <v>Mappi, Kab. - 8227</v>
          </cell>
        </row>
        <row r="277">
          <cell r="AM277" t="str">
            <v>5306 - Kapuas Hulu, Kab.</v>
          </cell>
          <cell r="AV277" t="str">
            <v>3213 - Kab. Aceh Barat Daya</v>
          </cell>
          <cell r="AX277" t="str">
            <v>Maros, Kab. - 6107</v>
          </cell>
        </row>
        <row r="278">
          <cell r="AM278" t="str">
            <v>5307 - Bengkayang, Kab.</v>
          </cell>
          <cell r="AV278" t="str">
            <v>3214 - Kab. Aceh Jaya</v>
          </cell>
          <cell r="AX278" t="str">
            <v>Mataram, Kota. - 7191</v>
          </cell>
        </row>
        <row r="279">
          <cell r="AM279" t="str">
            <v>3308 - Tapanuli Utara, Kab.</v>
          </cell>
          <cell r="AV279" t="str">
            <v>3703 - Kab. Bangka Barat</v>
          </cell>
          <cell r="AX279" t="str">
            <v>Maybrat, Kab - 8410</v>
          </cell>
        </row>
        <row r="280">
          <cell r="AM280" t="str">
            <v>5308 - Landak, Kab.</v>
          </cell>
          <cell r="AV280" t="str">
            <v>3215 - Kab. Nagan Raya</v>
          </cell>
          <cell r="AX280" t="str">
            <v>Medan, Kota. - 3396</v>
          </cell>
        </row>
        <row r="281">
          <cell r="AM281" t="str">
            <v>5309 - Sekadau, Kab.</v>
          </cell>
          <cell r="AV281" t="str">
            <v>3216 - Kab. Aceh Simeuleu</v>
          </cell>
          <cell r="AX281" t="str">
            <v>Melawi, Kab.. - 5310</v>
          </cell>
        </row>
        <row r="282">
          <cell r="AM282" t="str">
            <v>5310 - Melawi, Kab..</v>
          </cell>
          <cell r="AV282" t="str">
            <v>3217 - Kab. Bener Meriah</v>
          </cell>
          <cell r="AX282" t="str">
            <v>Menado, Kota. - 6291</v>
          </cell>
        </row>
        <row r="283">
          <cell r="AM283" t="str">
            <v>5311 - Kayong Utara, Kab.</v>
          </cell>
          <cell r="AV283" t="str">
            <v>3218 - Kab. Pidie Jaya</v>
          </cell>
          <cell r="AX283" t="str">
            <v>Merangin, Kab. - 3111</v>
          </cell>
        </row>
        <row r="284">
          <cell r="AM284" t="str">
            <v>5312 - Kubu Raya, Kab.</v>
          </cell>
          <cell r="AV284" t="str">
            <v>3219 - Kab. Subulussalam</v>
          </cell>
          <cell r="AX284" t="str">
            <v>Merauke, Kab. - 8211</v>
          </cell>
        </row>
        <row r="285">
          <cell r="AM285" t="str">
            <v>3309 - Tapanuli Tengah, Kab.</v>
          </cell>
          <cell r="AV285" t="str">
            <v>3704 - Kab. Bangka Selatan</v>
          </cell>
          <cell r="AX285" t="str">
            <v>Mesuji, Kab - 3912</v>
          </cell>
        </row>
        <row r="286">
          <cell r="AM286" t="str">
            <v>5391 - Pontianak, Kota.</v>
          </cell>
          <cell r="AV286" t="str">
            <v>3291 - Kota Banda Aceh</v>
          </cell>
          <cell r="AX286" t="str">
            <v>Metro, Kota. - 3992</v>
          </cell>
        </row>
        <row r="287">
          <cell r="AM287" t="str">
            <v>5392 - Singkawang, Kota.</v>
          </cell>
          <cell r="AV287" t="str">
            <v>3292 - Kota Sabang</v>
          </cell>
          <cell r="AX287" t="str">
            <v>Mimika, Kab. - 8215</v>
          </cell>
        </row>
        <row r="288">
          <cell r="AM288" t="str">
            <v>5401 - Kutai Kartanegara, Kab.</v>
          </cell>
          <cell r="AV288" t="str">
            <v>3293 - Kota Lhokseumawe</v>
          </cell>
          <cell r="AX288" t="str">
            <v>Minahasa Selatan, Kab. - 6206</v>
          </cell>
        </row>
        <row r="289">
          <cell r="AM289" t="str">
            <v>5402 - Berau, Kab.</v>
          </cell>
          <cell r="AV289" t="str">
            <v>3294 - Kota Langsa</v>
          </cell>
          <cell r="AX289" t="str">
            <v>Minahasa Tenggara, Kab. - 6209</v>
          </cell>
        </row>
        <row r="290">
          <cell r="AM290" t="str">
            <v>5403 - Pasir, Kab.</v>
          </cell>
          <cell r="AV290" t="str">
            <v>3301 - Kab. Deli Serdang</v>
          </cell>
          <cell r="AX290" t="str">
            <v>Minahasa Utara, Kab. - 6207</v>
          </cell>
        </row>
        <row r="291">
          <cell r="AM291" t="str">
            <v>5404 - Bulungan, Kab.</v>
          </cell>
          <cell r="AV291" t="str">
            <v>3302 - Kab. Langkat</v>
          </cell>
          <cell r="AX291" t="str">
            <v>Minahasa, Kab. - 6202</v>
          </cell>
        </row>
        <row r="292">
          <cell r="AM292" t="str">
            <v>5405 - Kutai Barat, Kab.</v>
          </cell>
          <cell r="AV292" t="str">
            <v>3303 - Kab. Karo</v>
          </cell>
          <cell r="AX292" t="str">
            <v>Mojokerto, Kab. - 1203</v>
          </cell>
        </row>
        <row r="293">
          <cell r="AM293" t="str">
            <v>5406 - Kutai Timur, Kab.</v>
          </cell>
          <cell r="AV293" t="str">
            <v>3304 - Kab. Simalungun</v>
          </cell>
          <cell r="AX293" t="str">
            <v>Mojokerto, Kota. - 1292</v>
          </cell>
        </row>
        <row r="294">
          <cell r="AM294" t="str">
            <v>5409 - Nunukan, Kab.</v>
          </cell>
          <cell r="AV294" t="str">
            <v>3305 - Kab. Labuhan Batu</v>
          </cell>
          <cell r="AX294" t="str">
            <v>Morowali, Kab. - 6006</v>
          </cell>
        </row>
        <row r="295">
          <cell r="AM295" t="str">
            <v>5410 - Malinau, Kab.</v>
          </cell>
          <cell r="AV295" t="str">
            <v>3306 - Kab. Asahan</v>
          </cell>
          <cell r="AX295" t="str">
            <v>Muaro Jambi, Kab. - 3106</v>
          </cell>
        </row>
        <row r="296">
          <cell r="AM296" t="str">
            <v>5411 - Penajam Paser Utara, Kab.</v>
          </cell>
          <cell r="AV296" t="str">
            <v>3307 - Kab. Dairi</v>
          </cell>
          <cell r="AX296" t="str">
            <v>Mukomuko, Kab - 2306</v>
          </cell>
        </row>
        <row r="297">
          <cell r="AM297" t="str">
            <v>5412 - Tana Tidung, Kab.</v>
          </cell>
          <cell r="AV297" t="str">
            <v>3308 - Kab. Tapanuli Utara</v>
          </cell>
          <cell r="AX297" t="str">
            <v>Muna, Kab. - 6903</v>
          </cell>
        </row>
        <row r="298">
          <cell r="AM298" t="str">
            <v>5491 - Samarinda, Kota.</v>
          </cell>
          <cell r="AV298" t="str">
            <v>3309 - Kab. Tapanuli Tengah</v>
          </cell>
          <cell r="AX298" t="str">
            <v>Murung Raya, Kab. - 5804</v>
          </cell>
        </row>
        <row r="299">
          <cell r="AM299" t="str">
            <v>5492 - Balikpapan, Kota.</v>
          </cell>
          <cell r="AV299" t="str">
            <v>3310 - Kab. Tapanuli Selatan</v>
          </cell>
          <cell r="AX299" t="str">
            <v>Musi Banyuasin, Kab. - 3606</v>
          </cell>
        </row>
        <row r="300">
          <cell r="AM300" t="str">
            <v>5493 - Tarakan, Kota.</v>
          </cell>
          <cell r="AV300" t="str">
            <v>3311 - Kab. Nias</v>
          </cell>
          <cell r="AX300" t="str">
            <v>Musi Rawas, Kab. - 3610</v>
          </cell>
        </row>
        <row r="301">
          <cell r="AM301" t="str">
            <v>5494 - Bontang, Kota.</v>
          </cell>
          <cell r="AV301" t="str">
            <v>3313 - Kab. Toba Samosir</v>
          </cell>
          <cell r="AX301" t="str">
            <v>Nabire, Kab. - 8214</v>
          </cell>
        </row>
        <row r="302">
          <cell r="AM302" t="str">
            <v>5801 - Kapuas, Kab.</v>
          </cell>
          <cell r="AV302" t="str">
            <v>3314 - Kab. Mandailing Natal</v>
          </cell>
          <cell r="AX302" t="str">
            <v>Nagan Raya, Kab. - 3215</v>
          </cell>
        </row>
        <row r="303">
          <cell r="AM303" t="str">
            <v>5802 - Kotawaringin Barat, Kab.</v>
          </cell>
          <cell r="AV303" t="str">
            <v>3315 - Kab. Nias Selatan</v>
          </cell>
          <cell r="AX303" t="str">
            <v>Nagekeo, Kab. - 7419</v>
          </cell>
        </row>
        <row r="304">
          <cell r="AM304" t="str">
            <v>5803 - Kotawaringin Timur, Kab.</v>
          </cell>
          <cell r="AV304" t="str">
            <v>3316 - Kab. Humbang Hasundutan</v>
          </cell>
          <cell r="AX304" t="str">
            <v>Natuna, Kab - 3803</v>
          </cell>
        </row>
        <row r="305">
          <cell r="AM305" t="str">
            <v>5804 - Murung Raya, Kab.</v>
          </cell>
          <cell r="AV305" t="str">
            <v>3317 - Kab. Pakpak Bharat</v>
          </cell>
          <cell r="AX305" t="str">
            <v>Nduga Tengah, Kab. - 8236</v>
          </cell>
        </row>
        <row r="306">
          <cell r="AM306" t="str">
            <v>5805 - Barito Timur, Kab.</v>
          </cell>
          <cell r="AV306" t="str">
            <v>3318 - Kab. Samosir</v>
          </cell>
          <cell r="AX306" t="str">
            <v>Ngada, Kab. - 7409</v>
          </cell>
        </row>
        <row r="307">
          <cell r="AM307" t="str">
            <v>5806 - Barito Selatan, Kab.</v>
          </cell>
          <cell r="AV307" t="str">
            <v>3319 - Kab. Serdang Bedagai</v>
          </cell>
          <cell r="AX307" t="str">
            <v>Nganjuk, Kab. - 1218</v>
          </cell>
        </row>
        <row r="308">
          <cell r="AM308" t="str">
            <v>5807 - Gunung Mas, Kab.</v>
          </cell>
          <cell r="AV308" t="str">
            <v>3320 - Kab. Angkola Sipirok</v>
          </cell>
          <cell r="AX308" t="str">
            <v>Ngawi, Kab. - 1223</v>
          </cell>
        </row>
        <row r="309">
          <cell r="AM309" t="str">
            <v>3310 - Tapanuli Selatan, Kab.</v>
          </cell>
          <cell r="AV309" t="str">
            <v>3705 - Kab. Bangka Tengah</v>
          </cell>
          <cell r="AX309" t="str">
            <v>Nias Barat, Kab - 3326</v>
          </cell>
        </row>
        <row r="310">
          <cell r="AM310" t="str">
            <v>5808 - Barito Utara, Kab.</v>
          </cell>
          <cell r="AV310" t="str">
            <v>3321 - Kab. Batu Bara</v>
          </cell>
          <cell r="AX310" t="str">
            <v>Nias Selatan, Kab - 3315</v>
          </cell>
        </row>
        <row r="311">
          <cell r="AM311" t="str">
            <v>3311 - Nias, Kab.</v>
          </cell>
          <cell r="AV311" t="str">
            <v>3706 - Kab. Belitung Timur</v>
          </cell>
          <cell r="AX311" t="str">
            <v>Nias Utara, Kab - 3327</v>
          </cell>
        </row>
        <row r="312">
          <cell r="AM312" t="str">
            <v>5809 - Pulang Pisau, Kab.</v>
          </cell>
          <cell r="AV312" t="str">
            <v>3322 - Kab. Padang Lawas</v>
          </cell>
          <cell r="AX312" t="str">
            <v>Nias, Kab. - 3311</v>
          </cell>
        </row>
        <row r="313">
          <cell r="AM313" t="str">
            <v>5810 - Seruyan, Kab.</v>
          </cell>
          <cell r="AV313" t="str">
            <v>3323 - Kab. Padang Lawas Utara</v>
          </cell>
          <cell r="AX313" t="str">
            <v>Nunukan, Kab. - 5409</v>
          </cell>
        </row>
        <row r="314">
          <cell r="AM314" t="str">
            <v>5811 - Katingan, Kab.</v>
          </cell>
          <cell r="AV314" t="str">
            <v>3324 - Kab. Labuhanbatu Selatan</v>
          </cell>
          <cell r="AX314" t="str">
            <v>Ogan Ilir, Kab - 3616</v>
          </cell>
        </row>
        <row r="315">
          <cell r="AM315" t="str">
            <v>5812 - Sukamara, Kab.</v>
          </cell>
          <cell r="AV315" t="str">
            <v>3325 - Kab. Labuhanbatu Utara</v>
          </cell>
          <cell r="AX315" t="str">
            <v>Ogan Komering Ilir, Kab. - 3611</v>
          </cell>
        </row>
        <row r="316">
          <cell r="AM316" t="str">
            <v>5813 - Lamandau, Kab.</v>
          </cell>
          <cell r="AV316" t="str">
            <v>3326 - Kab. Nias Barat</v>
          </cell>
          <cell r="AX316" t="str">
            <v>Ogan Komering Ulu Selatan, Kab - 3614</v>
          </cell>
        </row>
        <row r="317">
          <cell r="AM317" t="str">
            <v>5892 - Palangkaraya, Kota.</v>
          </cell>
          <cell r="AV317" t="str">
            <v>3327 - Kab. Nias Utara</v>
          </cell>
          <cell r="AX317" t="str">
            <v>Ogan Komering Ulu Timur, Kab - 3615</v>
          </cell>
        </row>
        <row r="318">
          <cell r="AM318" t="str">
            <v>6001 - Donggala, Kab.</v>
          </cell>
          <cell r="AV318" t="str">
            <v>3391 - Kota Tebing Tinggi</v>
          </cell>
          <cell r="AX318" t="str">
            <v>Ogan Komering Ulu, Kab. - 3607</v>
          </cell>
        </row>
        <row r="319">
          <cell r="AM319" t="str">
            <v>6002 - Poso, Kab.</v>
          </cell>
          <cell r="AV319" t="str">
            <v>3392 - Kota Binjai</v>
          </cell>
          <cell r="AX319" t="str">
            <v>Pacitan, Kab. - 1226</v>
          </cell>
        </row>
        <row r="320">
          <cell r="AM320" t="str">
            <v>6003 - Parimo/Banggai, Kab.</v>
          </cell>
          <cell r="AV320" t="str">
            <v>3393 - Kota Pematang Siantar</v>
          </cell>
          <cell r="AX320" t="str">
            <v>Padang Lawas Utara, Kab - 3323</v>
          </cell>
        </row>
        <row r="321">
          <cell r="AM321" t="str">
            <v>6004 - Toli-Toli, Kab.</v>
          </cell>
          <cell r="AV321" t="str">
            <v>3394 - Kota Tanjung Balai</v>
          </cell>
          <cell r="AX321" t="str">
            <v>Padang Lawas, Kab - 3322</v>
          </cell>
        </row>
        <row r="322">
          <cell r="AM322" t="str">
            <v>6005 - Kab.Banggai Kepulauan</v>
          </cell>
          <cell r="AV322" t="str">
            <v>3395 - Kota Sibolga</v>
          </cell>
          <cell r="AX322" t="str">
            <v>Padang Panjang, Kota. - 3494</v>
          </cell>
        </row>
        <row r="323">
          <cell r="AM323" t="str">
            <v>6006 - Morowali, Kab.</v>
          </cell>
          <cell r="AV323" t="str">
            <v>3396 - Kota Medan</v>
          </cell>
          <cell r="AX323" t="str">
            <v>Padang Pariaman, Kab. - 3405</v>
          </cell>
        </row>
        <row r="324">
          <cell r="AM324" t="str">
            <v>6007 - Buol, Kab.</v>
          </cell>
          <cell r="AV324" t="str">
            <v>3397 - Kota Gunung Sitoli</v>
          </cell>
          <cell r="AX324" t="str">
            <v>Padang Sidempuan, Kota. - 3399</v>
          </cell>
        </row>
        <row r="325">
          <cell r="AM325" t="str">
            <v>6008 - Tojo Una-Una, Kab.</v>
          </cell>
          <cell r="AV325" t="str">
            <v>3399 - Kota Padang Sidempuan</v>
          </cell>
          <cell r="AX325" t="str">
            <v>Padang, Kota. - 3492</v>
          </cell>
        </row>
        <row r="326">
          <cell r="AM326" t="str">
            <v>6009 - Parigi Moutong, Kab.</v>
          </cell>
          <cell r="AV326" t="str">
            <v>3401 - Kab. Agam</v>
          </cell>
          <cell r="AX326" t="str">
            <v>Pagar Alam, Kota. - 3697</v>
          </cell>
        </row>
        <row r="327">
          <cell r="AM327" t="str">
            <v>6010 - Kab. Sigi</v>
          </cell>
          <cell r="AV327" t="str">
            <v>3402 - Kab. Pasaman</v>
          </cell>
          <cell r="AX327" t="str">
            <v>Pakpak Barat, Kab - 3317</v>
          </cell>
        </row>
        <row r="328">
          <cell r="AM328" t="str">
            <v>6091 - Palu, Kota.</v>
          </cell>
          <cell r="AV328" t="str">
            <v>3403 - Kab. Limapuluh Koto</v>
          </cell>
          <cell r="AX328" t="str">
            <v>Palangkaraya, Kota. - 5892</v>
          </cell>
        </row>
        <row r="329">
          <cell r="AM329" t="str">
            <v>6101 - Pinrang, Kab.</v>
          </cell>
          <cell r="AV329" t="str">
            <v>3404 - Kab. Solok Selatan</v>
          </cell>
          <cell r="AX329" t="str">
            <v>Palembang, Kota. - 3691</v>
          </cell>
        </row>
        <row r="330">
          <cell r="AM330" t="str">
            <v>6102 - Gowa, Kab.</v>
          </cell>
          <cell r="AV330" t="str">
            <v>3405 - Kab. Padang Pariaman</v>
          </cell>
          <cell r="AX330" t="str">
            <v>Palopo, Kota. - 6193</v>
          </cell>
        </row>
        <row r="331">
          <cell r="AM331" t="str">
            <v>6103 - Wajo, Kab.</v>
          </cell>
          <cell r="AV331" t="str">
            <v>3406 - Kab. Pesisir Selatan</v>
          </cell>
          <cell r="AX331" t="str">
            <v>Palu, Kota. - 6091</v>
          </cell>
        </row>
        <row r="332">
          <cell r="AM332" t="str">
            <v>6105 - Bone, Kab.</v>
          </cell>
          <cell r="AV332" t="str">
            <v>3407 - Kab. Tanah Datar</v>
          </cell>
          <cell r="AX332" t="str">
            <v>Pamekasan, Kab. - 1206</v>
          </cell>
        </row>
        <row r="333">
          <cell r="AM333" t="str">
            <v>6106 - Tana Toraja, Kab.</v>
          </cell>
          <cell r="AV333" t="str">
            <v>3408 - Kab. Sawahlunto/Sijunjung</v>
          </cell>
          <cell r="AX333" t="str">
            <v>Pandeglang, Kab. - 0202</v>
          </cell>
        </row>
        <row r="334">
          <cell r="AM334" t="str">
            <v>6107 - Maros, Kab.</v>
          </cell>
          <cell r="AV334" t="str">
            <v>3409 - Kab. Kepulauan Mentawai</v>
          </cell>
          <cell r="AX334" t="str">
            <v>Pangkajene Kepulauan, Kab. - 6118</v>
          </cell>
        </row>
        <row r="335">
          <cell r="AM335" t="str">
            <v>6109 - Luwu, Kab.</v>
          </cell>
          <cell r="AV335" t="str">
            <v>3410 - Kab. Pasaman Barat</v>
          </cell>
          <cell r="AX335" t="str">
            <v>Pangkal Pinang, Kota. - 3791</v>
          </cell>
        </row>
        <row r="336">
          <cell r="AM336" t="str">
            <v>6110 - Sinjai, Kab.</v>
          </cell>
          <cell r="AV336" t="str">
            <v>3411 - Kab. Dharmasraya</v>
          </cell>
          <cell r="AX336" t="str">
            <v>Paniai, Kab. - 8212</v>
          </cell>
        </row>
        <row r="337">
          <cell r="AM337" t="str">
            <v>6111 - Bulukumba, Kab.</v>
          </cell>
          <cell r="AV337" t="str">
            <v>3412 - Kab. Solok</v>
          </cell>
          <cell r="AX337" t="str">
            <v>Pare-Pare, Kota. - 6192</v>
          </cell>
        </row>
        <row r="338">
          <cell r="AM338" t="str">
            <v>6112 - Bantaeng, Kab.</v>
          </cell>
          <cell r="AV338" t="str">
            <v>3491 - Kota Bukittinggi</v>
          </cell>
          <cell r="AX338" t="str">
            <v>Pariaman, Kota. - 3497</v>
          </cell>
        </row>
        <row r="339">
          <cell r="AM339" t="str">
            <v>6113 - Jeneponto, Kab.</v>
          </cell>
          <cell r="AV339" t="str">
            <v>3492 - Kota Padang</v>
          </cell>
          <cell r="AX339" t="str">
            <v>Parigi Moutong, Kab. - 6009</v>
          </cell>
        </row>
        <row r="340">
          <cell r="AM340" t="str">
            <v>6114 - Selayar, Kab.</v>
          </cell>
          <cell r="AV340" t="str">
            <v>3493 - Kota Sawahlunto</v>
          </cell>
          <cell r="AX340" t="str">
            <v>Parimo/Banggai, Kab. - 6003</v>
          </cell>
        </row>
        <row r="341">
          <cell r="AM341" t="str">
            <v>6115 - Takalar, Kab.</v>
          </cell>
          <cell r="AV341" t="str">
            <v>3494 - Kota Padang Panjang</v>
          </cell>
          <cell r="AX341" t="str">
            <v>Pasaman Barat, Kab - 3410</v>
          </cell>
        </row>
        <row r="342">
          <cell r="AM342" t="str">
            <v>6116 - Barru, Kab.</v>
          </cell>
          <cell r="AV342" t="str">
            <v>3495 - Kota Solok</v>
          </cell>
          <cell r="AX342" t="str">
            <v>Pasaman, Kab. - 3402</v>
          </cell>
        </row>
        <row r="343">
          <cell r="AM343" t="str">
            <v>6117 - Sidenreng Rappang, Kab.</v>
          </cell>
          <cell r="AV343" t="str">
            <v>3496 - Kota Payakumbuh</v>
          </cell>
          <cell r="AX343" t="str">
            <v>Pasir, Kab. - 5403</v>
          </cell>
        </row>
        <row r="344">
          <cell r="AM344" t="str">
            <v>6118 - Pangkajene Kepulauan, Kab.</v>
          </cell>
          <cell r="AV344" t="str">
            <v>3497 - Kota Pariaman</v>
          </cell>
          <cell r="AX344" t="str">
            <v>Pasuruan, Kab. - 1214</v>
          </cell>
        </row>
        <row r="345">
          <cell r="AM345" t="str">
            <v>6119 - Kab. Soppeng (d/h Watansoppeng)</v>
          </cell>
          <cell r="AV345" t="str">
            <v>3501 - Kab. Kampar</v>
          </cell>
          <cell r="AX345" t="str">
            <v>Pasuruan, Kota. - 1294</v>
          </cell>
        </row>
        <row r="346">
          <cell r="AM346" t="str">
            <v>6121 - Enrekang, Kab.</v>
          </cell>
          <cell r="AV346" t="str">
            <v>3502 - Kab. Bengkalis</v>
          </cell>
          <cell r="AX346" t="str">
            <v>Pati, Kab. - 0908</v>
          </cell>
        </row>
        <row r="347">
          <cell r="AM347" t="str">
            <v>6122 - Kab. Luwu Timur (d/h Luwu Selatan)</v>
          </cell>
          <cell r="AV347" t="str">
            <v>3504 - Kab. Indragiri Hulu</v>
          </cell>
          <cell r="AX347" t="str">
            <v>Payakumbuh, Kota. - 3496</v>
          </cell>
        </row>
        <row r="348">
          <cell r="AM348" t="str">
            <v>6124 - Luwu Utara, Kab.</v>
          </cell>
          <cell r="AV348" t="str">
            <v>3505 - Kab. Indragiri Hilir</v>
          </cell>
          <cell r="AX348" t="str">
            <v>Pegunungan Bintang, Kab. - 8221</v>
          </cell>
        </row>
        <row r="349">
          <cell r="AM349" t="str">
            <v>6125 - Kab. Toraja Utara</v>
          </cell>
          <cell r="AV349" t="str">
            <v>3508 - Kab. Rokan Hulu</v>
          </cell>
          <cell r="AX349" t="str">
            <v>Pekalongan, Kab. - 0905</v>
          </cell>
        </row>
        <row r="350">
          <cell r="AM350" t="str">
            <v>6191 - Makassar, Kota.</v>
          </cell>
          <cell r="AV350" t="str">
            <v>3509 - Kab. Rokan Hilir</v>
          </cell>
          <cell r="AX350" t="str">
            <v>Pekalongan, Kota. - 0993</v>
          </cell>
        </row>
        <row r="351">
          <cell r="AM351" t="str">
            <v>6192 - Pare-Pare, Kota.</v>
          </cell>
          <cell r="AV351" t="str">
            <v>3510 - Kab. Pelalawan</v>
          </cell>
          <cell r="AX351" t="str">
            <v>Pekanbaru, Kota. - 3591</v>
          </cell>
        </row>
        <row r="352">
          <cell r="AM352" t="str">
            <v>6193 - Palopo, Kota.</v>
          </cell>
          <cell r="AV352" t="str">
            <v>3511 - Kab. Siak</v>
          </cell>
          <cell r="AX352" t="str">
            <v>Pelalawan, Kab. - 3510</v>
          </cell>
        </row>
        <row r="353">
          <cell r="AM353" t="str">
            <v>6202 - Minahasa, Kab.</v>
          </cell>
          <cell r="AV353" t="str">
            <v>3512 - Kab. Kuantan Singingi</v>
          </cell>
          <cell r="AX353" t="str">
            <v>Pemalang, Kab. - 0910</v>
          </cell>
        </row>
        <row r="354">
          <cell r="AM354" t="str">
            <v>6203 - Bolaang Mongondow, Kab.</v>
          </cell>
          <cell r="AV354" t="str">
            <v>3513 - Kab. Kepulauan Meranti</v>
          </cell>
          <cell r="AX354" t="str">
            <v>Pematang Siantar, Kota. - 3393</v>
          </cell>
        </row>
        <row r="355">
          <cell r="AM355" t="str">
            <v>6204 - Sangihe, Kab.</v>
          </cell>
          <cell r="AV355" t="str">
            <v>3591 - Kota Pekanbaru</v>
          </cell>
          <cell r="AX355" t="str">
            <v>Penajam Paser Utara, Kab. - 5411</v>
          </cell>
        </row>
        <row r="356">
          <cell r="AM356" t="str">
            <v>6205 - kepulauan Talaud, Kab.</v>
          </cell>
          <cell r="AV356" t="str">
            <v>3592 - Kota Dumai</v>
          </cell>
          <cell r="AX356" t="str">
            <v>Pesawaran, Kab - 3909</v>
          </cell>
        </row>
        <row r="357">
          <cell r="AM357" t="str">
            <v>6206 - Minahasa Selatan, Kab.</v>
          </cell>
          <cell r="AV357" t="str">
            <v>3606 - Kab. Musi Banyuasin</v>
          </cell>
          <cell r="AX357" t="str">
            <v>Pesisir Selatan, Kab. - 3406</v>
          </cell>
        </row>
        <row r="358">
          <cell r="AM358" t="str">
            <v>6207 - Minahasa Utara, Kab.</v>
          </cell>
          <cell r="AV358" t="str">
            <v>3607 - Kab. Ogan Komering Ulu</v>
          </cell>
          <cell r="AX358" t="str">
            <v>Pide Jaya, Kab - 3218</v>
          </cell>
        </row>
        <row r="359">
          <cell r="AM359" t="str">
            <v>6209 - Minahasa Tenggara, Kab.</v>
          </cell>
          <cell r="AV359" t="str">
            <v>3608 - Kab. Lematang Ilir Ogan Tengah (Muara Enim)</v>
          </cell>
          <cell r="AX359" t="str">
            <v>Pidie, Kab. - 3202</v>
          </cell>
        </row>
        <row r="360">
          <cell r="AM360" t="str">
            <v>6210 - Bolaang Mongoundow Utara, Kab.</v>
          </cell>
          <cell r="AV360" t="str">
            <v>3609 - Kab. Lahat</v>
          </cell>
          <cell r="AX360" t="str">
            <v>Pinrang, Kab. - 6101</v>
          </cell>
        </row>
        <row r="361">
          <cell r="AM361" t="str">
            <v>6211 - Kepulauan Sitaro, Kab.</v>
          </cell>
          <cell r="AV361" t="str">
            <v>3610 - Kab. Musi Rawas</v>
          </cell>
          <cell r="AX361" t="str">
            <v>Pohuwato, Kab. - 6304</v>
          </cell>
        </row>
        <row r="362">
          <cell r="AM362" t="str">
            <v>6212 - Kab. Bolaang Mongondow Selatan</v>
          </cell>
          <cell r="AV362" t="str">
            <v>3611 - Kab. Ogan Komering Ilir</v>
          </cell>
          <cell r="AX362" t="str">
            <v>Polewali Mandar, Kab. - 6401</v>
          </cell>
        </row>
        <row r="363">
          <cell r="AM363" t="str">
            <v>6213 - Kab. Bolaang Mongondow Timur</v>
          </cell>
          <cell r="AV363" t="str">
            <v>3613 - Kab. Banyuasin</v>
          </cell>
          <cell r="AX363" t="str">
            <v>Ponorogo, Kab. - 1225</v>
          </cell>
        </row>
        <row r="364">
          <cell r="AM364" t="str">
            <v>6291 - Menado, Kota.</v>
          </cell>
          <cell r="AV364" t="str">
            <v>3614 - Kab. Ogan Komeing Ulu Selatan</v>
          </cell>
          <cell r="AX364" t="str">
            <v>Pontianak, Kab. - 5301</v>
          </cell>
        </row>
        <row r="365">
          <cell r="AM365" t="str">
            <v>6292 - Kotamobagu, Kota.</v>
          </cell>
          <cell r="AV365" t="str">
            <v>0102 - Kab. Bekasi</v>
          </cell>
          <cell r="AX365" t="str">
            <v>Pontianak, Kota. - 5391</v>
          </cell>
        </row>
        <row r="366">
          <cell r="AM366" t="str">
            <v>6293 - Bitung, Kota.</v>
          </cell>
          <cell r="AV366" t="str">
            <v>0103 - Kab. Purwakarta</v>
          </cell>
          <cell r="AX366" t="str">
            <v>Poso, Kab. - 6002</v>
          </cell>
        </row>
        <row r="367">
          <cell r="AM367" t="str">
            <v>6294 - Kota. Tomohon</v>
          </cell>
          <cell r="AV367" t="str">
            <v>0106 - Kab. Karawang</v>
          </cell>
          <cell r="AX367" t="str">
            <v>Prabumulih, Kota. - 3694</v>
          </cell>
        </row>
        <row r="368">
          <cell r="AM368" t="str">
            <v>3313 - Toba Samosir, Kab.</v>
          </cell>
          <cell r="AV368" t="str">
            <v>3707 - Kab. Bangka Belitung</v>
          </cell>
          <cell r="AX368" t="str">
            <v>Pringsewu, Kab - 3910</v>
          </cell>
        </row>
        <row r="369">
          <cell r="AM369" t="str">
            <v>6301 - Gorontalo, Kab.</v>
          </cell>
          <cell r="AV369" t="str">
            <v>0108 - Kab. Bogor</v>
          </cell>
          <cell r="AX369" t="str">
            <v>Probolinggo, Kab. - 1215</v>
          </cell>
        </row>
        <row r="370">
          <cell r="AM370" t="str">
            <v>6302 - Bualemo, Kab.</v>
          </cell>
          <cell r="AV370" t="str">
            <v>0109 - Kab. Sukabumi</v>
          </cell>
          <cell r="AX370" t="str">
            <v>Probolinggo, Kota. - 1295</v>
          </cell>
        </row>
        <row r="371">
          <cell r="AM371" t="str">
            <v>6303 - Bonebolango, Kab.</v>
          </cell>
          <cell r="AV371" t="str">
            <v>0110 - Kab. Cianjur</v>
          </cell>
          <cell r="AX371" t="str">
            <v>Pulang Pisau, Kab. - 5809</v>
          </cell>
        </row>
        <row r="372">
          <cell r="AM372" t="str">
            <v>3314 - Mandailing Natal, Kab.</v>
          </cell>
          <cell r="AV372" t="str">
            <v>3791 - Kota Pangkal Pinang</v>
          </cell>
          <cell r="AX372" t="str">
            <v>Pulau Morotai, Kab - 8308</v>
          </cell>
        </row>
        <row r="373">
          <cell r="AM373" t="str">
            <v>6304 - Pohuwato, Kab.</v>
          </cell>
          <cell r="AV373" t="str">
            <v>0111 - Kab. Bandung</v>
          </cell>
          <cell r="AX373" t="str">
            <v>Puncak Jaya, Kab. - 8216</v>
          </cell>
        </row>
        <row r="374">
          <cell r="AM374" t="str">
            <v>6305 - Gorontalo Utara, Kab.</v>
          </cell>
          <cell r="AV374" t="str">
            <v>0112 - Kab. Sumedang</v>
          </cell>
          <cell r="AX374" t="str">
            <v>Puncak, Kab. - 8238</v>
          </cell>
        </row>
        <row r="375">
          <cell r="AM375" t="str">
            <v>6391 - Gorontalo, Kota.</v>
          </cell>
          <cell r="AV375" t="str">
            <v>0113 - Kab. Tasikmalaya</v>
          </cell>
          <cell r="AX375" t="str">
            <v>Purbalingga, Kab. - 0916</v>
          </cell>
        </row>
        <row r="376">
          <cell r="AM376" t="str">
            <v>6401 - Polewali Mandar, Kab.</v>
          </cell>
          <cell r="AV376" t="str">
            <v>0114 - Kab. Garut</v>
          </cell>
          <cell r="AX376" t="str">
            <v>Purwakarta, Kab. - 0103</v>
          </cell>
        </row>
        <row r="377">
          <cell r="AM377" t="str">
            <v>6402 - Majene, Kab.</v>
          </cell>
          <cell r="AV377" t="str">
            <v>0115 - Kab. Ciamis</v>
          </cell>
          <cell r="AX377" t="str">
            <v>Purworejo, Kab. - 0921</v>
          </cell>
        </row>
        <row r="378">
          <cell r="AM378" t="str">
            <v>6403 - Mamasa, Kab.</v>
          </cell>
          <cell r="AV378" t="str">
            <v>0116 - Kab. Cirebon</v>
          </cell>
          <cell r="AX378" t="str">
            <v>Raja Ampat, Kab. - 8405</v>
          </cell>
        </row>
        <row r="379">
          <cell r="AM379" t="str">
            <v>6404 - Mamuju Utara, Kab.</v>
          </cell>
          <cell r="AV379" t="str">
            <v>0117 - Kab. Kuningan</v>
          </cell>
          <cell r="AX379" t="str">
            <v>Rejang Lebong, Kab. - 2303</v>
          </cell>
        </row>
        <row r="380">
          <cell r="AM380" t="str">
            <v>6491 - Mamuju, Kota.</v>
          </cell>
          <cell r="AV380" t="str">
            <v>0118 - Kab. Indramayu</v>
          </cell>
          <cell r="AX380" t="str">
            <v>Rembang, Kab. - 0912</v>
          </cell>
        </row>
        <row r="381">
          <cell r="AM381" t="str">
            <v>6901 - Buton, Kab.</v>
          </cell>
          <cell r="AV381" t="str">
            <v>0119 - Kab. Majalengka</v>
          </cell>
          <cell r="AX381" t="str">
            <v>Rokan Hilir, Kab. - 3509</v>
          </cell>
        </row>
        <row r="382">
          <cell r="AM382" t="str">
            <v>6903 - Muna, Kab.</v>
          </cell>
          <cell r="AV382" t="str">
            <v>0121 - Kab. Subang</v>
          </cell>
          <cell r="AX382" t="str">
            <v>Rokan Hulu, Kab. - 3508</v>
          </cell>
        </row>
        <row r="383">
          <cell r="AM383" t="str">
            <v>6904 - Kolaka, Kab.</v>
          </cell>
          <cell r="AV383" t="str">
            <v>0122 - Kab. Bandung Barat</v>
          </cell>
          <cell r="AX383" t="str">
            <v>Rote, Kab. - 7414</v>
          </cell>
        </row>
        <row r="384">
          <cell r="AM384" t="str">
            <v>6905 - Wakatobi, Kab.</v>
          </cell>
          <cell r="AV384" t="str">
            <v>0191 - Kota Bandung</v>
          </cell>
          <cell r="AX384" t="str">
            <v>Sabang, Kota. - 3292</v>
          </cell>
        </row>
        <row r="385">
          <cell r="AM385" t="str">
            <v>3315 - Nias Selatan, Kab</v>
          </cell>
          <cell r="AV385" t="str">
            <v>3801 - Kab. Karimun</v>
          </cell>
          <cell r="AX385" t="str">
            <v>Sabu Raijua, Kab - 7420</v>
          </cell>
        </row>
        <row r="386">
          <cell r="AM386" t="str">
            <v>6906 - Konawe, Kab.</v>
          </cell>
          <cell r="AV386" t="str">
            <v>0192 - Kota Bogor</v>
          </cell>
          <cell r="AX386" t="str">
            <v>Salatiga, Kota. - 0992</v>
          </cell>
        </row>
        <row r="387">
          <cell r="AM387" t="str">
            <v>6907 - Konawe Selatan, Kab.</v>
          </cell>
          <cell r="AV387" t="str">
            <v>0193 - Kota Sukabumi</v>
          </cell>
          <cell r="AX387" t="str">
            <v>Samarinda, Kota. - 5491</v>
          </cell>
        </row>
        <row r="388">
          <cell r="AM388" t="str">
            <v>6908 - Bombana, Kab.</v>
          </cell>
          <cell r="AV388" t="str">
            <v>0194 - Kota Cirebon</v>
          </cell>
          <cell r="AX388" t="str">
            <v>Sambas, Kab. - 5302</v>
          </cell>
        </row>
        <row r="389">
          <cell r="AM389" t="str">
            <v>6909 - Kolaka Utara, Kab.</v>
          </cell>
          <cell r="AV389" t="str">
            <v>0195 - Kota Tasikmalaya</v>
          </cell>
          <cell r="AX389" t="str">
            <v>Samosir, Kab - 3318</v>
          </cell>
        </row>
        <row r="390">
          <cell r="AM390" t="str">
            <v>6910 - Buton Utara, Kab.</v>
          </cell>
          <cell r="AV390" t="str">
            <v>0196 - Kota Cimahi</v>
          </cell>
          <cell r="AX390" t="str">
            <v>Sampang, Kab. - 1205</v>
          </cell>
        </row>
        <row r="391">
          <cell r="AM391" t="str">
            <v>6911 - Konawe Utara, Kab.</v>
          </cell>
          <cell r="AV391" t="str">
            <v>0197 - Kota Depok</v>
          </cell>
          <cell r="AX391" t="str">
            <v>Sanggau, Kab. - 5304</v>
          </cell>
        </row>
        <row r="392">
          <cell r="AM392" t="str">
            <v>6990 - Bau-Bau,Kota.</v>
          </cell>
          <cell r="AV392" t="str">
            <v>0198 - Kota Bekasi</v>
          </cell>
          <cell r="AX392" t="str">
            <v>Sangihe, Kab. - 6204</v>
          </cell>
        </row>
        <row r="393">
          <cell r="AM393" t="str">
            <v>6991 - Kendari, Kota.</v>
          </cell>
          <cell r="AV393" t="str">
            <v>0180 - Kota Banjar</v>
          </cell>
          <cell r="AX393" t="str">
            <v>Sarmi, Kab. - 8217</v>
          </cell>
        </row>
        <row r="394">
          <cell r="AM394" t="str">
            <v>7101 - Lombok Barat, Kab.</v>
          </cell>
          <cell r="AV394" t="str">
            <v>0201 - Kab. Lebak</v>
          </cell>
          <cell r="AX394" t="str">
            <v>Sarolangun, Kab. - 3104</v>
          </cell>
        </row>
        <row r="395">
          <cell r="AM395" t="str">
            <v>7102 - Lombok Tengah, Kab.</v>
          </cell>
          <cell r="AV395" t="str">
            <v>0202 - Kab. Pandeglang</v>
          </cell>
          <cell r="AX395" t="str">
            <v>Sawahlunto, Kota. - 3493</v>
          </cell>
        </row>
        <row r="396">
          <cell r="AM396" t="str">
            <v>7103 - Lombok Timur, Kab.</v>
          </cell>
          <cell r="AV396" t="str">
            <v>0203 - Kab. Serang</v>
          </cell>
          <cell r="AX396" t="str">
            <v>Sekadau, Kab. - 5309</v>
          </cell>
        </row>
        <row r="397">
          <cell r="AM397" t="str">
            <v>7104 - Sumbawa, Kab.</v>
          </cell>
          <cell r="AV397" t="str">
            <v>0204 - Kab. Tangerang</v>
          </cell>
          <cell r="AX397" t="str">
            <v>Selayar, Kab. - 6114</v>
          </cell>
        </row>
        <row r="398">
          <cell r="AM398" t="str">
            <v>7105 - Bima, Kab.</v>
          </cell>
          <cell r="AV398" t="str">
            <v>0291 - Kota Cilegon</v>
          </cell>
          <cell r="AX398" t="str">
            <v>Seluma, Kab - 2307</v>
          </cell>
        </row>
        <row r="399">
          <cell r="AM399" t="str">
            <v>7106 - Dompu, Kab.</v>
          </cell>
          <cell r="AV399" t="str">
            <v>0292 - Kota Tangerang</v>
          </cell>
          <cell r="AX399" t="str">
            <v>Semarang, Kab. - 0901</v>
          </cell>
        </row>
        <row r="400">
          <cell r="AM400" t="str">
            <v>7107 - Sumbawa Barat, Kab.</v>
          </cell>
          <cell r="AV400" t="str">
            <v>0293 - Kota Serang</v>
          </cell>
          <cell r="AX400" t="str">
            <v>Semarang, Kota. - 0991</v>
          </cell>
        </row>
        <row r="401">
          <cell r="AM401" t="str">
            <v>7108 - Kab. Lombok Utara</v>
          </cell>
          <cell r="AV401" t="str">
            <v>0294 - Kota Tangerang Selatan</v>
          </cell>
          <cell r="AX401" t="str">
            <v>Seram Bagian Barat, Kota. - 8105</v>
          </cell>
        </row>
        <row r="402">
          <cell r="AM402" t="str">
            <v>7191 - Mataram, Kota.</v>
          </cell>
          <cell r="AV402" t="str">
            <v>0391 - Wil. Kota Jakarta Pusat</v>
          </cell>
          <cell r="AX402" t="str">
            <v>Seram Bagian Timur, Kota. - 8106</v>
          </cell>
        </row>
        <row r="403">
          <cell r="AM403" t="str">
            <v>7192 - Kota. Bima</v>
          </cell>
          <cell r="AV403" t="str">
            <v>0392 - Wil. Kota Jakarta Utara</v>
          </cell>
          <cell r="AX403" t="str">
            <v>Serang, Kab. - 0203</v>
          </cell>
        </row>
        <row r="404">
          <cell r="AM404" t="str">
            <v>7201 - Buleleng, Kab.</v>
          </cell>
          <cell r="AV404" t="str">
            <v>0393 - Wil. Kota Jakarta Barat</v>
          </cell>
          <cell r="AX404" t="str">
            <v>Serang. Kota. - 0293</v>
          </cell>
        </row>
        <row r="405">
          <cell r="AM405" t="str">
            <v>7202 - Jembrana, Kab.</v>
          </cell>
          <cell r="AV405" t="str">
            <v>0394 - Wil. Kota Jakarta Selatan</v>
          </cell>
          <cell r="AX405" t="str">
            <v>Serdang Bedagai, Kab - 3319</v>
          </cell>
        </row>
        <row r="406">
          <cell r="AM406" t="str">
            <v>7203 - Tabanan, Kab.</v>
          </cell>
          <cell r="AV406" t="str">
            <v>0395 - Wil. Kota Jakarta Timur</v>
          </cell>
          <cell r="AX406" t="str">
            <v>Seruyan, Kab. - 5810</v>
          </cell>
        </row>
        <row r="407">
          <cell r="AM407" t="str">
            <v>7204 - Badung, Kab.</v>
          </cell>
          <cell r="AV407" t="str">
            <v>0396 - Wil. Kepulauan Seribu</v>
          </cell>
          <cell r="AX407" t="str">
            <v>Siak, Kab. - 3511</v>
          </cell>
        </row>
        <row r="408">
          <cell r="AM408" t="str">
            <v>7205 - Gianyar, Kab.</v>
          </cell>
          <cell r="AV408" t="str">
            <v>0501 - Kab. Bantul</v>
          </cell>
          <cell r="AX408" t="str">
            <v>Sibolga, Kota. - 3395</v>
          </cell>
        </row>
        <row r="409">
          <cell r="AM409" t="str">
            <v>7206 - Klungkung, Kab.</v>
          </cell>
          <cell r="AV409" t="str">
            <v>0502 - Kab. Sleman</v>
          </cell>
          <cell r="AX409" t="str">
            <v>Sidenreng Rappang, Kab. - 6117</v>
          </cell>
        </row>
        <row r="410">
          <cell r="AM410" t="str">
            <v>7207 - Bangli, Kab.</v>
          </cell>
          <cell r="AV410" t="str">
            <v>0503 - Kab. Gunung Kidul</v>
          </cell>
          <cell r="AX410" t="str">
            <v>Sidoarjo, Kab. - 1202</v>
          </cell>
        </row>
        <row r="411">
          <cell r="AM411" t="str">
            <v>3316 - Humbang Hasundutan, Kab</v>
          </cell>
          <cell r="AV411" t="str">
            <v>3802 - Kab. Lingga</v>
          </cell>
          <cell r="AX411" t="str">
            <v>Sigi, Kab - 6010</v>
          </cell>
        </row>
        <row r="412">
          <cell r="AM412" t="str">
            <v>3317 - Pakpak Barat, Kab</v>
          </cell>
          <cell r="AV412" t="str">
            <v>3803 - Kab. Natuna</v>
          </cell>
          <cell r="AX412" t="str">
            <v>Sijunjung, Kab - 3408</v>
          </cell>
        </row>
        <row r="413">
          <cell r="AM413" t="str">
            <v>7208 - Karangasem, Kab.</v>
          </cell>
          <cell r="AV413" t="str">
            <v>0504 - Kab. Kulon Progo</v>
          </cell>
          <cell r="AX413" t="str">
            <v>Sikka, Kab. - 7407</v>
          </cell>
        </row>
        <row r="414">
          <cell r="AM414" t="str">
            <v>7291 - Denpasar, Kota.</v>
          </cell>
          <cell r="AV414" t="str">
            <v>0591 - Kota Yogyakarta</v>
          </cell>
          <cell r="AX414" t="str">
            <v>Simalungun, Kab. - 3304</v>
          </cell>
        </row>
        <row r="415">
          <cell r="AM415" t="str">
            <v>3318 - Samosir, Kab</v>
          </cell>
          <cell r="AV415" t="str">
            <v>3804 - Kab. Bintan (d/h Kabupaten Kepulauan Riau)</v>
          </cell>
          <cell r="AX415" t="str">
            <v>Simeuleu, Kab - 3216</v>
          </cell>
        </row>
        <row r="416">
          <cell r="AM416" t="str">
            <v>7401 - Kupang, Kab.</v>
          </cell>
          <cell r="AV416" t="str">
            <v>0901 - Kab. Semarang</v>
          </cell>
          <cell r="AX416" t="str">
            <v>Singkawang, Kota. - 5392</v>
          </cell>
        </row>
        <row r="417">
          <cell r="AM417" t="str">
            <v>7402 - Timor-Tengah Selatan, Kab.</v>
          </cell>
          <cell r="AV417" t="str">
            <v>0902 - Kab. Kendal</v>
          </cell>
          <cell r="AX417" t="str">
            <v>Sinjai, Kab. - 6110</v>
          </cell>
        </row>
        <row r="418">
          <cell r="AM418" t="str">
            <v>7403 - Timor-Tengah Utara, Kab.</v>
          </cell>
          <cell r="AV418" t="str">
            <v>0903 - Kab. Demak</v>
          </cell>
          <cell r="AX418" t="str">
            <v>Sintang, Kab. - 5305</v>
          </cell>
        </row>
        <row r="419">
          <cell r="AM419" t="str">
            <v>7404 - Belu, Kab.</v>
          </cell>
          <cell r="AV419" t="str">
            <v>0904 - Kab. Grobogan</v>
          </cell>
          <cell r="AX419" t="str">
            <v>Situbondo, Kab. - 1230</v>
          </cell>
        </row>
        <row r="420">
          <cell r="AM420" t="str">
            <v>7405 - Alor, Kab.</v>
          </cell>
          <cell r="AV420" t="str">
            <v>0905 - Kab. Pekalongan</v>
          </cell>
          <cell r="AX420" t="str">
            <v>Sleman, Kab. - 0502</v>
          </cell>
        </row>
        <row r="421">
          <cell r="AM421" t="str">
            <v>7406 - Flores Timur, Kab.</v>
          </cell>
          <cell r="AV421" t="str">
            <v>0906 - Kab. Tegal</v>
          </cell>
          <cell r="AX421" t="str">
            <v>Solok Selatan, Kab. - 3404</v>
          </cell>
        </row>
        <row r="422">
          <cell r="AM422" t="str">
            <v>7407 - Sikka, Kab.</v>
          </cell>
          <cell r="AV422" t="str">
            <v>0907 - Kab. Brebes</v>
          </cell>
          <cell r="AX422" t="str">
            <v>Solok, Kab - 3412</v>
          </cell>
        </row>
        <row r="423">
          <cell r="AM423" t="str">
            <v>7408 - Ende, Kab.</v>
          </cell>
          <cell r="AV423" t="str">
            <v>0908 - Kab. Pati</v>
          </cell>
          <cell r="AX423" t="str">
            <v>Solok, Kota. - 3495</v>
          </cell>
        </row>
        <row r="424">
          <cell r="AM424" t="str">
            <v>3319 - Serdang Bedagai, Kab</v>
          </cell>
          <cell r="AV424" t="str">
            <v>3805 - Kab. Anambas</v>
          </cell>
          <cell r="AX424" t="str">
            <v>Soppeng, Kab (d/h Watansoppeng) - 6119</v>
          </cell>
        </row>
        <row r="425">
          <cell r="AM425" t="str">
            <v>7409 - Ngada, Kab.</v>
          </cell>
          <cell r="AV425" t="str">
            <v>0909 - Kab. Kudus</v>
          </cell>
          <cell r="AX425" t="str">
            <v>Sorong selatan, Kab. - 8404</v>
          </cell>
        </row>
        <row r="426">
          <cell r="AM426" t="str">
            <v>7410 - Manggarai, Kab.</v>
          </cell>
          <cell r="AV426" t="str">
            <v>0910 - Kab. Pemalang</v>
          </cell>
          <cell r="AX426" t="str">
            <v>Sorong, Kab. - 8401</v>
          </cell>
        </row>
        <row r="427">
          <cell r="AM427" t="str">
            <v>7411 - Sumba Timur, Kab.</v>
          </cell>
          <cell r="AV427" t="str">
            <v>0911 - Kab. Jepara</v>
          </cell>
          <cell r="AX427" t="str">
            <v>Sorong, Kota. - 8491</v>
          </cell>
        </row>
        <row r="428">
          <cell r="AM428" t="str">
            <v>7412 - Sumba Barat, Kab.</v>
          </cell>
          <cell r="AV428" t="str">
            <v>0912 - Kab. Rembang</v>
          </cell>
          <cell r="AX428" t="str">
            <v>Sragen, Kab. - 0925</v>
          </cell>
        </row>
        <row r="429">
          <cell r="AM429" t="str">
            <v>7413 - Lembata, Kab.</v>
          </cell>
          <cell r="AV429" t="str">
            <v>0913 - Kab. Blora</v>
          </cell>
          <cell r="AX429" t="str">
            <v>Subang, Kab. - 0121</v>
          </cell>
        </row>
        <row r="430">
          <cell r="AM430" t="str">
            <v>7414 - Rote, Kab.</v>
          </cell>
          <cell r="AV430" t="str">
            <v>0914 - Kab. Banyumas</v>
          </cell>
          <cell r="AX430" t="str">
            <v>Subulussalam - 3219</v>
          </cell>
        </row>
        <row r="431">
          <cell r="AM431" t="str">
            <v>7415 - Manggarai Barat, Kab.</v>
          </cell>
          <cell r="AV431" t="str">
            <v>0915 - Kab. Cilacap</v>
          </cell>
          <cell r="AX431" t="str">
            <v>Sukabumi, Kab. - 0109</v>
          </cell>
        </row>
        <row r="432">
          <cell r="AM432" t="str">
            <v>7416 - Sumba Tengah, Kab.</v>
          </cell>
          <cell r="AV432" t="str">
            <v>0916 - Kab. Purbalingga</v>
          </cell>
          <cell r="AX432" t="str">
            <v>Sukabumi, Kota. - 0193</v>
          </cell>
        </row>
        <row r="433">
          <cell r="AM433" t="str">
            <v>7417 - Sumba Barat Daya, Kab.</v>
          </cell>
          <cell r="AV433" t="str">
            <v>0917 - Kab. Banjarnegara</v>
          </cell>
          <cell r="AX433" t="str">
            <v>Sukamara, Kab. - 5812</v>
          </cell>
        </row>
        <row r="434">
          <cell r="AM434" t="str">
            <v>7418 - Manggarai Timur, Kab.</v>
          </cell>
          <cell r="AV434" t="str">
            <v>0918 - Kab. Magelang</v>
          </cell>
          <cell r="AX434" t="str">
            <v>Sukoharjo, Kab. - 0926</v>
          </cell>
        </row>
        <row r="435">
          <cell r="AM435" t="str">
            <v>7419 - Nagekeo, Kab.</v>
          </cell>
          <cell r="AV435" t="str">
            <v>0919 - Kab. Temanggung</v>
          </cell>
          <cell r="AX435" t="str">
            <v>Sumba Barat Daya, Kab. - 7417</v>
          </cell>
        </row>
        <row r="436">
          <cell r="AM436" t="str">
            <v>7420 - Kab. Sabu Raijua</v>
          </cell>
          <cell r="AV436" t="str">
            <v>0920 - Kab. Wonosobo</v>
          </cell>
          <cell r="AX436" t="str">
            <v>Sumba Barat, Kab. - 7412</v>
          </cell>
        </row>
        <row r="437">
          <cell r="AM437" t="str">
            <v>7491 - Kupang, Kota.</v>
          </cell>
          <cell r="AV437" t="str">
            <v>0921 - Kab. Purworejo</v>
          </cell>
          <cell r="AX437" t="str">
            <v>Sumba Tengah, Kab. - 7416</v>
          </cell>
        </row>
        <row r="438">
          <cell r="AM438" t="str">
            <v>8101 - Maluku Tengah, Kab.</v>
          </cell>
          <cell r="AV438" t="str">
            <v>0922 - Kab. Kebumen</v>
          </cell>
          <cell r="AX438" t="str">
            <v>Sumba Timur, Kab. - 7411</v>
          </cell>
        </row>
        <row r="439">
          <cell r="AM439" t="str">
            <v>8102 - Maluku Tenggara, Kab.</v>
          </cell>
          <cell r="AV439" t="str">
            <v>0923 - Kab. Klaten</v>
          </cell>
          <cell r="AX439" t="str">
            <v>Sumbawa Barat, Kab. - 7107</v>
          </cell>
        </row>
        <row r="440">
          <cell r="AM440" t="str">
            <v>8103 - Maluku Tenggara Barat, Kab.</v>
          </cell>
          <cell r="AV440" t="str">
            <v>0924 - Kab. Boyolali</v>
          </cell>
          <cell r="AX440" t="str">
            <v>Sumbawa, Kab. - 7104</v>
          </cell>
        </row>
        <row r="441">
          <cell r="AM441" t="str">
            <v>8104 - Kab Buru</v>
          </cell>
          <cell r="AV441" t="str">
            <v>0925 - Kab. Sragen</v>
          </cell>
          <cell r="AX441" t="str">
            <v>Sumedang, Kab. - 0112</v>
          </cell>
        </row>
        <row r="442">
          <cell r="AM442" t="str">
            <v>8105 - Seram Bagian Barat, Kota.</v>
          </cell>
          <cell r="AV442" t="str">
            <v>0926 - Kab. Sukoharjo</v>
          </cell>
          <cell r="AX442" t="str">
            <v>Sumenep, Kab. - 1207</v>
          </cell>
        </row>
        <row r="443">
          <cell r="AM443" t="str">
            <v>8106 - Seram Bagian Timur, Kota.</v>
          </cell>
          <cell r="AV443" t="str">
            <v>0927 - Kab. Karanganyar</v>
          </cell>
          <cell r="AX443" t="str">
            <v>Supiori,Kab. - 8231</v>
          </cell>
        </row>
        <row r="444">
          <cell r="AM444" t="str">
            <v>8107 - Kepulauan Aru, Kota.</v>
          </cell>
          <cell r="AV444" t="str">
            <v>0928 - Kab. Wonogiri</v>
          </cell>
          <cell r="AX444" t="str">
            <v>Surabaya, Kota. - 1291</v>
          </cell>
        </row>
        <row r="445">
          <cell r="AM445" t="str">
            <v>8108 - Kab. Maluku Barat Daya</v>
          </cell>
          <cell r="AV445" t="str">
            <v>0929 - Kab. Batang</v>
          </cell>
          <cell r="AX445" t="str">
            <v>Surakarta, Kota. - 0996</v>
          </cell>
        </row>
        <row r="446">
          <cell r="AM446" t="str">
            <v>8109 - Kab. Buru Selatan</v>
          </cell>
          <cell r="AV446" t="str">
            <v>0991 - Kota Semarang</v>
          </cell>
          <cell r="AX446" t="str">
            <v>Tabalong, Kab. - 5109</v>
          </cell>
        </row>
        <row r="447">
          <cell r="AM447" t="str">
            <v>8191 - Ambon, Kota.</v>
          </cell>
          <cell r="AV447" t="str">
            <v>0992 - Kota Salatiga</v>
          </cell>
          <cell r="AX447" t="str">
            <v>Tabanan, Kab. - 7203</v>
          </cell>
        </row>
        <row r="448">
          <cell r="AM448" t="str">
            <v>8192 - Tual, Kota.</v>
          </cell>
          <cell r="AV448" t="str">
            <v>0993 - Kota Pekalongan</v>
          </cell>
          <cell r="AX448" t="str">
            <v>Takalar, Kab. - 6115</v>
          </cell>
        </row>
        <row r="449">
          <cell r="AM449" t="str">
            <v>8201 - Jayapura, Kab.</v>
          </cell>
          <cell r="AV449" t="str">
            <v>0994 - Kota Tegal</v>
          </cell>
          <cell r="AX449" t="str">
            <v>Tana Tidung, Kab. - 5412</v>
          </cell>
        </row>
        <row r="450">
          <cell r="AM450" t="str">
            <v>8202 - Biak Numfor, Kab.</v>
          </cell>
          <cell r="AV450" t="str">
            <v>0995 - Kota Magelang</v>
          </cell>
          <cell r="AX450" t="str">
            <v>Tana Toraja, Kab. - 6106</v>
          </cell>
        </row>
        <row r="451">
          <cell r="AM451" t="str">
            <v>8210 - Yapen-Waropen, Kab.</v>
          </cell>
          <cell r="AV451" t="str">
            <v>0996 - Kota Surakarta/Solo</v>
          </cell>
          <cell r="AX451" t="str">
            <v>Tanah Bumbu, Kab. - 5110</v>
          </cell>
        </row>
        <row r="452">
          <cell r="AM452" t="str">
            <v>8211 - Merauke, Kab.</v>
          </cell>
          <cell r="AV452" t="str">
            <v>1201 - Kab. Gresik</v>
          </cell>
          <cell r="AX452" t="str">
            <v>Tanah Datar, Kab. - 3407</v>
          </cell>
        </row>
        <row r="453">
          <cell r="AM453" t="str">
            <v>8212 - Paniai, Kab.</v>
          </cell>
          <cell r="AV453" t="str">
            <v>1202 - Kab. Sidoarjo</v>
          </cell>
          <cell r="AX453" t="str">
            <v>Tanah Laut, Kab. - 5102</v>
          </cell>
        </row>
        <row r="454">
          <cell r="AM454" t="str">
            <v>8213 - Jayawijaya, Kab.</v>
          </cell>
          <cell r="AV454" t="str">
            <v>1203 - Kab. Mojokerto</v>
          </cell>
          <cell r="AX454" t="str">
            <v>Tangerang, Kab. - 0204</v>
          </cell>
        </row>
        <row r="455">
          <cell r="AM455" t="str">
            <v>8214 - Nabire, Kab.</v>
          </cell>
          <cell r="AV455" t="str">
            <v>1204 - Kab. Jombang</v>
          </cell>
          <cell r="AX455" t="str">
            <v>Tangerang, Kota. - 0292</v>
          </cell>
        </row>
        <row r="456">
          <cell r="AM456" t="str">
            <v>8215 - Mimika, Kab.</v>
          </cell>
          <cell r="AV456" t="str">
            <v>1205 - Kab. Sampang</v>
          </cell>
          <cell r="AX456" t="str">
            <v>Tanggamus, Kab. - 3906</v>
          </cell>
        </row>
        <row r="457">
          <cell r="AM457" t="str">
            <v>8216 - Puncak Jaya, Kab.</v>
          </cell>
          <cell r="AV457" t="str">
            <v>1206 - Kab. Pamekasan</v>
          </cell>
          <cell r="AX457" t="str">
            <v>Tanjung Balai, Kota. - 3394</v>
          </cell>
        </row>
        <row r="458">
          <cell r="AM458" t="str">
            <v>8217 - Sarmi, Kab.</v>
          </cell>
          <cell r="AV458" t="str">
            <v>1207 - Kab. Sumenep</v>
          </cell>
          <cell r="AX458" t="str">
            <v>Tanjung Jabung Barat, Kab. - 3107</v>
          </cell>
        </row>
        <row r="459">
          <cell r="AM459" t="str">
            <v>8218 - Keerom, Kab.</v>
          </cell>
          <cell r="AV459" t="str">
            <v>1208 - Kab. Bangkalan</v>
          </cell>
          <cell r="AX459" t="str">
            <v>Tanjung Jabung Timur, Kab. - 3108</v>
          </cell>
        </row>
        <row r="460">
          <cell r="AM460" t="str">
            <v>8221 - Pegunungan Bintang, Kab.</v>
          </cell>
          <cell r="AV460" t="str">
            <v>1209 - Kab. Bondowoso</v>
          </cell>
          <cell r="AX460" t="str">
            <v>Tanjungpinang, Kota - 3891</v>
          </cell>
        </row>
        <row r="461">
          <cell r="AM461" t="str">
            <v>8222 - Yahukimo, Kab.</v>
          </cell>
          <cell r="AV461" t="str">
            <v>1211 - Kab. Banyuwangi</v>
          </cell>
          <cell r="AX461" t="str">
            <v>Tapanuli Selatan, Kab. - 3310</v>
          </cell>
        </row>
        <row r="462">
          <cell r="AM462" t="str">
            <v>8223 - Tolikara, Kab.</v>
          </cell>
          <cell r="AV462" t="str">
            <v>1212 - Kab. Jember</v>
          </cell>
          <cell r="AX462" t="str">
            <v>Tapanuli Tengah, Kab. - 3309</v>
          </cell>
        </row>
        <row r="463">
          <cell r="AM463" t="str">
            <v>8224 - Waropen, Kab.</v>
          </cell>
          <cell r="AV463" t="str">
            <v>1213 - Kab. Malang</v>
          </cell>
          <cell r="AX463" t="str">
            <v>Tapanuli Utara, Kab. - 3308</v>
          </cell>
        </row>
        <row r="464">
          <cell r="AM464" t="str">
            <v>8226 - Boven Digoel, Kab.</v>
          </cell>
          <cell r="AV464" t="str">
            <v>1214 - Kab. Pasuruan</v>
          </cell>
          <cell r="AX464" t="str">
            <v>Tapin, Kab. - 5103</v>
          </cell>
        </row>
        <row r="465">
          <cell r="AM465" t="str">
            <v>8227 - Mappi, Kab.</v>
          </cell>
          <cell r="AV465" t="str">
            <v>1215 - Kab. Probolinggo</v>
          </cell>
          <cell r="AX465" t="str">
            <v>Tarakan, Kota. - 5493</v>
          </cell>
        </row>
        <row r="466">
          <cell r="AM466" t="str">
            <v>8228 - Asmat, Kab.</v>
          </cell>
          <cell r="AV466" t="str">
            <v>1216 - Kab. Lumajang</v>
          </cell>
          <cell r="AX466" t="str">
            <v>Tasikmalaya, Kab. - 0113</v>
          </cell>
        </row>
        <row r="467">
          <cell r="AM467" t="str">
            <v>8231 - Supiori,Kab.</v>
          </cell>
          <cell r="AV467" t="str">
            <v>1217 - Kab. Kediri</v>
          </cell>
          <cell r="AX467" t="str">
            <v>Tasikmalaya, Kota. - 0195</v>
          </cell>
        </row>
        <row r="468">
          <cell r="AM468" t="str">
            <v>8232 - Mamberamo Raya, Kab.</v>
          </cell>
          <cell r="AV468" t="str">
            <v>1218 - Kab. Nganjuk</v>
          </cell>
          <cell r="AX468" t="str">
            <v>Tebing Tinggi, Kota. - 3391</v>
          </cell>
        </row>
        <row r="469">
          <cell r="AM469" t="str">
            <v>8233 - Dogiyai, Kab.</v>
          </cell>
          <cell r="AV469" t="str">
            <v>1219 - Kab. Tulungagung</v>
          </cell>
          <cell r="AX469" t="str">
            <v>Tebo, Kab. - 3109</v>
          </cell>
        </row>
        <row r="470">
          <cell r="AM470" t="str">
            <v>8234 - Lanny Jaya, Kab.</v>
          </cell>
          <cell r="AV470" t="str">
            <v>1220 - Kab. Trenggalek</v>
          </cell>
          <cell r="AX470" t="str">
            <v>Tegal, Kab. - 0906</v>
          </cell>
        </row>
        <row r="471">
          <cell r="AM471" t="str">
            <v>8235 - Mamberamo Tengah, Kab.</v>
          </cell>
          <cell r="AV471" t="str">
            <v>1221 - Kab. Blitar</v>
          </cell>
          <cell r="AX471" t="str">
            <v>Tegal, Kota. - 0994</v>
          </cell>
        </row>
        <row r="472">
          <cell r="AM472" t="str">
            <v>8236 - Nduga Tengah, Kab.</v>
          </cell>
          <cell r="AV472" t="str">
            <v>1222 - Kab. Madiun</v>
          </cell>
          <cell r="AX472" t="str">
            <v>Teluk Bintuni, Kab. - 8407</v>
          </cell>
        </row>
        <row r="473">
          <cell r="AM473" t="str">
            <v>8237 - Yalimo, Kab.</v>
          </cell>
          <cell r="AV473" t="str">
            <v>1223 - Kab. Ngawi</v>
          </cell>
          <cell r="AX473" t="str">
            <v>Teluk Wondama, Kab. - 8408</v>
          </cell>
        </row>
        <row r="474">
          <cell r="AM474" t="str">
            <v>8238 - Puncak, Kab.</v>
          </cell>
          <cell r="AV474" t="str">
            <v>1224 - Kab. Magetan</v>
          </cell>
          <cell r="AX474" t="str">
            <v>Temanggung, Kab. - 0919</v>
          </cell>
        </row>
        <row r="475">
          <cell r="AM475" t="str">
            <v>3320 - Angkola Sipirok, Kab</v>
          </cell>
          <cell r="AV475" t="str">
            <v>3891 - Kota Tanjung Pinang</v>
          </cell>
          <cell r="AX475" t="str">
            <v>Tembrauw, Kab - 8409</v>
          </cell>
        </row>
        <row r="476">
          <cell r="AM476" t="str">
            <v>8239 - Kab. Intan Jaya</v>
          </cell>
          <cell r="AV476" t="str">
            <v>1225 - Kab. Ponorogo</v>
          </cell>
          <cell r="AX476" t="str">
            <v>Ternate, Kota. - 8390</v>
          </cell>
        </row>
        <row r="477">
          <cell r="AM477" t="str">
            <v>8240 - Kab. Deiyai</v>
          </cell>
          <cell r="AV477" t="str">
            <v>1226 - Kab. Pacitan</v>
          </cell>
          <cell r="AX477" t="str">
            <v>Tidore Kepulauan, Kota. - 8391</v>
          </cell>
        </row>
        <row r="478">
          <cell r="AM478" t="str">
            <v>8291 - Jayapura, Kota.</v>
          </cell>
          <cell r="AV478" t="str">
            <v>1227 - Kab. Bojonegoro</v>
          </cell>
          <cell r="AX478" t="str">
            <v>Timor-Tengah Selatan, Kab. - 7402</v>
          </cell>
        </row>
        <row r="479">
          <cell r="AM479" t="str">
            <v>8302 - Halmahera Tengah, Kab.</v>
          </cell>
          <cell r="AV479" t="str">
            <v>1228 - Kab. Tuban</v>
          </cell>
          <cell r="AX479" t="str">
            <v>Timor-Tengah Utara, Kab. - 7403</v>
          </cell>
        </row>
        <row r="480">
          <cell r="AM480" t="str">
            <v>8303 - Halmahera Utara, Kab.</v>
          </cell>
          <cell r="AV480" t="str">
            <v>1229 - Kab. Lamongan</v>
          </cell>
          <cell r="AX480" t="str">
            <v>Toba Samosir, Kab. - 3313</v>
          </cell>
        </row>
        <row r="481">
          <cell r="AM481" t="str">
            <v>8304 - Halmahera Timur, Kab.</v>
          </cell>
          <cell r="AV481" t="str">
            <v>1230 - Kab. Situbondo</v>
          </cell>
          <cell r="AX481" t="str">
            <v>Tojo Una-Una, Kab. - 6008</v>
          </cell>
        </row>
        <row r="482">
          <cell r="AM482" t="str">
            <v>8305 - Halmahera Barat, Kab.</v>
          </cell>
          <cell r="AV482" t="str">
            <v>1291 - Kota Surabaya</v>
          </cell>
          <cell r="AX482" t="str">
            <v>Tolikara, Kab. - 8223</v>
          </cell>
        </row>
        <row r="483">
          <cell r="AM483" t="str">
            <v>8306 - Halmahera Selatan, Kab.</v>
          </cell>
          <cell r="AV483" t="str">
            <v>1292 - Kota Mojokerto</v>
          </cell>
          <cell r="AX483" t="str">
            <v>Toli-Toli, Kab. - 6004</v>
          </cell>
        </row>
        <row r="484">
          <cell r="AM484" t="str">
            <v>3321 - Batu Bara, Kab</v>
          </cell>
          <cell r="AV484" t="str">
            <v>3892 - Kota Batam</v>
          </cell>
          <cell r="AX484" t="str">
            <v>Toraja Utara, Kab - 6125</v>
          </cell>
        </row>
        <row r="485">
          <cell r="AM485" t="str">
            <v>8307 - Kepulauan Sula, Kab.</v>
          </cell>
          <cell r="AV485" t="str">
            <v>1293 - Kota Malang</v>
          </cell>
          <cell r="AX485" t="str">
            <v>Trenggalek, Kab. - 1220</v>
          </cell>
        </row>
        <row r="486">
          <cell r="AM486" t="str">
            <v>8308 - Kab. Pulau Morotai</v>
          </cell>
          <cell r="AV486" t="str">
            <v>1294 - Kota Pasuruan</v>
          </cell>
          <cell r="AX486" t="str">
            <v>Tual, Kota. - 8192</v>
          </cell>
        </row>
        <row r="487">
          <cell r="AM487" t="str">
            <v>8390 - Ternate, Kota.</v>
          </cell>
          <cell r="AV487" t="str">
            <v>1295 - Kota Probolinggo</v>
          </cell>
          <cell r="AX487" t="str">
            <v>Tuban, Kab. - 1228</v>
          </cell>
        </row>
        <row r="488">
          <cell r="AM488" t="str">
            <v>3322 - Padang Lawas, Kab</v>
          </cell>
          <cell r="AV488" t="str">
            <v>3901 - Kab. Lampung Selatan</v>
          </cell>
          <cell r="AX488" t="str">
            <v>Tulang Bawang Barat, Kab - 3911</v>
          </cell>
        </row>
        <row r="489">
          <cell r="AM489" t="str">
            <v>8391 - Tidore Kepulauan, Kota.</v>
          </cell>
          <cell r="AV489" t="str">
            <v>1296 - Kota Blitar</v>
          </cell>
          <cell r="AX489" t="str">
            <v>Tulang Bawang, Kab. - 3905</v>
          </cell>
        </row>
        <row r="490">
          <cell r="AM490" t="str">
            <v>8401 - Sorong, Kab.</v>
          </cell>
          <cell r="AV490" t="str">
            <v>1297 - Kota Kediri</v>
          </cell>
          <cell r="AX490" t="str">
            <v>Tulungagung, Kab. - 1219</v>
          </cell>
        </row>
        <row r="491">
          <cell r="AM491" t="str">
            <v>8402 - Fak-Fak, Kab.</v>
          </cell>
          <cell r="AV491" t="str">
            <v>1298 - Kota Madiun</v>
          </cell>
          <cell r="AX491" t="str">
            <v>Wajo, Kab. - 6103</v>
          </cell>
        </row>
        <row r="492">
          <cell r="AM492" t="str">
            <v>8403 - Manokwari, Kab.</v>
          </cell>
          <cell r="AV492" t="str">
            <v>1271 - Kota Batu</v>
          </cell>
          <cell r="AX492" t="str">
            <v>Wakatobi, Kab. - 6905</v>
          </cell>
        </row>
        <row r="493">
          <cell r="AM493" t="str">
            <v>8404 - Sorong selatan, Kab.</v>
          </cell>
          <cell r="AV493" t="str">
            <v>2301 - Kab. Bengkulu Selatan</v>
          </cell>
          <cell r="AX493" t="str">
            <v>Waropen, Kab. - 8224</v>
          </cell>
        </row>
        <row r="494">
          <cell r="AM494" t="str">
            <v>8405 - Raja Ampat, Kab.</v>
          </cell>
          <cell r="AV494" t="str">
            <v>2302 - Kab. Bengkulu Utara</v>
          </cell>
          <cell r="AX494" t="str">
            <v>Way Kanan, Kab. - 3908</v>
          </cell>
        </row>
        <row r="495">
          <cell r="AM495" t="str">
            <v>8406 - Kaimana, Kab.</v>
          </cell>
          <cell r="AV495" t="str">
            <v>2303 - Kab. Rejang Lebong</v>
          </cell>
          <cell r="AX495" t="str">
            <v>Wonogiri, Kab. - 0928</v>
          </cell>
        </row>
        <row r="496">
          <cell r="AM496" t="str">
            <v>8407 - Teluk Bintuni, Kab.</v>
          </cell>
          <cell r="AV496" t="str">
            <v>2304 - Kab. Lebong</v>
          </cell>
          <cell r="AX496" t="str">
            <v>Wonosobo, Kab. - 0920</v>
          </cell>
        </row>
        <row r="497">
          <cell r="AM497" t="str">
            <v>8408 - Teluk Wondama, Kab.</v>
          </cell>
          <cell r="AV497" t="str">
            <v>2305 - Kab. Kepahiang</v>
          </cell>
          <cell r="AX497" t="str">
            <v>Yahukimo, Kab. - 8222</v>
          </cell>
        </row>
        <row r="498">
          <cell r="AM498" t="str">
            <v>8409 - Kab. Tembrauw</v>
          </cell>
          <cell r="AV498" t="str">
            <v>2306 - Kab. Mukomuko</v>
          </cell>
          <cell r="AX498" t="str">
            <v>Yalimo, Kab. - 8237</v>
          </cell>
        </row>
        <row r="499">
          <cell r="AM499" t="str">
            <v>8410 - Kab. Maybrat</v>
          </cell>
          <cell r="AV499" t="str">
            <v>2307 - Kab. Seluma</v>
          </cell>
          <cell r="AX499" t="str">
            <v>Yapen-Waropen, Kab. - 8210</v>
          </cell>
        </row>
        <row r="500">
          <cell r="AM500" t="str">
            <v>8491 - Sorong, Kota.</v>
          </cell>
          <cell r="AV500" t="str">
            <v>2308 - Kab. Kaur</v>
          </cell>
          <cell r="AX500" t="str">
            <v>Yogyakarta, Kota. - 0591</v>
          </cell>
        </row>
        <row r="501">
          <cell r="AM501" t="str">
            <v>9999 - DI  LUAR  INDONESIA</v>
          </cell>
        </row>
      </sheetData>
      <sheetData sheetId="25">
        <row r="2">
          <cell r="I2" t="str">
            <v>R1 - Kota Jakarta Barat</v>
          </cell>
        </row>
        <row r="3">
          <cell r="I3" t="str">
            <v>R1 - Kota Jakarta Pusat</v>
          </cell>
        </row>
        <row r="4">
          <cell r="I4" t="str">
            <v>R1 - Kota Jakarta Selatan</v>
          </cell>
        </row>
        <row r="5">
          <cell r="I5" t="str">
            <v>R1 - Kota Jakarta Timur</v>
          </cell>
        </row>
        <row r="6">
          <cell r="I6" t="str">
            <v>R1 - Kota Jakarta Utara</v>
          </cell>
        </row>
        <row r="7">
          <cell r="I7" t="str">
            <v>R1 - Kota/Kab. Bekasi</v>
          </cell>
        </row>
        <row r="8">
          <cell r="I8" t="str">
            <v>R1 - Kota/Kab. Bogor</v>
          </cell>
        </row>
        <row r="9">
          <cell r="I9" t="str">
            <v>R1 - Kota Depok</v>
          </cell>
        </row>
        <row r="10">
          <cell r="I10" t="str">
            <v>R1 - Kota/Kab. Tangerang</v>
          </cell>
        </row>
        <row r="11">
          <cell r="I11" t="str">
            <v>R1 - Kota Tangerang Selatan</v>
          </cell>
        </row>
        <row r="12">
          <cell r="I12" t="str">
            <v>R1 - Kota Karawang</v>
          </cell>
        </row>
        <row r="13">
          <cell r="I13" t="str">
            <v>R2 - Kota Banda Aceh</v>
          </cell>
        </row>
        <row r="14">
          <cell r="I14" t="str">
            <v>R2 - Kota Lhokseumawe</v>
          </cell>
        </row>
        <row r="15">
          <cell r="I15" t="str">
            <v>R2 - Kota Medan</v>
          </cell>
        </row>
        <row r="16">
          <cell r="I16" t="str">
            <v>R2 - Kota Binjai</v>
          </cell>
        </row>
        <row r="17">
          <cell r="I17" t="str">
            <v>R2 - Kota Pematang Siantar</v>
          </cell>
        </row>
        <row r="18">
          <cell r="I18" t="str">
            <v>R2 - Kota Tebing Tinggi</v>
          </cell>
        </row>
        <row r="19">
          <cell r="I19" t="str">
            <v>R2 - Kab. Deliserdang</v>
          </cell>
        </row>
        <row r="20">
          <cell r="I20" t="str">
            <v>R2 - Kota Padang</v>
          </cell>
        </row>
        <row r="21">
          <cell r="I21" t="str">
            <v>R2 - Kota Bukit Tinggi</v>
          </cell>
        </row>
        <row r="22">
          <cell r="I22" t="str">
            <v>R2 - Kota Pekanbaru</v>
          </cell>
        </row>
        <row r="23">
          <cell r="I23" t="str">
            <v>R2 - Kota Dumai</v>
          </cell>
        </row>
        <row r="24">
          <cell r="I24" t="str">
            <v>R2 - Kota Duri</v>
          </cell>
        </row>
        <row r="25">
          <cell r="I25" t="str">
            <v>R2 - Kota Tanjungpinang</v>
          </cell>
        </row>
        <row r="26">
          <cell r="I26" t="str">
            <v>R2 - Kota Pangkalpinang</v>
          </cell>
        </row>
        <row r="27">
          <cell r="I27" t="str">
            <v>R3 - Kota Jambi</v>
          </cell>
        </row>
        <row r="28">
          <cell r="I28" t="str">
            <v>R3 - Kota Batam</v>
          </cell>
        </row>
        <row r="29">
          <cell r="I29" t="str">
            <v>R3 - Kota Palembang</v>
          </cell>
        </row>
        <row r="30">
          <cell r="I30" t="str">
            <v>R3 - Kota Lubuk Linggau</v>
          </cell>
        </row>
        <row r="31">
          <cell r="I31" t="str">
            <v>R3 - Kota Prabumulih</v>
          </cell>
        </row>
        <row r="32">
          <cell r="I32" t="str">
            <v>R3 - Kota Baturaja</v>
          </cell>
        </row>
        <row r="33">
          <cell r="I33" t="str">
            <v>R3 - Kota Bengkulu</v>
          </cell>
        </row>
        <row r="34">
          <cell r="I34" t="str">
            <v>R3 - Kota Bandarlampung</v>
          </cell>
        </row>
        <row r="35">
          <cell r="I35" t="str">
            <v>R3 - Kota Metro</v>
          </cell>
        </row>
        <row r="36">
          <cell r="I36" t="str">
            <v>R4 - Kota/Kab Bandung</v>
          </cell>
        </row>
        <row r="37">
          <cell r="I37" t="str">
            <v>R4 - Kota Cirebon</v>
          </cell>
        </row>
        <row r="38">
          <cell r="I38" t="str">
            <v>R4 - Kota Cimahi</v>
          </cell>
        </row>
        <row r="39">
          <cell r="I39" t="str">
            <v>R4 - Kota Tasikmalaya</v>
          </cell>
        </row>
        <row r="40">
          <cell r="I40" t="str">
            <v>R4 - Kota Sukabumi</v>
          </cell>
        </row>
        <row r="41">
          <cell r="I41" t="str">
            <v>R4 - Kota Garut</v>
          </cell>
        </row>
        <row r="42">
          <cell r="I42" t="str">
            <v>R4 - Kota Purwakarta</v>
          </cell>
        </row>
        <row r="43">
          <cell r="I43" t="str">
            <v>R4 - Kota Subang</v>
          </cell>
        </row>
        <row r="44">
          <cell r="I44" t="str">
            <v>R5 - Kota Semarang</v>
          </cell>
        </row>
        <row r="45">
          <cell r="I45" t="str">
            <v>R5 - Kota Surakarta</v>
          </cell>
        </row>
        <row r="46">
          <cell r="I46" t="str">
            <v>R5 - Kota Tegal</v>
          </cell>
        </row>
        <row r="47">
          <cell r="I47" t="str">
            <v>R5 - Kota Purwokerto</v>
          </cell>
        </row>
        <row r="48">
          <cell r="I48" t="str">
            <v>R5 - Kab. Sukoharjo</v>
          </cell>
        </row>
        <row r="49">
          <cell r="I49" t="str">
            <v>R5 - Kota Magelang</v>
          </cell>
        </row>
        <row r="50">
          <cell r="I50" t="str">
            <v>R5 - Kota/Kab. Pekalongan</v>
          </cell>
        </row>
        <row r="51">
          <cell r="I51" t="str">
            <v>R5 - Kota Salatiga</v>
          </cell>
        </row>
        <row r="52">
          <cell r="I52" t="str">
            <v>R5 - Kab. Banjarnegara</v>
          </cell>
        </row>
        <row r="53">
          <cell r="I53" t="str">
            <v>R5 - Kab. Banyumas</v>
          </cell>
        </row>
        <row r="54">
          <cell r="I54" t="str">
            <v>R5 - Kab. Blora</v>
          </cell>
        </row>
        <row r="55">
          <cell r="I55" t="str">
            <v>R5 - Kab. Cilacap</v>
          </cell>
        </row>
        <row r="56">
          <cell r="I56" t="str">
            <v>R5 - Kab. Klaten</v>
          </cell>
        </row>
        <row r="57">
          <cell r="I57" t="str">
            <v>R5 - Kab. Kudus</v>
          </cell>
        </row>
        <row r="58">
          <cell r="I58" t="str">
            <v>R5 - Kota Yogyakarta</v>
          </cell>
        </row>
        <row r="59">
          <cell r="I59" t="str">
            <v>R5 - Kab. Bantul</v>
          </cell>
        </row>
        <row r="60">
          <cell r="I60" t="str">
            <v>R5 - Kab. Sleman</v>
          </cell>
        </row>
        <row r="61">
          <cell r="I61" t="str">
            <v>R6 - Kota Surabaya</v>
          </cell>
        </row>
        <row r="62">
          <cell r="I62" t="str">
            <v>R6 - Kota Malang</v>
          </cell>
        </row>
        <row r="63">
          <cell r="I63" t="str">
            <v>R6 - Kab. Gresik</v>
          </cell>
        </row>
        <row r="64">
          <cell r="I64" t="str">
            <v>R6 - Kab. Sidoarjo</v>
          </cell>
        </row>
        <row r="65">
          <cell r="I65" t="str">
            <v>R6 - Kota/Kab Kediri</v>
          </cell>
        </row>
        <row r="66">
          <cell r="I66" t="str">
            <v>R6 - Kota Madiun</v>
          </cell>
        </row>
        <row r="67">
          <cell r="I67" t="str">
            <v>R6 - Kota Mojokerto</v>
          </cell>
        </row>
        <row r="68">
          <cell r="I68" t="str">
            <v>R6 - Kota Probolinggo</v>
          </cell>
        </row>
        <row r="69">
          <cell r="I69" t="str">
            <v>R6 - Kota Denpasar</v>
          </cell>
        </row>
        <row r="70">
          <cell r="I70" t="str">
            <v>R6 - Kab. Badung</v>
          </cell>
        </row>
        <row r="71">
          <cell r="I71" t="str">
            <v>R6 - Kab. Gianyar</v>
          </cell>
        </row>
        <row r="72">
          <cell r="I72" t="str">
            <v>R6 - Kota Mataram</v>
          </cell>
        </row>
        <row r="73">
          <cell r="I73" t="str">
            <v>R6 - Kab. Lombok Barat</v>
          </cell>
        </row>
        <row r="74">
          <cell r="I74" t="str">
            <v>R6 - Kab. Lombok Tengah</v>
          </cell>
        </row>
        <row r="75">
          <cell r="I75" t="str">
            <v>R6 - Kab. Lombok Timur</v>
          </cell>
        </row>
        <row r="76">
          <cell r="I76" t="str">
            <v>R6 - Kab. Lombok Utara</v>
          </cell>
        </row>
        <row r="77">
          <cell r="I77" t="str">
            <v>R6 - Kota Kupang</v>
          </cell>
        </row>
        <row r="78">
          <cell r="I78" t="str">
            <v>R7 - Kota Pontianak</v>
          </cell>
        </row>
        <row r="79">
          <cell r="I79" t="str">
            <v>R7 - Kota Singkawang</v>
          </cell>
        </row>
        <row r="80">
          <cell r="I80" t="str">
            <v>R7 - Kab. Ketapang</v>
          </cell>
        </row>
        <row r="81">
          <cell r="I81" t="str">
            <v>R7 - Kota Palangkaraya</v>
          </cell>
        </row>
        <row r="82">
          <cell r="I82" t="str">
            <v>R7 - Kota Banjarmasin</v>
          </cell>
        </row>
        <row r="83">
          <cell r="I83" t="str">
            <v>R7 - Kota Banjar Baru</v>
          </cell>
        </row>
        <row r="84">
          <cell r="I84" t="str">
            <v>R7 - Kota Samarinda</v>
          </cell>
        </row>
        <row r="85">
          <cell r="I85" t="str">
            <v>R7 - Kota Balikpapan</v>
          </cell>
        </row>
        <row r="86">
          <cell r="I86" t="str">
            <v>R7 - Kota Tarakan</v>
          </cell>
        </row>
        <row r="87">
          <cell r="I87" t="str">
            <v>R8 - Kota Manado</v>
          </cell>
        </row>
        <row r="88">
          <cell r="I88" t="str">
            <v>R8 - Kota Kotamobagu</v>
          </cell>
        </row>
        <row r="89">
          <cell r="I89" t="str">
            <v>R8 - Kota Bitung</v>
          </cell>
        </row>
        <row r="90">
          <cell r="I90" t="str">
            <v>R8 - Kota Tomohon</v>
          </cell>
        </row>
        <row r="91">
          <cell r="I91" t="str">
            <v>R8 - Kota Palu</v>
          </cell>
        </row>
        <row r="92">
          <cell r="I92" t="str">
            <v>R8 - Kab. Banggai</v>
          </cell>
        </row>
        <row r="93">
          <cell r="I93" t="str">
            <v>R8 - Kota Makasar</v>
          </cell>
        </row>
        <row r="94">
          <cell r="I94" t="str">
            <v>R8 - Kab. Gowa</v>
          </cell>
        </row>
        <row r="95">
          <cell r="I95" t="str">
            <v>R8 - Kota Pare-Pare</v>
          </cell>
        </row>
        <row r="96">
          <cell r="I96" t="str">
            <v>R8 - Kota Palopo</v>
          </cell>
        </row>
        <row r="97">
          <cell r="I97" t="str">
            <v>R8 - Kab. Bulukumba</v>
          </cell>
        </row>
        <row r="98">
          <cell r="I98" t="str">
            <v>R8 - Kab. Maros</v>
          </cell>
        </row>
        <row r="99">
          <cell r="I99" t="str">
            <v>R8 - Kota Kendari</v>
          </cell>
        </row>
        <row r="100">
          <cell r="I100" t="str">
            <v>R8 - Kota Gorontalo</v>
          </cell>
        </row>
        <row r="101">
          <cell r="I101" t="str">
            <v>R8 - Kota Ambon</v>
          </cell>
        </row>
        <row r="102">
          <cell r="I102" t="str">
            <v>R8 - Kota Ternate</v>
          </cell>
        </row>
        <row r="103">
          <cell r="I103" t="str">
            <v>R8 - Kota Jayapura</v>
          </cell>
        </row>
        <row r="104">
          <cell r="I104" t="str">
            <v>R8 - Kota Sorong</v>
          </cell>
        </row>
        <row r="105">
          <cell r="I105" t="str">
            <v>R8 - Kab. Manokwari</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BIR"/>
      <sheetName val="Informasi Debitur"/>
      <sheetName val="Order appraisal"/>
      <sheetName val="Oder BI checking"/>
      <sheetName val="Order Trade Checking"/>
      <sheetName val="Supplier Checking"/>
      <sheetName val="Buyer Checking"/>
      <sheetName val="Analisa Rek Koran"/>
      <sheetName val="Analisa Lap Keu"/>
      <sheetName val="MKK"/>
      <sheetName val="RAC"/>
      <sheetName val="Parameter"/>
      <sheetName val="Pelaporan BI"/>
      <sheetName val="Surat Penawaran"/>
      <sheetName val="Order Notaris"/>
      <sheetName val="QCA"/>
      <sheetName val="Value"/>
      <sheetName val="Database"/>
      <sheetName val="Random Checking"/>
      <sheetName val="Memo Review"/>
      <sheetName val="Sandi BI Existing Debitur"/>
      <sheetName val="Tabel Map Industry"/>
      <sheetName val="Surat Penawaran (2)"/>
      <sheetName val="Sheet2"/>
      <sheetName val="Mapping SIDLBU"/>
      <sheetName val="Cabang SME"/>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1">
          <cell r="A1" t="str">
            <v>Rp</v>
          </cell>
          <cell r="B1" t="str">
            <v>PRK</v>
          </cell>
          <cell r="C1" t="str">
            <v>Deposito</v>
          </cell>
          <cell r="E1" t="str">
            <v>Jaminan baru</v>
          </cell>
          <cell r="F1" t="str">
            <v>Terbatas</v>
          </cell>
          <cell r="G1" t="str">
            <v>Baru</v>
          </cell>
          <cell r="H1" t="str">
            <v>Disetujui sesuai pengajuan</v>
          </cell>
          <cell r="I1" t="str">
            <v>APHT</v>
          </cell>
          <cell r="J1" t="str">
            <v>1 - Lancar</v>
          </cell>
          <cell r="K1" t="str">
            <v>Tunai / Cash</v>
          </cell>
          <cell r="L1" t="str">
            <v>Audited</v>
          </cell>
          <cell r="M1" t="str">
            <v>Tidak Ada</v>
          </cell>
          <cell r="O1" t="str">
            <v>NA atau Tepat
Bagus
Ya
Ya</v>
          </cell>
          <cell r="P1" t="str">
            <v xml:space="preserve"> Tepat
Ya
Ya</v>
          </cell>
          <cell r="S1" t="str">
            <v>Diri Sendiri</v>
          </cell>
          <cell r="T1" t="str">
            <v>Pemegang saham / manajemen inti  sendiri</v>
          </cell>
          <cell r="U1" t="str">
            <v>Kredit untuk investasi/modal kerja usaha utama</v>
          </cell>
          <cell r="V1" t="str">
            <v>N/A</v>
          </cell>
          <cell r="W1" t="str">
            <v>Calon debitur secara rutin memesan dari beberapa supplier utama – supplier ini dapat dengan mudah digantikan tanpa mempengaruhi usaha</v>
          </cell>
          <cell r="X1" t="str">
            <v>Tidak ada kontrak (walk in). Hal ini berlaku untuk ritel, produk kebutuhan pokok atau produk khusus (tertentu) dengan basis pelanggan yang stabil</v>
          </cell>
          <cell r="Y1" t="str">
            <v>Calon debitur menjaminkan seluruh tanah / bangunan yang dia miliki sebagai jaminan</v>
          </cell>
          <cell r="Z1" t="str">
            <v>Pemegang saham / manajemen inti menjaminkan seluruh tanah / bangunan yang dimiliki sebagai jaminan</v>
          </cell>
          <cell r="AA1" t="str">
            <v>Jaminan telah dibeli dari pihak luar (bukan kerabat calon debitur / pemegang saham / manajemen inti)</v>
          </cell>
          <cell r="AB1" t="str">
            <v>Tidak Ada , karena hanya ada satu jaminan</v>
          </cell>
          <cell r="AC1" t="str">
            <v>Perorangan</v>
          </cell>
          <cell r="AD1" t="str">
            <v>Tidak Ada</v>
          </cell>
          <cell r="AE1" t="str">
            <v>Bulanan</v>
          </cell>
          <cell r="AF1" t="str">
            <v>Dengan perjanjian kredit</v>
          </cell>
        </row>
        <row r="2">
          <cell r="A2" t="str">
            <v>Australian Dollar (AUD)</v>
          </cell>
          <cell r="B2" t="str">
            <v>PB</v>
          </cell>
          <cell r="C2" t="str">
            <v>Tanah dan Bangunan</v>
          </cell>
          <cell r="E2" t="str">
            <v>Jaminan eksisting</v>
          </cell>
          <cell r="F2" t="str">
            <v>Tidak Terbatas</v>
          </cell>
          <cell r="G2" t="str">
            <v>Tambahan</v>
          </cell>
          <cell r="H2" t="str">
            <v>Disetujui hanya sebagian</v>
          </cell>
          <cell r="I2" t="str">
            <v>FEO</v>
          </cell>
          <cell r="J2" t="str">
            <v>2 - Dalam Perhatian Khusus</v>
          </cell>
          <cell r="K2" t="str">
            <v>Kredit</v>
          </cell>
          <cell r="L2" t="str">
            <v>Un-Audited</v>
          </cell>
          <cell r="M2" t="str">
            <v>Max. 1 kali dalam 3 bulan</v>
          </cell>
          <cell r="O2" t="str">
            <v>Terlambat s.d. 1 minggu
Bagus
Ya
Ya</v>
          </cell>
          <cell r="P2" t="str">
            <v>Terlambat s.d. 1 minggu
Ya
Ya</v>
          </cell>
          <cell r="S2" t="str">
            <v>Suami / Istri</v>
          </cell>
          <cell r="T2" t="str">
            <v xml:space="preserve">Suami istri dari pemegang saham/manajemen inti </v>
          </cell>
          <cell r="U2" t="str">
            <v>Kredit untuk investasi/modal kerja usaha sampingan/ tambahan</v>
          </cell>
          <cell r="V2" t="str">
            <v>100% ditempati</v>
          </cell>
          <cell r="W2" t="str">
            <v>Calon debitur secara rutin memesan dari beberapa supplier utama  –  supplier ini tidak dapat dengan mudah digantikan tanpa berdampak pada usaha</v>
          </cell>
          <cell r="X2" t="str">
            <v>Ini adalah usaha ritel atau grosir. Calon debitur memiliki beberapa pembeli utama yang dapat dengan mudah digantikan</v>
          </cell>
          <cell r="Y2" t="str">
            <v>Calon debitur memiliki dua atau lebih tanah / bangunan dan menjaminkan sebagian darinya sebagai jaminan</v>
          </cell>
          <cell r="Z2" t="str">
            <v>Pemegang saham / manajemen inti memiliki dua atau lebih tanah / bangunan dan menjaminkan sebagian darinya sebagai jaminan</v>
          </cell>
          <cell r="AA2" t="str">
            <v xml:space="preserve">Jaminan telah dibeli dari kerabat calon debitur / pemegang saham / manajemen inti </v>
          </cell>
          <cell r="AB2" t="str">
            <v>Jaminan telah dibeli dari pihak luar (bukan kerabat calon debitur / pemegang saham / manajemen inti)</v>
          </cell>
          <cell r="AC2" t="str">
            <v>Badan Hukum Firma</v>
          </cell>
          <cell r="AD2">
            <v>1</v>
          </cell>
          <cell r="AE2" t="str">
            <v>Mingguan</v>
          </cell>
          <cell r="AF2" t="str">
            <v>10 - Dalam rangka pembiayaan bersama</v>
          </cell>
          <cell r="AG2" t="str">
            <v>0100 - Tanpa Gelar</v>
          </cell>
          <cell r="AH2" t="str">
            <v>800 - Pemerintah Pusat</v>
          </cell>
          <cell r="AI2" t="str">
            <v>0000 - Lain-lain</v>
          </cell>
          <cell r="AJ2" t="str">
            <v>0110 - Pengendali dan atau keluarga pengendali Bank</v>
          </cell>
          <cell r="AK2" t="str">
            <v>10 - Debitur UMKM -UMK Jaminan Bersyarat - Penjamin Tertentu Mikro</v>
          </cell>
          <cell r="AL2" t="str">
            <v>10 - Kredit Modal Kerja Permanen (KMKP)</v>
          </cell>
          <cell r="AM2" t="str">
            <v>0102 - Bekasi, Kab.</v>
          </cell>
          <cell r="AN2" t="str">
            <v>ADP - Andorran Peseta</v>
          </cell>
          <cell r="AO2" t="str">
            <v>002 - BANK RAKYAT INDONESIA</v>
          </cell>
          <cell r="AP2" t="str">
            <v>10 - Debitur UMKM dengan Penjaminan/Asuransi - Penjamin Tertentu - Mikro</v>
          </cell>
          <cell r="AQ2" t="str">
            <v>10 - Tagihan Kepada Pemerintah - Pemerintah Indonesia</v>
          </cell>
          <cell r="AR2" t="str">
            <v>05 - Dengan perjanjian kredit - Kredit yang diberikan</v>
          </cell>
          <cell r="AS2" t="str">
            <v>1 - Kredit yang direstrukturisasi</v>
          </cell>
          <cell r="AT2" t="str">
            <v>1 - Diukur pada nilai wajar melalui laporan laba rugi - Diperdagangkan</v>
          </cell>
          <cell r="AU2" t="str">
            <v>001110 - RUMAH TANGGA - Rumah Tangga untuk Pemilikan Perumahan - Rumah Tangga untuk Pemilikan Rumah Tinggal - Rumah Tangga untuk Pemilikan Rumah Tinggal s.d. Tipe 21</v>
          </cell>
          <cell r="AV2" t="str">
            <v>8105 - Kabupaten Seram Bagian Barat</v>
          </cell>
        </row>
        <row r="3">
          <cell r="A3" t="str">
            <v>British Pound (GBP)</v>
          </cell>
          <cell r="B3" t="str">
            <v>PAB</v>
          </cell>
          <cell r="C3" t="str">
            <v>Tanah Kosong</v>
          </cell>
          <cell r="E3" t="str">
            <v>Jaminan telah ditarik</v>
          </cell>
          <cell r="G3" t="str">
            <v>Perpanjangan</v>
          </cell>
          <cell r="H3" t="str">
            <v>Disetujui hanya fasilitas perpanjangan</v>
          </cell>
          <cell r="I3" t="str">
            <v>Borghtocht</v>
          </cell>
          <cell r="J3" t="str">
            <v>3 - Kurang Lancar</v>
          </cell>
          <cell r="L3" t="str">
            <v>Proforma</v>
          </cell>
          <cell r="M3" t="str">
            <v>Max. 2 kali dalam 3 bulan</v>
          </cell>
          <cell r="O3" t="str">
            <v>Terlambat s.d. 2 minggu
Bagus
Ya
Ya</v>
          </cell>
          <cell r="P3" t="str">
            <v>Terlambat s.d. 2 minggu
Ya
Ya</v>
          </cell>
          <cell r="S3" t="str">
            <v>Orang Tua / Kakek Nenek</v>
          </cell>
          <cell r="T3" t="str">
            <v xml:space="preserve">Orang tua / kakek nenek dari pemegang saham  / manajemen inti </v>
          </cell>
          <cell r="U3" t="str">
            <v>Calon debitur tidak dapat menjelaskan tujuan pengajuan kredit dengan jelas – kemungkinan maksud penggunaannya adalah untuk kebutuhan pribadi</v>
          </cell>
          <cell r="V3" t="str">
            <v>80 - 100% ditempati</v>
          </cell>
          <cell r="W3" t="str">
            <v>Calon debitur secara rutin memesan dari satu supplier – supplier ini  dapat dengan mudah digantikan tanpa mempengaruhi usaha</v>
          </cell>
          <cell r="X3" t="str">
            <v>Ini adalah usaha ritel atau grosir.  Calon debitur memiliki beberapa pembeli utama yang sulit digantikan</v>
          </cell>
          <cell r="Y3" t="str">
            <v>Calon debitur  menjaminkan tanah / bangunan milik kerabat dekatnya (milik orang tua, anak, suami/istri) sebagai jaminan</v>
          </cell>
          <cell r="Z3" t="str">
            <v>Pemegang saham / manajemen inti menjaminkan tanah / bangunan milik kerabat dekatnya (milik orang tua, anak, suami/istri) sebagai jaminan</v>
          </cell>
          <cell r="AA3" t="str">
            <v xml:space="preserve">Jaminan telah dialihkan dari kerabat calon debitur / pemegang saham / manajemen inti </v>
          </cell>
          <cell r="AB3" t="str">
            <v xml:space="preserve">Jaminan telah dibeli dari kerabat calon debitur / pemegang saham / manajemen inti </v>
          </cell>
          <cell r="AC3" t="str">
            <v>Commaditer Venootschap (CV)</v>
          </cell>
          <cell r="AD3">
            <v>2</v>
          </cell>
          <cell r="AE3" t="str">
            <v>Harian</v>
          </cell>
          <cell r="AF3" t="str">
            <v>15 - Dalam rangka restrukturisasi kredit</v>
          </cell>
          <cell r="AG3" t="str">
            <v>0101 - Diploma 1</v>
          </cell>
          <cell r="AH3" t="str">
            <v>801 - Kantor Perbendaharaan dan Kas Negara (KPKN)</v>
          </cell>
          <cell r="AI3" t="str">
            <v>1000 - Pertanian, Perburuan, Sarana Pertanian</v>
          </cell>
          <cell r="AJ3" t="str">
            <v>0120 - Perusahaan/badan dimana Bank bertindak sebagai pengendali (subsidiary)</v>
          </cell>
          <cell r="AK3" t="str">
            <v>20 - Debitur UMKM-UMK Jaminan Bersyarat-Penjamin Tertentu-Kecil</v>
          </cell>
          <cell r="AL3" t="str">
            <v>16 - Kredit Umum Pedesaan (Kupedes)</v>
          </cell>
          <cell r="AM3" t="str">
            <v>0103 - Purwakarta, Kab.</v>
          </cell>
          <cell r="AN3" t="str">
            <v>AED - UAD Dirham</v>
          </cell>
          <cell r="AO3" t="str">
            <v>003 - BANK EKSPOR INDONESIA</v>
          </cell>
          <cell r="AP3" t="str">
            <v>20 - Debitur UMKM dengan Penjaminan/Asuransi - Penjamin Tertentu - Kecil</v>
          </cell>
          <cell r="AQ3" t="str">
            <v>11 - Tagihan Kepada Pemerintah - Pemerintah Negara Lain</v>
          </cell>
          <cell r="AR3" t="str">
            <v>10 - Dengan perjanjian kredit - Kredit dalam rangka pembiayaan bersama (Sindikasi)</v>
          </cell>
          <cell r="AS3" t="str">
            <v>2 - Pengambilalihan kredit</v>
          </cell>
          <cell r="AT3" t="str">
            <v>2 - Diukur pada nilai wajar melalui laporan laba rugi - Ditetapkan untuk diukur pada nilai wajar</v>
          </cell>
          <cell r="AU3" t="str">
            <v>001120 - RUMAH TANGGA - Rumah Tangga untuk Pemilikan Perumahan - Rumah Tangga untuk Pemilikan Rumah Tinggal - Rumah Tangga untuk Pemilikan Rumah Tinggal Tipe 22 s.d. 70</v>
          </cell>
          <cell r="AV3" t="str">
            <v>8106 - Kabupaten Seram Bagian Timur</v>
          </cell>
        </row>
        <row r="4">
          <cell r="A4" t="str">
            <v>Canadian Dollar (CAD)</v>
          </cell>
          <cell r="C4" t="str">
            <v>Kendaraan Baru</v>
          </cell>
          <cell r="G4" t="str">
            <v>Banding</v>
          </cell>
          <cell r="H4" t="str">
            <v>Disetujui sebagian dan fasilitas  perpanjangan</v>
          </cell>
          <cell r="J4" t="str">
            <v>4 - Diragukan</v>
          </cell>
          <cell r="L4" t="str">
            <v>In-House</v>
          </cell>
          <cell r="M4" t="str">
            <v>3 kali dalam 3 bulan</v>
          </cell>
          <cell r="O4" t="str">
            <v>Terlambat s.d. 3 minggu
Bagus
Ya
Ya</v>
          </cell>
          <cell r="P4" t="str">
            <v>Terlambat s.d. 3 minggu
Ya
Ya</v>
          </cell>
          <cell r="S4" t="str">
            <v>Lainnya</v>
          </cell>
          <cell r="T4" t="str">
            <v>Lainnya</v>
          </cell>
          <cell r="U4" t="str">
            <v>Kredit untuk investasi/modal kerja usaha utama dan usaha sampingan/tambahan</v>
          </cell>
          <cell r="V4" t="str">
            <v>60 - 80% ditempati</v>
          </cell>
          <cell r="W4" t="str">
            <v>Calon debitur secara rutin memesan dari satu supplier – supplier ini tidak dapat dengan mudah digantikan tanpa mempengaruhi usaha</v>
          </cell>
          <cell r="X4" t="str">
            <v>Penjualan berdasarkan kontrak (job order), tetapi barang/produk bersifat umum (tidak customized/tailored), sehingga  mudah untuk dijual ke pembeli lain</v>
          </cell>
          <cell r="Y4" t="str">
            <v xml:space="preserve">Tidak dapat diaplikasikan,karena jaminan bukan merupakan tanah/bangunan </v>
          </cell>
          <cell r="Z4" t="str">
            <v>Tidak dapat diaplikasikan,karena jaminan bukan merupakan tanah/bangunan</v>
          </cell>
          <cell r="AA4" t="str">
            <v>Jaminan telah dialihkan dari pihak luar (bukan kerabat calon debitur / pemegang saham / manajemen inti)</v>
          </cell>
          <cell r="AB4" t="str">
            <v xml:space="preserve">Jaminan telah dialihkan dari kerabat calon debitur / pemegang saham / manajemen inti </v>
          </cell>
          <cell r="AC4" t="str">
            <v>Perusahaan Terbatas (PT) NV Limited (LTD)</v>
          </cell>
          <cell r="AD4">
            <v>3</v>
          </cell>
          <cell r="AE4" t="str">
            <v>Berdasarkan kontrak</v>
          </cell>
          <cell r="AF4" t="str">
            <v xml:space="preserve">20 - Penyaluran kredit melalui lembaga lain kredit (channelling) </v>
          </cell>
          <cell r="AG4" t="str">
            <v>0102 - Diploma 2</v>
          </cell>
          <cell r="AH4" t="str">
            <v>802 - Departemen Keuangan</v>
          </cell>
          <cell r="AI4" t="str">
            <v>1111 - Tanaman Pangan - Padi</v>
          </cell>
          <cell r="AJ4" t="str">
            <v>0130 - Pengendali lain dari anak perusahaan/susidiary Bank</v>
          </cell>
          <cell r="AK4" t="str">
            <v>30 - Debitur UMKM-UMK Jaminan Bersyarat-Penjamin Tertentu-Menengah</v>
          </cell>
          <cell r="AL4" t="str">
            <v>18 - Kredit kelolaan</v>
          </cell>
          <cell r="AM4" t="str">
            <v>0106 - Karawang, Kab.</v>
          </cell>
          <cell r="AN4" t="str">
            <v>AFN - Afghanistan Afghani</v>
          </cell>
          <cell r="AO4" t="str">
            <v>008 - BANK MANDIRI</v>
          </cell>
          <cell r="AP4" t="str">
            <v>30 - Debitur UMKM dengan Penjaminan/Asuransi - Penjamin Tertentu - Menengah</v>
          </cell>
          <cell r="AQ4" t="str">
            <v>12 - Tagihan Kepada - Bank Pembangunan Multilateral tertentu dan Lembaga Internasional</v>
          </cell>
          <cell r="AR4" t="str">
            <v>20 - Dengan perjanjian kredit - Kredit kepada pihak ketiga melalui lembaga lain secara channeling</v>
          </cell>
          <cell r="AS4" t="str">
            <v>3 - Kredit Subordinasi</v>
          </cell>
          <cell r="AT4" t="str">
            <v>3 - Tersedia untuk dijual</v>
          </cell>
          <cell r="AU4" t="str">
            <v>001130 - RUMAH TANGGA - Rumah Tangga untuk Pemilikan Perumahan - Rumah Tangga untuk Pemilikan Rumah Tinggal - Rumah Tangga untuk Pemilikan Rumah Tinggal Tipe Diatas 70</v>
          </cell>
          <cell r="AV4" t="str">
            <v>8107 - Kabupaten Kepulauan Aru</v>
          </cell>
        </row>
        <row r="5">
          <cell r="A5" t="str">
            <v>European Euro (EUR)</v>
          </cell>
          <cell r="C5" t="str">
            <v>Kendaraan Bekas</v>
          </cell>
          <cell r="G5" t="str">
            <v>Perubahan</v>
          </cell>
          <cell r="H5" t="str">
            <v>Ditolak</v>
          </cell>
          <cell r="J5" t="str">
            <v>5 - Macet</v>
          </cell>
          <cell r="K5" t="str">
            <v>Tepat waktu</v>
          </cell>
          <cell r="M5" t="str">
            <v>4 kali dalam 3 bulan</v>
          </cell>
          <cell r="O5" t="str">
            <v>Terlambat s.d. 4 minggu
Cukup
Ya
Ya</v>
          </cell>
          <cell r="P5" t="str">
            <v>Terlambat s.d. 4 minggu
Ya
Ya</v>
          </cell>
          <cell r="V5" t="str">
            <v>40 - 60% ditempati</v>
          </cell>
          <cell r="W5" t="str">
            <v>N/A,karena tidak ada supplier tetap untuk industri ini</v>
          </cell>
          <cell r="X5" t="str">
            <v>Penjualan berdasarkan kontrak (job order), tetapi barang/produk customized/tailored, sehingga tidak mudah untuk dijual ke pembeli lain</v>
          </cell>
          <cell r="AB5" t="str">
            <v>Jaminan telah dialihkan dari pihak luar (bukan kerabat calon debitur / pemegang saham / manajemen inti)</v>
          </cell>
          <cell r="AC5" t="str">
            <v>Perseroan Terbatas (PERSERO)</v>
          </cell>
          <cell r="AD5">
            <v>4</v>
          </cell>
          <cell r="AE5" t="str">
            <v>Berdasarkan order</v>
          </cell>
          <cell r="AF5" t="str">
            <v>30 - Kartu kredit</v>
          </cell>
          <cell r="AG5" t="str">
            <v>0103 - Diploma 3</v>
          </cell>
          <cell r="AH5" t="str">
            <v>803 - Departemen Pertahanan</v>
          </cell>
          <cell r="AI5" t="str">
            <v>1115 - Tanaman Pangan - Palawija - Kacang-kacangan</v>
          </cell>
          <cell r="AJ5" t="str">
            <v>0140 - Perusahaan dimana pihak sebagaimana dimaksud pada angka 1 (sandi 0110) bertindak sebagai pengendali</v>
          </cell>
          <cell r="AK5" t="str">
            <v>40 - Debitur UMKM-UMK Jaminan Bersyarat-Penjamin Lainnya-Mikro</v>
          </cell>
          <cell r="AL5" t="str">
            <v>25 - Kredit Perkebunan Swasta Nasional (PSN)</v>
          </cell>
          <cell r="AM5" t="str">
            <v>0108 - Bogor, Kab.</v>
          </cell>
          <cell r="AN5" t="str">
            <v>ALL - Albanian Lek</v>
          </cell>
          <cell r="AO5" t="str">
            <v>009 - BANK NEGARA INDONESIA 1946</v>
          </cell>
          <cell r="AP5" t="str">
            <v>40 - Debitur UMKM dengan Penjaminan/Asuransi - Penjamin Lainnya - Mikro</v>
          </cell>
          <cell r="AQ5" t="str">
            <v>13 - Tagihan Kepada - Bank Pembangunan Multilateral lainnya</v>
          </cell>
          <cell r="AR5" t="str">
            <v>25 - Dengan perjanjian kredit - Kredit kepada pihak ketiga melalui lembaga lain secara executing</v>
          </cell>
          <cell r="AS5" t="str">
            <v>9 - Lainnya</v>
          </cell>
          <cell r="AT5" t="str">
            <v>4 - Dimiliki hingga jatuh tempo</v>
          </cell>
          <cell r="AU5" t="str">
            <v>001210 - RUMAH TANGGA - Rumah Tangga untuk Pemilikan Flat atau Apartemen - Rumah Tangga untuk Pemilikan Flat atau Apartemen s.d. Tipe 21</v>
          </cell>
          <cell r="AV5" t="str">
            <v>8108 - Kab. Maluku Barat Daya</v>
          </cell>
        </row>
        <row r="6">
          <cell r="A6" t="str">
            <v>Japanese Yen (JPY)</v>
          </cell>
          <cell r="B6" t="str">
            <v>Modal Kerja</v>
          </cell>
          <cell r="C6" t="str">
            <v>Mesin Baru</v>
          </cell>
          <cell r="G6" t="str">
            <v>Lainnya</v>
          </cell>
          <cell r="K6" t="str">
            <v>Terlambat s.d 2 minggu</v>
          </cell>
          <cell r="M6" t="str">
            <v>&gt; 4 kali dalam 3 bulan</v>
          </cell>
          <cell r="O6" t="str">
            <v>Terlambat s.d. 5 minggu
Buruk
Tidak
Tidak</v>
          </cell>
          <cell r="P6" t="str">
            <v>Terlambat s.d. 5 minggu
Tidak
Tidak</v>
          </cell>
          <cell r="V6" t="str">
            <v>0 - 40% ditempati</v>
          </cell>
          <cell r="AC6" t="str">
            <v>Perseroan Umum (PERUM)</v>
          </cell>
          <cell r="AD6">
            <v>5</v>
          </cell>
          <cell r="AF6" t="str">
            <v>40 - Pengambilalihan kredit</v>
          </cell>
          <cell r="AG6" t="str">
            <v>0104 - S-1</v>
          </cell>
          <cell r="AH6" t="str">
            <v>804 - Departemen Kehutanan</v>
          </cell>
          <cell r="AI6" t="str">
            <v>1116 - Tanaman Pangan - Palawija - Umbi-umbian</v>
          </cell>
          <cell r="AJ6" t="str">
            <v>0150 - Perusahaan dimana pihak sebagaimana dimaksud pada angka 3 (sandi 0130) bertindak sebagai pengendali</v>
          </cell>
          <cell r="AK6" t="str">
            <v>50 - Debitur UMKM-UMK Jaminan Bersyarat-Penjamin Lainnya-Kecil</v>
          </cell>
          <cell r="AL6" t="str">
            <v>26 - Kredit Ekspor</v>
          </cell>
          <cell r="AM6" t="str">
            <v>0109 - Sukabumi, Kab.</v>
          </cell>
          <cell r="AN6" t="str">
            <v>AMD - Armenia Dram</v>
          </cell>
          <cell r="AO6" t="str">
            <v>011 - BANK DANAMON INDONESIA</v>
          </cell>
          <cell r="AP6" t="str">
            <v>50 - Debitur UMKM dengan Penjaminan/Asuransi - Penjamin Lainnya - Kecil</v>
          </cell>
          <cell r="AQ6" t="str">
            <v>14 - Tagihan Kepada Bank - Tagihan Jangka Pendek</v>
          </cell>
          <cell r="AR6" t="str">
            <v>30 - Dengan perjanjian kredit - Kartu Kredit</v>
          </cell>
          <cell r="AT6" t="str">
            <v>6 - Pinjaman yang Diberikan dan Piutang</v>
          </cell>
          <cell r="AU6" t="str">
            <v>001220 - RUMAH TANGGA - Rumah Tangga untuk Pemilikan Flat atau Apartemen - Rumah Tangga untuk Pemilikan Flat atau Apartemen Tipe 22 s.d. 70</v>
          </cell>
          <cell r="AV6" t="str">
            <v>8109 - Kab. Buru Selatan</v>
          </cell>
        </row>
        <row r="7">
          <cell r="A7" t="str">
            <v>New Zealand Dollar (NZD)</v>
          </cell>
          <cell r="B7" t="str">
            <v>Investasi</v>
          </cell>
          <cell r="C7" t="str">
            <v>Mesin Bekas</v>
          </cell>
          <cell r="K7" t="str">
            <v>Terlambat s.d 4 minggu</v>
          </cell>
          <cell r="O7" t="str">
            <v>Terlambat s.d. 6 minggu
Buruk
Tidak
Tidak</v>
          </cell>
          <cell r="P7" t="str">
            <v>Terlambat s.d. 6 minggu
Tidak
Tidak</v>
          </cell>
          <cell r="AC7" t="str">
            <v>Perseroan Jawatan (PERJAN)</v>
          </cell>
          <cell r="AD7">
            <v>6</v>
          </cell>
          <cell r="AF7" t="str">
            <v>45 - Surat berharga dengan Note Purchase Agreement (NPA)</v>
          </cell>
          <cell r="AG7" t="str">
            <v>0105 - S-2</v>
          </cell>
          <cell r="AH7" t="str">
            <v>805 - Departemen Pertanian</v>
          </cell>
          <cell r="AI7" t="str">
            <v>1117 - Tanaman Pangan - Palawija -  Jagung</v>
          </cell>
          <cell r="AJ7" t="str">
            <v>0210 - Pengurus Bank dan atau keluarga pengurus Bank</v>
          </cell>
          <cell r="AK7" t="str">
            <v>60 - Debitur UMKM-UMK Jaminan Bersyarat-Penjamin Lainnya-Menengah</v>
          </cell>
          <cell r="AL7" t="str">
            <v>28 - Modal Kerja - Kredit Koperasi - Kredit Usaha Tani (KUT)</v>
          </cell>
          <cell r="AM7" t="str">
            <v>0110 - Cianjur, Kab.</v>
          </cell>
          <cell r="AN7" t="str">
            <v>ANG - Netherlands Antillian Guilder /Florin</v>
          </cell>
          <cell r="AO7" t="str">
            <v>013 - BANK PERMATA TBK</v>
          </cell>
          <cell r="AP7" t="str">
            <v>60 - Debitur UMKM dengan Penjaminan/Asuransi - Penjamin Lainnya - Menengah</v>
          </cell>
          <cell r="AQ7" t="str">
            <v>15 - Tagihan Kepada Bank - Tagihan Jangka Panjang</v>
          </cell>
          <cell r="AR7" t="str">
            <v>45 - Dengan perjanjian kredit - Surat berharga dengan Note Purchase Agreement (NPA)</v>
          </cell>
          <cell r="AU7" t="str">
            <v>001230 - RUMAH TANGGA - Rumah Tangga untuk Pemilikan Flat atau Apartemen - Rumah Tangga untuk Pemilikan Flat atau Apartemen Tipe Diatas 70</v>
          </cell>
          <cell r="AV7" t="str">
            <v>8191 - Kota Ambon</v>
          </cell>
        </row>
        <row r="8">
          <cell r="A8" t="str">
            <v>Swiss Franc (CHF)</v>
          </cell>
          <cell r="B8" t="str">
            <v>Lainnya</v>
          </cell>
          <cell r="C8" t="str">
            <v>Equipment Baru</v>
          </cell>
          <cell r="K8" t="str">
            <v>Terlambat &gt; 4 minggu</v>
          </cell>
          <cell r="O8" t="str">
            <v>Terlambat &gt; 6 minggu
Buruk
Tidak
Tidak</v>
          </cell>
          <cell r="P8" t="str">
            <v>Terlambat &gt; 6 minggu
Tidak
Tidak</v>
          </cell>
          <cell r="AC8" t="str">
            <v>Perseroan Daerah (PERUSDA)</v>
          </cell>
          <cell r="AD8">
            <v>7</v>
          </cell>
          <cell r="AF8" t="str">
            <v>50 - Pembiayaan Musyarakah</v>
          </cell>
          <cell r="AG8" t="str">
            <v>0106 - S-3</v>
          </cell>
          <cell r="AH8" t="str">
            <v>806 - Departemen Pertambangan dan Energi</v>
          </cell>
          <cell r="AI8" t="str">
            <v>1119 - Tanaman Pangan - Palawija -  lainnya</v>
          </cell>
          <cell r="AJ8" t="str">
            <v>0220 - Pengurus dari perusahaan-perusahaan sebagaimana dimaksud pada angka 1 s.d. 5 (sandi 0110, 0120, 0130, 0140, dan 0150)</v>
          </cell>
          <cell r="AK8" t="str">
            <v>70 - Debitur UMKM-UMKM Lainnya-Mikro</v>
          </cell>
          <cell r="AL8" t="str">
            <v>32 - Modal Kerja - Kredit Koperasi - Kredit kepada Koperasi Unit Desa (KUD)</v>
          </cell>
          <cell r="AM8" t="str">
            <v>0111 - Bandung, Kab.</v>
          </cell>
          <cell r="AN8" t="str">
            <v>AOA - Angolan Kwanza</v>
          </cell>
          <cell r="AO8" t="str">
            <v>012 - BANK DAGANG NASIONAL INDONESIA</v>
          </cell>
          <cell r="AP8" t="str">
            <v>70 - Debitur UMKM - UMKM Lainnya - Mikro</v>
          </cell>
          <cell r="AQ8" t="str">
            <v>16 - Tagihan Kepada Entitas Sektor Publik</v>
          </cell>
          <cell r="AR8" t="str">
            <v>80 - Tanpa perjanjian kredit - Giro bersaldo debet</v>
          </cell>
          <cell r="AU8" t="str">
            <v>001300 - RUMAH TANGGA - Rumah Tangga untuk Pemilikan Rumah Toko (Ruko) atau Rumah Kantor (Rukan) - Rumah Tangga untuk Pemilikan Rumah Toko (Ruko) atau Rumah Kantor (Rukan)</v>
          </cell>
          <cell r="AV8" t="str">
            <v>8192 - Kota Tual</v>
          </cell>
        </row>
        <row r="9">
          <cell r="A9" t="str">
            <v>US Dollar (USD)</v>
          </cell>
          <cell r="C9" t="str">
            <v>Equipment Bekas</v>
          </cell>
          <cell r="AC9" t="str">
            <v>Koperasi</v>
          </cell>
          <cell r="AD9">
            <v>8</v>
          </cell>
          <cell r="AF9" t="str">
            <v xml:space="preserve">55 - Pembiayaan Mudharabah </v>
          </cell>
          <cell r="AG9" t="str">
            <v>0107 - Debitur Kelompok</v>
          </cell>
          <cell r="AH9" t="str">
            <v>807 - Departemen Agama</v>
          </cell>
          <cell r="AI9" t="str">
            <v>1130 - Tanaman Pangan - Hortikultura</v>
          </cell>
          <cell r="AJ9" t="str">
            <v>0230 - Perusahaan yang pengurusnya merupakan pengurus Bank</v>
          </cell>
          <cell r="AK9" t="str">
            <v>80 - Debitur UMKM-UMKM Lainnya-Kecil</v>
          </cell>
          <cell r="AL9" t="str">
            <v>36 - Modal Kerja - Kredit Koperasi - Kredit kepada Koperasi Primer untuk Anggotanya</v>
          </cell>
          <cell r="AM9" t="str">
            <v>0112 - Sumedang, Kab.</v>
          </cell>
          <cell r="AN9" t="str">
            <v>ARS - Argentine Peso</v>
          </cell>
          <cell r="AO9" t="str">
            <v>013 - BANK PERMATA</v>
          </cell>
          <cell r="AP9" t="str">
            <v>80 - Debitur UMKM - UMKM Lainnya - Kecil</v>
          </cell>
          <cell r="AQ9" t="str">
            <v>35 - Tagihan Kepada Korporasi</v>
          </cell>
          <cell r="AR9" t="str">
            <v>85 - Tanpa perjanjian kredit - Tagihan atas transaksi perdagangan</v>
          </cell>
          <cell r="AU9" t="str">
            <v>002100 - RUMAH TANGGA - Rumah Tangga untuk Pemilikan Kendaraan Bermotor - Rumah Tangga untuk Pemilikan Mobil Roda Empat</v>
          </cell>
          <cell r="AV9" t="str">
            <v>8201 - Kab. Jayapura</v>
          </cell>
        </row>
        <row r="10">
          <cell r="C10" t="str">
            <v>Personal Guarantee</v>
          </cell>
          <cell r="AC10" t="str">
            <v>Yayasan</v>
          </cell>
          <cell r="AD10">
            <v>9</v>
          </cell>
          <cell r="AF10" t="str">
            <v>60 - Piutang Murabahah</v>
          </cell>
          <cell r="AG10" t="str">
            <v>0199 - Lainnya - Perorangan</v>
          </cell>
          <cell r="AH10" t="str">
            <v>808 - Kementrian Negara BUMN</v>
          </cell>
          <cell r="AI10" t="str">
            <v>1141 - Perkebunan Karet</v>
          </cell>
          <cell r="AJ10" t="str">
            <v>0240 - Perusahaan yang pengurusnya merupakan pengurus dari perusahaan-perusahaan sebagaimana dimaksud pada angka 1 s.d. 5 (sandi 0110, 0120, 0130, 0140, dan 0150)</v>
          </cell>
          <cell r="AK10" t="str">
            <v>90 - Debitur UMKM-UMKM Lainnya-Menengah</v>
          </cell>
          <cell r="AL10" t="str">
            <v>38 - Modal Kerja - Kredit Koperasi - Lainnya</v>
          </cell>
          <cell r="AM10" t="str">
            <v>0113 - Tasikmalaya, Kab.</v>
          </cell>
          <cell r="AN10" t="str">
            <v>ATS - Austrian Schilling</v>
          </cell>
          <cell r="AO10" t="str">
            <v>014 - BANK CENTRAL ASIA TBK</v>
          </cell>
          <cell r="AP10" t="str">
            <v>90 - Debitur UMKM - UMKM Lainnya - Menengah</v>
          </cell>
          <cell r="AQ10" t="str">
            <v>36 - Tagihan Kepada Usaha Mikro, Usaha Kecil, dan Portofolio Ritel</v>
          </cell>
          <cell r="AR10" t="str">
            <v>99 - Tanpa perjanjian kredit - Lainnya</v>
          </cell>
          <cell r="AU10" t="str">
            <v>002200 - RUMAH TANGGA - Rumah Tangga untuk Pemilikan Kendaraan Bermotor - Rumah Tangga untuk Pemilikan Sepeda Bermotor</v>
          </cell>
          <cell r="AV10" t="str">
            <v>8202 - Kab. Biak Numfor</v>
          </cell>
        </row>
        <row r="11">
          <cell r="C11" t="str">
            <v>Corporate Guarantee</v>
          </cell>
          <cell r="AC11" t="str">
            <v>Badan Hukum Lainnya</v>
          </cell>
          <cell r="AD11">
            <v>10</v>
          </cell>
          <cell r="AF11" t="str">
            <v>65 - Piutang Salam</v>
          </cell>
          <cell r="AG11" t="str">
            <v>0201 - Badan Usaha Unit Desa</v>
          </cell>
          <cell r="AH11" t="str">
            <v>809 - Departemen Lainnya</v>
          </cell>
          <cell r="AI11" t="str">
            <v>1142 - Perkebunan Kelapa</v>
          </cell>
          <cell r="AJ11" t="str">
            <v>0250 - Perusahaan dimana pengurus Bank bertindak sebagai pengendali</v>
          </cell>
          <cell r="AK11" t="str">
            <v>99 - Bukan Debitur Usaha Mikro, Kecil, dan Menengah</v>
          </cell>
          <cell r="AL11" t="str">
            <v>39 - Kredit modal kerja lainnya</v>
          </cell>
          <cell r="AM11" t="str">
            <v>0114 - Garut, Kab.</v>
          </cell>
          <cell r="AN11" t="str">
            <v>AUD - Australian Dollar</v>
          </cell>
          <cell r="AO11" t="str">
            <v>016 - BANK INTERNASIONAL INDONESIA</v>
          </cell>
          <cell r="AP11" t="str">
            <v>99 - Bukan Debitur Usaha Mikro, Kecil, dan Menengah</v>
          </cell>
          <cell r="AQ11" t="str">
            <v>37 - Kredit Beragun Rumah Tinggal - LTV &lt;= 70%</v>
          </cell>
          <cell r="AR11" t="str">
            <v>98 - Khusus untuk agunan atau jaminan kedua dan seterusnya</v>
          </cell>
          <cell r="AU11" t="str">
            <v>002300 - RUMAH TANGGA - Rumah Tangga untuk Pemilikan Kendaraan Bermotor - Rumah Tangga untuk Pemilikan Truk dan Kendaraan Bermotor Roda Enam atau Lebih</v>
          </cell>
          <cell r="AV11" t="str">
            <v>8210 - Kab. Yapen-Waropen</v>
          </cell>
        </row>
        <row r="12">
          <cell r="C12" t="str">
            <v>Piutang</v>
          </cell>
          <cell r="AD12">
            <v>11</v>
          </cell>
          <cell r="AF12" t="str">
            <v>70 - Piutang Istishna</v>
          </cell>
          <cell r="AG12" t="str">
            <v>0202 - Commanditer Venotschap</v>
          </cell>
          <cell r="AH12" t="str">
            <v>810 - Pemerintah Daerah (Pemda)</v>
          </cell>
          <cell r="AI12" t="str">
            <v>1143 - Perkebunan Kopi</v>
          </cell>
          <cell r="AJ12" t="str">
            <v>0260 - Perusahaan dimana pengurus dari perusahaan-perusahaan sebagaimana dimaksud pada angka 1 s.d. 5 (sandi 0110, 0120, 0130, 0140, dan 0150) bertindak sebagai pengendali</v>
          </cell>
          <cell r="AL12" t="str">
            <v>42 - Investasi - Kredit Investasi Kecil (KIK)</v>
          </cell>
          <cell r="AM12" t="str">
            <v>0115 - Ciamis, Kab.</v>
          </cell>
          <cell r="AN12" t="str">
            <v>AWG - Aruban Guilder</v>
          </cell>
          <cell r="AO12" t="str">
            <v>018 - BANK CENTRAL DAGANG</v>
          </cell>
          <cell r="AQ12" t="str">
            <v>38 - Kredit Beragun Rumah Tinggal - 70% &lt; LTV &lt;= 80%</v>
          </cell>
          <cell r="AU12" t="str">
            <v>002900 - RUMAH TANGGA - Rumah Tangga untuk Pemilikan Kendaraan Bermotor - Rumah Tangga untuk Pemilikan Kendaraan Bermotor Lainnya</v>
          </cell>
          <cell r="AV12" t="str">
            <v>8211 - Kab. Merauke</v>
          </cell>
        </row>
        <row r="13">
          <cell r="C13" t="str">
            <v>Persediaan Barang Dagangan</v>
          </cell>
          <cell r="AD13">
            <v>12</v>
          </cell>
          <cell r="AF13" t="str">
            <v>79 - Lainnya</v>
          </cell>
          <cell r="AG13" t="str">
            <v>0203 - Debitur Kelompok</v>
          </cell>
          <cell r="AH13" t="str">
            <v>811 - Pemerintah Propinsi</v>
          </cell>
          <cell r="AI13" t="str">
            <v>1144 - Perkebunan Tembakau</v>
          </cell>
          <cell r="AJ13" t="str">
            <v>0310 - Ketergantungan keuangan (financial interdependence)</v>
          </cell>
          <cell r="AL13" t="str">
            <v>45 - Investasi - PIR-BUN - Kredit Kebun Inti</v>
          </cell>
          <cell r="AM13" t="str">
            <v>0116 - Cirebon, Kab.</v>
          </cell>
          <cell r="AN13" t="str">
            <v>AZM - Azerbaijan Mant</v>
          </cell>
          <cell r="AO13" t="str">
            <v>019 - BANK PANIN  INDONESIA</v>
          </cell>
          <cell r="AQ13" t="str">
            <v>39 - Kredit Beragun Rumah Tinggal - 80% &lt; LTV &lt;= 95%</v>
          </cell>
          <cell r="AU13" t="str">
            <v>003100 - RUMAH TANGGA - Rumah Tangga untuk Pemilikan Peralatan Rumah Tangga Lainnya - Rumah Tangga untuk Pemilikan Furnitur dan Peralatan Rumah Tangga</v>
          </cell>
          <cell r="AV13" t="str">
            <v>8212 - Kab. Paniai</v>
          </cell>
        </row>
        <row r="14">
          <cell r="AD14">
            <v>13</v>
          </cell>
          <cell r="AF14" t="str">
            <v>Tanpa perjanjian kredit</v>
          </cell>
          <cell r="AG14" t="str">
            <v>0204 - Ekspedisi Muatan Kapal Laut</v>
          </cell>
          <cell r="AH14" t="str">
            <v>812 - Pemerintah Kota</v>
          </cell>
          <cell r="AI14" t="str">
            <v>1145 - Perkebunan Kelapa Sawit</v>
          </cell>
          <cell r="AJ14" t="str">
            <v>0320 - KIK dimana pihak-pihak sebagaimana dimaksud pada angka 1 s.d 11 (sandi 0110, 0120, 0130, 0140, 0150, 0210, 0220, 0230, 0240, 0250, dan 0260) memiliki 10% atau lebih sahan pada manajer investasi kolektif tersebut</v>
          </cell>
          <cell r="AL14" t="str">
            <v>46 - Investasi - PIR-BUN - Kredit Kebun Plasma</v>
          </cell>
          <cell r="AM14" t="str">
            <v>0117 - Kuningan, Kab.</v>
          </cell>
          <cell r="AN14" t="str">
            <v>BAM - Bosnia-Herze Conv Marka</v>
          </cell>
          <cell r="AO14" t="str">
            <v>022 - BANK CIMB NIAGA</v>
          </cell>
          <cell r="AQ14" t="str">
            <v>40 - Kredit Pegawai atau Pensiunan</v>
          </cell>
          <cell r="AU14" t="str">
            <v>003200 - RUMAH TANGGA - Rumah Tangga untuk Pemilikan Peralatan Rumah Tangga Lainnya - Rumah Tangga untuk Pemilikan Televisi, Radio, dan Alat Elektronik</v>
          </cell>
          <cell r="AV14" t="str">
            <v>8213 - Kab. Jayawijaya</v>
          </cell>
        </row>
        <row r="15">
          <cell r="AD15">
            <v>14</v>
          </cell>
          <cell r="AF15" t="str">
            <v>80 - Giro bersaldo debet</v>
          </cell>
          <cell r="AG15" t="str">
            <v>0205 - FIRMA</v>
          </cell>
          <cell r="AH15" t="str">
            <v>814 - Pemerintah Kabupaten</v>
          </cell>
          <cell r="AI15" t="str">
            <v>1146 - Perkebunan Lada</v>
          </cell>
          <cell r="AJ15" t="str">
            <v>0330 - Penjaminan</v>
          </cell>
          <cell r="AL15" t="str">
            <v>47 - Investasi - PIR-BUN - Kredit Pasca Konversi PIR-BUN</v>
          </cell>
          <cell r="AM15" t="str">
            <v>0118 - Indramayu, Kab.</v>
          </cell>
          <cell r="AN15" t="str">
            <v>BBD - Barbados Dollar</v>
          </cell>
          <cell r="AO15" t="str">
            <v>023 - BANK UOB BUANA TBK</v>
          </cell>
          <cell r="AQ15" t="str">
            <v>42 - Kredit Beragun Properti Komersial</v>
          </cell>
          <cell r="AU15" t="str">
            <v>003300 - RUMAH TANGGA - Rumah Tangga untuk Pemilikan Peralatan Rumah Tangga Lainnya - Rumah Tangga untuk Pemilikan Komputer dan Alat Komunikasi</v>
          </cell>
          <cell r="AV15" t="str">
            <v>8214 - Kab. Nabire</v>
          </cell>
        </row>
        <row r="16">
          <cell r="AD16">
            <v>15</v>
          </cell>
          <cell r="AF16" t="str">
            <v>85 - Tagihan atas transaksi perdagangan</v>
          </cell>
          <cell r="AG16" t="str">
            <v>0206 - Gabungan Koperasi</v>
          </cell>
          <cell r="AH16" t="str">
            <v>815 - Badan-badan dan Lembaga-lembaga Pemerintah Lainnya</v>
          </cell>
          <cell r="AI16" t="str">
            <v>1147 - Perkebunan Teh</v>
          </cell>
          <cell r="AJ16" t="str">
            <v>9900 - Tidak terkait dengan Bank</v>
          </cell>
          <cell r="AL16" t="str">
            <v>48 - Investasi - UPP - Kredit Peremajaan Rehabilitasi Perluasan Tanaman Ekspor (PRPTE)</v>
          </cell>
          <cell r="AM16" t="str">
            <v>0119 - Majalengka, Kab.</v>
          </cell>
          <cell r="AN16" t="str">
            <v>BDT - Bangladesh Taka</v>
          </cell>
          <cell r="AO16" t="str">
            <v>024 - BANK PESONA KRIYADANA</v>
          </cell>
          <cell r="AQ16" t="str">
            <v>60 - Tagihan Yang Telah Jatuh Tempo - Kredit Beragun Rumah Tinggal</v>
          </cell>
          <cell r="AU16" t="str">
            <v>003900 - RUMAH TANGGA - Rumah Tangga untuk Pemilikan Peralatan Rumah Tangga Lainnya - Rumah Tangga untuk Pemilikan Peralatan Lainnya</v>
          </cell>
          <cell r="AV16" t="str">
            <v>8215 - Kab. Mimika</v>
          </cell>
        </row>
        <row r="17">
          <cell r="AD17">
            <v>16</v>
          </cell>
          <cell r="AF17" t="str">
            <v>99 - Lainnya</v>
          </cell>
          <cell r="AG17" t="str">
            <v>0207 - Induk Koperasi</v>
          </cell>
          <cell r="AH17" t="str">
            <v>816 - Badan Urusan Logistik (Bulog)</v>
          </cell>
          <cell r="AI17" t="str">
            <v>1148 - Perkebunan Tebu</v>
          </cell>
          <cell r="AL17" t="str">
            <v>49 - Investasi - UPP - Kredit Pasca Konversi PRPTE</v>
          </cell>
          <cell r="AM17" t="str">
            <v>0121 - Subang, Kab.</v>
          </cell>
          <cell r="AN17" t="str">
            <v>BEF - Belgian Franc</v>
          </cell>
          <cell r="AO17" t="str">
            <v>026 - BANK LIPPO</v>
          </cell>
          <cell r="AQ17" t="str">
            <v>62 - Tagihan Yang Telah Jatuh Tempo - Selain Kredit Beragun Rumah Tinggal</v>
          </cell>
          <cell r="AU17" t="str">
            <v>004100 - RUMAH TANGGA - Rumah Tangga untuk Keperluan yang Tidak Diklasifikasikan di Tempat Lain  - Rumah Tangga untuk Keperluan Multiguna</v>
          </cell>
          <cell r="AV17" t="str">
            <v>8216 - Kab. Puncak Jaya</v>
          </cell>
        </row>
        <row r="18">
          <cell r="AD18">
            <v>17</v>
          </cell>
          <cell r="AG18" t="str">
            <v>0208 - Koperasi</v>
          </cell>
          <cell r="AH18" t="str">
            <v>817 - Badan Penyehatan Perbankan Nasional</v>
          </cell>
          <cell r="AI18" t="str">
            <v>1149 - Perkebunan Kapas</v>
          </cell>
          <cell r="AL18" t="str">
            <v>50 - Investasi - UPP - Lainnya</v>
          </cell>
          <cell r="AM18" t="str">
            <v>0122 - Bandung Barat, Kab</v>
          </cell>
          <cell r="AN18" t="str">
            <v>BEN - Bulgarian Lev</v>
          </cell>
          <cell r="AO18" t="str">
            <v>028 - BANK OCBC NISP</v>
          </cell>
          <cell r="AQ18" t="str">
            <v>70 - Eksposur Sekuritisasi</v>
          </cell>
          <cell r="AU18" t="str">
            <v xml:space="preserve">004900 - RUMAH TANGGA - Rumah Tangga untuk Keperluan yang Tidak Diklasifikasikan di Tempat Lain  - Rumah Tangga untuk Keperluan yang Tidak Diklasifikasikan di Tempat Lain </v>
          </cell>
          <cell r="AV18" t="str">
            <v>8217 - Kab. Sarmi</v>
          </cell>
        </row>
        <row r="19">
          <cell r="AD19">
            <v>18</v>
          </cell>
          <cell r="AG19" t="str">
            <v>0209 - Koperasi Unit Desa</v>
          </cell>
          <cell r="AH19" t="str">
            <v>819 - Lainnya (Badan &amp; Lembaga Pemerintah Lainnya)</v>
          </cell>
          <cell r="AI19" t="str">
            <v>1150 - Perkebunan Cengkeh</v>
          </cell>
          <cell r="AL19" t="str">
            <v>51 - Investasi - PIR-TRANS - Kredit Kebun Inti</v>
          </cell>
          <cell r="AM19" t="str">
            <v>0180 - Banjar, Kota.</v>
          </cell>
          <cell r="AN19" t="str">
            <v>BHD - Bahraini Dinar</v>
          </cell>
          <cell r="AO19" t="str">
            <v>029 - BANK SURYA</v>
          </cell>
          <cell r="AU19" t="str">
            <v>009000 - RUMAH TANGGA - BUKAN LAPANGAN USAHA LAINNYA - Bukan Lapangan Usaha Lainnya - Bukan Lapangan Usaha Lainnya</v>
          </cell>
          <cell r="AV19" t="str">
            <v>8218 - Kab. Keerom</v>
          </cell>
        </row>
        <row r="20">
          <cell r="AD20">
            <v>19</v>
          </cell>
          <cell r="AG20" t="str">
            <v>0210 - Limited</v>
          </cell>
          <cell r="AH20" t="str">
            <v>820 - Badan Usaha  Milik Negara (BUMN) atau Pem. Campuran</v>
          </cell>
          <cell r="AI20" t="str">
            <v>1151 - Perkebunan Panili</v>
          </cell>
          <cell r="AL20" t="str">
            <v>52 - Investasi - PIR-TRANS - Kredit Kebun Plasma</v>
          </cell>
          <cell r="AM20" t="str">
            <v>0191 - Bandung, Kota.</v>
          </cell>
          <cell r="AN20" t="str">
            <v>BIF - Burundi Franc</v>
          </cell>
          <cell r="AO20" t="str">
            <v>031 - CITIBANK</v>
          </cell>
          <cell r="AU20" t="str">
            <v>000001 - KEGIATAN YANG BELUM JELAS BATASANNYA  - KEGIATAN YANG BELUM JELAS BATASANNYA  - Kegiatan yang Belum Jelas Batasannya Perorangan</v>
          </cell>
          <cell r="AV20" t="str">
            <v>8221 - Kab. Pegunungan Bintang</v>
          </cell>
        </row>
        <row r="21">
          <cell r="AD21">
            <v>20</v>
          </cell>
          <cell r="AG21" t="str">
            <v>0211 - Maskapai Andil Indonesia</v>
          </cell>
          <cell r="AH21" t="str">
            <v>821 - Lembaga Keuangan Non Bank - BUMN / Pem. Campuran</v>
          </cell>
          <cell r="AI21" t="str">
            <v>1152 - Perkebunan Pala</v>
          </cell>
          <cell r="AL21" t="str">
            <v>53 - Investasi - PIR-TRANS - Kredit Pasca Konversi</v>
          </cell>
          <cell r="AM21" t="str">
            <v>0192 - Bogor, Kota.</v>
          </cell>
          <cell r="AN21" t="str">
            <v>BMD - Bermudian Dollar</v>
          </cell>
          <cell r="AO21" t="str">
            <v>032 - JP MORGAN CHASE BANK</v>
          </cell>
          <cell r="AU21" t="str">
            <v>000002 - KEGIATAN YANG BELUM JELAS BATASANNYA  - KEGIATAN YANG BELUM JELAS BATASANNYA  - Kegiatan yang Belum Jelas Batasannya Badan Usaha</v>
          </cell>
          <cell r="AV21" t="str">
            <v>8222 - Kab. Yahukimo</v>
          </cell>
        </row>
        <row r="22">
          <cell r="AD22">
            <v>21</v>
          </cell>
          <cell r="AG22" t="str">
            <v>0212 - Namloose Venotschaap</v>
          </cell>
          <cell r="AH22" t="str">
            <v>822 - Jamsostek</v>
          </cell>
          <cell r="AI22" t="str">
            <v>1153 - Perkebunan Kakao/ Coklat</v>
          </cell>
          <cell r="AL22" t="str">
            <v>54 - Investasi - Kredit Perkebunan Swasta Nasional (PSN)</v>
          </cell>
          <cell r="AM22" t="str">
            <v>0193 - Sukabumi, Kota.</v>
          </cell>
          <cell r="AN22" t="str">
            <v>BND - Brunei Dollar</v>
          </cell>
          <cell r="AO22" t="str">
            <v>033 - BANK OF AMERICA NT &amp; SA</v>
          </cell>
          <cell r="AU22" t="str">
            <v xml:space="preserve">011110 - PERTANIAN, PERBURUAN DAN KEHUTANAN - PERTANIAN DAN PERBURUAN - Pertanian Tanaman Pangan, Tanaman Perkebunan, dan Hortikultura  - Pertanian Tanaman Pangan dan Perkebunan - Pertanian Padi </v>
          </cell>
          <cell r="AV22" t="str">
            <v>8223 - Kab. Tolikara</v>
          </cell>
        </row>
        <row r="23">
          <cell r="AD23">
            <v>22</v>
          </cell>
          <cell r="AG23" t="str">
            <v>0213 - Perusahaan Daerah</v>
          </cell>
          <cell r="AH23" t="str">
            <v>823 - Taspen</v>
          </cell>
          <cell r="AI23" t="str">
            <v>1159 - Perkebunan lainnya</v>
          </cell>
          <cell r="AL23" t="str">
            <v>55 - Investasi - Bantuan Proyek - Nilai lawan valuta asing</v>
          </cell>
          <cell r="AM23" t="str">
            <v>0194 - Cirebon, Kota.</v>
          </cell>
          <cell r="AN23" t="str">
            <v>BOB - Bolivian Boliviano</v>
          </cell>
          <cell r="AO23" t="str">
            <v>034 - BANK ING Indonesia Bank</v>
          </cell>
          <cell r="AU23" t="str">
            <v>011121 - PERTANIAN, PERBURUAN DAN KEHUTANAN - PERTANIAN DAN PERBURUAN - Pertanian Tanaman Pangan, Tanaman Perkebunan, dan Hortikultura  - Pertanian Tanaman Pangan dan Perkebunan - Pertanian Palawija - Pertanian Palawija Jagung</v>
          </cell>
          <cell r="AV23" t="str">
            <v>8224 - Kab. Waropen</v>
          </cell>
        </row>
        <row r="24">
          <cell r="AD24">
            <v>23</v>
          </cell>
          <cell r="AG24" t="str">
            <v>0214 - Persero</v>
          </cell>
          <cell r="AH24" t="str">
            <v>824 - Jiwasraya</v>
          </cell>
          <cell r="AI24" t="str">
            <v>1161 - Perikanan Laut - Udang</v>
          </cell>
          <cell r="AL24" t="str">
            <v>56 - Investasi - Bantuan Proyek - Biaya lokal Rekening Dana Investasi (RDI)</v>
          </cell>
          <cell r="AM24" t="str">
            <v>0195 - Tasikmalaya, Kota.</v>
          </cell>
          <cell r="AN24" t="str">
            <v>BRL - Brazilian Real</v>
          </cell>
          <cell r="AO24" t="str">
            <v>036 - BANK WINDU KENTJANA INTERNATIONAL</v>
          </cell>
          <cell r="AU24" t="str">
            <v>011122 - PERTANIAN, PERBURUAN DAN KEHUTANAN - PERTANIAN DAN PERBURUAN - Pertanian Tanaman Pangan, Tanaman Perkebunan, dan Hortikultura  - Pertanian Tanaman Pangan dan Perkebunan - Pertanian Palawija - Pertanian Palawija Ketela pohon</v>
          </cell>
          <cell r="AV24" t="str">
            <v>8226 - Kab. Boven Digoel</v>
          </cell>
        </row>
        <row r="25">
          <cell r="AD25">
            <v>24</v>
          </cell>
          <cell r="AG25" t="str">
            <v>0215 - Persekutuan Perdata</v>
          </cell>
          <cell r="AH25" t="str">
            <v>825 - Jasa Raharja</v>
          </cell>
          <cell r="AI25" t="str">
            <v>1163 - Perikanan Laut - Lainnya</v>
          </cell>
          <cell r="AL25" t="str">
            <v>57 - Investasi - Bantuan Proyek - Biaya lokal dana perbankan</v>
          </cell>
          <cell r="AM25" t="str">
            <v>0196 - Cimahi, Kota.</v>
          </cell>
          <cell r="AN25" t="str">
            <v>BSD - Bahamas Dollar</v>
          </cell>
          <cell r="AO25" t="str">
            <v>037 - BANK ARTHA GRAHA INTERNASIONAL</v>
          </cell>
          <cell r="AU25" t="str">
            <v>011123 - PERTANIAN, PERBURUAN DAN KEHUTANAN - PERTANIAN DAN PERBURUAN - Pertanian Tanaman Pangan, Tanaman Perkebunan, dan Hortikultura  - Pertanian Tanaman Pangan dan Perkebunan - Pertanian Palawija - Pertanian Palawija Ubi jalar</v>
          </cell>
          <cell r="AV25" t="str">
            <v>8227 - Kab. Mappi</v>
          </cell>
        </row>
        <row r="26">
          <cell r="AD26">
            <v>25</v>
          </cell>
          <cell r="AG26" t="str">
            <v>0216 - Perusahaan Umum</v>
          </cell>
          <cell r="AH26" t="str">
            <v>826 - Jasindo</v>
          </cell>
          <cell r="AI26" t="str">
            <v>1164 - Perikanan Darat - Udang</v>
          </cell>
          <cell r="AL26" t="str">
            <v>59 - Investasi - Kredit kelolaan di luar bantuan proyek</v>
          </cell>
          <cell r="AM26" t="str">
            <v>0197 - Depok, Kota.</v>
          </cell>
          <cell r="AN26" t="str">
            <v>BTN - Bhutan Ngultrum</v>
          </cell>
          <cell r="AO26" t="str">
            <v>039 - BANK CREDIT AGRICOLE INDOSUEZ (dicabut izin usaha)</v>
          </cell>
          <cell r="AU26" t="str">
            <v>011124 - PERTANIAN, PERBURUAN DAN KEHUTANAN - PERTANIAN DAN PERBURUAN - Pertanian Tanaman Pangan, Tanaman Perkebunan, dan Hortikultura  - Pertanian Tanaman Pangan dan Perkebunan - Pertanian Palawija - Pertanian Palawija Umbi-umbian lainnya</v>
          </cell>
          <cell r="AV26" t="str">
            <v>8228 - Kab. Asmat</v>
          </cell>
        </row>
        <row r="27">
          <cell r="AD27">
            <v>26</v>
          </cell>
          <cell r="AG27" t="str">
            <v>0217 - Primer Koperasi</v>
          </cell>
          <cell r="AH27" t="str">
            <v>827 - ASABRI</v>
          </cell>
          <cell r="AI27" t="str">
            <v>1166 - Perikanan Darat - Lainnya</v>
          </cell>
          <cell r="AL27" t="str">
            <v>60 - Investasi - Kredit Umum Pedesaan (Kupedes)</v>
          </cell>
          <cell r="AM27" t="str">
            <v>0198 - Bekasi, Kota.</v>
          </cell>
          <cell r="AN27" t="str">
            <v>BWP - Botswana Pula</v>
          </cell>
          <cell r="AO27" t="str">
            <v>040 - BANK BANGKOK BANK LTD</v>
          </cell>
          <cell r="AU27" t="str">
            <v>011125 - PERTANIAN, PERBURUAN DAN KEHUTANAN - PERTANIAN DAN PERBURUAN - Pertanian Tanaman Pangan, Tanaman Perkebunan, dan Hortikultura  - Pertanian Tanaman Pangan dan Perkebunan - Pertanian Palawija - Pertanian Palawija Kacang tanah</v>
          </cell>
          <cell r="AV27" t="str">
            <v>8231 - Kab. Supiori</v>
          </cell>
        </row>
        <row r="28">
          <cell r="AD28">
            <v>27</v>
          </cell>
          <cell r="AG28" t="str">
            <v>0218 - Perseroan Terbatas</v>
          </cell>
          <cell r="AH28" t="str">
            <v>828 - Perusahaan asuransi lainnya - BUMN/ Pem. Campuran</v>
          </cell>
          <cell r="AI28" t="str">
            <v>1167 - Perikanan Payau - Udang</v>
          </cell>
          <cell r="AL28" t="str">
            <v>62 - Investasi - Kredit Koperasi - Kredit kepada Koperasi Primer untuk Anggotanya</v>
          </cell>
          <cell r="AM28" t="str">
            <v>0201 - Lebak, Kab.</v>
          </cell>
          <cell r="AN28" t="str">
            <v>BYR - Belarus Rouble</v>
          </cell>
          <cell r="AO28" t="str">
            <v>041 - THE HSBC</v>
          </cell>
          <cell r="AU28" t="str">
            <v>011126 - PERTANIAN, PERBURUAN DAN KEHUTANAN - PERTANIAN DAN PERBURUAN - Pertanian Tanaman Pangan, Tanaman Perkebunan, dan Hortikultura  - Pertanian Tanaman Pangan dan Perkebunan - Pertanian Palawija - Pertanian Palawija Kedele</v>
          </cell>
          <cell r="AV28" t="str">
            <v>8232 - Kab. Mamberamo Raya</v>
          </cell>
        </row>
        <row r="29">
          <cell r="AD29">
            <v>28</v>
          </cell>
          <cell r="AG29" t="str">
            <v>0219 - Pusat Koperasi</v>
          </cell>
          <cell r="AH29" t="str">
            <v>830 - Dana Pensiun - BUMN/ Pemerintah Campuran</v>
          </cell>
          <cell r="AI29" t="str">
            <v>1169 - Perikanan Payau - Lainnya</v>
          </cell>
          <cell r="AL29" t="str">
            <v>63 - Investasi - Kredit Koperasi - Lainnya</v>
          </cell>
          <cell r="AM29" t="str">
            <v>0202 - Pandeglang, Kab.</v>
          </cell>
          <cell r="AN29" t="str">
            <v>BZD - Belize Dollar</v>
          </cell>
          <cell r="AO29" t="str">
            <v>042 - THE BANK OF TOKYO MITSUBISHI-UFJ LTD.</v>
          </cell>
          <cell r="AU29" t="str">
            <v>011129 - PERTANIAN, PERBURUAN DAN KEHUTANAN - PERTANIAN DAN PERBURUAN - Pertanian Tanaman Pangan, Tanaman Perkebunan, dan Hortikultura  - Pertanian Tanaman Pangan dan Perkebunan - Pertanian Palawija - Pertanian Palawija Kacang-kacangan lainnya</v>
          </cell>
          <cell r="AV29" t="str">
            <v>8233 - Kab. Dogiyai</v>
          </cell>
        </row>
        <row r="30">
          <cell r="AD30">
            <v>29</v>
          </cell>
          <cell r="AG30" t="str">
            <v>0220 - Pusat Koperasi Unit Desa</v>
          </cell>
          <cell r="AH30" t="str">
            <v>831 - Modal Ventura - BUMN/ Pemerintah Campuran</v>
          </cell>
          <cell r="AI30" t="str">
            <v>1171 - Peternakan Unggas</v>
          </cell>
          <cell r="AL30" t="str">
            <v>64 - Investasi - DLBS - Nilai lawan valuta asing</v>
          </cell>
          <cell r="AM30" t="str">
            <v>0203 - Serang, Kab.</v>
          </cell>
          <cell r="AN30" t="str">
            <v>CAD - Canadian Dollar</v>
          </cell>
          <cell r="AO30" t="str">
            <v>045 - BANK SUMITOMO MITSUI INDONESIA</v>
          </cell>
          <cell r="AU30" t="str">
            <v xml:space="preserve">011130 - PERTANIAN, PERBURUAN DAN KEHUTANAN - PERTANIAN DAN PERBURUAN - Pertanian Tanaman Pangan, Tanaman Perkebunan, dan Hortikultura  - Pertanian Tanaman Pangan dan Perkebunan - Perkebunan Tebu dan Tanaman Pemanis Lainnya </v>
          </cell>
          <cell r="AV30" t="str">
            <v>8234 - Kab. Lanny Jaya</v>
          </cell>
        </row>
        <row r="31">
          <cell r="AD31">
            <v>30</v>
          </cell>
          <cell r="AG31" t="str">
            <v>0221 - Usaha Dagang</v>
          </cell>
          <cell r="AH31" t="str">
            <v>832 - Perusahaan Pembiayaan - BUMN/ Pem. Campuran</v>
          </cell>
          <cell r="AI31" t="str">
            <v>1172 - Peternakan Sapi</v>
          </cell>
          <cell r="AL31" t="str">
            <v>67 - Investasi - DLBS - Kredit Rupiah</v>
          </cell>
          <cell r="AM31" t="str">
            <v>0204 - Tangerang, Kab.</v>
          </cell>
          <cell r="AN31" t="str">
            <v>CDF - Democratic Rep.Congo Franc</v>
          </cell>
          <cell r="AO31" t="str">
            <v>046 - BANK DBS INDONESIA</v>
          </cell>
          <cell r="AU31" t="str">
            <v xml:space="preserve">011140 - PERTANIAN, PERBURUAN DAN KEHUTANAN - PERTANIAN DAN PERBURUAN - Pertanian Tanaman Pangan, Tanaman Perkebunan, dan Hortikultura  - Pertanian Tanaman Pangan dan Perkebunan - Perkebunan Tembakau </v>
          </cell>
          <cell r="AV31" t="str">
            <v>8235 - Kab. Mamberamo Tengah</v>
          </cell>
        </row>
        <row r="32">
          <cell r="AG32" t="str">
            <v>0222 - Unit Dagang Kredit Pedesaan</v>
          </cell>
          <cell r="AH32" t="str">
            <v>833 - PT. Danareksa</v>
          </cell>
          <cell r="AI32" t="str">
            <v>1179 - Peternakan lainnya</v>
          </cell>
          <cell r="AL32" t="str">
            <v>74 - Investasi - Kredit Investasi sampai dengan Rp. 75 juta</v>
          </cell>
          <cell r="AM32" t="str">
            <v>0291 - Cilegon, Kota.</v>
          </cell>
          <cell r="AN32" t="str">
            <v>CDZ - New Zaire</v>
          </cell>
          <cell r="AO32" t="str">
            <v>047 - BANK RESONA PERDANIA</v>
          </cell>
          <cell r="AU32" t="str">
            <v xml:space="preserve">011150 - PERTANIAN, PERBURUAN DAN KEHUTANAN - PERTANIAN DAN PERBURUAN - Pertanian Tanaman Pangan, Tanaman Perkebunan, dan Hortikultura  - Pertanian Tanaman Pangan dan Perkebunan - Perkebunan Karet dan Penghasil Getah Lainnya </v>
          </cell>
          <cell r="AV32" t="str">
            <v>8236 - Kab. Nduga Tengah</v>
          </cell>
        </row>
        <row r="33">
          <cell r="AG33" t="str">
            <v>0223 - Yayasan</v>
          </cell>
          <cell r="AH33" t="str">
            <v>834 - Perush. sekuritas yg tidak melakukan usaha Reksadana - BUMN</v>
          </cell>
          <cell r="AI33" t="str">
            <v>1180 - Kehutanan dan Pemotongan Kayu (logging)</v>
          </cell>
          <cell r="AL33" t="str">
            <v>75 - Investasi - Kredit Investasi Biasa</v>
          </cell>
          <cell r="AM33" t="str">
            <v>0292 - Tangerang, Kota.</v>
          </cell>
          <cell r="AN33" t="str">
            <v>CHF - Swiss Franc</v>
          </cell>
          <cell r="AO33" t="str">
            <v>048 - BANK MIZUHO INDONESIA</v>
          </cell>
          <cell r="AU33" t="str">
            <v xml:space="preserve">011160 - PERTANIAN, PERBURUAN DAN KEHUTANAN - PERTANIAN DAN PERBURUAN - Pertanian Tanaman Pangan, Tanaman Perkebunan, dan Hortikultura  - Pertanian Tanaman Pangan dan Perkebunan - Perkebunan Tanaman Bahan Baku Tekstil dan Sejenisnya </v>
          </cell>
          <cell r="AV33" t="str">
            <v>8237 - Kab. Yalimo</v>
          </cell>
        </row>
        <row r="34">
          <cell r="AG34" t="str">
            <v>0299 - Lainnya - Badan Usaha</v>
          </cell>
          <cell r="AH34" t="str">
            <v>835 - Perush. sekuritas yg melakukan usaha Reksadana - BUMN</v>
          </cell>
          <cell r="AI34" t="str">
            <v>1200 - Perburuan</v>
          </cell>
          <cell r="AL34" t="str">
            <v>76 - Investasi - Kredit Ekspor</v>
          </cell>
          <cell r="AM34" t="str">
            <v>0293 - Serang. Kota.</v>
          </cell>
          <cell r="AN34" t="str">
            <v>CLF - Chilean Fomento</v>
          </cell>
          <cell r="AO34" t="str">
            <v>049 - BANK UFJ INDONESIA</v>
          </cell>
          <cell r="AU34" t="str">
            <v xml:space="preserve">011170 - PERTANIAN, PERBURUAN DAN KEHUTANAN - PERTANIAN DAN PERBURUAN - Pertanian Tanaman Pangan, Tanaman Perkebunan, dan Hortikultura  - Pertanian Tanaman Pangan dan Perkebunan - Perkebunan Tanaman Obat / Bahan Farmasi </v>
          </cell>
          <cell r="AV34" t="str">
            <v>8238 - Kab. Puncak</v>
          </cell>
        </row>
        <row r="35">
          <cell r="AG35" t="str">
            <v>0300 - Pemerintah/Lembaga Negara</v>
          </cell>
          <cell r="AH35" t="str">
            <v>836 - Perusahaan Reksadana - BUMN</v>
          </cell>
          <cell r="AI35" t="str">
            <v>1311 - Sarana Pertanian - Pompanisasi</v>
          </cell>
          <cell r="AL35" t="str">
            <v>79 - Investasi - Kredit Investasi Lainnya</v>
          </cell>
          <cell r="AM35" t="str">
            <v>0294 - Kota Tangerang Selatan</v>
          </cell>
          <cell r="AN35" t="str">
            <v>CLP - Chilean Peso</v>
          </cell>
          <cell r="AO35" t="str">
            <v>050 - STANDARD CHARTERED BANK</v>
          </cell>
          <cell r="AU35" t="str">
            <v xml:space="preserve">011180 - PERTANIAN, PERBURUAN DAN KEHUTANAN - PERTANIAN DAN PERBURUAN - Pertanian Tanaman Pangan, Tanaman Perkebunan, dan Hortikultura  - Pertanian Tanaman Pangan dan Perkebunan - Perkebunan Tanaman Minyak Atsiri </v>
          </cell>
          <cell r="AV35" t="str">
            <v>8239 - Kab. Intan Jaya</v>
          </cell>
        </row>
        <row r="36">
          <cell r="AH36" t="str">
            <v>837 - Perum Pegadaian</v>
          </cell>
          <cell r="AI36" t="str">
            <v>1312 - Sarana Pertanian - Alat Penggarapan Tanah</v>
          </cell>
          <cell r="AL36" t="str">
            <v>80 - KPR Sangat Sederhana (KPRSS) dan Kredit Pemilikan Kapling Siap Bangun (PKSB)</v>
          </cell>
          <cell r="AM36" t="str">
            <v>0391 - Jakarta Pusat, Wil. Kota</v>
          </cell>
          <cell r="AN36" t="str">
            <v>CNY - China Yuan Renminbi</v>
          </cell>
          <cell r="AO36" t="str">
            <v>052 - THE ROYAL BANK OF SCOTLAND N. V.</v>
          </cell>
          <cell r="AU36" t="str">
            <v xml:space="preserve">011190 - PERTANIAN, PERBURUAN DAN KEHUTANAN - PERTANIAN DAN PERBURUAN - Pertanian Tanaman Pangan, Tanaman Perkebunan, dan Hortikultura  - Pertanian Tanaman Pangan dan Perkebunan - Perkebunan Tanaman Lainnya yang Tidak Diklasifikasikan di Tempat Lain </v>
          </cell>
          <cell r="AV36" t="str">
            <v>8240 - Kab. Deiyai</v>
          </cell>
        </row>
        <row r="37">
          <cell r="AH37" t="str">
            <v>838 - PT. Pos Indonesia</v>
          </cell>
          <cell r="AI37" t="str">
            <v>1313 - Sarana Pertanian - Gudang/Lantai Jemuran</v>
          </cell>
          <cell r="AL37" t="str">
            <v>81 - Pemilikan Rumah KPR Sederhana (KPRS) s.d. Tipe 21</v>
          </cell>
          <cell r="AM37" t="str">
            <v>0392 - Jakarta Utara ., Wil. Kota</v>
          </cell>
          <cell r="AN37" t="str">
            <v>COP - Colombian Peso</v>
          </cell>
          <cell r="AO37" t="str">
            <v>053 - BANK KEPPEL TATLEE BUANA(merger menjadi Bank OCBC)</v>
          </cell>
          <cell r="AU37" t="str">
            <v>011211 - PERTANIAN, PERBURUAN DAN KEHUTANAN - PERTANIAN DAN PERBURUAN - Pertanian Tanaman Pangan, Tanaman Perkebunan, dan Hortikultura  - Pertanian Hortikultura Sayuran dan Bunga-bungaanPertanian Hortikultura Sayuran yang dipanen Sekali  - Pertanian Horti</v>
          </cell>
          <cell r="AV37" t="str">
            <v>8291 - Kota Jayapura</v>
          </cell>
        </row>
        <row r="38">
          <cell r="AH38" t="str">
            <v>840 - Lainnya (Lembaga Keuangan Non Bank Lainnya - BUMN)</v>
          </cell>
          <cell r="AI38" t="str">
            <v>1314 - Sarana Pertanian - Pencetakan Sawah</v>
          </cell>
          <cell r="AL38" t="str">
            <v>82 - Pemilikan Rumah Di atas tipe 21 s.d tipe 70</v>
          </cell>
          <cell r="AM38" t="str">
            <v>0393 - Jakarta Barat, Wil. Kota</v>
          </cell>
          <cell r="AN38" t="str">
            <v>CRC - Costa Rican Colon</v>
          </cell>
          <cell r="AO38" t="str">
            <v>054 - BANK CAPITAL INDONESIA</v>
          </cell>
          <cell r="AU38" t="str">
            <v>011219 - PERTANIAN, PERBURUAN DAN KEHUTANAN - PERTANIAN DAN PERBURUAN - Pertanian Tanaman Pangan, Tanaman Perkebunan, dan Hortikultura  - Pertanian Hortikultura Sayuran dan Bunga-bungaanPertanian Hortikultura Sayuran yang dipanen Sekali  - Pertanian Horti</v>
          </cell>
          <cell r="AV38" t="str">
            <v>8302 - Kab. Halmahera Tengah</v>
          </cell>
        </row>
        <row r="39">
          <cell r="AH39" t="str">
            <v>841 - Bukan Lembaga Keuangan - BUMN</v>
          </cell>
          <cell r="AI39" t="str">
            <v>1360 - Sarana Perikanan</v>
          </cell>
          <cell r="AL39" t="str">
            <v>83 - Pemilikan Rumah Di atas tipe 70</v>
          </cell>
          <cell r="AM39" t="str">
            <v>0394 - Jakarta Selatan, Wil. Kota</v>
          </cell>
          <cell r="AN39" t="str">
            <v>CUP - Cuban Peso</v>
          </cell>
          <cell r="AO39" t="str">
            <v xml:space="preserve">055 - Bank Sakura Swadharma </v>
          </cell>
          <cell r="AU39" t="str">
            <v>011220 - PERTANIAN, PERBURUAN DAN KEHUTANAN - PERTANIAN DAN PERBURUAN - Pertanian Tanaman Pangan, Tanaman Perkebunan, dan Hortikultura  - Pertanian Hortikultura Sayuran dan Bunga-bungaanPertanian Hortikultura Sayuran yang dipanen Lebih dari Sekali</v>
          </cell>
          <cell r="AV39" t="str">
            <v>8303 - Kab. Halmahera Utara</v>
          </cell>
        </row>
        <row r="40">
          <cell r="AH40" t="str">
            <v>842 - PT. Kereta Api Indonesia (KAI)</v>
          </cell>
          <cell r="AI40" t="str">
            <v>1370 - Sarana Peternakan</v>
          </cell>
          <cell r="AL40" t="str">
            <v>85 - Perbaikan/Pemugaran Rumah</v>
          </cell>
          <cell r="AM40" t="str">
            <v>0395 - Jakarta Timur, Wil. Kota</v>
          </cell>
          <cell r="AN40" t="str">
            <v>CVE - Cape Verde Escudo</v>
          </cell>
          <cell r="AO40" t="str">
            <v>057 - BANK BNP PARIBAS INDONESIA</v>
          </cell>
          <cell r="AU40" t="str">
            <v>011231 - PERTANIAN, PERBURUAN DAN KEHUTANAN - PERTANIAN DAN PERBURUAN - Pertanian Tanaman Pangan, Tanaman Perkebunan, dan Hortikultura  - Pertanian Hortikultura Sayuran dan Bunga-bungaanPertanian Hortikultura Bunga-bungaan  - Pertanian Hortikultura Bunga-</v>
          </cell>
          <cell r="AV40" t="str">
            <v>8304 - Kab. Halmahera Timur</v>
          </cell>
        </row>
        <row r="41">
          <cell r="AH41" t="str">
            <v>843 - PT. Pelayaran Nasional Indonesia (PELNI)</v>
          </cell>
          <cell r="AI41" t="str">
            <v>1380 - Sarana Kehutanan</v>
          </cell>
          <cell r="AL41" t="str">
            <v>86 - Kredit Kepada Guru untuk Pembelian Sepeda Motor (KPG)</v>
          </cell>
          <cell r="AM41" t="str">
            <v>0396 - Kepulauan Seribu, Wilayah</v>
          </cell>
          <cell r="AN41" t="str">
            <v>CYP - Cyprus Pound</v>
          </cell>
          <cell r="AO41" t="str">
            <v>058 - BANK UOB INDONESIA</v>
          </cell>
          <cell r="AU41" t="str">
            <v>011239 - PERTANIAN, PERBURUAN DAN KEHUTANAN - PERTANIAN DAN PERBURUAN - Pertanian Tanaman Pangan, Tanaman Perkebunan, dan Hortikultura  - Pertanian Hortikultura Sayuran dan Bunga-bungaanPertanian Hortikultura Bunga-bungaan  - Pertanian Hortikultura Bunga-</v>
          </cell>
          <cell r="AV41" t="str">
            <v>8305 - Kab. Halmahera Barat</v>
          </cell>
        </row>
        <row r="42">
          <cell r="AH42" t="str">
            <v>844 - PT. Pelabuhan Laut Indonesia (PELINDO)</v>
          </cell>
          <cell r="AI42" t="str">
            <v>1390 - Sarana lainnya</v>
          </cell>
          <cell r="AL42" t="str">
            <v>87 - Kredit Mahasiswa Indonesia</v>
          </cell>
          <cell r="AM42" t="str">
            <v>0501 - Bantul, Kab.</v>
          </cell>
          <cell r="AN42" t="str">
            <v>CZK - Czech Koruna</v>
          </cell>
          <cell r="AO42" t="str">
            <v>059 - KOREA EXCHANGE BANK INDONESIA</v>
          </cell>
          <cell r="AU42" t="str">
            <v xml:space="preserve">011240 - PERTANIAN, PERBURUAN DAN KEHUTANAN - PERTANIAN DAN PERBURUAN - Pertanian Tanaman Pangan, Tanaman Perkebunan, dan Hortikultura  - Pertanian Hortikultura Sayuran dan Bunga-bungaanPertanian Tanaman Hias Lainnya </v>
          </cell>
          <cell r="AV42" t="str">
            <v>8306 - Kab. Halmahera Selatan</v>
          </cell>
        </row>
        <row r="43">
          <cell r="AH43" t="str">
            <v>845 - PT. Angkutan Sungai, Danau dan Penyeberangan (ASDP)</v>
          </cell>
          <cell r="AI43" t="str">
            <v>2000 - Pertambangan</v>
          </cell>
          <cell r="AL43" t="str">
            <v>88 - Kredit Rumah Toko</v>
          </cell>
          <cell r="AM43" t="str">
            <v>0502 - Sleman, Kab.</v>
          </cell>
          <cell r="AN43" t="str">
            <v>DEM - Deutsche Mark</v>
          </cell>
          <cell r="AO43" t="str">
            <v>060 - RABO BANK INTERNATIONAL INDONESIA</v>
          </cell>
          <cell r="AU43" t="str">
            <v xml:space="preserve">011250 - PERTANIAN, PERBURUAN DAN KEHUTANAN - PERTANIAN DAN PERBURUAN - Pertanian Tanaman Pangan, Tanaman Perkebunan, dan Hortikultura  - Pertanian Hortikultura Sayuran dan Bunga-bungaanPembibitan dan Pembenihan Hortikultura Sayuran dan Bunga-bungaan </v>
          </cell>
          <cell r="AV43" t="str">
            <v>8307 - Kab. Kepulauan Sula</v>
          </cell>
        </row>
        <row r="44">
          <cell r="AH44" t="str">
            <v>846 - PT. Angkasa Pura</v>
          </cell>
          <cell r="AI44" t="str">
            <v>2100 - Pertambangan Minyak dan Gas Bumi</v>
          </cell>
          <cell r="AL44" t="str">
            <v>89 - Kredit Konsumsi Lainnya</v>
          </cell>
          <cell r="AM44" t="str">
            <v>0503 - Gunung Kidul, Kab.</v>
          </cell>
          <cell r="AN44" t="str">
            <v>DJF - Djibouti Franc</v>
          </cell>
          <cell r="AO44" t="str">
            <v>061 - BANK ANZ PANIN</v>
          </cell>
          <cell r="AU44" t="str">
            <v>011311 - PERTANIAN, PERBURUAN DAN KEHUTANAN - PERTANIAN DAN PERBURUAN - Pertanian Tanaman Pangan, Tanaman Perkebunan, dan Hortikultura  - Pertanian Buah-buahan, Perkebunan Kelapa, Perkebunan Kelapa Sawit, Perkebunan Tanaman Untuk Minuman, Perkebunan Jambu</v>
          </cell>
          <cell r="AV44" t="str">
            <v>8308 - Kab. Pulau Morotai</v>
          </cell>
        </row>
        <row r="45">
          <cell r="AH45" t="str">
            <v>847 - PT. Perkebunan Nusantara</v>
          </cell>
          <cell r="AI45" t="str">
            <v>2210 - Pertambangan Biji Logam - Timah</v>
          </cell>
          <cell r="AM45" t="str">
            <v>0504 - Kulon Progo, Kab.</v>
          </cell>
          <cell r="AN45" t="str">
            <v>DKK - Danish Krone</v>
          </cell>
          <cell r="AO45" t="str">
            <v>065 - BANK UPPINDO</v>
          </cell>
          <cell r="AU45" t="str">
            <v>011319 - PERTANIAN, PERBURUAN DAN KEHUTANAN - PERTANIAN DAN PERBURUAN - Pertanian Tanaman Pangan, Tanaman Perkebunan, dan Hortikultura  - Pertanian Buah-buahan, Perkebunan Kelapa, Perkebunan Kelapa Sawit, Perkebunan Tanaman Untuk Minuman, Perkebunan Jambu</v>
          </cell>
          <cell r="AV45" t="str">
            <v>8390 - Kota Ternate</v>
          </cell>
        </row>
        <row r="46">
          <cell r="AH46" t="str">
            <v>848 - PT. Pertamina</v>
          </cell>
          <cell r="AI46" t="str">
            <v>2220 - Pertambangan Biji Logam - Nikel</v>
          </cell>
          <cell r="AM46" t="str">
            <v>0591 - Yogyakarta, Kota.</v>
          </cell>
          <cell r="AN46" t="str">
            <v>DOP - Dominican Republic Peso</v>
          </cell>
          <cell r="AO46" t="str">
            <v>066 - BANK INVESTMENT INTERNASIONAL</v>
          </cell>
          <cell r="AU46" t="str">
            <v>011321 - PERTANIAN, PERBURUAN DAN KEHUTANAN - PERTANIAN DAN PERBURUAN - Pertanian Tanaman Pangan, Tanaman Perkebunan, dan Hortikultura  - Pertanian Buah-buahan, Perkebunan Kelapa, Perkebunan Kelapa Sawit, Perkebunan Tanaman Untuk Minuman, Perkebunan Jambu</v>
          </cell>
          <cell r="AV46" t="str">
            <v>8391 - Kota Tidore Kepulauan</v>
          </cell>
        </row>
        <row r="47">
          <cell r="AH47" t="str">
            <v>849 - PT. Perusahaan Listrik  Negara (PLN)</v>
          </cell>
          <cell r="AI47" t="str">
            <v>2230 - Pertambangan Biji Logam - Bauksit</v>
          </cell>
          <cell r="AM47" t="str">
            <v>0901 - Semarang, Kab.</v>
          </cell>
          <cell r="AN47" t="str">
            <v>DZD - Algerian Dinar</v>
          </cell>
          <cell r="AO47" t="str">
            <v>067 - DEUTSCHE BANK AG.</v>
          </cell>
          <cell r="AU47" t="str">
            <v>011329 - PERTANIAN, PERBURUAN DAN KEHUTANAN - PERTANIAN DAN PERBURUAN - Pertanian Tanaman Pangan, Tanaman Perkebunan, dan Hortikultura  - Pertanian Buah-buahan, Perkebunan Kelapa, Perkebunan Kelapa Sawit, Perkebunan Tanaman Untuk Minuman, Perkebunan Jambu</v>
          </cell>
          <cell r="AV47" t="str">
            <v>8401 - Kab. Sorong</v>
          </cell>
        </row>
        <row r="48">
          <cell r="AH48" t="str">
            <v>850 - PT. Krakatau Steel</v>
          </cell>
          <cell r="AI48" t="str">
            <v>2240 - Pertambangan Biji Logam - Tembaga</v>
          </cell>
          <cell r="AM48" t="str">
            <v>0902 - Kendal, Kab.</v>
          </cell>
          <cell r="AN48" t="str">
            <v>ECS - Ecuadorean Sucre</v>
          </cell>
          <cell r="AO48" t="str">
            <v>068 - BANK WOORI INDONESIA</v>
          </cell>
          <cell r="AU48" t="str">
            <v>011330 - PERTANIAN, PERBURUAN DAN KEHUTANAN - PERTANIAN DAN PERBURUAN - Pertanian Tanaman Pangan, Tanaman Perkebunan, dan Hortikultura  - Pertanian Buah-buahan, Perkebunan Kelapa, Perkebunan Kelapa Sawit, Perkebunan Tanaman Untuk Minuman, Perkebunan Jambu</v>
          </cell>
          <cell r="AV48" t="str">
            <v>8402 - Kab. Fak-Fak</v>
          </cell>
        </row>
        <row r="49">
          <cell r="AH49" t="str">
            <v>851 - PT. Garuda Indonesia</v>
          </cell>
          <cell r="AI49" t="str">
            <v>2290 - Pertambangan Biji Logam - Lainnya</v>
          </cell>
          <cell r="AM49" t="str">
            <v>0903 - Demak, Kab.</v>
          </cell>
          <cell r="AN49" t="str">
            <v>EEK - Estonian Kroon</v>
          </cell>
          <cell r="AO49" t="str">
            <v>069 - BANK OF CHINA</v>
          </cell>
          <cell r="AU49" t="str">
            <v>011340 - PERTANIAN, PERBURUAN DAN KEHUTANAN - PERTANIAN DAN PERBURUAN - Pertanian Tanaman Pangan, Tanaman Perkebunan, dan Hortikultura  - Pertanian Buah-buahan, Perkebunan Kelapa, Perkebunan Kelapa Sawit, Perkebunan Tanaman Untuk Minuman, Perkebunan Jambu</v>
          </cell>
          <cell r="AV49" t="str">
            <v>8403 - Kab. Manokwari</v>
          </cell>
        </row>
        <row r="50">
          <cell r="AH50" t="str">
            <v>852 - PT. Telkom</v>
          </cell>
          <cell r="AI50" t="str">
            <v>2300 - Pertambangan Batubara</v>
          </cell>
          <cell r="AM50" t="str">
            <v>0904 - Grobogan, Kab.</v>
          </cell>
          <cell r="AN50" t="str">
            <v>EGP - Egyptian Pound</v>
          </cell>
          <cell r="AO50" t="str">
            <v>071 - SEJAHTERA BANK UMUM</v>
          </cell>
          <cell r="AU50" t="str">
            <v>011351 - PERTANIAN, PERBURUAN DAN KEHUTANAN - PERTANIAN DAN PERBURUAN - Pertanian Tanaman Pangan, Tanaman Perkebunan, dan Hortikultura  - Pertanian Buah-buahan, Perkebunan Kelapa, Perkebunan Kelapa Sawit, Perkebunan Tanaman Untuk Minuman, Perkebunan Jambu</v>
          </cell>
          <cell r="AV50" t="str">
            <v>8404 - Kab. Sorong Selatan</v>
          </cell>
        </row>
        <row r="51">
          <cell r="AH51" t="str">
            <v>853 - PT. Indosat</v>
          </cell>
          <cell r="AI51" t="str">
            <v>2900 - Pertambangan Barang Tambang Lainnya</v>
          </cell>
          <cell r="AM51" t="str">
            <v>0905 - Pekalongan, Kab.</v>
          </cell>
          <cell r="AN51" t="str">
            <v>ERN - Eritreian Nakfa</v>
          </cell>
          <cell r="AO51" t="str">
            <v>074 - BANK ASIA PACIFIC (ASPAC BANK)</v>
          </cell>
          <cell r="AU51" t="str">
            <v>011352 - PERTANIAN, PERBURUAN DAN KEHUTANAN - PERTANIAN DAN PERBURUAN - Pertanian Tanaman Pangan, Tanaman Perkebunan, dan Hortikultura  - Pertanian Buah-buahan, Perkebunan Kelapa, Perkebunan Kelapa Sawit, Perkebunan Tanaman Untuk Minuman, Perkebunan Jambu</v>
          </cell>
          <cell r="AV51" t="str">
            <v>8405 - Kab. Raja Ampat</v>
          </cell>
        </row>
        <row r="52">
          <cell r="AH52" t="str">
            <v>854 - PT. Jasa Marga</v>
          </cell>
          <cell r="AI52" t="str">
            <v>3000 - Perindustrian</v>
          </cell>
          <cell r="AM52" t="str">
            <v>0906 - Tegal, Kab.</v>
          </cell>
          <cell r="AN52" t="str">
            <v>ESB - Spanish Peseta</v>
          </cell>
          <cell r="AO52" t="str">
            <v>076 - BANK BUMI ARTA</v>
          </cell>
          <cell r="AU52" t="str">
            <v>011353 - PERTANIAN, PERBURUAN DAN KEHUTANAN - PERTANIAN DAN PERBURUAN - Pertanian Tanaman Pangan, Tanaman Perkebunan, dan Hortikultura  - Pertanian Buah-buahan, Perkebunan Kelapa, Perkebunan Kelapa Sawit, Perkebunan Tanaman Untuk Minuman, Perkebunan Jambu</v>
          </cell>
          <cell r="AV52" t="str">
            <v>8406 - Kab. Kaimana</v>
          </cell>
        </row>
        <row r="53">
          <cell r="AH53" t="str">
            <v>855 - PT. Timah</v>
          </cell>
          <cell r="AI53" t="str">
            <v>3110 - Industri - Terigu</v>
          </cell>
          <cell r="AM53" t="str">
            <v>0907 - Brebes, Kab.</v>
          </cell>
          <cell r="AN53" t="str">
            <v>ESP - Spanish Peseta</v>
          </cell>
          <cell r="AO53" t="str">
            <v>078 - BANK BAHARI</v>
          </cell>
          <cell r="AU53" t="str">
            <v>011360 - PERTANIAN, PERBURUAN DAN KEHUTANAN - PERTANIAN DAN PERBURUAN - Pertanian Tanaman Pangan, Tanaman Perkebunan, dan Hortikultura  - Pertanian Buah-buahan, Perkebunan Kelapa, Perkebunan Kelapa Sawit, Perkebunan Tanaman Untuk Minuman, Perkebunan Jambu</v>
          </cell>
          <cell r="AV53" t="str">
            <v>8407 - Kab. Teluk Bintuni</v>
          </cell>
        </row>
        <row r="54">
          <cell r="AH54" t="str">
            <v>856 - PT. Aneka Tambang</v>
          </cell>
          <cell r="AI54" t="str">
            <v>3120 - Industri - Gula</v>
          </cell>
          <cell r="AM54" t="str">
            <v>0908 - Pati, Kab.</v>
          </cell>
          <cell r="AN54" t="str">
            <v>ESS - Ecuadoran Sucre</v>
          </cell>
          <cell r="AO54" t="str">
            <v>081 - BANK PELITA</v>
          </cell>
          <cell r="AU54" t="str">
            <v>011370 - PERTANIAN, PERBURUAN DAN KEHUTANAN - PERTANIAN DAN PERBURUAN - Pertanian Tanaman Pangan, Tanaman Perkebunan, dan Hortikultura  - Pertanian Buah-buahan, Perkebunan Kelapa, Perkebunan Kelapa Sawit, Perkebunan Tanaman Untuk Minuman, Perkebunan Jambu</v>
          </cell>
          <cell r="AV54" t="str">
            <v>8408 - Kab. Teluk Wondama</v>
          </cell>
        </row>
        <row r="55">
          <cell r="AH55" t="str">
            <v>857 - Perusahaan Jasa Konstruksi - BUMN</v>
          </cell>
          <cell r="AI55" t="str">
            <v>3130 - Penggilingan Padi (huller)</v>
          </cell>
          <cell r="AM55" t="str">
            <v>0909 - Kudus, Kab.</v>
          </cell>
          <cell r="AN55" t="str">
            <v>ETB - Ethiopian Birr</v>
          </cell>
          <cell r="AO55" t="str">
            <v>082 - BANK SUBENTRA</v>
          </cell>
          <cell r="AU55" t="str">
            <v>011380 - PERTANIAN, PERBURUAN DAN KEHUTANAN - PERTANIAN DAN PERBURUAN - Pertanian Tanaman Pangan, Tanaman Perkebunan, dan Hortikultura  - Pertanian Buah-buahan, Perkebunan Kelapa, Perkebunan Kelapa Sawit, Perkebunan Tanaman Untuk Minuman, Perkebunan Jambu</v>
          </cell>
          <cell r="AV55" t="str">
            <v>8409 - Kab. Tembrauw</v>
          </cell>
        </row>
        <row r="56">
          <cell r="AH56" t="str">
            <v>859 - Lainnya (Bukan Lembaga Keuangan - BUMN)</v>
          </cell>
          <cell r="AI56" t="str">
            <v>3141 - Industri - Minyak Kelapa Sawit Mentah</v>
          </cell>
          <cell r="AM56" t="str">
            <v>0910 - Pemalang, Kab.</v>
          </cell>
          <cell r="AN56" t="str">
            <v>EUR - Euro</v>
          </cell>
          <cell r="AO56" t="str">
            <v>083 - BANK MASHILL UTAMA</v>
          </cell>
          <cell r="AU56" t="str">
            <v>011391 - PERTANIAN, PERBURUAN DAN KEHUTANAN - PERTANIAN DAN PERBURUAN - Pertanian Tanaman Pangan, Tanaman Perkebunan, dan Hortikultura  - Pertanian Buah-buahan, Perkebunan Kelapa, Perkebunan Kelapa Sawit, Perkebunan Tanaman Untuk Minuman, Perkebunan Jambu</v>
          </cell>
          <cell r="AV56" t="str">
            <v>8410 - Kab. Maybrat</v>
          </cell>
        </row>
        <row r="57">
          <cell r="AH57" t="str">
            <v>860 - Badan Usaha Milik Daerah (BUMD)</v>
          </cell>
          <cell r="AI57" t="str">
            <v>3142 - Industri - Minyak Biji Kelapa Sawit</v>
          </cell>
          <cell r="AM57" t="str">
            <v>0911 - Jepara, Kab.</v>
          </cell>
          <cell r="AN57" t="str">
            <v>FIM - Finnis Markka</v>
          </cell>
          <cell r="AO57" t="str">
            <v>084 - BANK MODERN</v>
          </cell>
          <cell r="AU57" t="str">
            <v>011392 - PERTANIAN, PERBURUAN DAN KEHUTANAN - PERTANIAN DAN PERBURUAN - Pertanian Tanaman Pangan, Tanaman Perkebunan, dan Hortikultura  - Pertanian Buah-buahan, Perkebunan Kelapa, Perkebunan Kelapa Sawit, Perkebunan Tanaman Untuk Minuman, Perkebunan Jambu</v>
          </cell>
          <cell r="AV57" t="str">
            <v>8491 - Kota Sorong</v>
          </cell>
        </row>
        <row r="58">
          <cell r="AH58" t="str">
            <v>861 - Lembaga Keuangan Non Bank - BUMD</v>
          </cell>
          <cell r="AI58" t="str">
            <v>3149 - Industri - Minyak Tumbuhan Lainnya</v>
          </cell>
          <cell r="AM58" t="str">
            <v>0912 - Rembang, Kab.</v>
          </cell>
          <cell r="AN58" t="str">
            <v>FJD - Fiji Dollar</v>
          </cell>
          <cell r="AO58" t="str">
            <v xml:space="preserve">085 - </v>
          </cell>
          <cell r="AU58" t="str">
            <v>011399 - PERTANIAN, PERBURUAN DAN KEHUTANAN - PERTANIAN DAN PERBURUAN - Pertanian Tanaman Pangan, Tanaman Perkebunan, dan Hortikultura  - Pertanian Buah-buahan, Perkebunan Kelapa, Perkebunan Kelapa Sawit, Perkebunan Tanaman Untuk Minuman, Perkebunan Jambu</v>
          </cell>
          <cell r="AV58" t="str">
            <v>9999 - DI LUAR INDONESIA</v>
          </cell>
        </row>
        <row r="59">
          <cell r="AH59" t="str">
            <v>862 - Perusahaan Asuransi - BUMD</v>
          </cell>
          <cell r="AI59" t="str">
            <v>3150 - Industri - Garam</v>
          </cell>
          <cell r="AM59" t="str">
            <v>0913 - Blora, Kab.</v>
          </cell>
          <cell r="AN59" t="str">
            <v>FKP - Falkland Islands Pound</v>
          </cell>
          <cell r="AO59" t="str">
            <v>086 - BANK UMUM SERVITIA</v>
          </cell>
          <cell r="AU59" t="str">
            <v xml:space="preserve">012110 - PERTANIAN, PERBURUAN DAN KEHUTANAN - PERTANIAN DAN PERBURUAN - Peternakan  - Pembibitan dan Budidaya Ternak Pembibitan dan Budidaya Sapi Potong </v>
          </cell>
          <cell r="AV59" t="str">
            <v>6105 - Kab. Bone</v>
          </cell>
        </row>
        <row r="60">
          <cell r="AH60" t="str">
            <v>863 - Dana Pensiun - BUMD</v>
          </cell>
          <cell r="AI60" t="str">
            <v>3160 - Industri - Minuman</v>
          </cell>
          <cell r="AM60" t="str">
            <v>0914 - Banyumas, Kab.</v>
          </cell>
          <cell r="AN60" t="str">
            <v>FRF - French Franc</v>
          </cell>
          <cell r="AO60" t="str">
            <v>087 - BANK EKONOMI RAHARJA</v>
          </cell>
          <cell r="AU60" t="str">
            <v xml:space="preserve">012191 - PERTANIAN, PERBURUAN DAN KEHUTANAN - PERTANIAN DAN PERBURUAN - Peternakan  - Pembibitan dan Budidaya Ternak Pembibitan dan Budidaya Domba dan Kambing Potong </v>
          </cell>
          <cell r="AV60" t="str">
            <v>6106 - Kab. Tana Toraja</v>
          </cell>
        </row>
        <row r="61">
          <cell r="AH61" t="str">
            <v>864 - Perusahaan Pembiayaan - BUMD</v>
          </cell>
          <cell r="AI61" t="str">
            <v>3170 - Industri - Tembakau</v>
          </cell>
          <cell r="AM61" t="str">
            <v>0915 - Cilacap, Kab.</v>
          </cell>
          <cell r="AN61" t="str">
            <v>GBP - Pound Sterling (United Kingdom Pound)</v>
          </cell>
          <cell r="AO61" t="str">
            <v>088 - BANK ANTAR DAERAH</v>
          </cell>
          <cell r="AU61" t="str">
            <v>012192 - PERTANIAN, PERBURUAN DAN KEHUTANAN - PERTANIAN DAN PERBURUAN - Peternakan  - Pembibitan dan Budidaya Ternak Pembibitan dan Budidaya Ternak Perah</v>
          </cell>
          <cell r="AV61" t="str">
            <v>6107 - Kab. Maros</v>
          </cell>
        </row>
        <row r="62">
          <cell r="AH62" t="str">
            <v>865 - Modal Ventura - BUMD</v>
          </cell>
          <cell r="AI62" t="str">
            <v>3180 - Industri - Rokok</v>
          </cell>
          <cell r="AM62" t="str">
            <v>0916 - Purbalingga, Kab.</v>
          </cell>
          <cell r="AN62" t="str">
            <v>GEK - Georgian Coupon</v>
          </cell>
          <cell r="AO62" t="str">
            <v>089 - RABOBANK INTERNATIONAL INDONESIA</v>
          </cell>
          <cell r="AU62" t="str">
            <v>012210 - PERTANIAN, PERBURUAN DAN KEHUTANAN - PERTANIAN DAN PERBURUAN - Peternakan  - Pembibitan dan Budidaya Ternak LainnyaPembibitan dan Budidaya Babi</v>
          </cell>
          <cell r="AV62" t="str">
            <v>6109 - Kab. Luwu</v>
          </cell>
        </row>
        <row r="63">
          <cell r="AH63" t="str">
            <v>866 - Perush sekuritas yg tidak melakukan usaha Reksadana - BUMD</v>
          </cell>
          <cell r="AI63" t="str">
            <v>3190 - Industri - Makanan Lainnya</v>
          </cell>
          <cell r="AM63" t="str">
            <v>0917 - Banjarnegara, Kab.</v>
          </cell>
          <cell r="AN63" t="str">
            <v>GEL - Georgian Lari</v>
          </cell>
          <cell r="AO63" t="str">
            <v xml:space="preserve">092 - CORPORATION (FICORINVEST) </v>
          </cell>
          <cell r="AU63" t="str">
            <v>012291 - PERTANIAN, PERBURUAN DAN KEHUTANAN - PERTANIAN DAN PERBURUAN - Peternakan  - Pembibitan dan Budidaya Ternak LainnyaPembibitan dan Budidaya Unggas</v>
          </cell>
          <cell r="AV63" t="str">
            <v>6110 - Kab. Sinjai</v>
          </cell>
        </row>
        <row r="64">
          <cell r="AH64" t="str">
            <v>867 - Perush sekuritas yg melakukan usaha Reksadana - BUMD</v>
          </cell>
          <cell r="AI64" t="str">
            <v>3200 - Industri - Makanan Ternak dan Ikan</v>
          </cell>
          <cell r="AM64" t="str">
            <v>0918 - Magelang, Kab.</v>
          </cell>
          <cell r="AN64" t="str">
            <v>GHC - Ghana Cedi</v>
          </cell>
          <cell r="AO64" t="str">
            <v>093 - BANK IFI</v>
          </cell>
          <cell r="AU64" t="str">
            <v xml:space="preserve">013000 - PERTANIAN, PERBURUAN DAN KEHUTANAN - PERTANIAN DAN PERBURUAN - Kombinasi Pertanian Atau Perkebunan Dengan Peternakan (Mixed Farming) </v>
          </cell>
          <cell r="AV64" t="str">
            <v>6111 - Kab. Bulukumba</v>
          </cell>
        </row>
        <row r="65">
          <cell r="AH65" t="str">
            <v>868 - Perusahaan Reksadana - BUMD</v>
          </cell>
          <cell r="AI65" t="str">
            <v>3310 - Industri - Tekstil</v>
          </cell>
          <cell r="AM65" t="str">
            <v>0919 - Temanggung, Kab.</v>
          </cell>
          <cell r="AN65" t="str">
            <v>GIP - Gibraltar Pound</v>
          </cell>
          <cell r="AO65" t="str">
            <v>094 - BANK PAPAN SEJAHTERA</v>
          </cell>
          <cell r="AU65" t="str">
            <v xml:space="preserve">014000 - PERTANIAN, PERBURUAN DAN KEHUTANAN - PERTANIAN DAN PERBURUAN - Jasa Pertanian, Perkebunan dan Peternakan </v>
          </cell>
          <cell r="AV65" t="str">
            <v>6112 - Kab. Bantaeng</v>
          </cell>
        </row>
        <row r="66">
          <cell r="AH66" t="str">
            <v>870 - Lainnya  (Lemb Keuangan Non Bank - BUMD)</v>
          </cell>
          <cell r="AI66" t="str">
            <v>3320 - Industri - Sandang</v>
          </cell>
          <cell r="AM66" t="str">
            <v>0920 - Wonosobo, Kab.</v>
          </cell>
          <cell r="AN66" t="str">
            <v>GMD - Gambian Dalasi</v>
          </cell>
          <cell r="AO66" t="str">
            <v>095 - BANK MUTIARA, TBK.</v>
          </cell>
          <cell r="AU66" t="str">
            <v xml:space="preserve">015000 - PERTANIAN, PERBURUAN DAN KEHUTANAN - PERTANIAN DAN PERBURUAN - Perburuan Penangkapan dan Penangkaran Satwa Liar </v>
          </cell>
          <cell r="AV66" t="str">
            <v>6113 - Kab. Jeneponto</v>
          </cell>
        </row>
        <row r="67">
          <cell r="AH67" t="str">
            <v>871 - Bukan Lembaga Keuangan - BUMD</v>
          </cell>
          <cell r="AI67" t="str">
            <v>3330 - Industri - Kulit</v>
          </cell>
          <cell r="AM67" t="str">
            <v>0921 - Purworejo, Kab.</v>
          </cell>
          <cell r="AN67" t="str">
            <v>GNF - Guinea Franc</v>
          </cell>
          <cell r="AO67" t="str">
            <v>096 - BANK HARAPAN SANTOSA</v>
          </cell>
          <cell r="AU67" t="str">
            <v xml:space="preserve">020100 - PERTANIAN, PERBURUAN DAN KEHUTANAN - KEHUTANAN  - Kehutanan  - Pengusahaan Hutan Tanaman </v>
          </cell>
          <cell r="AV67" t="str">
            <v>6114 - Kab. Selayar</v>
          </cell>
        </row>
        <row r="68">
          <cell r="AH68" t="str">
            <v>872 - Perusahaan Daerah Air Minum (PDAM)</v>
          </cell>
          <cell r="AI68" t="str">
            <v>3410 - Industri - Bahan Kayu</v>
          </cell>
          <cell r="AM68" t="str">
            <v>0922 - Kebumen, Kab.</v>
          </cell>
          <cell r="AN68" t="str">
            <v>GNS - Guinea Franc/Guinea Syli</v>
          </cell>
          <cell r="AO68" t="str">
            <v>097 - BANK MAYAPADA INTERNATIONAL</v>
          </cell>
          <cell r="AU68" t="str">
            <v xml:space="preserve">020200 - PERTANIAN, PERBURUAN DAN KEHUTANAN - KEHUTANAN  - Kehutanan  - Pengusahaan Hutan Alam </v>
          </cell>
          <cell r="AV68" t="str">
            <v>6115 - Kab. Takalar</v>
          </cell>
        </row>
        <row r="69">
          <cell r="AH69" t="str">
            <v>873 - Perusahaan Daerah Pasar (PD. Pasar)</v>
          </cell>
          <cell r="AI69" t="str">
            <v>3420 - Industri - Perabot Kayu</v>
          </cell>
          <cell r="AM69" t="str">
            <v>0923 - Klaten, Kab.</v>
          </cell>
          <cell r="AN69" t="str">
            <v>GQE - ekwele</v>
          </cell>
          <cell r="AO69" t="str">
            <v>098 - BANK DHARMALA</v>
          </cell>
          <cell r="AU69" t="str">
            <v xml:space="preserve">020300 - PERTANIAN, PERBURUAN DAN KEHUTANAN - KEHUTANAN  - Kehutanan  - Pengusahaan Hasil Hutan Selain Kayu </v>
          </cell>
          <cell r="AV69" t="str">
            <v>6116 - Kab. Barru</v>
          </cell>
        </row>
        <row r="70">
          <cell r="AH70" t="str">
            <v>874 - Lainnya (Bukan Lembaga Keuangan - BUMD)</v>
          </cell>
          <cell r="AI70" t="str">
            <v>3490 - Industri - Kayu Lainnya</v>
          </cell>
          <cell r="AM70" t="str">
            <v>0924 - Boyolali, Kab.</v>
          </cell>
          <cell r="AN70" t="str">
            <v>GRD - Greek Drachma</v>
          </cell>
          <cell r="AO70" t="str">
            <v>099 - BANK INDONESIA RAYA</v>
          </cell>
          <cell r="AU70" t="str">
            <v xml:space="preserve">020400 - PERTANIAN, PERBURUAN DAN KEHUTANAN - KEHUTANAN  - Kehutanan  - Jasa Kehutanan </v>
          </cell>
          <cell r="AV70" t="str">
            <v>6117 - Kab. Sidenreng Rappang</v>
          </cell>
        </row>
        <row r="71">
          <cell r="AH71" t="str">
            <v>875 - Lembaga Keuangan Non Bank - Swasta</v>
          </cell>
          <cell r="AI71" t="str">
            <v>3510 - Industri - Kertas dan Hasil-hasil Kertas</v>
          </cell>
          <cell r="AM71" t="str">
            <v>0925 - Sragen, Kab.</v>
          </cell>
          <cell r="AN71" t="str">
            <v>GTQ - Guatemala Quetzal</v>
          </cell>
          <cell r="AO71" t="str">
            <v>110 - B.P.D. JAWA BARAT &amp; BANTEN</v>
          </cell>
          <cell r="AU71" t="str">
            <v xml:space="preserve">020500 - PERTANIAN, PERBURUAN DAN KEHUTANAN - KEHUTANAN  - Kehutanan  - Usaha Kehutanan Lainnya </v>
          </cell>
          <cell r="AV71" t="str">
            <v>6118 - Kab. Pangkajene Kepulauan</v>
          </cell>
        </row>
        <row r="72">
          <cell r="AH72" t="str">
            <v>876 - Perusahaan asuransi</v>
          </cell>
          <cell r="AI72" t="str">
            <v>3520 - Industri - Percetakan dan Penerbitan</v>
          </cell>
          <cell r="AM72" t="str">
            <v>0926 - Sukoharjo, Kab.</v>
          </cell>
          <cell r="AN72" t="str">
            <v>GWP - Guinea-Bissau Peso</v>
          </cell>
          <cell r="AO72" t="str">
            <v>111 - BPD DKI JAKARTA</v>
          </cell>
          <cell r="AU72" t="str">
            <v>050111 - PERIKANAN  -  PERIKANAN  - Perikanan  - Penangkapan Biota di Laut Penangkapan Ikan di Laut  - Penangkapan Ikan Tuna</v>
          </cell>
          <cell r="AV72" t="str">
            <v>6119 - Kab. Soppeng (d/h Watansoppeng)</v>
          </cell>
        </row>
        <row r="73">
          <cell r="AH73" t="str">
            <v>877 - Dana pensiun LKNB Swasta</v>
          </cell>
          <cell r="AI73" t="str">
            <v>3530 - Industri - Bahan Kertas (Pulp)</v>
          </cell>
          <cell r="AM73" t="str">
            <v>0927 - Karanganyar, Kab.</v>
          </cell>
          <cell r="AN73" t="str">
            <v>GYD - Guyana Dollar</v>
          </cell>
          <cell r="AO73" t="str">
            <v>112 - B.P.D. YOGYAKARTA</v>
          </cell>
          <cell r="AU73" t="str">
            <v>050119 - PERIKANAN  -  PERIKANAN  - Perikanan  - Penangkapan Biota di Laut Penangkapan Ikan di Laut  - Penangkapan Ikan Lainnya</v>
          </cell>
          <cell r="AV73" t="str">
            <v>6121 - Kab. Enrekang</v>
          </cell>
        </row>
        <row r="74">
          <cell r="AH74" t="str">
            <v>878 - Perusahaan Pembiayaan</v>
          </cell>
          <cell r="AI74" t="str">
            <v>3610 - Industri - Pupuk/Obat Hama</v>
          </cell>
          <cell r="AM74" t="str">
            <v>0928 - Wonogiri, Kab.</v>
          </cell>
          <cell r="AN74" t="str">
            <v>HKD - Hong Kong Dollar</v>
          </cell>
          <cell r="AO74" t="str">
            <v>113 - B.P.D. JAWA TENGAH</v>
          </cell>
          <cell r="AU74" t="str">
            <v xml:space="preserve">050121 - PERIKANAN  -  PERIKANAN  - Perikanan  - Penangkapan Biota di Laut Penangkapan Crustacea Laut  - Penangkapan Udang Laut </v>
          </cell>
          <cell r="AV74" t="str">
            <v>6122 - Kab. Luwu Timur (d/h Luwu Selatan)</v>
          </cell>
        </row>
        <row r="75">
          <cell r="AH75" t="str">
            <v>879 - Modal Ventura</v>
          </cell>
          <cell r="AI75" t="str">
            <v>3620 - Industri - Farmasi</v>
          </cell>
          <cell r="AM75" t="str">
            <v>0929 - Batang, Kab.</v>
          </cell>
          <cell r="AN75" t="str">
            <v>HNL - Honduras Lempira</v>
          </cell>
          <cell r="AO75" t="str">
            <v>114 - B.P.D. JAWA TIMUR</v>
          </cell>
          <cell r="AU75" t="str">
            <v>050122 - PERIKANAN  -  PERIKANAN  - Perikanan  - Penangkapan Biota di Laut Penangkapan Crustacea Laut  - Penangkapan Crustacea Lainnya di Laut</v>
          </cell>
          <cell r="AV75" t="str">
            <v>6124 - Kab. Luwu Utara</v>
          </cell>
        </row>
        <row r="76">
          <cell r="AH76" t="str">
            <v>880 - Perush sekuritas yg tidak melakukan kegiatan  usaha Reksadana</v>
          </cell>
          <cell r="AI76" t="str">
            <v>3630 - Industri - Plastik</v>
          </cell>
          <cell r="AM76" t="str">
            <v>0991 - Semarang, Kota.</v>
          </cell>
          <cell r="AN76" t="str">
            <v>HRD - Croatian Dinar</v>
          </cell>
          <cell r="AO76" t="str">
            <v>115 - B.P.D. JAMBI</v>
          </cell>
          <cell r="AU76" t="str">
            <v>050190 - PERIKANAN  -  PERIKANAN  - Perikanan  - Lainnya</v>
          </cell>
          <cell r="AV76" t="str">
            <v>6125 - Kab. Toraja Utara</v>
          </cell>
        </row>
        <row r="77">
          <cell r="AH77" t="str">
            <v>881 - Perush sekuritas yg melakukan kegiatan  usaha Reksadana</v>
          </cell>
          <cell r="AI77" t="str">
            <v>3640 - Industri - Hasil Kimia Lainnya</v>
          </cell>
          <cell r="AM77" t="str">
            <v>0992 - Salatiga, Kota.</v>
          </cell>
          <cell r="AN77" t="str">
            <v>HRK - Croatian Kuna</v>
          </cell>
          <cell r="AO77" t="str">
            <v>116 - B.P.D. ACEH</v>
          </cell>
          <cell r="AU77" t="str">
            <v>050211 - PERIKANAN  -  PERIKANAN  - Budidaya Biota di Laut  - Budidaya Biota di Laut Budidaya Biota Laut Udang</v>
          </cell>
          <cell r="AV77" t="str">
            <v>6191 - Kota Makassar</v>
          </cell>
        </row>
        <row r="78">
          <cell r="AH78" t="str">
            <v>882 - Perusahaan Reksadana</v>
          </cell>
          <cell r="AI78" t="str">
            <v>3650 - Remilling dan Rumah Asap</v>
          </cell>
          <cell r="AM78" t="str">
            <v>0993 - Pekalongan, Kota.</v>
          </cell>
          <cell r="AN78" t="str">
            <v>HTG - Haiti Gourde</v>
          </cell>
          <cell r="AO78" t="str">
            <v>117 - B.P.D. SUMATERA UTARA</v>
          </cell>
          <cell r="AU78" t="str">
            <v>050212 - PERIKANAN  -  PERIKANAN  - Budidaya Biota di Laut  - Budidaya Biota di Laut Budidaya Biota Laut Tuna</v>
          </cell>
          <cell r="AV78" t="str">
            <v>6192 - Kota Pare-Pare</v>
          </cell>
        </row>
        <row r="79">
          <cell r="AH79" t="str">
            <v>883 - Dana Pensiun LKNB Swasta Lainnya</v>
          </cell>
          <cell r="AI79" t="str">
            <v>3660 - Industri - Crumb Rubber</v>
          </cell>
          <cell r="AM79" t="str">
            <v>0994 - Tegal, Kota.</v>
          </cell>
          <cell r="AN79" t="str">
            <v>HUF - Hungarian Forint</v>
          </cell>
          <cell r="AO79" t="str">
            <v>118 - B.P.D. SUMATERA BARAT</v>
          </cell>
          <cell r="AU79" t="str">
            <v>050213 - PERIKANAN  -  PERIKANAN  - Budidaya Biota di Laut  - Budidaya Biota di Laut Budidaya Biota Laut Rumput Laut</v>
          </cell>
          <cell r="AV79" t="str">
            <v>6193 - Kota Palopo</v>
          </cell>
        </row>
        <row r="80">
          <cell r="AH80" t="str">
            <v>884 - Baitul Maal Wa Tamwil (BMT)</v>
          </cell>
          <cell r="AI80" t="str">
            <v>3670 - Industri - Hasil Karet Lainnya</v>
          </cell>
          <cell r="AM80" t="str">
            <v>0995 - Magelang, Kota.</v>
          </cell>
          <cell r="AN80" t="str">
            <v>IDR - Indonesian Rupiah</v>
          </cell>
          <cell r="AO80" t="str">
            <v>119 - B.P.D. RIAU</v>
          </cell>
          <cell r="AU80" t="str">
            <v>050219 - PERIKANAN  -  PERIKANAN  - Budidaya Biota di Laut  - Budidaya Biota di Laut Budidaya Biota Laut Lainnya</v>
          </cell>
          <cell r="AV80" t="str">
            <v>6202 - Kab. Minahasa</v>
          </cell>
        </row>
        <row r="81">
          <cell r="AH81" t="str">
            <v>885 - Koperasi Primer (Simpan Pinjam)</v>
          </cell>
          <cell r="AI81" t="str">
            <v>3680 - Industri - Minyak Atsiri</v>
          </cell>
          <cell r="AM81" t="str">
            <v>0996 - Surakarta, Kota.</v>
          </cell>
          <cell r="AN81" t="str">
            <v>IEP - Irish Punt</v>
          </cell>
          <cell r="AO81" t="str">
            <v>120 - B.P.D. SUMATERA SELATAN DAN BABEL</v>
          </cell>
          <cell r="AU81" t="str">
            <v xml:space="preserve">050220 - PERIKANAN  -  PERIKANAN  - Budidaya Biota di Laut  - Pembenihan Biota Laut </v>
          </cell>
          <cell r="AV81" t="str">
            <v>6203 - Kab. Bolaang Mongondow</v>
          </cell>
        </row>
        <row r="82">
          <cell r="AH82" t="str">
            <v>886 - Koperasi Lainnya (Simpan Pinjam)</v>
          </cell>
          <cell r="AI82" t="str">
            <v>3690 - Industri - Bahan Kimia/Hasil Minyak Bumi, Batu Bara Lainnya</v>
          </cell>
          <cell r="AM82" t="str">
            <v>1201 - Gresik, Kab.</v>
          </cell>
          <cell r="AN82" t="str">
            <v>ILS - Israeli Shekel</v>
          </cell>
          <cell r="AO82" t="str">
            <v>121 - B.P.D. LAMPUNG</v>
          </cell>
          <cell r="AU82" t="str">
            <v xml:space="preserve">050310 - PERIKANAN  -  PERIKANAN  - Penangkapan Biota di Perairan Umum  - Penangkapan Ikan di Perairan Umum </v>
          </cell>
          <cell r="AV82" t="str">
            <v>6204 - Kab. Kepulauan Sangihe</v>
          </cell>
        </row>
        <row r="83">
          <cell r="AH83" t="str">
            <v>887 - Ktr Perwk Lemb Asing di Indonesia (Lemb. Keu - Swasta)</v>
          </cell>
          <cell r="AI83" t="str">
            <v>3710 - Industri Pengolahan Hasil Tambang Bukan Logam, selain Hasil Minyak Bumi &amp; Batu Bara - Semen</v>
          </cell>
          <cell r="AM83" t="str">
            <v>1202 - Sidoarjo, Kab.</v>
          </cell>
          <cell r="AN83" t="str">
            <v>INR - Indian Rupee</v>
          </cell>
          <cell r="AO83" t="str">
            <v>122 - PT. BPD KALIMANTAN SELATAN</v>
          </cell>
          <cell r="AU83" t="str">
            <v xml:space="preserve">050320 - PERIKANAN  -  PERIKANAN  - Penangkapan Biota di Perairan Umum  - Penangkapan Crustacea, Mollusca, dan Biota Lainnya di Perairan Umum </v>
          </cell>
          <cell r="AV83" t="str">
            <v>6205 - Kab. kepulauan Talaud</v>
          </cell>
        </row>
        <row r="84">
          <cell r="AH84" t="str">
            <v>889 - Lainnya (Lembaga Keuangan non Bank Lainnya - Swasta)</v>
          </cell>
          <cell r="AI84" t="str">
            <v>3720 - Industri Pengolahan Hasil Tambang Bukan Logam, selain Hasil Minyak Bumi &amp; Batu Bara - Batu Bata/Genteng</v>
          </cell>
          <cell r="AM84" t="str">
            <v>1203 - Mojokerto, Kab.</v>
          </cell>
          <cell r="AN84" t="str">
            <v>IQD - Iraqi Dinar</v>
          </cell>
          <cell r="AO84" t="str">
            <v>123 - B.P.D. KALIMANTAN BARAT</v>
          </cell>
          <cell r="AU84" t="str">
            <v>050411 - PERIKANAN  -  PERIKANAN  - Budidaya Biota Air Tawar dan Air Payau - Budidaya Biota Air Tawar Budidaya Biota Air Tawar Udang</v>
          </cell>
          <cell r="AV84" t="str">
            <v>6206 - Kab. Minahasa Selatan</v>
          </cell>
        </row>
        <row r="85">
          <cell r="AH85" t="str">
            <v>890 - Bukan Lembaga Keuangan - Swasta</v>
          </cell>
          <cell r="AI85" t="str">
            <v>3730 - Industri Pengolahan Hasil Tambang Bukan Logam, selain Hasil Minyak Bumi &amp; Batu Bara - Keramik</v>
          </cell>
          <cell r="AM85" t="str">
            <v>1204 - Jombang, Kab.</v>
          </cell>
          <cell r="AN85" t="str">
            <v>IRR - Iranian Rial</v>
          </cell>
          <cell r="AO85" t="str">
            <v>124 - B.P.D. KALIMANTAN TIMUR</v>
          </cell>
          <cell r="AU85" t="str">
            <v>050419 - PERIKANAN  -  PERIKANAN  - Budidaya Biota Air Tawar dan Air Payau - Budidaya Biota Air Tawar Budidaya Biota Air Tawar Lainnya</v>
          </cell>
          <cell r="AV85" t="str">
            <v>6207 - Kab. Minahasa Utara</v>
          </cell>
        </row>
        <row r="86">
          <cell r="AH86" t="str">
            <v>891 - Perusahaan Otomotif</v>
          </cell>
          <cell r="AI86" t="str">
            <v>3790 - Industri Pengolahan Hasil Tambang Bukan Logam, selain Hasil Minyak Bumi &amp; Batu Bara - Lainnya</v>
          </cell>
          <cell r="AM86" t="str">
            <v>1205 - Sampang, Kab.</v>
          </cell>
          <cell r="AN86" t="str">
            <v>ISK - Icelandic Krona</v>
          </cell>
          <cell r="AO86" t="str">
            <v>125 - B.P.D. KALIMANTAN TENGAH</v>
          </cell>
          <cell r="AU86" t="str">
            <v>050421 - PERIKANAN  -  PERIKANAN  - Budidaya Biota Air Tawar dan Air Payau - Budidaya Biota Air payau Budidaya Biota Air Payau Udang</v>
          </cell>
          <cell r="AV86" t="str">
            <v>6209 - Kab. Minahasa Tenggara</v>
          </cell>
        </row>
        <row r="87">
          <cell r="AH87" t="str">
            <v>892 - Perusahaan Perminyakan</v>
          </cell>
          <cell r="AI87" t="str">
            <v>3810 - Industri Logam Dasar - Besi Baja</v>
          </cell>
          <cell r="AM87" t="str">
            <v>1206 - Pamekasan, Kab.</v>
          </cell>
          <cell r="AN87" t="str">
            <v>ISS - Israeli Shekel</v>
          </cell>
          <cell r="AO87" t="str">
            <v>126 - B.P.D. SULAWESI SELATAN</v>
          </cell>
          <cell r="AU87" t="str">
            <v>050429 - PERIKANAN  -  PERIKANAN  - Budidaya Biota Air Tawar dan Air Payau - Budidaya Biota Air payau Budidaya Biota Air Payau Lainnya</v>
          </cell>
          <cell r="AV87" t="str">
            <v>6210 - Kab. Bolaang Mongondow Utara</v>
          </cell>
        </row>
        <row r="88">
          <cell r="AH88" t="str">
            <v>893 - Perusahaan Tekstil</v>
          </cell>
          <cell r="AI88" t="str">
            <v>3890 - Industri Logam Dasar - Lainnya</v>
          </cell>
          <cell r="AM88" t="str">
            <v>1207 - Sumenep, Kab.</v>
          </cell>
          <cell r="AN88" t="str">
            <v>ITL - Italian Lira</v>
          </cell>
          <cell r="AO88" t="str">
            <v>127 - B.P.D. SULAWESI UTARA</v>
          </cell>
          <cell r="AU88" t="str">
            <v xml:space="preserve">050490 - PERIKANAN  -  PERIKANAN  - Budidaya Biota Air Tawar dan Air Payau - Pembenihan Biota Air Tawar dan Air Payau </v>
          </cell>
          <cell r="AV88" t="str">
            <v>6211 - Kab. Kepulauan Sitaro</v>
          </cell>
        </row>
        <row r="89">
          <cell r="AH89" t="str">
            <v>894 - Perusahaan Perkayuan (HPH)</v>
          </cell>
          <cell r="AI89" t="str">
            <v>3911 - Perakitan Komponen Luar Negeri - Maritim</v>
          </cell>
          <cell r="AM89" t="str">
            <v>1208 - Bangkalan, Kab.</v>
          </cell>
          <cell r="AN89" t="str">
            <v>JMD - Jamaican Dollar</v>
          </cell>
          <cell r="AO89" t="str">
            <v>128 - B.P.D. NUSA TENGGARA BARAT</v>
          </cell>
          <cell r="AU89" t="str">
            <v xml:space="preserve">050510 - PERIKANAN  -  PERIKANAN  - Jasa Perikanan  - Jasa Sarana Produksi Perikanan Laut </v>
          </cell>
          <cell r="AV89" t="str">
            <v>6212 - Kab. Bolaang Mongondow Selatan</v>
          </cell>
        </row>
        <row r="90">
          <cell r="AH90" t="str">
            <v>895 - Perusahaan Jasa Konstruksi</v>
          </cell>
          <cell r="AI90" t="str">
            <v>3912 - Perakitan Komponen Luar Negeri - Otomotif</v>
          </cell>
          <cell r="AM90" t="str">
            <v>1209 - Bondowoso, Kab.</v>
          </cell>
          <cell r="AN90" t="str">
            <v>JOD - Jordanian Dinar</v>
          </cell>
          <cell r="AO90" t="str">
            <v>129 - B.P.D. BALI</v>
          </cell>
          <cell r="AU90" t="str">
            <v xml:space="preserve">050580 - PERIKANAN  -  PERIKANAN  - Jasa Perikanan  - Jasa Sarana Produksi Perikanan Darat </v>
          </cell>
          <cell r="AV90" t="str">
            <v>6213 - Kab. Bolaang Mongondow Timur</v>
          </cell>
        </row>
        <row r="91">
          <cell r="AH91" t="str">
            <v>896 - Perusahaan Industri Rokok</v>
          </cell>
          <cell r="AI91" t="str">
            <v>3913 - Perakitan Komponen Luar Negeri - Elektronika</v>
          </cell>
          <cell r="AM91" t="str">
            <v>1211 - Banyuwangi, Kab.</v>
          </cell>
          <cell r="AN91" t="str">
            <v>JPY - Japanese Yen</v>
          </cell>
          <cell r="AO91" t="str">
            <v>130 - B.P.D. NUSA TENGGARA TIMUR</v>
          </cell>
          <cell r="AU91" t="str">
            <v>050590 - PERIKANAN  -  PERIKANAN  - Jasa Perikanan  - Jasa Perikanan Lainnya</v>
          </cell>
          <cell r="AV91" t="str">
            <v>6291 - Kota Menado</v>
          </cell>
        </row>
        <row r="92">
          <cell r="AH92" t="str">
            <v>897 - Perusahaan Industri Makanan</v>
          </cell>
          <cell r="AI92" t="str">
            <v>3914 - Perakitan Komponen Luar Negeri - Alat pertanian</v>
          </cell>
          <cell r="AM92" t="str">
            <v>1212 - Jember, Kab.</v>
          </cell>
          <cell r="AN92" t="str">
            <v>KES - Kenyan Shilling</v>
          </cell>
          <cell r="AO92" t="str">
            <v>131 - B.P.D. MALUKU</v>
          </cell>
          <cell r="AU92" t="str">
            <v>101000 - PERTAMBANGAN DAN PENGGALIAN - PERTAMBANGAN BATUBARA, PENGGALIAN GAMBUT, GASIFIKASI BATUBARA DAN PEMBUATAN BRIKET BATUBARA  - Pertambangan Batubara, Penggalian Gambut, dan Gasifikasi Batubara</v>
          </cell>
          <cell r="AV92" t="str">
            <v>6292 - Kota Kotamobagu</v>
          </cell>
        </row>
        <row r="93">
          <cell r="AH93" t="str">
            <v>898 - Perusahaan Agrobusiness</v>
          </cell>
          <cell r="AI93" t="str">
            <v>3919 - Perakitan Komponen Luar Negeri Lainnya</v>
          </cell>
          <cell r="AM93" t="str">
            <v>1213 - Malang, Kab.</v>
          </cell>
          <cell r="AN93" t="str">
            <v>KGS - Kyrgyzstan Som</v>
          </cell>
          <cell r="AO93" t="str">
            <v>132 - B.P.D. PAPUA</v>
          </cell>
          <cell r="AU93" t="str">
            <v xml:space="preserve">102000 - PERTAMBANGAN DAN PENGGALIAN - PERTAMBANGAN BATUBARA, PENGGALIAN GAMBUT, GASIFIKASI BATUBARA DAN PEMBUATAN BRIKET BATUBARA  - Pembuatan Briket Batubara </v>
          </cell>
          <cell r="AV93" t="str">
            <v>6293 - Kota Bitung</v>
          </cell>
        </row>
        <row r="94">
          <cell r="AH94" t="str">
            <v>900 - Perusahaan lainnya - Swasta</v>
          </cell>
          <cell r="AI94" t="str">
            <v>3921 - Perakitan Komponen Dalam Negeri - Maritim</v>
          </cell>
          <cell r="AM94" t="str">
            <v>1214 - Pasuruan, Kab.</v>
          </cell>
          <cell r="AN94" t="str">
            <v>KHR - Cambodia Riel</v>
          </cell>
          <cell r="AO94" t="str">
            <v>133 - B.P.D. BENGKULU</v>
          </cell>
          <cell r="AU94" t="str">
            <v>111010 - PERTAMBANGAN DAN PENGGALIAN - PERTAMBANGAN DAN JASA PERTAMBANGAN MINYAK DAN GAS BUMI - Pertambangan Minyak dan Gas Bumi, Serta Pengusahaan Tenaga Panas Bumi  - Pertambangan Minyak dan Gas Bumi, Serta Pengusahaan Tenaga Panas Bumi Pertambangan Min</v>
          </cell>
          <cell r="AV94" t="str">
            <v>6294 - Kota. Tomohon</v>
          </cell>
        </row>
        <row r="95">
          <cell r="AH95" t="str">
            <v>901 - Koperasi Primer (Bukan Simpan Pinjam)</v>
          </cell>
          <cell r="AI95" t="str">
            <v>3922 - Perakitan Komponen Dalam Negeri - Otomotif</v>
          </cell>
          <cell r="AM95" t="str">
            <v>1215 - Probolinggo, Kab.</v>
          </cell>
          <cell r="AN95" t="str">
            <v>KMF - Comoros Franc</v>
          </cell>
          <cell r="AO95" t="str">
            <v>134 - B.P.D. SULAWESI TENGAH</v>
          </cell>
          <cell r="AU95" t="str">
            <v>111020 - PERTAMBANGAN DAN PENGGALIAN - PERTAMBANGAN DAN JASA PERTAMBANGAN MINYAK DAN GAS BUMI - Pertambangan Minyak dan Gas Bumi, Serta Pengusahaan Tenaga Panas Bumi  - Pertambangan Minyak dan Gas Bumi, Serta Pengusahaan Tenaga Panas Bumi Pengusahaan Tena</v>
          </cell>
          <cell r="AV95" t="str">
            <v>6301 - Kab. Gorontalo</v>
          </cell>
        </row>
        <row r="96">
          <cell r="AH96" t="str">
            <v>902 - Koperasi Lainnya (Bukan Simpan Pinjam)</v>
          </cell>
          <cell r="AI96" t="str">
            <v>3923 - Perakitan Komponen Dalam Negeri - Elektronika</v>
          </cell>
          <cell r="AM96" t="str">
            <v>1216 - Lumajang, Kab.</v>
          </cell>
          <cell r="AN96" t="str">
            <v>KPW - North Korean Won</v>
          </cell>
          <cell r="AO96" t="str">
            <v>135 - B.P.D. SULAWESI TENGGARA</v>
          </cell>
          <cell r="AU96" t="str">
            <v xml:space="preserve">112000 - PERTAMBANGAN DAN PENGGALIAN - PERTAMBANGAN DAN JASA PERTAMBANGAN MINYAK DAN GAS BUMI - Pertambangan Minyak dan Gas Bumi, Serta Pengusahaan Tenaga Panas Bumi  - Pertambangan Minyak dan Gas Bumi, Serta Pengusahaan Tenaga Panas Bumi </v>
          </cell>
          <cell r="AV96" t="str">
            <v>6302 - Kab. Bualemo</v>
          </cell>
        </row>
        <row r="97">
          <cell r="AH97" t="str">
            <v>903 - Badan Amil Zakat Infaq dan Shadaqah (BAZIS)</v>
          </cell>
          <cell r="AI97" t="str">
            <v>3924 - Perakitan Komponen Dalam Negeri - Alat pertanian</v>
          </cell>
          <cell r="AM97" t="str">
            <v>1217 - Kediri, Kab.</v>
          </cell>
          <cell r="AN97" t="str">
            <v>KRW - Korean Won</v>
          </cell>
          <cell r="AO97" t="str">
            <v>136 - BPD TIMOR TIMUR</v>
          </cell>
          <cell r="AU97" t="str">
            <v xml:space="preserve">120000 - PERTAMBANGAN DAN PENGGALIAN - PERTAMBANGAN BIJIH URANIUM DAN THORIUM </v>
          </cell>
          <cell r="AV97" t="str">
            <v>6303 - Kab. Bonebolango</v>
          </cell>
        </row>
        <row r="98">
          <cell r="AH98" t="str">
            <v>904 - Lembaga Pendidikan</v>
          </cell>
          <cell r="AI98" t="str">
            <v>3929 - Perakitan Komponen Dalam Negeri Lainnya</v>
          </cell>
          <cell r="AM98" t="str">
            <v>1218 - Nganjuk, Kab.</v>
          </cell>
          <cell r="AN98" t="str">
            <v>KTS - Kazakhstan Tenge</v>
          </cell>
          <cell r="AO98" t="str">
            <v>140 - BANK CITRA MAKMUR ASIA</v>
          </cell>
          <cell r="AU98" t="str">
            <v xml:space="preserve">131000 - PERTAMBANGAN DAN PENGGALIAN - PERTAMBANGAN BIJIH LOGAM  - Pertambangan Pasir Besi dan Bijih Besi </v>
          </cell>
          <cell r="AV98" t="str">
            <v>6304 - Kab. Pohuwato</v>
          </cell>
        </row>
        <row r="99">
          <cell r="AH99" t="str">
            <v>906 - Lainnya (Yayasan, Badan Sosial dan Ormas)</v>
          </cell>
          <cell r="AI99" t="str">
            <v>3931 - Pembuatan Komponen - Maritim</v>
          </cell>
          <cell r="AM99" t="str">
            <v>1219 - Tulungagung, Kab.</v>
          </cell>
          <cell r="AN99" t="str">
            <v>KWD - Kuwaiti Dinar</v>
          </cell>
          <cell r="AO99" t="str">
            <v>141 - BANK LAUTAN BERLIAN</v>
          </cell>
          <cell r="AU99" t="str">
            <v xml:space="preserve">132010 - PERTAMBANGAN DAN PENGGALIAN - PERTAMBANGAN BIJIH LOGAM  - Pertambangan Logam dan Bijih Timah - Pertambangan Logam dan Bijih TimahPertambangan Bijih Timah </v>
          </cell>
          <cell r="AV99" t="str">
            <v>6305 - Kab. Gorontalo Utara</v>
          </cell>
        </row>
        <row r="100">
          <cell r="AH100" t="str">
            <v>907 - PENDUDUK - Perorangan</v>
          </cell>
          <cell r="AI100" t="str">
            <v>3932 - Pembuatan Komponen - Otomotif</v>
          </cell>
          <cell r="AM100" t="str">
            <v>1220 - Trenggalek, Kab.</v>
          </cell>
          <cell r="AN100" t="str">
            <v>KYD - Cayman Islands Dollar</v>
          </cell>
          <cell r="AO100" t="str">
            <v>142 - BANK KHARISMA</v>
          </cell>
          <cell r="AU100" t="str">
            <v xml:space="preserve">132020 - PERTAMBANGAN DAN PENGGALIAN - PERTAMBANGAN BIJIH LOGAM  - Pertambangan Logam dan Bijih Timah - Pertambangan Logam dan Bijih TimahPertambangan Bijih Bauksit </v>
          </cell>
          <cell r="AV100" t="str">
            <v>6391 - Kota Gorontalo</v>
          </cell>
        </row>
        <row r="101">
          <cell r="AH101" t="str">
            <v>908 - Kantor Perwk Lemb Asing di Indonesia (Bukan Lemb Keu - Swasta)</v>
          </cell>
          <cell r="AI101" t="str">
            <v>3933 - Pembuatan Komponen - Elektronika</v>
          </cell>
          <cell r="AM101" t="str">
            <v>1221 - Blitar, Kab.</v>
          </cell>
          <cell r="AN101" t="str">
            <v>KYS - Kyrgyzstan Som</v>
          </cell>
          <cell r="AO101" t="str">
            <v>143 - BANK NAMURA INTERNUSA</v>
          </cell>
          <cell r="AU101" t="str">
            <v xml:space="preserve">132030 - PERTAMBANGAN DAN PENGGALIAN - PERTAMBANGAN BIJIH LOGAM  - Pertambangan Logam dan Bijih Timah - Pertambangan Logam dan Bijih TimahPertambangan Bijih Tembaga </v>
          </cell>
          <cell r="AV101" t="str">
            <v>6401 - Kab. Polewali Mandar</v>
          </cell>
        </row>
        <row r="102">
          <cell r="AH102" t="str">
            <v>910 - Lainnya (Bukan Lembaga Keuangan - Swasta)</v>
          </cell>
          <cell r="AI102" t="str">
            <v>3934 - Pembuatan Komponen - Alat pertanian</v>
          </cell>
          <cell r="AM102" t="str">
            <v>1222 - Madiun, Kab.</v>
          </cell>
          <cell r="AN102" t="str">
            <v>KZT - Kazakhstan Tenge</v>
          </cell>
          <cell r="AO102" t="str">
            <v>144 - BANK ANDROMEDA</v>
          </cell>
          <cell r="AU102" t="str">
            <v xml:space="preserve">132040 - PERTAMBANGAN DAN PENGGALIAN - PERTAMBANGAN BIJIH LOGAM  - Pertambangan Logam dan Bijih Timah - Pertambangan Logam dan Bijih TimahPertambangan Bijih Nikel </v>
          </cell>
          <cell r="AV102" t="str">
            <v>6402 - Kab. Majene</v>
          </cell>
        </row>
        <row r="103">
          <cell r="AH103" t="str">
            <v>911 - Pemerintah Pusat di Luar Negeri</v>
          </cell>
          <cell r="AI103" t="str">
            <v>3939 - Pembuatan Komponen Lainnya</v>
          </cell>
          <cell r="AM103" t="str">
            <v>1223 - Ngawi, Kab.</v>
          </cell>
          <cell r="AN103" t="str">
            <v>LAK - Laos New Kip</v>
          </cell>
          <cell r="AO103" t="str">
            <v>145 - BANK NUSANTARA PARAHYANGAN</v>
          </cell>
          <cell r="AU103" t="str">
            <v>132061 - PERTAMBANGAN DAN PENGGALIAN - PERTAMBANGAN BIJIH LOGAM  - Pertambangan Logam dan Bijih Timah - Pertambangan Logam dan Bijih TimahPertambangan Emas dan Perak - Pertambangan Emas</v>
          </cell>
          <cell r="AV103" t="str">
            <v>6403 - Kab. Mamasa</v>
          </cell>
        </row>
        <row r="104">
          <cell r="AH104" t="str">
            <v>912 - Perwakilan Negara-negara Asing dan Stafnya</v>
          </cell>
          <cell r="AI104" t="str">
            <v>3990 - Industri - Lainnya</v>
          </cell>
          <cell r="AM104" t="str">
            <v>1224 - Magetan, Kab.</v>
          </cell>
          <cell r="AN104" t="str">
            <v>LBP - Lebanese Pound</v>
          </cell>
          <cell r="AO104" t="str">
            <v>146 - PT. BANK OF INDIA INDONESIA, TBK</v>
          </cell>
          <cell r="AU104" t="str">
            <v xml:space="preserve">132062 - PERTAMBANGAN DAN PENGGALIAN - PERTAMBANGAN BIJIH LOGAM  - Pertambangan Logam dan Bijih Timah - Pertambangan Logam dan Bijih TimahPertambangan Emas dan Perak - Pertambangan Perak </v>
          </cell>
          <cell r="AV104" t="str">
            <v>6404 - Kab. Mamuju Utara</v>
          </cell>
        </row>
        <row r="105">
          <cell r="AH105" t="str">
            <v>913 - Badan Usaha Milik Negara (BUMN) Milik Negara Asing</v>
          </cell>
          <cell r="AI105" t="str">
            <v>4000 - Listrik, Gas, dan Air</v>
          </cell>
          <cell r="AM105" t="str">
            <v>1225 - Ponorogo, Kab.</v>
          </cell>
          <cell r="AN105" t="str">
            <v>LKR - Sri Langka Rupee</v>
          </cell>
          <cell r="AO105" t="str">
            <v>147 - BANK MUAMALAT INDONESIA</v>
          </cell>
          <cell r="AU105" t="str">
            <v xml:space="preserve">132090 - PERTAMBANGAN DAN PENGGALIAN - PERTAMBANGAN BIJIH LOGAM  - Pertambangan Logam dan Bijih Timah - Pertambangan Logam dan Bijih TimahBahan Galian Lainnya yang Tidak Mengandung Bijih Besi </v>
          </cell>
          <cell r="AV105" t="str">
            <v>6491 - Kota Mamuju</v>
          </cell>
        </row>
        <row r="106">
          <cell r="AH106" t="str">
            <v>914 - Lemb Keu Bukan Bank yg Beroperasi di Luar Indonesia</v>
          </cell>
          <cell r="AI106" t="str">
            <v>4110 - Listrik Pedesaan</v>
          </cell>
          <cell r="AM106" t="str">
            <v>1226 - Pacitan, Kab.</v>
          </cell>
          <cell r="AN106" t="str">
            <v>LRD - Liberian Dollar</v>
          </cell>
          <cell r="AO106" t="str">
            <v>148 - BANK DAGANG DAN INDUSTRI</v>
          </cell>
          <cell r="AU106" t="str">
            <v>141000 - PERTAMBANGAN DAN PENGGALIAN - PENGGALIAN BATU-BATUAN, TANAH LIAT DAN PASIR, SERTA PERTAMBANGAN MINERAL DAN BAHAN KIMIA  - Penggalian Batu-batuan, Tanah Liat dan Pasir  - Penggalian Batu-batuan, Tanah Liat dan Pasir</v>
          </cell>
          <cell r="AV106" t="str">
            <v>6901 - Kab. Buton</v>
          </cell>
        </row>
        <row r="107">
          <cell r="AH107" t="str">
            <v>915 - Perusahaan Swasta di Luar Negeri</v>
          </cell>
          <cell r="AI107" t="str">
            <v>4190 - Listrik Lainnya</v>
          </cell>
          <cell r="AM107" t="str">
            <v>1227 - Bojonegoro, Kab.</v>
          </cell>
          <cell r="AN107" t="str">
            <v>LSL - Loti Lesotho</v>
          </cell>
          <cell r="AO107" t="str">
            <v>149 - BANK HASTIN INTERNASIONAL</v>
          </cell>
          <cell r="AU107" t="str">
            <v xml:space="preserve">142100 - PERTAMBANGAN DAN PENGGALIAN - PENGGALIAN BATU-BATUAN, TANAH LIAT DAN PASIR, SERTA PERTAMBANGAN MINERAL DAN BAHAN KIMIA  - Pertambangan dan Penggalian yang Tidak Diklasifikasikan di Tempat Lain  - Pertambangan Mineral, Bahan Kimia dan Bahan Pupuk </v>
          </cell>
          <cell r="AV107" t="str">
            <v>6903 - Kab. Muna</v>
          </cell>
        </row>
        <row r="108">
          <cell r="AH108" t="str">
            <v>916 - BUKAN PENDUDUK - Perorangan</v>
          </cell>
          <cell r="AI108" t="str">
            <v>4200 - Gas</v>
          </cell>
          <cell r="AM108" t="str">
            <v>1228 - Tuban, Kab.</v>
          </cell>
          <cell r="AN108" t="str">
            <v>LSM - Lesotho Maloti</v>
          </cell>
          <cell r="AO108" t="str">
            <v>150 - BANK SAHID GAJAH PERKASA</v>
          </cell>
          <cell r="AU108" t="str">
            <v xml:space="preserve">142200 - PERTAMBANGAN DAN PENGGALIAN - PENGGALIAN BATU-BATUAN, TANAH LIAT DAN PASIR, SERTA PERTAMBANGAN MINERAL DAN BAHAN KIMIA  - Pertambangan dan Penggalian yang Tidak Diklasifikasikan di Tempat Lain  - Ekstraksi Garam </v>
          </cell>
          <cell r="AV108" t="str">
            <v>6904 - Kab. Kolaka</v>
          </cell>
        </row>
        <row r="109">
          <cell r="AH109" t="str">
            <v>917 - Islamic Development Bank (IDB)</v>
          </cell>
          <cell r="AI109" t="str">
            <v>4300 - Air</v>
          </cell>
          <cell r="AM109" t="str">
            <v>1229 - Lamongan, Kab.</v>
          </cell>
          <cell r="AN109" t="str">
            <v>LTL - Lithuanian Litas</v>
          </cell>
          <cell r="AO109" t="str">
            <v>151 - BANK MESTIKA DHARMA</v>
          </cell>
          <cell r="AU109" t="str">
            <v>142900 - PERTAMBANGAN DAN PENGGALIAN - PENGGALIAN BATU-BATUAN, TANAH LIAT DAN PASIR, SERTA PERTAMBANGAN MINERAL DAN BAHAN KIMIA  - Pertambangan dan Penggalian yang Tidak Diklasifikasikan di Tempat Lain  - Pertambangan dan Penggalian Lainnya</v>
          </cell>
          <cell r="AV109" t="str">
            <v>6905 - Kab. Wakatobi</v>
          </cell>
        </row>
        <row r="110">
          <cell r="AH110" t="str">
            <v>918 - Asian Development Bank (ADB)</v>
          </cell>
          <cell r="AI110" t="str">
            <v>5000 - Konstruksi</v>
          </cell>
          <cell r="AM110" t="str">
            <v>1230 - Situbondo, Kab.</v>
          </cell>
          <cell r="AN110" t="str">
            <v>LTT - Litas</v>
          </cell>
          <cell r="AO110" t="str">
            <v>152 - BANK METRO EKSPRES</v>
          </cell>
          <cell r="AU110" t="str">
            <v xml:space="preserve">151110 - INDUSTRI PENGOLAHAN - INDUSTRI MAKANAN DAN MINUMAN  - Pengolahan dan Pengawetan Daging, Ikan, Buah-buahan, Sayuran, Minyak dan Lemak  - Pemotongan Hewan dan pengawetan Daging Industri Pemotongan Hewan </v>
          </cell>
          <cell r="AV110" t="str">
            <v>6906 - Kab. Konawe</v>
          </cell>
        </row>
        <row r="111">
          <cell r="AH111" t="str">
            <v>919 - World Bank</v>
          </cell>
          <cell r="AI111" t="str">
            <v>5110 - Konstruksi - Perumahan Sederhana BTN</v>
          </cell>
          <cell r="AM111" t="str">
            <v>1271 - Batu, Kota.</v>
          </cell>
          <cell r="AN111" t="str">
            <v>LUF - Luxembourg Franc</v>
          </cell>
          <cell r="AO111" t="str">
            <v>153 - BANK SINARMAS</v>
          </cell>
          <cell r="AU111" t="str">
            <v xml:space="preserve">151120 - INDUSTRI PENGOLAHAN - INDUSTRI MAKANAN DAN MINUMAN  - Pengolahan dan Pengawetan Daging, Ikan, Buah-buahan, Sayuran, Minyak dan Lemak  - Pemotongan Hewan dan pengawetan Daging Industri Pengolahan dan Pengawetan Daging </v>
          </cell>
          <cell r="AV111" t="str">
            <v>6907 - Kab. Konawe Selatan</v>
          </cell>
        </row>
        <row r="112">
          <cell r="AH112" t="str">
            <v>921 - Lainnya (Bank Pembangunan multilateral)</v>
          </cell>
          <cell r="AI112" t="str">
            <v>5120 - Konstruksi - Perumahan Sederhana PERUMNAS</v>
          </cell>
          <cell r="AM112" t="str">
            <v>1291 - Surabaya, Kota.</v>
          </cell>
          <cell r="AN112" t="str">
            <v>LVL - Latvian Lats</v>
          </cell>
          <cell r="AO112" t="str">
            <v>154 - BANK TATA INTERNATIONAL</v>
          </cell>
          <cell r="AU112" t="str">
            <v xml:space="preserve">151200 - INDUSTRI PENGOLAHAN - INDUSTRI MAKANAN DAN MINUMAN  - Pengolahan dan Pengawetan Daging, Ikan, Buah-buahan, Sayuran, Minyak dan Lemak  - Industri Pengolahan dan Pengawetan Ikan dan Biota Perairan Lainnya </v>
          </cell>
          <cell r="AV112" t="str">
            <v>6908 - Kab. Bombana</v>
          </cell>
        </row>
        <row r="113">
          <cell r="AH113" t="str">
            <v>925 - Lainnya (Lembaga International)</v>
          </cell>
          <cell r="AI113" t="str">
            <v>5190 - Konstruksi - Perumahan Sederhana lainnya</v>
          </cell>
          <cell r="AM113" t="str">
            <v>1292 - Mojokerto, Kota.</v>
          </cell>
          <cell r="AN113" t="str">
            <v>LVR - Latvian Rouble</v>
          </cell>
          <cell r="AO113" t="str">
            <v>155 - BANK GUNA INTERNASIONAL</v>
          </cell>
          <cell r="AU113" t="str">
            <v xml:space="preserve">151300 - INDUSTRI PENGOLAHAN - INDUSTRI MAKANAN DAN MINUMAN  - Pengolahan dan Pengawetan Daging, Ikan, Buah-buahan, Sayuran, Minyak dan Lemak  - Industri Pengolahan, Pengawetan Buah-buahan dan Sayuran </v>
          </cell>
          <cell r="AV113" t="str">
            <v>6909 - Kab. Kolaka Utara</v>
          </cell>
        </row>
        <row r="114">
          <cell r="AI114" t="str">
            <v>5200 - Konstruksi - Pasar Inpres</v>
          </cell>
          <cell r="AM114" t="str">
            <v>1293 - Malang, Kota.</v>
          </cell>
          <cell r="AN114" t="str">
            <v>LYD - Libyan Dinar</v>
          </cell>
          <cell r="AO114" t="str">
            <v>157 - BANK MASPION INDONESIA</v>
          </cell>
          <cell r="AU114" t="str">
            <v>151410 - INDUSTRI PENGOLAHAN - INDUSTRI MAKANAN DAN MINUMAN  - Pengolahan dan Pengawetan Daging, Ikan, Buah-buahan, Sayuran, Minyak dan Lemak  - Industri Minyak Makan dan Lemak dari Nabati dan Hewani Industri Minyak Mentah (Minyak Makan) dari Nabati dan H</v>
          </cell>
          <cell r="AV114" t="str">
            <v>6910 - Kab. Buton Utara</v>
          </cell>
        </row>
        <row r="115">
          <cell r="AI115" t="str">
            <v>5300 - Konstruksi - Penyiapan Tanah Pemukiman Transmigrasi</v>
          </cell>
          <cell r="AM115" t="str">
            <v>1294 - Pasuruan, Kota.</v>
          </cell>
          <cell r="AN115" t="str">
            <v>MAD - Morrocoan Dirham</v>
          </cell>
          <cell r="AO115" t="str">
            <v>159 - BANK HAGAKITA</v>
          </cell>
          <cell r="AU115" t="str">
            <v xml:space="preserve">151430 - INDUSTRI PENGOLAHAN - INDUSTRI MAKANAN DAN MINUMAN  - Pengolahan dan Pengawetan Daging, Ikan, Buah-buahan, Sayuran, Minyak dan Lemak  - Industri Minyak Makan dan Lemak dari Nabati dan Hewani lndustri Minyak Goreng dari Kelapa </v>
          </cell>
          <cell r="AV115" t="str">
            <v>6911 - Kab. Konawe Utara</v>
          </cell>
        </row>
        <row r="116">
          <cell r="AI116" t="str">
            <v>5400 - Konstruksi - Pencetakan Sawah</v>
          </cell>
          <cell r="AM116" t="str">
            <v>1295 - Probolinggo, Kota.</v>
          </cell>
          <cell r="AN116" t="str">
            <v>MDL - Moldova Lei</v>
          </cell>
          <cell r="AO116" t="str">
            <v>160 - BANK INDUSTRI</v>
          </cell>
          <cell r="AU116" t="str">
            <v>151440 - INDUSTRI PENGOLAHAN - INDUSTRI MAKANAN DAN MINUMAN  - Pengolahan dan Pengawetan Daging, Ikan, Buah-buahan, Sayuran, Minyak dan Lemak  - Industri Minyak Makan dan Lemak dari Nabati dan Hewani Industri Minyak Goreng dari Kelapa Sawit Mentah</v>
          </cell>
          <cell r="AV116" t="str">
            <v>6990 - Kota Bau-Bau</v>
          </cell>
        </row>
        <row r="117">
          <cell r="AI117" t="str">
            <v>5500 - Konstruksi - Jalan Raya dan Jembatan</v>
          </cell>
          <cell r="AM117" t="str">
            <v>1296 - Blitar, Kota.</v>
          </cell>
          <cell r="AN117" t="str">
            <v>MGF - Madagascar Franc</v>
          </cell>
          <cell r="AO117" t="str">
            <v>161 - BANK GANESHA</v>
          </cell>
          <cell r="AU117" t="str">
            <v xml:space="preserve">151450 - INDUSTRI PENGOLAHAN - INDUSTRI MAKANAN DAN MINUMAN  - Pengolahan dan Pengawetan Daging, Ikan, Buah-buahan, Sayuran, Minyak dan Lemak  - Industri Minyak Makan dan Lemak dari Nabati dan Hewani Industri Minyak Goreng dari Biji Kelapa Sawit </v>
          </cell>
          <cell r="AV117" t="str">
            <v>6991 - Kota Kendari</v>
          </cell>
        </row>
        <row r="118">
          <cell r="AI118" t="str">
            <v>5600 - Konstruksi - Pelabuhan</v>
          </cell>
          <cell r="AM118" t="str">
            <v>1297 - Kediri, Kota.</v>
          </cell>
          <cell r="AN118" t="str">
            <v>MKD - Macedonian Denar</v>
          </cell>
          <cell r="AO118" t="str">
            <v>163 - BANK PUTERA SURYA PERKASA</v>
          </cell>
          <cell r="AU118" t="str">
            <v xml:space="preserve">152000 - INDUSTRI PENGOLAHAN - INDUSTRI MAKANAN DAN MINUMAN  - Industri Susu dan Makanan dari Susu </v>
          </cell>
          <cell r="AV118" t="str">
            <v>7101 - Kab. Lombok Barat</v>
          </cell>
        </row>
        <row r="119">
          <cell r="AI119" t="str">
            <v>5700 - Konstruksi - Irigasi</v>
          </cell>
          <cell r="AM119" t="str">
            <v>1298 - Madiun, Kota.</v>
          </cell>
          <cell r="AN119" t="str">
            <v>MLF - Malian Franc</v>
          </cell>
          <cell r="AO119" t="str">
            <v>164 - BANK ICBC INDONESIA</v>
          </cell>
          <cell r="AU119" t="str">
            <v>153110 - INDUSTRI PENGOLAHAN - INDUSTRI MAKANAN DAN MINUMAN  - Industri Penggilingan Padi-padian, Tepung, dan Pakan Ternak  - Industri Penggilingan, Pengupasan dan Pembersihan Padi-padian, Biji-bijian, dan Kacang-kacangan, Termasuk Pembuatan Kopra Industr</v>
          </cell>
          <cell r="AV119" t="str">
            <v>7102 - Kab. Lombok Tengah</v>
          </cell>
        </row>
        <row r="120">
          <cell r="AI120" t="str">
            <v>5810 - Konstruksi - Listrik Pedesaan</v>
          </cell>
          <cell r="AM120" t="str">
            <v>2301 - Bengkulu Selatan, Kab.</v>
          </cell>
          <cell r="AN120" t="str">
            <v>MMK - Myanmar Kyat</v>
          </cell>
          <cell r="AO120" t="str">
            <v>165 - BANK BAJA INTERNASIONAL</v>
          </cell>
          <cell r="AU120" t="str">
            <v>153180 - INDUSTRI PENGOLAHAN - INDUSTRI MAKANAN DAN MINUMAN  - Industri Penggilingan Padi-padian, Tepung, dan Pakan Ternak  - Industri Penggilingan, Pengupasan dan Pembersihan Padi-padian, Biji-bijian, dan Kacang-kacangan, Termasuk Pembuatan Kopra lndustr</v>
          </cell>
          <cell r="AV120" t="str">
            <v>7103 - Kab. Lombok Timur</v>
          </cell>
        </row>
        <row r="121">
          <cell r="AI121" t="str">
            <v>5890 - Konstruksi - Listrik lainnya</v>
          </cell>
          <cell r="AM121" t="str">
            <v>2302 - Bengkulu Utara, Kab.</v>
          </cell>
          <cell r="AN121" t="str">
            <v>MNT - Mongolia Tugrik</v>
          </cell>
          <cell r="AO121" t="str">
            <v>166 - BANK HARMONI INTERNATIONAL</v>
          </cell>
          <cell r="AU121" t="str">
            <v>153190 - INDUSTRI PENGOLAHAN - INDUSTRI MAKANAN DAN MINUMAN  - Industri Penggilingan Padi-padian, Tepung, dan Pakan Ternak  - Industri Penggilingan, Pengupasan dan Pembersihan Padi-padian, Biji-bijian, dan Kacang-kacangan, Termasuk Pembuatan Kopra Industr</v>
          </cell>
          <cell r="AV121" t="str">
            <v>7104 - Kab. Sumbawa</v>
          </cell>
        </row>
        <row r="122">
          <cell r="AI122" t="str">
            <v>5900 - Konstruksi - Proyek yg dibiayai dgn pinjaman dari/untuk pembayaran di luar negeri</v>
          </cell>
          <cell r="AM122" t="str">
            <v>2303 - Rejang Lebong, Kab.</v>
          </cell>
          <cell r="AN122" t="str">
            <v>MOP - Macau Pataca</v>
          </cell>
          <cell r="AO122" t="str">
            <v>167 - PT. BANK QNB KESAWAN, Tbk</v>
          </cell>
          <cell r="AU122" t="str">
            <v>153200 - INDUSTRI PENGOLAHAN - INDUSTRI MAKANAN DAN MINUMAN  - Industri Penggilingan Padi-padian, Tepung, dan Pakan Ternak  - Industri Tepung dan Pati</v>
          </cell>
          <cell r="AV122" t="str">
            <v>7105 - Kab. Bima</v>
          </cell>
        </row>
        <row r="123">
          <cell r="AI123" t="str">
            <v>5990 - Konstruksi - Lainnya</v>
          </cell>
          <cell r="AM123" t="str">
            <v>2304 - Lebong, Kab</v>
          </cell>
          <cell r="AN123" t="str">
            <v>MRO - Mauritania Ouguiya</v>
          </cell>
          <cell r="AO123" t="str">
            <v>168 - BANK PIKKO (merger menjadi Bank Century - 095)</v>
          </cell>
          <cell r="AU123" t="str">
            <v>153300 - INDUSTRI PENGOLAHAN - INDUSTRI MAKANAN DAN MINUMAN  - Industri Penggilingan Padi-padian, Tepung, dan Pakan Ternak  - Industri Pakan Ternak</v>
          </cell>
          <cell r="AV123" t="str">
            <v>7106 - Kab. Dompu</v>
          </cell>
        </row>
        <row r="124">
          <cell r="AI124" t="str">
            <v>6000 - Perdagangan, Restoran, dan Hotel</v>
          </cell>
          <cell r="AM124" t="str">
            <v>2305 - Kepahiang, Kab</v>
          </cell>
          <cell r="AN124" t="str">
            <v>MTL - Maltese Lira</v>
          </cell>
          <cell r="AO124" t="str">
            <v>200 - BANK TABUNGAN NEGARA</v>
          </cell>
          <cell r="AU124" t="str">
            <v xml:space="preserve">154100 - INDUSTRI PENGOLAHAN - INDUSTRI MAKANAN DAN MINUMAN  - Industri Makanan Lainnya  - Industri Roti dan Sejenisnya </v>
          </cell>
          <cell r="AV124" t="str">
            <v>7107 - Kab. Sumbawa Barat</v>
          </cell>
        </row>
        <row r="125">
          <cell r="AI125" t="str">
            <v>6111 - Ekspor Bahan Baku Biji Kelapa Sawit</v>
          </cell>
          <cell r="AM125" t="str">
            <v>2306 - Mukomuko, Kab</v>
          </cell>
          <cell r="AN125" t="str">
            <v>MUR - Maurutius Rupee</v>
          </cell>
          <cell r="AO125" t="str">
            <v>212 - BANK HS 1906</v>
          </cell>
          <cell r="AU125" t="str">
            <v xml:space="preserve">154200 - INDUSTRI PENGOLAHAN - INDUSTRI MAKANAN DAN MINUMAN  - Industri Makanan Lainnya  - Industri Gula dan Pengolahan Gula </v>
          </cell>
          <cell r="AV125" t="str">
            <v>7108 - Kab. Lombok Utara</v>
          </cell>
        </row>
        <row r="126">
          <cell r="AI126" t="str">
            <v>6112 - Ekspor Bahan Baku Kayu</v>
          </cell>
          <cell r="AM126" t="str">
            <v>2307 - Seluma, Kab</v>
          </cell>
          <cell r="AN126" t="str">
            <v>MVR - Maldives Rufiyaa</v>
          </cell>
          <cell r="AO126" t="str">
            <v>213 - BANK TABUNGAN PENSIUNAN NASIONAL</v>
          </cell>
          <cell r="AU126" t="str">
            <v xml:space="preserve">154300 - INDUSTRI PENGOLAHAN - INDUSTRI MAKANAN DAN MINUMAN  - Industri Makanan Lainnya  - Industri Coklat dan Kernbang Gula </v>
          </cell>
          <cell r="AV126" t="str">
            <v>7191 - Kota Mataram</v>
          </cell>
        </row>
        <row r="127">
          <cell r="AI127" t="str">
            <v>6113 - Ekspor Bahan Baku Rotan</v>
          </cell>
          <cell r="AM127" t="str">
            <v>2308 - Kaur, Kab</v>
          </cell>
          <cell r="AN127" t="str">
            <v>MVS - Moldova Leu</v>
          </cell>
          <cell r="AO127" t="str">
            <v>310 - BANK ANRICO</v>
          </cell>
          <cell r="AU127" t="str">
            <v xml:space="preserve">154400 - INDUSTRI PENGOLAHAN - INDUSTRI MAKANAN DAN MINUMAN  - Industri Makanan Lainnya  - Industri Makaroni, Mie, Spagheti, Bihun, Soun dan Sejenisnya </v>
          </cell>
          <cell r="AV127" t="str">
            <v>7192 - Kota. Bima</v>
          </cell>
        </row>
        <row r="128">
          <cell r="AI128" t="str">
            <v>6114 - Ekspor Bahan Baku Hutan selain kayu dan rotan</v>
          </cell>
          <cell r="AM128" t="str">
            <v>2309 - Kab. Bengkulu Tengah</v>
          </cell>
          <cell r="AN128" t="str">
            <v>MWK - Malawi Kwacha</v>
          </cell>
          <cell r="AO128" t="str">
            <v>329 - BANK DEWA RUTJI</v>
          </cell>
          <cell r="AU128" t="str">
            <v xml:space="preserve">154911 - INDUSTRI PENGOLAHAN - INDUSTRI MAKANAN DAN MINUMAN  - Industri Makanan Lainnya  - Industri Makanan Lainnya yang Tidak Diklasifikasikan di Tempat lain Industri Pengolahan Teh dan Kopi  - Industri Pengolahan Teh </v>
          </cell>
          <cell r="AV128" t="str">
            <v>7201 - Kab. Buleleng</v>
          </cell>
        </row>
        <row r="129">
          <cell r="AI129" t="str">
            <v>6115 - Ekspor Bahan Baku Hasil Tanaman Pangan &amp; Perkebunan</v>
          </cell>
          <cell r="AM129" t="str">
            <v>2391 - Bengkulu, Kota.</v>
          </cell>
          <cell r="AN129" t="str">
            <v>MXN - Mexican New Peso</v>
          </cell>
          <cell r="AO129" t="str">
            <v>332 - BANK JAKARTA</v>
          </cell>
          <cell r="AU129" t="str">
            <v xml:space="preserve">154912 - INDUSTRI PENGOLAHAN - INDUSTRI MAKANAN DAN MINUMAN  - Industri Makanan Lainnya  - Industri Makanan Lainnya yang Tidak Diklasifikasikan di Tempat lain  - Industri Pengolahan Kopi </v>
          </cell>
          <cell r="AV129" t="str">
            <v>7202 - Kab. Jembrana</v>
          </cell>
        </row>
        <row r="130">
          <cell r="AI130" t="str">
            <v>6116 - Ekspor Bahan Baku Hewan Hidup &amp; Hasilnya</v>
          </cell>
          <cell r="AM130" t="str">
            <v>3101 - Batanghari, Kab.</v>
          </cell>
          <cell r="AN130" t="str">
            <v>MYR - Malaysian Ringgit</v>
          </cell>
          <cell r="AO130" t="str">
            <v>367 - BANK INTAN</v>
          </cell>
          <cell r="AU130" t="str">
            <v xml:space="preserve">154930 - INDUSTRI PENGOLAHAN - INDUSTRI MAKANAN DAN MINUMAN  - Industri Makanan Lainnya  - Industri Makanan Lainnya yang Tidak Diklasifikasikan di Tempat lain lndustri Kecap </v>
          </cell>
          <cell r="AV130" t="str">
            <v>7203 - Kab. Tabanan</v>
          </cell>
        </row>
        <row r="131">
          <cell r="AI131" t="str">
            <v>6117 - Ekspor Bahan Baku Bijih Timah</v>
          </cell>
          <cell r="AM131" t="str">
            <v>3104 - Sarolangun, Kab.</v>
          </cell>
          <cell r="AN131" t="str">
            <v>MZM - Mozambique Metical</v>
          </cell>
          <cell r="AO131" t="str">
            <v>388 - BANK ARYA PANDUARTA</v>
          </cell>
          <cell r="AU131" t="str">
            <v xml:space="preserve">154940 - INDUSTRI PENGOLAHAN - INDUSTRI MAKANAN DAN MINUMAN  - Industri Makanan Lainnya  - Industri Makanan Lainnya yang Tidak Diklasifikasikan di Tempat lain lndustri Tempe dan Tahu </v>
          </cell>
          <cell r="AV131" t="str">
            <v>7204 - Kab. Badung</v>
          </cell>
        </row>
        <row r="132">
          <cell r="AI132" t="str">
            <v>6118 - Ekspor Bahan Baku Bijih Logam selain Timah</v>
          </cell>
          <cell r="AM132" t="str">
            <v>3105 - Kerinci, Kab.</v>
          </cell>
          <cell r="AN132" t="str">
            <v>N11 - Lainnya atau sandi yang telah ditentukan</v>
          </cell>
          <cell r="AO132" t="str">
            <v>399 - SOUTH EAST ASIA BANK</v>
          </cell>
          <cell r="AU132" t="str">
            <v>154990 - INDUSTRI PENGOLAHAN - INDUSTRI MAKANAN DAN MINUMAN  - Industri Makanan Lainnya  - Industri Makanan Lainnya yang Tidak Diklasifikasikan di Tempat lain lndustri Makanan yang Tidak Diklasifikasikan di Tempat Lain</v>
          </cell>
          <cell r="AV132" t="str">
            <v>7205 - Kab. Gianyar</v>
          </cell>
        </row>
        <row r="133">
          <cell r="AI133" t="str">
            <v>6119 - Ekspor Bahan Baku Batubara</v>
          </cell>
          <cell r="AM133" t="str">
            <v>3106 - Muaro Jambi, Kab.</v>
          </cell>
          <cell r="AN133" t="str">
            <v>NAD - Namibia Dollar</v>
          </cell>
          <cell r="AO133" t="str">
            <v>405 - BANK VICTORIA SYARIAH</v>
          </cell>
          <cell r="AU133" t="str">
            <v xml:space="preserve">155000 - INDUSTRI PENGOLAHAN - INDUSTRI MAKANAN DAN MINUMAN  - Industri Minuman </v>
          </cell>
          <cell r="AV133" t="str">
            <v>7206 - Kab. Klungkung</v>
          </cell>
        </row>
        <row r="134">
          <cell r="AI134" t="str">
            <v>6129 - Ekspor Bahan Baku lainnya</v>
          </cell>
          <cell r="AM134" t="str">
            <v>3107 - Tanjung Jabung Barat, Kab.</v>
          </cell>
          <cell r="AN134" t="str">
            <v>NGN - Nigeria Naira</v>
          </cell>
          <cell r="AO134" t="str">
            <v>413 - BANK UMUM MAJAPAHIT JAYA</v>
          </cell>
          <cell r="AU134" t="str">
            <v xml:space="preserve">160010 - INDUSTRI PENGOLAHAN - INDUSTRI PENGOLAHAN TEMBAKAU  - Industri Pengolahan Tembakau  - lndustri Pengolahan Tembakau lndustri Pengeringan dan Pengolahan Tembakau </v>
          </cell>
          <cell r="AV134" t="str">
            <v>7207 - Kab. Bangli</v>
          </cell>
        </row>
        <row r="135">
          <cell r="AI135" t="str">
            <v>6131 - Ekspor Barang Setengah Jadi Kayu Gergajian</v>
          </cell>
          <cell r="AM135" t="str">
            <v>3108 - Tanjung Jabung Timur, Kab.</v>
          </cell>
          <cell r="AN135" t="str">
            <v>NIC - Nicaragua Cordoba</v>
          </cell>
          <cell r="AO135" t="str">
            <v>422 - BANK SYARIAH BRI</v>
          </cell>
          <cell r="AU135" t="str">
            <v>160050 - INDUSTRI PENGOLAHAN - INDUSTRI PENGOLAHAN TEMBAKAU  - Industri Pengolahan Tembakau  - lndustri Pengolahan Tembakau Industri Rokok</v>
          </cell>
          <cell r="AV135" t="str">
            <v>7208 - Kab. Karangasem</v>
          </cell>
        </row>
        <row r="136">
          <cell r="AI136" t="str">
            <v>6132 - Ekspor Barang Setengah Jadi Kopi Biji</v>
          </cell>
          <cell r="AM136" t="str">
            <v>3109 - Tebo, Kab.</v>
          </cell>
          <cell r="AN136" t="str">
            <v>NIO - Nicaragua Cordoba Oro</v>
          </cell>
          <cell r="AO136" t="str">
            <v>425 - PT BANK JABAR BANTEN SYARIAH</v>
          </cell>
          <cell r="AU136" t="str">
            <v xml:space="preserve">160090 - INDUSTRI PENGOLAHAN - INDUSTRI PENGOLAHAN TEMBAKAU  - Industri Pengolahan Tembakau  - lndustri Pengolahan Tembakau Industri Bumbu Rokok Serta Kelengkapan Rokok Lainnya </v>
          </cell>
          <cell r="AV136" t="str">
            <v>7291 - Kota Denpasar</v>
          </cell>
        </row>
        <row r="137">
          <cell r="AI137" t="str">
            <v>6133 - Ekspor Barang Setengah Jadi Tembakau</v>
          </cell>
          <cell r="AM137" t="str">
            <v>3111 - Merangin, Kab.</v>
          </cell>
          <cell r="AN137" t="str">
            <v>NLG - Netherlands Guilder/ Gulden/Florin</v>
          </cell>
          <cell r="AO137" t="str">
            <v>426 - BANK MEGA TBK</v>
          </cell>
          <cell r="AU137" t="str">
            <v xml:space="preserve">171000 - INDUSTRI PENGOLAHAN - INDUSTRI TEKSTIL  - Industri Pemintalan, Pertenunan, Pengolahan Akhir Tekstil </v>
          </cell>
          <cell r="AV137" t="str">
            <v>7401 - Kab. Kupang</v>
          </cell>
        </row>
        <row r="138">
          <cell r="AI138" t="str">
            <v>6134 - Ekspor Barang Setengah Jadi Karet</v>
          </cell>
          <cell r="AM138" t="str">
            <v>3112 - Bungo, Kab</v>
          </cell>
          <cell r="AN138" t="str">
            <v>NOK - Norwegian Krone</v>
          </cell>
          <cell r="AO138" t="str">
            <v>427 - BANK BNI SYARIAH</v>
          </cell>
          <cell r="AU138" t="str">
            <v xml:space="preserve">172000 - INDUSTRI PENGOLAHAN - INDUSTRI TEKSTIL  - Industri Barang Jadi Tekstil dan Permadani </v>
          </cell>
          <cell r="AV138" t="str">
            <v>7402 - Kab. Timor-Tengah Selatan</v>
          </cell>
        </row>
        <row r="139">
          <cell r="AI139" t="str">
            <v>6135 - Ekspor Barang Setengah Jadi Lada</v>
          </cell>
          <cell r="AM139" t="str">
            <v>3191 - Jambi, Kota.</v>
          </cell>
          <cell r="AN139" t="str">
            <v>NPR - Nepalese Rupee</v>
          </cell>
          <cell r="AO139" t="str">
            <v>441 - BANK BUKOPIN</v>
          </cell>
          <cell r="AU139" t="str">
            <v xml:space="preserve">173000 - INDUSTRI PENGOLAHAN - INDUSTRI TEKSTIL  - Industri Perajutan Industri Perajutan </v>
          </cell>
          <cell r="AV139" t="str">
            <v>7403 - Kab. Timor-Tengah Utara</v>
          </cell>
        </row>
        <row r="140">
          <cell r="AI140" t="str">
            <v>6136 - Ekspor Barang Setengah Jadi Minyak Kelapa Sawit Mentah</v>
          </cell>
          <cell r="AM140" t="str">
            <v>3192 - Kota Sungai Penuh</v>
          </cell>
          <cell r="AN140" t="str">
            <v>NZD - New Zealand Dollar</v>
          </cell>
          <cell r="AO140" t="str">
            <v>451 - BANK SYARIAH MANDIRI</v>
          </cell>
          <cell r="AU140" t="str">
            <v xml:space="preserve">174000 - INDUSTRI PENGOLAHAN - INDUSTRI TEKSTIL  - Industri Kapuk </v>
          </cell>
          <cell r="AV140" t="str">
            <v>7404 - Kab. Belu</v>
          </cell>
        </row>
        <row r="141">
          <cell r="AI141" t="str">
            <v>6137 - Ekspor Barang Setengah Jadi Biji Kelapa Sawit</v>
          </cell>
          <cell r="AM141" t="str">
            <v>3201 - Aceh Besar, Kab.</v>
          </cell>
          <cell r="AN141" t="str">
            <v>OMR - Omani Rial</v>
          </cell>
          <cell r="AO141" t="str">
            <v>455 - BANK DANA ASIA</v>
          </cell>
          <cell r="AU141" t="str">
            <v xml:space="preserve">181000 - INDUSTRI PENGOLAHAN - INDUSTRI PAKAIAN JADI - Industri Pakaian Jadi dan perlengkapannya, Kecuali Pakaian Jadi Berbulu </v>
          </cell>
          <cell r="AV141" t="str">
            <v>7405 - Kab. Alor</v>
          </cell>
        </row>
        <row r="142">
          <cell r="AI142" t="str">
            <v>6138 - Ekspor Barang Setengah Jadi Bungkil Kopra</v>
          </cell>
          <cell r="AM142" t="str">
            <v>3202 - Pidie, Kab.</v>
          </cell>
          <cell r="AN142" t="str">
            <v>PAB - Panamanian Balboa</v>
          </cell>
          <cell r="AO142" t="str">
            <v>459 - BANK BISNIS INTERNASIONAL</v>
          </cell>
          <cell r="AU142" t="str">
            <v xml:space="preserve">182000 - INDUSTRI PENGOLAHAN - INDUSTRI PAKAIAN JADI - Industri Pakaian Jadi Barang Jadi dari Kulit Berbulu dan Pencelupan Bulu </v>
          </cell>
          <cell r="AV142" t="str">
            <v>7406 - Kab. Flores Timur</v>
          </cell>
        </row>
        <row r="143">
          <cell r="AI143" t="str">
            <v>6139 - Ekspor Barang Setengah Jadi Hasil Tnm.Pangan &amp; Perkebunan Lainnya</v>
          </cell>
          <cell r="AM143" t="str">
            <v>3203 - Aceh Utara, Kab.</v>
          </cell>
          <cell r="AN143" t="str">
            <v>PEI - Inti</v>
          </cell>
          <cell r="AO143" t="str">
            <v>466 - BANK ANDARA (SRI PARTHA)</v>
          </cell>
          <cell r="AU143" t="str">
            <v>191000 - INDUSTRI PENGOLAHAN - INDUSTRI KULIT, BARANG DARI KULIT, DAN ALAS KAKI  - Industri Kulit dan Barang dari Kulit (Termasuk Kulit Buatan)</v>
          </cell>
          <cell r="AV143" t="str">
            <v>7407 - Kab. Sikka</v>
          </cell>
        </row>
        <row r="144">
          <cell r="AI144" t="str">
            <v>6140 - Ekspor Barang Setengah Jadi Hewan yg Sudah Diolah</v>
          </cell>
          <cell r="AM144" t="str">
            <v>3204 - Aceh Timur, Kab.</v>
          </cell>
          <cell r="AN144" t="str">
            <v>PEN - Peruvian Nuevo Sol</v>
          </cell>
          <cell r="AO144" t="str">
            <v>472 - BANK JASA JAKARTA</v>
          </cell>
          <cell r="AU144" t="str">
            <v xml:space="preserve">192000 - INDUSTRI PENGOLAHAN - INDUSTRI KULIT, BARANG DARI KULIT, DAN ALAS KAKI  - Industri Alas Kaki </v>
          </cell>
          <cell r="AV144" t="str">
            <v>7408 - Kab. Ende</v>
          </cell>
        </row>
        <row r="145">
          <cell r="AI145" t="str">
            <v>6141 - Ekspor Barang Setengah Jadi Bahan Makanan Lainnya</v>
          </cell>
          <cell r="AM145" t="str">
            <v>3205 - Aceh Selatan, Kab.</v>
          </cell>
          <cell r="AN145" t="str">
            <v>PGK - Papua New Guinea Kina</v>
          </cell>
          <cell r="AO145" t="str">
            <v>476 - BANK AKEN</v>
          </cell>
          <cell r="AU145" t="str">
            <v xml:space="preserve">201000 - INDUSTRI PENGOLAHAN - INDUSTRI KAYU, BARANG-BARANG DARI KAYU (TIDAK TERMASUK MEBELLER), DAN BARANG-BARANG ANYAMAN DARI ROTAN, BAMBU, DAN SEJENISNYA  - Industri Penggergajian dan Pengawetan Kayu, Rotan, Bambu, dan Sejenisnya </v>
          </cell>
          <cell r="AV145" t="str">
            <v>7409 - Kab. Ngada</v>
          </cell>
        </row>
        <row r="146">
          <cell r="AI146" t="str">
            <v>6142 - Ekspor Barang Setengah Jadi Hasil Tambang</v>
          </cell>
          <cell r="AM146" t="str">
            <v>3206 - Aceh Barat, Kab.</v>
          </cell>
          <cell r="AN146" t="str">
            <v>PHP - Philippines Peso</v>
          </cell>
          <cell r="AO146" t="str">
            <v>484 - BANK HANA</v>
          </cell>
          <cell r="AU146" t="str">
            <v xml:space="preserve">202100 - INDUSTRI PENGOLAHAN - INDUSTRI KAYU, BARANG-BARANG DARI KAYU (TIDAK TERMASUK MEBELLER), DAN BARANG-BARANG ANYAMAN DARI ROTAN, BAMBU, DAN SEJENISNYA  - Industri Barang-barang Dari Kayu, dan Barang-barang Anyaman dari Rotan, Bambu, dan Sejenisnya  </v>
          </cell>
          <cell r="AV146" t="str">
            <v>7410 - Kab. Manggarai</v>
          </cell>
        </row>
        <row r="147">
          <cell r="AI147" t="str">
            <v>6159 - Ekspor Barang Setengah Jadi lainnya</v>
          </cell>
          <cell r="AM147" t="str">
            <v>3207 - Aceh Tengah, Kab.</v>
          </cell>
          <cell r="AN147" t="str">
            <v>PKR - Pakistan Rupee</v>
          </cell>
          <cell r="AO147" t="str">
            <v>485 - BANK ICB BUMIPUTERA</v>
          </cell>
          <cell r="AU147" t="str">
            <v xml:space="preserve">202900 - INDUSTRI PENGOLAHAN - INDUSTRI KAYU, BARANG-BARANG DARI KAYU (TIDAK TERMASUK MEBELLER), DAN BARANG-BARANG ANYAMAN DARI ROTAN, BAMBU, DAN SEJENISNYA  - Industri Barang-barang Dari Kayu, dan Barang-barang Anyaman dari Rotan, Bambu, dan Sejenisnya  </v>
          </cell>
          <cell r="AV147" t="str">
            <v>7411 - Kab. Sumba Timur</v>
          </cell>
        </row>
        <row r="148">
          <cell r="AI148" t="str">
            <v>6161 - Ekspor Barang Jadi Kayu Lapis &amp; Sejenisnya</v>
          </cell>
          <cell r="AM148" t="str">
            <v>3208 - Aceh Tenggara, Kab.</v>
          </cell>
          <cell r="AN148" t="str">
            <v>PLN - Polish Zloty/New Zloty</v>
          </cell>
          <cell r="AO148" t="str">
            <v>486 - BANK SINO</v>
          </cell>
          <cell r="AU148" t="str">
            <v>210100 - INDUSTRI PENGOLAHAN - INDUSTRI KERTAS, BARANG DARI KERTAS, DAN SEJENISNYA  - Industri Bubur Kertas (Pulp), Kertas dan Karton / Paper Board</v>
          </cell>
          <cell r="AV148" t="str">
            <v>7412 - Kab. Sumba Barat</v>
          </cell>
        </row>
        <row r="149">
          <cell r="AI149" t="str">
            <v>6162 - Ekspor Barang Jadi Teh</v>
          </cell>
          <cell r="AM149" t="str">
            <v>3209 - Aceh Singkil, Kab.</v>
          </cell>
          <cell r="AN149" t="str">
            <v>PLZ - Zloty</v>
          </cell>
          <cell r="AO149" t="str">
            <v>490 - BANK YUDHA BHAKTI</v>
          </cell>
          <cell r="AU149" t="str">
            <v xml:space="preserve">210200 - INDUSTRI PENGOLAHAN - INDUSTRI KERTAS, BARANG DARI KERTAS, DAN SEJENISNYA  - Industri Kemasan dan Kotak dari Kertas dan Karton </v>
          </cell>
          <cell r="AV149" t="str">
            <v>7413 - Kab. Lembata</v>
          </cell>
        </row>
        <row r="150">
          <cell r="AI150" t="str">
            <v>6163 - Ekspor Barang Jadi Kopi Bubuk</v>
          </cell>
          <cell r="AM150" t="str">
            <v>3210 - Aceh Jeumpa/Bireuen, Kab.</v>
          </cell>
          <cell r="AN150" t="str">
            <v>PSS - Peruvian New Sol</v>
          </cell>
          <cell r="AO150" t="str">
            <v>491 - BANK MITRANIAGA</v>
          </cell>
          <cell r="AU150" t="str">
            <v xml:space="preserve">210900 - INDUSTRI PENGOLAHAN - INDUSTRI KERTAS, BARANG DARI KERTAS, DAN SEJENISNYA  - Industri Barang dari Kertas dan Kartan yang Tidak Diklasifikasikan di Tempat Lain </v>
          </cell>
          <cell r="AV150" t="str">
            <v>7414 - Kab. Rote</v>
          </cell>
        </row>
        <row r="151">
          <cell r="AI151" t="str">
            <v>6164 - Ekspor Barang Jadi Hasil Tanaman Pangan &amp; Perkebunan Lainnya</v>
          </cell>
          <cell r="AM151" t="str">
            <v>3211 - Aceh Tamiang, Kab.</v>
          </cell>
          <cell r="AN151" t="str">
            <v>PTE - Portuguese Escudo</v>
          </cell>
          <cell r="AO151" t="str">
            <v>494 - PT. BANK RAKYAT INDONESIA AGRONIAGA, TBK</v>
          </cell>
          <cell r="AU151" t="str">
            <v xml:space="preserve">221000 - INDUSTRI PENGOLAHAN - INDUSTRI PENERBITAN, PERCETAKAN DAN REPRODUKSI MEDIA REKAMAN  - Industri Penerbitan </v>
          </cell>
          <cell r="AV151" t="str">
            <v>7415 - Kab. Manggarai Barat</v>
          </cell>
        </row>
        <row r="152">
          <cell r="AI152" t="str">
            <v>6165 - Ekspor Barang Jadi Udang</v>
          </cell>
          <cell r="AM152" t="str">
            <v>3212 - Gayo Luwes, Kab.</v>
          </cell>
          <cell r="AN152" t="str">
            <v>PYG - Paraguayan Guarani</v>
          </cell>
          <cell r="AO152" t="str">
            <v>498 - BANK SBI INDONESIA</v>
          </cell>
          <cell r="AU152" t="str">
            <v xml:space="preserve">222000 - INDUSTRI PENGOLAHAN - INDUSTRI PENERBITAN, PERCETAKAN DAN REPRODUKSI MEDIA REKAMAN  - Industri Percetakan dan Kegiatan yang Berkaitan Dengan Pencetakan Termasuk Reproduksi / Cetak Ulang) </v>
          </cell>
          <cell r="AV152" t="str">
            <v>7416 - Kab. Sumba Tengah</v>
          </cell>
        </row>
        <row r="153">
          <cell r="AI153" t="str">
            <v>6166 - Ekspor Barang Jadi Hasil Hewan Selain Udang</v>
          </cell>
          <cell r="AM153" t="str">
            <v>3213 - Aceh Barat Daya, Kab.</v>
          </cell>
          <cell r="AN153" t="str">
            <v>QAR - Qatari Rial</v>
          </cell>
          <cell r="AO153" t="str">
            <v>500 - BANK DANA HUTAMA</v>
          </cell>
          <cell r="AU153" t="str">
            <v xml:space="preserve">223000 - INDUSTRI PENGOLAHAN - INDUSTRI PENERBITAN, PERCETAKAN DAN REPRODUKSI MEDIA REKAMAN  - Reproduksi Media Rekaman, Film, dan Video </v>
          </cell>
          <cell r="AV153" t="str">
            <v>7417 - Kab. Sumba Barat Daya</v>
          </cell>
        </row>
        <row r="154">
          <cell r="AI154" t="str">
            <v>6167 - Ekspor Barang Jadi Kerajinan dari Kayu dan Rotan</v>
          </cell>
          <cell r="AM154" t="str">
            <v>3214 - Aceh Jaya, Kab.</v>
          </cell>
          <cell r="AN154" t="str">
            <v>ROL - Romanian Leu</v>
          </cell>
          <cell r="AO154" t="str">
            <v>501 - BANK ROYAL INDONESIA</v>
          </cell>
          <cell r="AU154" t="str">
            <v xml:space="preserve">231000 - INDUSTRI PENGOLAHAN - INDUSTRI BARANG-BARANG DARI BATU BARA, PENGILANGAN MINYAK BUMI DAN PENGOLAHAN GAS BUMI, BARANG-BARANG DARI HASIL PENGILANGAN MINYAK BUMI, DAN BAHAN BAKAR NUKLIR  - Industri Barang-barang dari Batubara </v>
          </cell>
          <cell r="AV154" t="str">
            <v>7418 - Kab. Manggarai Timur</v>
          </cell>
        </row>
        <row r="155">
          <cell r="AI155" t="str">
            <v>6168 - Ekspor Barang Jadi Kerajinan Selain Kayu dan Rotan</v>
          </cell>
          <cell r="AM155" t="str">
            <v>3215 - Nagan Raya, Kab.</v>
          </cell>
          <cell r="AN155" t="str">
            <v>RUR - Russian Rouble</v>
          </cell>
          <cell r="AO155" t="str">
            <v>503 - BANK NATIONALNOBU</v>
          </cell>
          <cell r="AU155" t="str">
            <v>232000 - INDUSTRI PENGOLAHAN - INDUSTRI BARANG-BARANG DARI BATU BARA, PENGILANGAN MINYAK BUMI DAN PENGOLAHAN GAS BUMI, BARANG-BARANG DARI HASIL PENGILANGAN MINYAK BUMI, DAN BAHAN BAKAR NUKLIR  - Industri Pengilangan Minyak Bumi, Pengolahan Gas Bumi, dan I</v>
          </cell>
          <cell r="AV155" t="str">
            <v>7419 - Kab. Nagekeo</v>
          </cell>
        </row>
        <row r="156">
          <cell r="AI156" t="str">
            <v>6169 - Ekspor Barang Jadi Tekstil</v>
          </cell>
          <cell r="AM156" t="str">
            <v>3216 - Kab. Simeuleu</v>
          </cell>
          <cell r="AN156" t="str">
            <v>RWF - Rwanda Franc</v>
          </cell>
          <cell r="AO156" t="str">
            <v>505 - BANK HOKINDO</v>
          </cell>
          <cell r="AU156" t="str">
            <v xml:space="preserve">233000 - INDUSTRI PENGOLAHAN - INDUSTRI BARANG-BARANG DARI BATU BARA, PENGILANGAN MINYAK BUMI DAN PENGOLAHAN GAS BUMI, BARANG-BARANG DARI HASIL PENGILANGAN MINYAK BUMI, DAN BAHAN BAKAR NUKLIR  - Pengolahan Bahan Bakar Nuklir (Nuclear Fuel) </v>
          </cell>
          <cell r="AV156" t="str">
            <v>7420 - Kab. Sabu Raijua</v>
          </cell>
        </row>
        <row r="157">
          <cell r="AI157" t="str">
            <v>6170 - Ekspor Barang Jadi Sandang Selain Tekstil</v>
          </cell>
          <cell r="AM157" t="str">
            <v>3217 - Kab. Bener Meriah</v>
          </cell>
          <cell r="AN157" t="str">
            <v>SAR - Saudi Riyal</v>
          </cell>
          <cell r="AO157" t="str">
            <v>506 - BANK SYARIAH MEGA INDONESIA</v>
          </cell>
          <cell r="AU157" t="str">
            <v xml:space="preserve">241100 - INDUSTRI PENGOLAHAN - INDUSTRI KIMIA DAN BARANG-BARANG DARI BAHAN KIMIA - Industri Bahan Kimia Industri  - Industri Kimia Dasar, Kecuali Pupuk </v>
          </cell>
          <cell r="AV157" t="str">
            <v>7491 - Kota Kupang</v>
          </cell>
        </row>
        <row r="158">
          <cell r="AI158" t="str">
            <v>6179 - Ekspor Barang Jadi lainnya</v>
          </cell>
          <cell r="AM158" t="str">
            <v>3218 - Pide Jaya, Kab</v>
          </cell>
          <cell r="AN158" t="str">
            <v>SBD - Solomon Islands Dollar</v>
          </cell>
          <cell r="AO158" t="str">
            <v>510 - BANK ALFA</v>
          </cell>
          <cell r="AU158" t="str">
            <v xml:space="preserve">241200 - INDUSTRI PENGOLAHAN - INDUSTRI KIMIA DAN BARANG-BARANG DARI BAHAN KIMIA - Industri Bahan Kimia Industri  - Industri Pupuk </v>
          </cell>
          <cell r="AV158" t="str">
            <v>8101 - Kab. Maluku Tengah</v>
          </cell>
        </row>
        <row r="159">
          <cell r="AI159" t="str">
            <v>6180 - Ekspor Jasa-jasa - Konstruksi</v>
          </cell>
          <cell r="AM159" t="str">
            <v>3219 - Subulussalam</v>
          </cell>
          <cell r="AN159" t="str">
            <v>SCR - Seychelles Rupee</v>
          </cell>
          <cell r="AO159" t="str">
            <v>513 - BANK INA PERDANA</v>
          </cell>
          <cell r="AU159" t="str">
            <v>241300 - INDUSTRI PENGOLAHAN - INDUSTRI KIMIA DAN BARANG-BARANG DARI BAHAN KIMIA - Industri Bahan Kimia Industri  - Industri Plastik dan Karet Buatan</v>
          </cell>
          <cell r="AV159" t="str">
            <v>8102 - Kab. Maluku Tenggara</v>
          </cell>
        </row>
        <row r="160">
          <cell r="AI160" t="str">
            <v>6190 - Ekspor Jasa-jasa - Lainnya</v>
          </cell>
          <cell r="AM160" t="str">
            <v>3291 - Banda Aceh, Kota.</v>
          </cell>
          <cell r="AN160" t="str">
            <v>SDD - Sudanese Dinar</v>
          </cell>
          <cell r="AO160" t="str">
            <v>514 - BANK SEWU INTERNASIONAL</v>
          </cell>
          <cell r="AU160" t="str">
            <v xml:space="preserve">242100 - INDUSTRI PENGOLAHAN - INDUSTRI KIMIA DAN BARANG-BARANG DARI BAHAN KIMIA - Industri Barang-barang Kimia lainnya  - Industri Bahan Baku Pemberantas Hama dan Pemberantas Hama Termasuk Zat Pengatur Tumbuh </v>
          </cell>
          <cell r="AV160" t="str">
            <v>8103 - Kab. Maluku Tenggara Barat</v>
          </cell>
        </row>
        <row r="161">
          <cell r="AI161" t="str">
            <v>6211 - Impor dlm.rangka Bantuan Luar Negeri - Biji Gandum</v>
          </cell>
          <cell r="AM161" t="str">
            <v>3292 - Sabang, Kota.</v>
          </cell>
          <cell r="AN161" t="str">
            <v>SDP - Sudanese Pound</v>
          </cell>
          <cell r="AO161" t="str">
            <v>517 - BANK PANIN SYARIAH</v>
          </cell>
          <cell r="AU161" t="str">
            <v xml:space="preserve">242200 - INDUSTRI PENGOLAHAN - INDUSTRI KIMIA DAN BARANG-BARANG DARI BAHAN KIMIA - Industri Barang-barang Kimia lainnya  - Industri Cat, Pernis dan Lak </v>
          </cell>
          <cell r="AV161" t="str">
            <v>8104 - Kab Buru</v>
          </cell>
        </row>
        <row r="162">
          <cell r="AI162" t="str">
            <v>6212 - Impor dlm.rangka Bantuan Luar Negeri - Beras</v>
          </cell>
          <cell r="AM162" t="str">
            <v>3293 - Lhokseumawe, Kota.</v>
          </cell>
          <cell r="AN162" t="str">
            <v>SEK - Swedish Krone</v>
          </cell>
          <cell r="AO162" t="str">
            <v>519 - BANK DWIPA SEMESTA</v>
          </cell>
          <cell r="AU162" t="str">
            <v xml:space="preserve">242300 - INDUSTRI PENGOLAHAN - INDUSTRI KIMIA DAN BARANG-BARANG DARI BAHAN KIMIA - Industri Barang-barang Kimia lainnya  - Industri Farmasi dan Jamu </v>
          </cell>
          <cell r="AV162" t="str">
            <v>3615 - Kab. Ogan Komeing Ulu Timur</v>
          </cell>
        </row>
        <row r="163">
          <cell r="AI163" t="str">
            <v>6213 - Impor dlm.rangka Bantuan Luar Negeri - Kapas</v>
          </cell>
          <cell r="AM163" t="str">
            <v>3294 - Langsa, Kota.</v>
          </cell>
          <cell r="AN163" t="str">
            <v>SGD - Singapore Dollar</v>
          </cell>
          <cell r="AO163" t="str">
            <v>520 - BANK PRIMA MASTER</v>
          </cell>
          <cell r="AU163" t="str">
            <v xml:space="preserve">242400 - INDUSTRI PENGOLAHAN - INDUSTRI KIMIA DAN BARANG-BARANG DARI BAHAN KIMIA - Industri Barang-barang Kimia lainnya  - Industri Sabun dan Bahan Pembersih Keperluan Rumah Tangga, Kosmetik dan Sejenisnya </v>
          </cell>
          <cell r="AV163" t="str">
            <v>3616 - Kab. Ogan Ilir</v>
          </cell>
        </row>
        <row r="164">
          <cell r="AI164" t="str">
            <v>6214 - Impor dlm.rangka Bantuan Luar Negeri - Benang Tenun</v>
          </cell>
          <cell r="AM164" t="str">
            <v>3301 - Deli Serdang, Kab.</v>
          </cell>
          <cell r="AN164" t="str">
            <v>SHP - St. Helena Pound</v>
          </cell>
          <cell r="AO164" t="str">
            <v>521 - BANK SYARIAH BUKOPIN</v>
          </cell>
          <cell r="AU164" t="str">
            <v xml:space="preserve">242940 - INDUSTRI PENGOLAHAN - INDUSTRI KIMIA DAN BARANG-BARANG DARI BAHAN KIMIA - Industri Barang-barang Kimia lainnya  - Industri Bahan Kimia dan Barang Kimia yang Tidak Diklasifikasikan di Tempat lain Industri Minyak Atsiri </v>
          </cell>
          <cell r="AV164" t="str">
            <v>3617 - Kab. Empat Lawang</v>
          </cell>
        </row>
        <row r="165">
          <cell r="AI165" t="str">
            <v>6219 - Impor dlm.rangka Bantuan Luar Negeri - Lainnya</v>
          </cell>
          <cell r="AM165" t="str">
            <v>3302 - Langkat, Kab.</v>
          </cell>
          <cell r="AN165" t="str">
            <v>SIT - Slovenia Tolar</v>
          </cell>
          <cell r="AO165" t="str">
            <v>522 - BANK KREDIT ASIA (ISTIMARAT)</v>
          </cell>
          <cell r="AU165" t="str">
            <v xml:space="preserve">242990 - INDUSTRI PENGOLAHAN - INDUSTRI KIMIA DAN BARANG-BARANG DARI BAHAN KIMIA - Industri Barang-barang Kimia lainnya  - Industri Bahan Kimia dan Barang Kimia yang Tidak Diklasifikasikan di Tempat lain Industri Bahan Kimia dan Barang Kimia Lainnya </v>
          </cell>
          <cell r="AV165" t="str">
            <v>3691 - Kota Palembang</v>
          </cell>
        </row>
        <row r="166">
          <cell r="AI166" t="str">
            <v>6221 - Impor Bukan dlm.rangka Bantuan Luar Negeri - Pupuk dan Obat Hama</v>
          </cell>
          <cell r="AM166" t="str">
            <v>3303 - Karo, Kab.</v>
          </cell>
          <cell r="AN166" t="str">
            <v>SKK - Slovakia Koruna</v>
          </cell>
          <cell r="AO166" t="str">
            <v>523 - BANK DIPO INTERNATIONAL</v>
          </cell>
          <cell r="AU166" t="str">
            <v xml:space="preserve">243000 - INDUSTRI PENGOLAHAN - INDUSTRI KIMIA DAN BARANG-BARANG DARI BAHAN KIMIA - Industri Serat Buatan </v>
          </cell>
          <cell r="AV166" t="str">
            <v>3693 - Kota Lubuklinggau</v>
          </cell>
        </row>
        <row r="167">
          <cell r="AI167" t="str">
            <v>6222 - Impor Bukan dlm.rangka Bantuan Luar Negeri - Besi Beton</v>
          </cell>
          <cell r="AM167" t="str">
            <v>3304 - Simalungun, Kab.</v>
          </cell>
          <cell r="AN167" t="str">
            <v>SLL - Sierra Leone Leone</v>
          </cell>
          <cell r="AO167" t="str">
            <v>525 - BANK BARCLAYS INDONESIA</v>
          </cell>
          <cell r="AU167" t="str">
            <v xml:space="preserve">251210 - INDUSTRI PENGOLAHAN - INDUSTRI KARET, BARANG DARI KARET, DAN BARANG DARI PLASTIK  - Industri Karet dan Barang dari Karet - Industri Karet Industri Pengasapan Karet </v>
          </cell>
          <cell r="AV167" t="str">
            <v>3694 - Kota Prabumulih</v>
          </cell>
        </row>
        <row r="168">
          <cell r="AI168" t="str">
            <v>6223 - Impor Bukan dlm.rangka Bantuan Luar Negeri - Kertas Koran</v>
          </cell>
          <cell r="AM168" t="str">
            <v>3305 - Labuhan Batu, Kab.</v>
          </cell>
          <cell r="AN168" t="str">
            <v>SOS - Somalia Schilling</v>
          </cell>
          <cell r="AO168" t="str">
            <v>526 - PT. BANK DINAR INDONESIA</v>
          </cell>
          <cell r="AU168" t="str">
            <v xml:space="preserve">251220 - INDUSTRI PENGOLAHAN - INDUSTRI KARET, BARANG DARI KARET, DAN BARANG DARI PLASTIK  - Industri Karet dan Barang dari Karet - Industri Karet Industri Remilling Karet </v>
          </cell>
          <cell r="AV168" t="str">
            <v>3697 - Kota Pagar Alam</v>
          </cell>
        </row>
        <row r="169">
          <cell r="AI169" t="str">
            <v>6224 - Impor Bukan dlm.rangka Bantuan Luar Negeri - Cengkeh</v>
          </cell>
          <cell r="AM169" t="str">
            <v>3306 - Asahan, Kab.</v>
          </cell>
          <cell r="AN169" t="str">
            <v>SRD - Surinam Dollar</v>
          </cell>
          <cell r="AO169" t="str">
            <v>528 - BANK DEKA</v>
          </cell>
          <cell r="AU169" t="str">
            <v xml:space="preserve">251230 - INDUSTRI PENGOLAHAN - INDUSTRI KARET, BARANG DARI KARET, DAN BARANG DARI PLASTIK  - Industri Karet dan Barang dari Karet - Industri Karet Industri Karet Remah (Crumb Rubber) </v>
          </cell>
          <cell r="AV169" t="str">
            <v>3701 - Kab. Bangka</v>
          </cell>
        </row>
        <row r="170">
          <cell r="AI170" t="str">
            <v>6225 - Impor Bukan dlm.rangka Bantuan Luar Negeri - Beras</v>
          </cell>
          <cell r="AM170" t="str">
            <v>3307 - Dairi, Kab.</v>
          </cell>
          <cell r="AN170" t="str">
            <v>SRG - Surinam Guilder</v>
          </cell>
          <cell r="AO170" t="str">
            <v>531 - BANK ANGLOMAS INTERNASIONAL</v>
          </cell>
          <cell r="AU170" t="str">
            <v xml:space="preserve">251900 - INDUSTRI PENGOLAHAN - INDUSTRI KARET, BARANG DARI KARET, DAN BARANG DARI PLASTIK  - Industri Karet dan Barang dari Karet - Industri Barang-barang lain dari Karet </v>
          </cell>
          <cell r="AV170" t="str">
            <v>3702 - Kab. Belitung</v>
          </cell>
        </row>
        <row r="171">
          <cell r="AI171" t="str">
            <v>6226 - Impor Bukan dlm.rangka Bantuan Luar Negeri - Gula</v>
          </cell>
          <cell r="AM171" t="str">
            <v>3308 - Tapanuli Utara, Kab.</v>
          </cell>
          <cell r="AN171" t="str">
            <v>STD - Sao Tome Dobra</v>
          </cell>
          <cell r="AO171" t="str">
            <v>533 - BANK DANPAC (merger menjadi Bank Century - 095)</v>
          </cell>
          <cell r="AU171" t="str">
            <v xml:space="preserve">252000 - INDUSTRI PENGOLAHAN - INDUSTRI KARET, BARANG DARI KARET, DAN BARANG DARI PLASTIK  - Industri Barang dari Plastik </v>
          </cell>
          <cell r="AV171" t="str">
            <v>3703 - Kab. Bangka Barat</v>
          </cell>
        </row>
        <row r="172">
          <cell r="AI172" t="str">
            <v>6227 - Impor Bukan dlm.rangka Bantuan Luar Negeri - Biji Gandum</v>
          </cell>
          <cell r="AM172" t="str">
            <v>3309 - Tapanuli Tengah, Kab.</v>
          </cell>
          <cell r="AN172" t="str">
            <v>SUR - USSR Rouble</v>
          </cell>
          <cell r="AO172" t="str">
            <v>535 - BANK KESEJAHTERAAN EKONOMI</v>
          </cell>
          <cell r="AU172" t="str">
            <v xml:space="preserve">261000 - INDUSTRI PENGOLAHAN - INDUSTRI BARANG GALIAN BUKAN LOGAM  - Industri Gelas dan Barang dari Gelas </v>
          </cell>
          <cell r="AV172" t="str">
            <v>3704 - Kab. Bangka Selatan</v>
          </cell>
        </row>
        <row r="173">
          <cell r="AI173" t="str">
            <v>6228 - Impor Bukan dlm.rangka Bantuan Luar Negeri - Jagung</v>
          </cell>
          <cell r="AM173" t="str">
            <v>3310 - Tapanuli Selatan, Kab.</v>
          </cell>
          <cell r="AN173" t="str">
            <v>SVC - El Salvador Colon</v>
          </cell>
          <cell r="AO173" t="str">
            <v>536 - BANK BCA SYARIAH</v>
          </cell>
          <cell r="AU173" t="str">
            <v xml:space="preserve">262000 - INDUSTRI PENGOLAHAN - INDUSTRI BARANG GALIAN BUKAN LOGAM  - Industri Barang-barang dari Porselin </v>
          </cell>
          <cell r="AV173" t="str">
            <v>3705 - Kab. Bangka Tengah</v>
          </cell>
        </row>
        <row r="174">
          <cell r="AI174" t="str">
            <v>6229 - Impor Bukan dlm.rangka Bantuan Luar Negeri - Kacang Kedele</v>
          </cell>
          <cell r="AM174" t="str">
            <v>3311 - Nias, Kab.</v>
          </cell>
          <cell r="AN174" t="str">
            <v>SYP - Syrian Pound</v>
          </cell>
          <cell r="AO174" t="str">
            <v>538 - BANK ASTRIA RAYA</v>
          </cell>
          <cell r="AU174" t="str">
            <v xml:space="preserve">263000 - INDUSTRI PENGOLAHAN - INDUSTRI BARANG GALIAN BUKAN LOGAM  - Industri Pengolahan Tanah Liat / Keramik </v>
          </cell>
          <cell r="AV174" t="str">
            <v>3706 - Kab. Belitung Timur</v>
          </cell>
        </row>
        <row r="175">
          <cell r="AI175" t="str">
            <v>6230 - Impor Bukan dlm.rangka Bantuan Luar Negeri - Farmasi</v>
          </cell>
          <cell r="AM175" t="str">
            <v>3313 - Toba Samosir, Kab.</v>
          </cell>
          <cell r="AN175" t="str">
            <v>SZL - Swaziland Lilangeni</v>
          </cell>
          <cell r="AO175" t="str">
            <v>542 - BANK ARTOS INDONESIA</v>
          </cell>
          <cell r="AU175" t="str">
            <v xml:space="preserve">264000 - INDUSTRI PENGOLAHAN - INDUSTRI BARANG GALIAN BUKAN LOGAM  - Industri Semen, Kapur dan Gips, Serta Barang-barang dari Semen, dan Kapur </v>
          </cell>
          <cell r="AV175" t="str">
            <v>3707 - Kab. Bangka Belitung</v>
          </cell>
        </row>
        <row r="176">
          <cell r="AI176" t="str">
            <v>6231 - Impor Bukan dlm.rangka Bantuan Luar Negeri - Suku Cadang Kend.Bermotor</v>
          </cell>
          <cell r="AM176" t="str">
            <v>3314 - Mandailing Natal, Kab.</v>
          </cell>
          <cell r="AN176" t="str">
            <v>THB - Thai Bath</v>
          </cell>
          <cell r="AO176" t="str">
            <v>543 - BANK PUTERA MULTIKARSA</v>
          </cell>
          <cell r="AU176" t="str">
            <v xml:space="preserve">265000 - INDUSTRI PENGOLAHAN - INDUSTRI BARANG GALIAN BUKAN LOGAM  - Industri Barang-barang dari Batu </v>
          </cell>
          <cell r="AV176" t="str">
            <v>3791 - Kota Pangkal Pinang</v>
          </cell>
        </row>
        <row r="177">
          <cell r="AI177" t="str">
            <v>6232 - Impor Bukan dlm.rangka Bantuan Luar Negeri - Suku Cadang Industri</v>
          </cell>
          <cell r="AM177" t="str">
            <v>3315 - Nias Selatan, Kab</v>
          </cell>
          <cell r="AN177" t="str">
            <v>TJR - Tajik Ruble</v>
          </cell>
          <cell r="AO177" t="str">
            <v>544 - BANK METROPOLITAN RAYA</v>
          </cell>
          <cell r="AU177" t="str">
            <v xml:space="preserve">266000 - INDUSTRI PENGOLAHAN - INDUSTRI BARANG GALIAN BUKAN LOGAM  - Industri Barang-barang dari Asbes </v>
          </cell>
          <cell r="AV177" t="str">
            <v>3801 - Kab. Karimun</v>
          </cell>
        </row>
        <row r="178">
          <cell r="AI178" t="str">
            <v>6239 - Impor Bukan dlm.rangka Bantuan Luar Negeri - Lainnya</v>
          </cell>
          <cell r="AM178" t="str">
            <v>3316 - Humbang Hasundutan, Kab</v>
          </cell>
          <cell r="AN178" t="str">
            <v>TJS - Tajikistan Somoni</v>
          </cell>
          <cell r="AO178" t="str">
            <v>545 - BANK MATARAM DHANARTA</v>
          </cell>
          <cell r="AU178" t="str">
            <v>269000 - INDUSTRI PENGOLAHAN - INDUSTRI BARANG GALIAN BUKAN LOGAM  - Industri Barang-barang Galian Bukan Logam Lainnya</v>
          </cell>
          <cell r="AV178" t="str">
            <v>3802 - Kab. Lingga</v>
          </cell>
        </row>
        <row r="179">
          <cell r="AI179" t="str">
            <v>6311 - Pembelian &amp; Pengumpulan Brg. Dagangan Dlm.Neg. : Beras</v>
          </cell>
          <cell r="AM179" t="str">
            <v>3317 - Pakpak Barat, Kab</v>
          </cell>
          <cell r="AN179" t="str">
            <v>TMM - Turkmenistan Manat</v>
          </cell>
          <cell r="AO179" t="str">
            <v>546 - GLOBAL INTERNATIONAL BANK (dicabut izin usaha)</v>
          </cell>
          <cell r="AU179" t="str">
            <v xml:space="preserve">271000 - INDUSTRI PENGOLAHAN - INDUSTRI LOGAM DASAR  - Industri Logam Dasar Besi dan Baja </v>
          </cell>
          <cell r="AV179" t="str">
            <v>3803 - Kab. Natuna</v>
          </cell>
        </row>
        <row r="180">
          <cell r="AI180" t="str">
            <v>6312 - Pembelian &amp; Pengumpulan Brg. Dagangan Dlm.Neg. : Jagung</v>
          </cell>
          <cell r="AM180" t="str">
            <v>3318 - Samosir, Kab</v>
          </cell>
          <cell r="AN180" t="str">
            <v>TND - Tunisian Dinar</v>
          </cell>
          <cell r="AO180" t="str">
            <v>547 - BANK SAHABAT PURBA DANARTA</v>
          </cell>
          <cell r="AU180" t="str">
            <v xml:space="preserve">272000 - INDUSTRI PENGOLAHAN - INDUSTRI LOGAM DASAR  - Industri Logam Dasar Bukan Besi </v>
          </cell>
          <cell r="AV180" t="str">
            <v>3804 - Kab. Bintan (d/h Kabupaten Kepulauan Riau)</v>
          </cell>
        </row>
        <row r="181">
          <cell r="AI181" t="str">
            <v>6313 - Pembelian &amp; Pengumpulan Brg. Dagangan Dlm.Neg. : Garam</v>
          </cell>
          <cell r="AM181" t="str">
            <v>3319 - Serdang Bedagai, Kab</v>
          </cell>
          <cell r="AN181" t="str">
            <v>TOP - Tonga Paanga</v>
          </cell>
          <cell r="AO181" t="str">
            <v>548 - BANK MULTI ARTA SENTOSA</v>
          </cell>
          <cell r="AU181" t="str">
            <v>273100 - INDUSTRI PENGOLAHAN - INDUSTRI LOGAM DASAR  - Industri Pengecoran logam  - Industri Pengecoran Besi dan Baja</v>
          </cell>
          <cell r="AV181" t="str">
            <v>3805 - Kab. Anambas</v>
          </cell>
        </row>
        <row r="182">
          <cell r="AI182" t="str">
            <v>6314 - Pembelian &amp; Pengumpulan Brg. Dagangan Dlm.Neg. : Stok Gula</v>
          </cell>
          <cell r="AM182" t="str">
            <v>3320 - Angkola Sipirok, Kab</v>
          </cell>
          <cell r="AN182" t="str">
            <v>TRL - Turkish Lira</v>
          </cell>
          <cell r="AO182" t="str">
            <v>549 - BANK CIPUTRA</v>
          </cell>
          <cell r="AU182" t="str">
            <v xml:space="preserve">273200 - INDUSTRI PENGOLAHAN - INDUSTRI LOGAM DASAR  - Industri Pengecoran logam  - Industri pengecoran Logam Bukan Besi dan Baja </v>
          </cell>
          <cell r="AV182" t="str">
            <v>3891 - Kota Tanjung Pinang</v>
          </cell>
        </row>
        <row r="183">
          <cell r="AI183" t="str">
            <v>6315 - Pembelian &amp; Pengumpulan Brg. Dagangan Dlm.Neg. : Kayu</v>
          </cell>
          <cell r="AM183" t="str">
            <v>3321 - Batu Bara, Kab</v>
          </cell>
          <cell r="AN183" t="str">
            <v>TTD - Trinidad &amp; Tobago Dollar</v>
          </cell>
          <cell r="AO183" t="str">
            <v>550 - BANK BEPEDE INDONESIA</v>
          </cell>
          <cell r="AU183" t="str">
            <v xml:space="preserve">281000 - INDUSTRI PENGOLAHAN - INDUSTRI BARANG DARI LOGAM, KECUALI MESIN DAN PERALATANNYA - Industri Barang-barang Logam Siap Pasang Untuk Bangunan, Pembuatan Tangki, dan Generator Uap </v>
          </cell>
          <cell r="AV183" t="str">
            <v>3892 - Kota Batam</v>
          </cell>
        </row>
        <row r="184">
          <cell r="AI184" t="str">
            <v>6316 - Pembelian &amp; Pengumpulan Brg. Dagangan Dlm.Neg. : Karet</v>
          </cell>
          <cell r="AM184" t="str">
            <v>3322 - Padang Lawas, Kab</v>
          </cell>
          <cell r="AN184" t="str">
            <v>TWD - Taiwan Dollar</v>
          </cell>
          <cell r="AO184" t="str">
            <v>551 - BANK CENTRIS INTERNASIONAL</v>
          </cell>
          <cell r="AU184" t="str">
            <v>289300 - INDUSTRI PENGOLAHAN - INDUSTRI BARANG DARI LOGAM, KECUALI MESIN DAN PERALATANNYA - Industri Barang Logam Lainnya, dan Kegiatan Jasa Pembuatan Barang-barang dari Logam  - Industri Alat-alat Pertanian, Pertukangan, Pemotong, dan Peralatan lainnya d</v>
          </cell>
          <cell r="AV184" t="str">
            <v>3901 - Kab. Lampung Selatan</v>
          </cell>
        </row>
        <row r="185">
          <cell r="AI185" t="str">
            <v>6317 - Pembelian &amp; Pengumpulan Brg. Dagangan Dlm.Neg. : Kelapa Sawit</v>
          </cell>
          <cell r="AM185" t="str">
            <v>3323 - Padang Lawas Utara, Kab</v>
          </cell>
          <cell r="AN185" t="str">
            <v>TZS - Tanzanian Shilling</v>
          </cell>
          <cell r="AO185" t="str">
            <v>552 - Bank Ratu</v>
          </cell>
          <cell r="AU185" t="str">
            <v xml:space="preserve">289900 - INDUSTRI PENGOLAHAN - INDUSTRI BARANG DARI LOGAM, KECUALI MESIN DAN PERALATANNYA - Industri Barang Logam Lainnya, dan Kegiatan Jasa Pembuatan Barang-barang dari Logam  - Industri Barang Logam yang Tidak Diklasifikasikan di Tempat Lain </v>
          </cell>
          <cell r="AV185" t="str">
            <v>3902 - Kab. Lampung Tengah</v>
          </cell>
        </row>
        <row r="186">
          <cell r="AI186" t="str">
            <v>6318 - Pembelian &amp; Pengumpulan Brg. Dagangan Dlm.Neg. : Kapas</v>
          </cell>
          <cell r="AM186" t="str">
            <v>3324 - Kab. Labuanbatu Selatan</v>
          </cell>
          <cell r="AN186" t="str">
            <v>UAH - Ukraine Hryvna</v>
          </cell>
          <cell r="AO186" t="str">
            <v>553 - BANK MAYORA</v>
          </cell>
          <cell r="AU186" t="str">
            <v xml:space="preserve">291000 - INDUSTRI PENGOLAHAN - INDUSTRI MESIN DAN PERLENGKAPANNYA  - Industri Mesin-mesin Umum </v>
          </cell>
          <cell r="AV186" t="str">
            <v>3903 - Kab. Lampung Utara</v>
          </cell>
        </row>
        <row r="187">
          <cell r="AI187" t="str">
            <v>6319 - Pembelian &amp; Pengumpulan Brg. Dagangan Dlm.Neg. : Kopra</v>
          </cell>
          <cell r="AM187" t="str">
            <v>3325 - Kab. Labuanbatu Utara</v>
          </cell>
          <cell r="AN187" t="str">
            <v>UAK - Ukraine Karbovanet</v>
          </cell>
          <cell r="AO187" t="str">
            <v>555 - BANK INDEX SELINDO</v>
          </cell>
          <cell r="AU187" t="str">
            <v xml:space="preserve">292100 - INDUSTRI PENGOLAHAN - INDUSTRI MESIN DAN PERLENGKAPANNYA  - Industri Mesin-mesin Untuk Keperluan Khusus  - Industri Mesin Pertanian dan Kehutanan, Serta Jasa Penunjang Pemeliharaan dan Perbaikannya </v>
          </cell>
          <cell r="AV187" t="str">
            <v>3904 - Kab. Lampung Barat</v>
          </cell>
        </row>
        <row r="188">
          <cell r="AI188" t="str">
            <v>6320 - Pembelian &amp; Pengumpulan Brg. Dagangan Dlm.Neg. : Cengkeh</v>
          </cell>
          <cell r="AM188" t="str">
            <v>3326 - Kab. Nias Barat</v>
          </cell>
          <cell r="AN188" t="str">
            <v>UGS - Ugandan Shilling</v>
          </cell>
          <cell r="AO188" t="str">
            <v>556 - BANK BUMI RAYA UTAMA</v>
          </cell>
          <cell r="AU188" t="str">
            <v xml:space="preserve">292400 - INDUSTRI PENGOLAHAN - INDUSTRI MESIN DAN PERLENGKAPANNYA  - Industri Mesin-mesin Untuk Keperluan Khusus  - Industri Mesin-mesin Untuk Pertambangan, Penggalian dan Konstruksi </v>
          </cell>
          <cell r="AV188" t="str">
            <v>3905 - Kab. Tulang Bawang</v>
          </cell>
        </row>
        <row r="189">
          <cell r="AI189" t="str">
            <v>6321 - Pembelian &amp; Pengumpulan Brg. Dagangan Dlm.Neg. : Lada</v>
          </cell>
          <cell r="AM189" t="str">
            <v>3327 - Kab. Nias Utara</v>
          </cell>
          <cell r="AN189" t="str">
            <v>UGX - Ugandan Shilling</v>
          </cell>
          <cell r="AO189" t="str">
            <v>557 - BANK SEMBADA ARTANUGROHO</v>
          </cell>
          <cell r="AU189" t="str">
            <v xml:space="preserve">292500 - INDUSTRI PENGOLAHAN - INDUSTRI MESIN DAN PERLENGKAPANNYA  - Industri Mesin-mesin Untuk Keperluan Khusus  - lndustri Mesin Untuk Pengolahan Makanan, Minuman dan Tembakau </v>
          </cell>
          <cell r="AV189" t="str">
            <v>3906 - Kab. Tanggamus</v>
          </cell>
        </row>
        <row r="190">
          <cell r="AI190" t="str">
            <v>6322 - Pembelian &amp; Pengumpulan Brg. Dagangan Dlm.Neg. : Tembakau</v>
          </cell>
          <cell r="AM190" t="str">
            <v>3391 - Tebing Tinggi, Kota.</v>
          </cell>
          <cell r="AN190" t="str">
            <v>USD - US Dollar</v>
          </cell>
          <cell r="AO190" t="str">
            <v>558 - BANK PUNDI INDONESIA</v>
          </cell>
          <cell r="AU190" t="str">
            <v xml:space="preserve">292600 - INDUSTRI PENGOLAHAN - INDUSTRI MESIN DAN PERLENGKAPANNYA  - Industri Mesin-mesin Untuk Keperluan Khusus  - Industri Mesin-mesin Tekstil, Produk Tekstil, dan Barang-barang dari Kulit </v>
          </cell>
          <cell r="AV190" t="str">
            <v>3907 - Kab. Lampung Timur</v>
          </cell>
        </row>
        <row r="191">
          <cell r="AI191" t="str">
            <v>6323 - Pembelian &amp; Pengumpulan Brg. Dagangan Dlm.Neg. : Kopi</v>
          </cell>
          <cell r="AM191" t="str">
            <v>3392 - Binjai, Kota.</v>
          </cell>
          <cell r="AN191" t="str">
            <v>USP - US Dollar</v>
          </cell>
          <cell r="AO191" t="str">
            <v>559 - BANK CENTRATAMA NASIONAL</v>
          </cell>
          <cell r="AU191" t="str">
            <v>292900 - INDUSTRI PENGOLAHAN - INDUSTRI MESIN DAN PERLENGKAPANNYA  - Industri Mesin-mesin Untuk Keperluan Khusus  - Industri Mesin-mesin Khusus Lainnya</v>
          </cell>
          <cell r="AV191" t="str">
            <v>3908 - Kab. Way Kanan</v>
          </cell>
        </row>
        <row r="192">
          <cell r="AI192" t="str">
            <v>6324 - Pembelian &amp; Pengumpulan Brg. Dagangan Dlm.Neg. : Teh</v>
          </cell>
          <cell r="AM192" t="str">
            <v>3393 - Pematang Siantar, Kota.</v>
          </cell>
          <cell r="AN192" t="str">
            <v>UYP - Uruguay Peso</v>
          </cell>
          <cell r="AO192" t="str">
            <v>560 - BANK INDOMITRA DEVELOPMENT</v>
          </cell>
          <cell r="AU192" t="str">
            <v xml:space="preserve">293000 - INDUSTRI PENGOLAHAN - INDUSTRI MESIN DAN PERLENGKAPANNYA  - Industri Peralatan Rumah Tangga yang Tidak Diklasifikasikan di Tempat Lain </v>
          </cell>
          <cell r="AV192" t="str">
            <v>3909 - Kab. Pesawaran</v>
          </cell>
        </row>
        <row r="193">
          <cell r="AI193" t="str">
            <v>6325 - Pembelian &amp; Pengumpulan Brg. Dagangan Dlm.Neg. : Hewan hidup &amp; Hasilnya</v>
          </cell>
          <cell r="AM193" t="str">
            <v>3394 - Tanjung Balai, Kota.</v>
          </cell>
          <cell r="AN193" t="str">
            <v>UYU - Uruguay Peso</v>
          </cell>
          <cell r="AO193" t="str">
            <v>561 - BANK BUDI INTERNASIONAL</v>
          </cell>
          <cell r="AU193" t="str">
            <v>300000 - INDUSTRI PENGOLAHAN - INDUSTRI MESIN DAN PERALATAN KANTOR, AKUNTANSI DAN PENGOLAHAN DATA  - Industri Mesin dan Peralatan Kantor, Akuntansi, dan Pengolahan Data</v>
          </cell>
          <cell r="AV193" t="str">
            <v>3910 - Kab. Pringsewu</v>
          </cell>
        </row>
        <row r="194">
          <cell r="AI194" t="str">
            <v>6390 - Pembelian &amp; Pengumpulan Brg. Dagangan Dlm.Neg. : Lainnya</v>
          </cell>
          <cell r="AM194" t="str">
            <v>3395 - Sibolga, Kota.</v>
          </cell>
          <cell r="AN194" t="str">
            <v>UZS - Uzbekistan Sum</v>
          </cell>
          <cell r="AO194" t="str">
            <v>562 - BANK FAMA INTERNASIONAL</v>
          </cell>
          <cell r="AU194" t="str">
            <v xml:space="preserve">311000 - INDUSTRI PENGOLAHAN - INDUSTRI MESIN LISTRIK LAINNYA DAN PERLENGKAPANNYA  - Industri Motor Listrik, Generator, dan Transformator </v>
          </cell>
          <cell r="AV194" t="str">
            <v>3911 - Kab. Tulang Bawang Barat</v>
          </cell>
        </row>
        <row r="195">
          <cell r="AI195" t="str">
            <v>6411 - Distribusi Semen</v>
          </cell>
          <cell r="AM195" t="str">
            <v>3396 - Medan, Kota.</v>
          </cell>
          <cell r="AN195" t="str">
            <v>VEB - Venezuelan Bolivar</v>
          </cell>
          <cell r="AO195" t="str">
            <v>563 - BANK CITRAHASTA DHANAMANUNGGAL</v>
          </cell>
          <cell r="AU195" t="str">
            <v>312000 - INDUSTRI PENGOLAHAN - INDUSTRI MESIN LISTRIK LAINNYA DAN PERLENGKAPANNYA  - Industri Peralatan Pengontrol dan Pendistribusian Listrik</v>
          </cell>
          <cell r="AV195" t="str">
            <v>3912 - Kab. Mesuji</v>
          </cell>
        </row>
        <row r="196">
          <cell r="AI196" t="str">
            <v>6412 - Distribusi Pupuk/Obat Hama</v>
          </cell>
          <cell r="AM196" t="str">
            <v>3397 - Kota Gunung Sitoli</v>
          </cell>
          <cell r="AN196" t="str">
            <v>VND - Vietnam Dong</v>
          </cell>
          <cell r="AO196" t="str">
            <v>564 - BANK SINAR HARAPAN BALI</v>
          </cell>
          <cell r="AU196" t="str">
            <v xml:space="preserve">313000 - INDUSTRI PENGOLAHAN - INDUSTRI MESIN LISTRIK LAINNYA DAN PERLENGKAPANNYA  - Industri Kabel Listrik dan Telepon </v>
          </cell>
          <cell r="AV196" t="str">
            <v>3991 - Kota Bandar Lampung</v>
          </cell>
        </row>
        <row r="197">
          <cell r="AI197" t="str">
            <v>6413 - Distribusi Kapas Kasar</v>
          </cell>
          <cell r="AM197" t="str">
            <v>3399 - Padang Sidempuan, Kota.</v>
          </cell>
          <cell r="AN197" t="str">
            <v>VUV - Vanuatu Vatu</v>
          </cell>
          <cell r="AO197" t="str">
            <v>565 - BANK ORIENT</v>
          </cell>
          <cell r="AU197" t="str">
            <v xml:space="preserve">314000 - INDUSTRI PENGOLAHAN - INDUSTRI MESIN LISTRIK LAINNYA DAN PERLENGKAPANNYA  - Industri Akumulator Listrik dan Batu Baterai </v>
          </cell>
          <cell r="AV197" t="str">
            <v>3992 - Kota Metro</v>
          </cell>
        </row>
        <row r="198">
          <cell r="AI198" t="str">
            <v>6414 - Distribusi Besi Beton</v>
          </cell>
          <cell r="AM198" t="str">
            <v>3401 - Agam, Kab.</v>
          </cell>
          <cell r="AN198" t="str">
            <v>WST - Samoan (West) Tala</v>
          </cell>
          <cell r="AO198" t="str">
            <v>566 - BANK VICTORIA INTERNATIONAL</v>
          </cell>
          <cell r="AU198" t="str">
            <v>315000 - INDUSTRI PENGOLAHAN - INDUSTRI MESIN LISTRIK LAINNYA DAN PERLENGKAPANNYA  - Industri Bola Lampu Pijar dan Lampu Penerangan</v>
          </cell>
          <cell r="AV198" t="str">
            <v>5101 - Kab. Banjar</v>
          </cell>
        </row>
        <row r="199">
          <cell r="AI199" t="str">
            <v>6415 - Distribusi Kertas Koran</v>
          </cell>
          <cell r="AM199" t="str">
            <v>3402 - Pasaman, Kab.</v>
          </cell>
          <cell r="AN199" t="str">
            <v>XAF - Franc de la Communaute financiere Africaine</v>
          </cell>
          <cell r="AO199" t="str">
            <v>567 - BANK HARDA INTERNASIONAL</v>
          </cell>
          <cell r="AU199" t="str">
            <v xml:space="preserve">319000 - INDUSTRI PENGOLAHAN - INDUSTRI MESIN LISTRIK LAINNYA DAN PERLENGKAPANNYA  - Industri Peralatan Listrik yang Tidak Diklasifikasikan di Tempat lain </v>
          </cell>
          <cell r="AV199" t="str">
            <v>5102 - Kab. Tanah Laut</v>
          </cell>
        </row>
        <row r="200">
          <cell r="AI200" t="str">
            <v>6416 - Distribusi Beras</v>
          </cell>
          <cell r="AM200" t="str">
            <v>3403 - Limapuluh Koto, Kab.</v>
          </cell>
          <cell r="AN200" t="str">
            <v>XAG - Silver</v>
          </cell>
          <cell r="AO200" t="str">
            <v>600 - BPR KONVENSIONAL</v>
          </cell>
          <cell r="AU200" t="str">
            <v xml:space="preserve">321000 - INDUSTRI PENGOLAHAN - INDUSTRI RADIO, TElEVISI, DAN PERALATAN KOMUNIKASI, SERTA PERLENGKAPANNYA  - Industri Tabung dan Katup Elektronik Serta Komponen Elektronik lainnya </v>
          </cell>
          <cell r="AV200" t="str">
            <v>5103 - Kab. Tapin</v>
          </cell>
        </row>
        <row r="201">
          <cell r="AI201" t="str">
            <v>6417 - Distribusi Gula</v>
          </cell>
          <cell r="AM201" t="str">
            <v>3404 - Solok Selatan, Kab.</v>
          </cell>
          <cell r="AN201" t="str">
            <v>XAU - Gold</v>
          </cell>
          <cell r="AO201" t="str">
            <v>601 - BPR SYARIAH</v>
          </cell>
          <cell r="AU201" t="str">
            <v>322000 - INDUSTRI PENGOLAHAN - INDUSTRI RADIO, TElEVISI, DAN PERALATAN KOMUNIKASI, SERTA PERLENGKAPANNYA  - Industri Alat Transmisi Komunikasi</v>
          </cell>
          <cell r="AV201" t="str">
            <v>5104 - Kab. Hulu Sungai Selatan</v>
          </cell>
        </row>
        <row r="202">
          <cell r="AI202" t="str">
            <v>6418 - Distribusi Tepung Terigu</v>
          </cell>
          <cell r="AM202" t="str">
            <v>3405 - Padang Pariaman, Kab.</v>
          </cell>
          <cell r="AN202" t="str">
            <v>XCD - East Caribbean Dollar</v>
          </cell>
          <cell r="AO202" t="str">
            <v>700 - BRI NEW YORK</v>
          </cell>
          <cell r="AU202" t="str">
            <v xml:space="preserve">323000 - INDUSTRI PENGOLAHAN - INDUSTRI RADIO, TElEVISI, DAN PERALATAN KOMUNIKASI, SERTA PERLENGKAPANNYA  - Industri Radio, Televisi, Alat-alat Rekaman Suara dan Gambar, dan Sejenisnya </v>
          </cell>
          <cell r="AV202" t="str">
            <v>5105 - Kab. Hulu Sungai Tengah</v>
          </cell>
        </row>
        <row r="203">
          <cell r="AI203" t="str">
            <v>6419 - Distribusi Garam</v>
          </cell>
          <cell r="AM203" t="str">
            <v>3406 - Pesisir Selatan, Kab.</v>
          </cell>
          <cell r="AN203" t="str">
            <v>XDR - Special Drawing Right</v>
          </cell>
          <cell r="AO203" t="str">
            <v>701 - BRI CAYMAN ISLAND</v>
          </cell>
          <cell r="AU203" t="str">
            <v>331000 - INDUSTRI PENGOLAHAN - INDUSTRI PERALATAN KEDOKTERAN, ALAT-ALAT UKUR, PERALATAN NAVIGASI, PERALATAN OPTlK, JAM DAN LONCENG  - Industri Peralatan Kedokteran, dan Peralatan Untuk Mengukur, Memeriksa, Menguji, dan Bagian Lainnya, Kecuali Alat-alat Op</v>
          </cell>
          <cell r="AV203" t="str">
            <v>5106 - Kab. Hulu Sungai Utara</v>
          </cell>
        </row>
        <row r="204">
          <cell r="AI204" t="str">
            <v>6420 - Distribusi Bahan Bakar Minyak</v>
          </cell>
          <cell r="AM204" t="str">
            <v>3407 - Tanah Datar, Kab.</v>
          </cell>
          <cell r="AN204" t="str">
            <v>XOF - CFA Franc BCEAO</v>
          </cell>
          <cell r="AO204" t="str">
            <v>706 - BANK MANDIRI TOKYO</v>
          </cell>
          <cell r="AU204" t="str">
            <v xml:space="preserve">332000 - INDUSTRI PENGOLAHAN - INDUSTRI PERALATAN KEDOKTERAN, ALAT-ALAT UKUR, PERALATAN NAVIGASI, PERALATAN OPTlK, JAM DAN LONCENG  - Industri Instrumen Optik dan Peralatan Fotografi </v>
          </cell>
          <cell r="AV204" t="str">
            <v>5107 - Kab. Barito Kuala</v>
          </cell>
        </row>
        <row r="205">
          <cell r="AI205" t="str">
            <v>6490 - Distribusi lainnya</v>
          </cell>
          <cell r="AM205" t="str">
            <v>3408 - Kab. Sijunjung</v>
          </cell>
          <cell r="AN205" t="str">
            <v>XPF - Franc Pacific Is.Fran</v>
          </cell>
          <cell r="AO205" t="str">
            <v>707 - BANK MANDIRI CAYMAN ISLAND</v>
          </cell>
          <cell r="AU205" t="str">
            <v xml:space="preserve">333000 - INDUSTRI PENGOLAHAN - INDUSTRI PERALATAN KEDOKTERAN, ALAT-ALAT UKUR, PERALATAN NAVIGASI, PERALATAN OPTlK, JAM DAN LONCENG  - Industri Jam, Lonceng, dan Sejenisnya </v>
          </cell>
          <cell r="AV205" t="str">
            <v>5108 - Kab. Kota Baru</v>
          </cell>
        </row>
        <row r="206">
          <cell r="AI206" t="str">
            <v>6500 - Perdagangan Eceran</v>
          </cell>
          <cell r="AM206" t="str">
            <v>3409 - Kepulauan Mentawai, Kab.</v>
          </cell>
          <cell r="AN206" t="str">
            <v>YER - Yemeni Rial</v>
          </cell>
          <cell r="AO206" t="str">
            <v>708 - BANK MANDIRI SINGAPORE</v>
          </cell>
          <cell r="AU206" t="str">
            <v>341000 - INDUSTRI PENGOLAHAN - INDUSTRI KENDARAAN BERM0TOR  - Industri Kendaraan Bermotor Roda Empat Atau Lebih</v>
          </cell>
          <cell r="AV206" t="str">
            <v>5109 - Kab. Tabalong</v>
          </cell>
        </row>
        <row r="207">
          <cell r="AI207" t="str">
            <v>6610 - Restoran</v>
          </cell>
          <cell r="AM207" t="str">
            <v>3410 - Pasaman Barat, Kab</v>
          </cell>
          <cell r="AN207" t="str">
            <v>YUD - New Dinar</v>
          </cell>
          <cell r="AO207" t="str">
            <v>709 - BANK MANDIRI HONGKONG</v>
          </cell>
          <cell r="AU207" t="str">
            <v>342000 - INDUSTRI PENGOLAHAN - INDUSTRI KENDARAAN BERM0TOR  - Industri Karoseri Kendaraan Bermotor Roda Empat Atau Lebih</v>
          </cell>
          <cell r="AV207" t="str">
            <v>5110 - Kab.Tanah Bumbu</v>
          </cell>
        </row>
        <row r="208">
          <cell r="AI208" t="str">
            <v>6620 - Hotel</v>
          </cell>
          <cell r="AM208" t="str">
            <v>3411 - Dharmasraya, Kab.</v>
          </cell>
          <cell r="AN208" t="str">
            <v>YUN - New Yugoslavian</v>
          </cell>
          <cell r="AO208" t="str">
            <v>710 - BANK MANDIRI COOK ISLAND</v>
          </cell>
          <cell r="AU208" t="str">
            <v>343000 - INDUSTRI PENGOLAHAN - INDUSTRI KENDARAAN BERM0TOR  - Industri Perlengkapan dan Komponen Kendaraan Bermotor Roda Empat Atau Lebih</v>
          </cell>
          <cell r="AV208" t="str">
            <v>5111 - Kab. Balangan</v>
          </cell>
        </row>
        <row r="209">
          <cell r="AI209" t="str">
            <v>7000 - Pengangkutan, Pergudangan, Komunikasi</v>
          </cell>
          <cell r="AM209" t="str">
            <v>3412 - Solok, Kab</v>
          </cell>
          <cell r="AN209" t="str">
            <v>ZAL - Rand (South African Rand)</v>
          </cell>
          <cell r="AO209" t="str">
            <v>711 - MANDIRI - TIMOR TIMUR</v>
          </cell>
          <cell r="AU209" t="str">
            <v>351000 - INDUSTRI PENGOLAHAN - INDUSTRI ALAT ANGKUTAN, SELAIN KENDARAAN BERMOTOR RODA EMPAT ATAU LEBIH  - Industri Pembuatan dan Perbaikan Kapal dan Perahu</v>
          </cell>
          <cell r="AV209" t="str">
            <v>5191 - Kota Banjarmasin</v>
          </cell>
        </row>
        <row r="210">
          <cell r="AI210" t="str">
            <v>7110 - Pengangkutan Umum Darat</v>
          </cell>
          <cell r="AM210" t="str">
            <v>3491 - Bukittinggi, Kota.</v>
          </cell>
          <cell r="AN210" t="str">
            <v>ZAR - Rand (South African Rand)</v>
          </cell>
          <cell r="AO210" t="str">
            <v>712 - BANK MANDIRI SHANGHAI</v>
          </cell>
          <cell r="AU210" t="str">
            <v xml:space="preserve">352000 - INDUSTRI PENGOLAHAN - INDUSTRI ALAT ANGKUTAN, SELAIN KENDARAAN BERMOTOR RODA EMPAT ATAU LEBIH  - Industri Kereta Api, Bagian-bagian dan Perlengkapannya, Serta Perbaikan Kereta Api </v>
          </cell>
          <cell r="AV210" t="str">
            <v>5192 - Kota Banjarbaru</v>
          </cell>
        </row>
        <row r="211">
          <cell r="AI211" t="str">
            <v>7120 - Pengangkutan Umum Sungai</v>
          </cell>
          <cell r="AM211" t="str">
            <v>3492 - Padang, Kota.</v>
          </cell>
          <cell r="AN211" t="str">
            <v>ZMK - Zambian Kwacha</v>
          </cell>
          <cell r="AO211" t="str">
            <v>729 - BNI NEW YORK</v>
          </cell>
          <cell r="AU211" t="str">
            <v xml:space="preserve">353000 - INDUSTRI PENGOLAHAN - INDUSTRI ALAT ANGKUTAN, SELAIN KENDARAAN BERMOTOR RODA EMPAT ATAU LEBIH  - Industri Pesawat Terbang dan Perlengkapannya Serta Perbaikan Pesawat Terbang </v>
          </cell>
          <cell r="AV211" t="str">
            <v>5301 - Kab. Pontianak</v>
          </cell>
        </row>
        <row r="212">
          <cell r="AI212" t="str">
            <v>7130 - Pengangkutan Umum Laut</v>
          </cell>
          <cell r="AM212" t="str">
            <v>3493 - Sawahlunto, Kota.</v>
          </cell>
          <cell r="AN212" t="str">
            <v>ZWD - Zimbabwe Dollar</v>
          </cell>
          <cell r="AO212" t="str">
            <v>730 - BNI CAYMAN ISLAND</v>
          </cell>
          <cell r="AU212" t="str">
            <v xml:space="preserve">359100 - INDUSTRI PENGOLAHAN - INDUSTRI ALAT ANGKUTAN, SELAIN KENDARAAN BERMOTOR RODA EMPAT ATAU LEBIH  - Industri Alat Angkut lainnya  - Industri Kendaraan Bermotor Roda Dua dan Tiga Serta Komponen dan Perlengkapannya </v>
          </cell>
          <cell r="AV212" t="str">
            <v>5302 - Kab. Sambas</v>
          </cell>
        </row>
        <row r="213">
          <cell r="AI213" t="str">
            <v>7140 - Pengangkutan Umum Udara</v>
          </cell>
          <cell r="AM213" t="str">
            <v>3494 - Padang Panjang, Kota.</v>
          </cell>
          <cell r="AO213" t="str">
            <v>731 - BNI LONDON</v>
          </cell>
          <cell r="AU213" t="str">
            <v xml:space="preserve">359900 - INDUSTRI PENGOLAHAN - INDUSTRI ALAT ANGKUTAN, SELAIN KENDARAAN BERMOTOR RODA EMPAT ATAU LEBIH  - Industri Alat Angkut lainnya  - Industri Alat Angkut yang Tidak Diklasifikasikan di Tempat Lain </v>
          </cell>
          <cell r="AV213" t="str">
            <v>5303 - Kab. Ketapang</v>
          </cell>
        </row>
        <row r="214">
          <cell r="AI214" t="str">
            <v>7200 - Biro Perjalanan</v>
          </cell>
          <cell r="AM214" t="str">
            <v>3495 - Solok, Kota.</v>
          </cell>
          <cell r="AO214" t="str">
            <v>732 - BNI TOKYO</v>
          </cell>
          <cell r="AU214" t="str">
            <v xml:space="preserve">361000 - INDUSTRI PENGOLAHAN - INDUSTRI FURNITUR DAN INDUSTRI PENGOLAHAN LAINNYA - Industri Furnitur </v>
          </cell>
          <cell r="AV214" t="str">
            <v>5304 - Kab. Sanggau</v>
          </cell>
        </row>
        <row r="215">
          <cell r="AI215" t="str">
            <v>7300 - Pergudangan</v>
          </cell>
          <cell r="AM215" t="str">
            <v>3496 - Payakumbuh, Kota.</v>
          </cell>
          <cell r="AO215" t="str">
            <v>733 - BNI HONGKONG</v>
          </cell>
          <cell r="AU215" t="str">
            <v>369000 - INDUSTRI PENGOLAHAN - INDUSTRI FURNITUR DAN INDUSTRI PENGOLAHAN LAINNYA - Industri Pengolahan Lainnya</v>
          </cell>
          <cell r="AV215" t="str">
            <v>5305 - Kab. Sintang</v>
          </cell>
        </row>
        <row r="216">
          <cell r="AI216" t="str">
            <v>7400 - Komunikasi</v>
          </cell>
          <cell r="AM216" t="str">
            <v>3497 - Pariaman, Kota.</v>
          </cell>
          <cell r="AO216" t="str">
            <v>734 - BNI SINGAPORE</v>
          </cell>
          <cell r="AU216" t="str">
            <v xml:space="preserve">371000 - INDUSTRI PENGOLAHAN - DAUR ULANG  - Daur Ulang Barang-barang Logam </v>
          </cell>
          <cell r="AV216" t="str">
            <v>5306 - Kab. Kapuas Hulu</v>
          </cell>
        </row>
        <row r="217">
          <cell r="AI217" t="str">
            <v>8000 - Jasa-jasa Dunia Usaha</v>
          </cell>
          <cell r="AM217" t="str">
            <v>3501 - Kampar, Kab.</v>
          </cell>
          <cell r="AO217" t="str">
            <v>745 - BANK DANAMON INDONESIA CAYMAN ISLAND</v>
          </cell>
          <cell r="AU217" t="str">
            <v xml:space="preserve">372000 - INDUSTRI PENGOLAHAN - DAUR ULANG  - Daur Ulang Barang-barang Bukan logam </v>
          </cell>
          <cell r="AV217" t="str">
            <v>5307 - Kab. Bengkayang</v>
          </cell>
        </row>
        <row r="218">
          <cell r="AI218" t="str">
            <v>8111 - Jasa-jasa Dunia Usaha - Perumahan Sederhana PERUMNAS</v>
          </cell>
          <cell r="AM218" t="str">
            <v>3502 - Bengkalis, Kab.</v>
          </cell>
          <cell r="AO218" t="str">
            <v>748 - BANK PERMATA CAYMAN ISLAND</v>
          </cell>
          <cell r="AU218" t="str">
            <v>401001 - LISTRIK, GAS DAN AIR - LISTRIK, GAS DAN AIR PANAS - Ketenagalistrikan - Ketenagalistrikan Pedesaan</v>
          </cell>
          <cell r="AV218" t="str">
            <v>5308 - Kab. Landak</v>
          </cell>
        </row>
        <row r="219">
          <cell r="AI219" t="str">
            <v>8119 - Jasa-jasa Dunia Usaha - Perumahan Sederhana selain PERUMNAS</v>
          </cell>
          <cell r="AM219" t="str">
            <v>3504 - Indragiri Hulu, Kab.</v>
          </cell>
          <cell r="AO219" t="str">
            <v>749 - BANK PERMATA LOS ANGELES</v>
          </cell>
          <cell r="AU219" t="str">
            <v>401002 - LISTRIK, GAS DAN AIR - LISTRIK, GAS DAN AIR PANAS - Ketenagalistrikan - Ketenagalistrikan Lainnya</v>
          </cell>
          <cell r="AV219" t="str">
            <v>5309 - Kab. Sekadau</v>
          </cell>
        </row>
        <row r="220">
          <cell r="AI220" t="str">
            <v>8120 - Jasa-jasa Dunia Usaha - Real Estate - Pasar Inpres</v>
          </cell>
          <cell r="AM220" t="str">
            <v>3505 - Indragiri Hilir, Kab.</v>
          </cell>
          <cell r="AO220" t="str">
            <v>752 - BCA NEW YORK</v>
          </cell>
          <cell r="AU220" t="str">
            <v xml:space="preserve">402000 - LISTRIK, GAS DAN AIR - LISTRIK, GAS DAN AIR PANAS - Gas </v>
          </cell>
          <cell r="AV220" t="str">
            <v>5310 - Kab. Melawi</v>
          </cell>
        </row>
        <row r="221">
          <cell r="AI221" t="str">
            <v>8190 - Jasa-jasa Dunia Usaha - Real Estate Lainnya</v>
          </cell>
          <cell r="AM221" t="str">
            <v>3508 - Rokan Hulu, Kab.</v>
          </cell>
          <cell r="AO221" t="str">
            <v>753 - BCA BAHAMA</v>
          </cell>
          <cell r="AU221" t="str">
            <v xml:space="preserve">403000 - LISTRIK, GAS DAN AIR - LISTRIK, GAS DAN AIR PANAS - Uap dan Air Panas </v>
          </cell>
          <cell r="AV221" t="str">
            <v>5311 - Kab. Kayong Utara</v>
          </cell>
        </row>
        <row r="222">
          <cell r="AI222" t="str">
            <v>8200 - Jasa-jasa Dunia Usaha - Profesi selain Dokter</v>
          </cell>
          <cell r="AM222" t="str">
            <v>3509 - Rokan Hilir, Kab.</v>
          </cell>
          <cell r="AO222" t="str">
            <v>754 - BANK LIPPO - CAYMAN ISLAND</v>
          </cell>
          <cell r="AU222" t="str">
            <v xml:space="preserve">410000 - LISTRIK, GAS DAN AIR - PENGADAAN DAN PENYALURAN AIR BERSIH  - Pengadaan dan Penyaluran Air Bersih </v>
          </cell>
          <cell r="AV222" t="str">
            <v>5312 - Kab. Kubu Raya</v>
          </cell>
        </row>
        <row r="223">
          <cell r="AI223" t="str">
            <v>8300 - Jasa-jasa Dunia Usaha - Leasing</v>
          </cell>
          <cell r="AM223" t="str">
            <v>3510 - Pelalawan, Kab.</v>
          </cell>
          <cell r="AO223" t="str">
            <v>758 - BII CAYMAN ISLAND</v>
          </cell>
          <cell r="AU223" t="str">
            <v>451001 - KONSTRUKSI  - KONSTRUKSI  - Penyiapan lahan  - Penyiapan Tanah Pemukiman Transmigrasi (PTPT)</v>
          </cell>
          <cell r="AV223" t="str">
            <v>5391 - Kota Pontianak</v>
          </cell>
        </row>
        <row r="224">
          <cell r="AI224" t="str">
            <v>8900 - Jasa-jasa Dunia Usaha - Lainnya</v>
          </cell>
          <cell r="AM224" t="str">
            <v>3511 - Siak, Kab.</v>
          </cell>
          <cell r="AO224" t="str">
            <v>759 - BII COOK ISLAND</v>
          </cell>
          <cell r="AU224" t="str">
            <v>451002 - KONSTRUKSI  - KONSTRUKSI  - Penyiapan lahan  - Pencetakan Lahan Sawah</v>
          </cell>
          <cell r="AV224" t="str">
            <v>5392 - Kota Singkawang</v>
          </cell>
        </row>
        <row r="225">
          <cell r="AI225" t="str">
            <v>9000 - Jasa-jasa sosial/masyarakat</v>
          </cell>
          <cell r="AM225" t="str">
            <v>3512 - Kuantan Singingi, Kab.</v>
          </cell>
          <cell r="AO225" t="str">
            <v>760 - BII BOMBAY (INDIA)</v>
          </cell>
          <cell r="AU225" t="str">
            <v>451009 - KONSTRUKSI  - KONSTRUKSI  - Penyiapan lahan  - Penyiapan Lahan Lainnya</v>
          </cell>
          <cell r="AV225" t="str">
            <v>5401 - Kab. Kutai Kartanegara</v>
          </cell>
        </row>
        <row r="226">
          <cell r="AI226" t="str">
            <v>9100 - Jasa-jasa sosial/masyarakat - Hiburan dan Kebudayaan</v>
          </cell>
          <cell r="AM226" t="str">
            <v>3513 - Kab. Kepulauan Meranti</v>
          </cell>
          <cell r="AO226" t="str">
            <v>761 - BII PORT LOUIS (REP.MAURITIUS)</v>
          </cell>
          <cell r="AU226" t="str">
            <v>452111 - KONSTRUKSI  - KONSTRUKSI  - Konstruksi Gedung dan Bangunan Sipil  - Konstruksi Gedung Konstruksi Gedung Tempat Tinggal  - Konstruksi Perumahan Sederhana - Bank Tabungan Negara</v>
          </cell>
          <cell r="AV226" t="str">
            <v>5402 - Kab. Berau</v>
          </cell>
        </row>
        <row r="227">
          <cell r="AI227" t="str">
            <v>9210 - Jasa-jasa sosial/masyarakat - Kesehatan - Profesi</v>
          </cell>
          <cell r="AM227" t="str">
            <v>3591 - Pekanbaru, Kota.</v>
          </cell>
          <cell r="AO227" t="str">
            <v>766 - BANK PANIN CAYMAN ISLAND</v>
          </cell>
          <cell r="AU227" t="str">
            <v>452112 - KONSTRUKSI  - KONSTRUKSI  - Konstruksi Gedung dan Bangunan Sipil  - Konstruksi Gedung Konstruksi Gedung Tempat Tinggal  - Konstruksi Perumahan Sederhana - Perumnas</v>
          </cell>
          <cell r="AV227" t="str">
            <v>5403 - Kab. Pasir</v>
          </cell>
        </row>
        <row r="228">
          <cell r="AI228" t="str">
            <v>9220 - Jasa-jasa sosial/masyarakat - Kesehatan - Tempat Perawatan/Pengobatan</v>
          </cell>
          <cell r="AM228" t="str">
            <v>3592 - Dumai, Kota.</v>
          </cell>
          <cell r="AO228" t="str">
            <v>767 - BANK PANIN COOK ISLAND</v>
          </cell>
          <cell r="AU228" t="str">
            <v>452113 - KONSTRUKSI  - KONSTRUKSI  - Konstruksi Gedung dan Bangunan Sipil  - Konstruksi Gedung Konstruksi Gedung Tempat Tinggal  - Konstruksi Perumahan Sederhana - Lainnya Tipe s.d. 21</v>
          </cell>
          <cell r="AV228" t="str">
            <v>5404 - Kab. Bulungan</v>
          </cell>
        </row>
        <row r="229">
          <cell r="AI229" t="str">
            <v>9310 - Jasa-jasa sosial/masyarakat - Pendidikan - Perguruan Tinggi</v>
          </cell>
          <cell r="AM229" t="str">
            <v>3606 - Musi Banyuasin, Kab.</v>
          </cell>
          <cell r="AO229" t="str">
            <v>770 - BANK NIAGA CAYMAN ISLAND</v>
          </cell>
          <cell r="AU229" t="str">
            <v>452114 - KONSTRUKSI  - KONSTRUKSI  - Konstruksi Gedung dan Bangunan Sipil  - Konstruksi Gedung Konstruksi Gedung Tempat Tinggal  - Konstruksi Perumahan Sederhana - Lainnya Tipe 22 s.d. 70</v>
          </cell>
          <cell r="AV229" t="str">
            <v>5405 - Kab. Kutai Barat</v>
          </cell>
        </row>
        <row r="230">
          <cell r="AI230" t="str">
            <v>9390 - Jasa-jasa sosial/masyarakat - Pendidikan Lainnya</v>
          </cell>
          <cell r="AM230" t="str">
            <v>3607 - Ogan Komering Ulu, Kab.</v>
          </cell>
          <cell r="AO230" t="str">
            <v>771 - BANK NIAGA LOS ANGELES</v>
          </cell>
          <cell r="AU230" t="str">
            <v>452115 - KONSTRUKSI  - KONSTRUKSI  - Konstruksi Gedung dan Bangunan Sipil  - Konstruksi Gedung Konstruksi Gedung Tempat Tinggal  - Konstruksi Perumahan Menengah, Besar, Mewah (Tipe Diatas 70)</v>
          </cell>
          <cell r="AV230" t="str">
            <v>5406 - Kab. Kutai Timur</v>
          </cell>
        </row>
        <row r="231">
          <cell r="AI231" t="str">
            <v>9900 - Jasa-jasa sosial/masyarakat -  Lainnya</v>
          </cell>
          <cell r="AM231" t="str">
            <v>3608 - Lematang Ilir Ogan Tengah (Muara Enim), Kab.</v>
          </cell>
          <cell r="AO231" t="str">
            <v>793 - BANK SENTRAL NEGARA ASING</v>
          </cell>
          <cell r="AU231" t="str">
            <v xml:space="preserve">452120 - KONSTRUKSI  - KONSTRUKSI  - Konstruksi Gedung dan Bangunan Sipil  - Konstruksi Gedung Konstruksi Gedung Perkantoran </v>
          </cell>
          <cell r="AV231" t="str">
            <v>5409 - Kab. Nunukan</v>
          </cell>
        </row>
        <row r="232">
          <cell r="AI232" t="str">
            <v>9950 - Lain-lain - Perumahan</v>
          </cell>
          <cell r="AM232" t="str">
            <v>3609 - Lahat, Kab.</v>
          </cell>
          <cell r="AO232" t="str">
            <v>794 - PRIME BANK (LN) - TERKAIT DENGAN BANK</v>
          </cell>
          <cell r="AU232" t="str">
            <v xml:space="preserve">452130 - KONSTRUKSI  - KONSTRUKSI  - Konstruksi Gedung dan Bangunan Sipil  - Konstruksi Gedung Konstruksi Gedung Industri </v>
          </cell>
          <cell r="AV232" t="str">
            <v>5410 - Kab. Malinau</v>
          </cell>
        </row>
        <row r="233">
          <cell r="AI233" t="str">
            <v>9960 - Lain-lain - Kendaraan</v>
          </cell>
          <cell r="AM233" t="str">
            <v>3610 - Musi Rawas, Kab.</v>
          </cell>
          <cell r="AO233" t="str">
            <v>795 - PRIME BANK (LN) - TIDAK TERKAIT DENGAN BANK</v>
          </cell>
          <cell r="AU233" t="str">
            <v>452141 - KONSTRUKSI  - KONSTRUKSI  - Konstruksi Gedung dan Bangunan Sipil  - Konstruksi Gedung Konstruksi Gedung Perbelanjaan  - Konstruksi Gedung Perbelanjaan Pasar Inpres</v>
          </cell>
          <cell r="AV233" t="str">
            <v>5411 - Kab. Penajam Paser Utara</v>
          </cell>
        </row>
        <row r="234">
          <cell r="AI234" t="str">
            <v>9961 - Kendaraan Bermotor Roda &gt; 4</v>
          </cell>
          <cell r="AM234" t="str">
            <v>3611 - Ogan Komering Ilir, Kab.</v>
          </cell>
          <cell r="AO234" t="str">
            <v>796 - NON PRIME BANK (LN) - TERKAIT DENGAN BANK</v>
          </cell>
          <cell r="AU234" t="str">
            <v>452149 - KONSTRUKSI  - KONSTRUKSI  - Konstruksi Gedung dan Bangunan Sipil  - Konstruksi Gedung Konstruksi Gedung Perbelanjaan  - Konstruksi Gedung Perbelanjaan Lainnya</v>
          </cell>
          <cell r="AV234" t="str">
            <v>5412 - Kab. Tana Tidung</v>
          </cell>
        </row>
        <row r="235">
          <cell r="AI235" t="str">
            <v>9962 - Kendaraan Bermotor Roda 4</v>
          </cell>
          <cell r="AM235" t="str">
            <v>3613 - Banyuasin, Kab</v>
          </cell>
          <cell r="AO235" t="str">
            <v>797 - NON PRIME BANK (LN) - TIDAK TERKAIT DENGAN BANK</v>
          </cell>
          <cell r="AU235" t="str">
            <v xml:space="preserve">452190 - KONSTRUKSI  - KONSTRUKSI  - Konstruksi Gedung dan Bangunan Sipil  - Konstruksi Gedung Konstruksi Gedung Lainnya </v>
          </cell>
          <cell r="AV235" t="str">
            <v>5491 - Kota Samarinda</v>
          </cell>
        </row>
        <row r="236">
          <cell r="AI236" t="str">
            <v>9963 - Kendaraan Bermotor Roda 2</v>
          </cell>
          <cell r="AM236" t="str">
            <v>3614 - Ogan Komering Ulu Selatan, Kab</v>
          </cell>
          <cell r="AO236" t="str">
            <v>918 - LEMBAGA PEMBIAYAAN EKSPOR IMPOR INDONESIA</v>
          </cell>
          <cell r="AU236" t="str">
            <v>452211 - KONSTRUKSI  - KONSTRUKSI  - Konstruksi Gedung dan Bangunan Sipil  - Konstruksi Bangunan Sipil Bangunan Jalan, Jembatan dan Landasan  - Bangunan Jalan Raya</v>
          </cell>
          <cell r="AV236" t="str">
            <v>5492 - Kota Balikpapan</v>
          </cell>
        </row>
        <row r="237">
          <cell r="AI237" t="str">
            <v>9970 - Lain-lain - Alat Rumah Tangga</v>
          </cell>
          <cell r="AM237" t="str">
            <v>3615 - Ogan Komering Ulu Timur, Kab</v>
          </cell>
          <cell r="AO237" t="str">
            <v>945 - BANK FINCONESIA</v>
          </cell>
          <cell r="AU237" t="str">
            <v>452212 - KONSTRUKSI  - KONSTRUKSI  - Konstruksi Gedung dan Bangunan Sipil  - Konstruksi Bangunan Sipil Bangunan Jalan, Jembatan dan Landasan  - Bangunan Jalan Tol</v>
          </cell>
          <cell r="AV237" t="str">
            <v>5493 - Kota Tarakan</v>
          </cell>
        </row>
        <row r="238">
          <cell r="AI238" t="str">
            <v>9990 - Lain-lain, Lainnya</v>
          </cell>
          <cell r="AM238" t="str">
            <v>3616 - Ogan Ilir, Kab</v>
          </cell>
          <cell r="AO238" t="str">
            <v>946 - BANK MERINCORP (dicabut izin usaha)</v>
          </cell>
          <cell r="AU238" t="str">
            <v>452213 - KONSTRUKSI  - KONSTRUKSI  - Konstruksi Gedung dan Bangunan Sipil  - Konstruksi Bangunan Sipil Bangunan Jalan, Jembatan dan Landasan  - Bangunan Jalan Jembatan dan Landasan</v>
          </cell>
          <cell r="AV238" t="str">
            <v>5494 - Kota Bontang</v>
          </cell>
        </row>
        <row r="239">
          <cell r="AM239" t="str">
            <v>3617 - Empat Lawang</v>
          </cell>
          <cell r="AO239" t="str">
            <v>947 - MAYBANK INDOCORP</v>
          </cell>
          <cell r="AU239" t="str">
            <v xml:space="preserve">452220 - KONSTRUKSI  - KONSTRUKSI  - Konstruksi Gedung dan Bangunan Sipil  - Konstruksi Bangunan Sipil Bangunan Jalan dan Jembatan Kereta Api </v>
          </cell>
          <cell r="AV239" t="str">
            <v>5801 - Kab. Kapuas</v>
          </cell>
        </row>
        <row r="240">
          <cell r="AM240" t="str">
            <v>3691 - Palembang, Kota.</v>
          </cell>
          <cell r="AO240" t="str">
            <v>948 - BANK OCBC INDONESIA</v>
          </cell>
          <cell r="AU240" t="str">
            <v>452240 - KONSTRUKSI  - KONSTRUKSI  - Konstruksi Gedung dan Bangunan Sipil  - Konstruksi Bangunan Sipil Bangunan Pengairan (Irigasi)</v>
          </cell>
          <cell r="AV240" t="str">
            <v>5802 - Kab. Kotawaringin Barat</v>
          </cell>
        </row>
        <row r="241">
          <cell r="AM241" t="str">
            <v>3693 - Lubuklinggau, Kota.</v>
          </cell>
          <cell r="AO241" t="str">
            <v>949 - BANK CHINATRUST INDONESIA</v>
          </cell>
          <cell r="AU241" t="str">
            <v>452270 - KONSTRUKSI  - KONSTRUKSI  - Konstruksi Gedung dan Bangunan Sipil  - Konstruksi Bangunan Sipil Bangunan Dermaga (Pelabuhan)</v>
          </cell>
          <cell r="AV241" t="str">
            <v>5803 - Kab. Kotawaringin Timur</v>
          </cell>
        </row>
        <row r="242">
          <cell r="AM242" t="str">
            <v>3694 - Prabumulih, Kota.</v>
          </cell>
          <cell r="AO242" t="str">
            <v>950 - BANK COMMONWEALTH</v>
          </cell>
          <cell r="AU242" t="str">
            <v xml:space="preserve">452290 - KONSTRUKSI  - KONSTRUKSI  - Konstruksi Gedung dan Bangunan Sipil  - Konstruksi Bangunan Sipil Bangunan Sipil Lainnya </v>
          </cell>
          <cell r="AV242" t="str">
            <v>5806 - Kab. Barito Selatan</v>
          </cell>
        </row>
        <row r="243">
          <cell r="AM243" t="str">
            <v>3697 - Pagar Alam, Kota.</v>
          </cell>
          <cell r="AO243" t="str">
            <v>0010 - Penduduk - Sektor Pemerintah - Pemerintah Pusat - Kantor Perbendaharaan dan Kas Negara (KPKN)</v>
          </cell>
          <cell r="AU243" t="str">
            <v>452301 - KONSTRUKSI  - KONSTRUKSI  - Konstruksi Gedung dan Bangunan Sipil  - Konstruksi Bangunan Elektrikal dan Komunikasi Konstruksi Bangunan Listrik Pedesaan</v>
          </cell>
          <cell r="AV243" t="str">
            <v>5808 - Kab. Barito Utara</v>
          </cell>
        </row>
        <row r="244">
          <cell r="AM244" t="str">
            <v>3701 - Bangka, Kab.</v>
          </cell>
          <cell r="AO244" t="str">
            <v>0020 - Penduduk - Sektor Pemerintah - Pemerintah Pusat - Departemen Keuangan</v>
          </cell>
          <cell r="AU244" t="str">
            <v>452309 - KONSTRUKSI  - KONSTRUKSI  - Konstruksi Gedung dan Bangunan Sipil  - Konstruksi Bangunan Elektrikal dan Komunikasi Konstruksi Bangunan Elektrikal dan Komunikasi Lainnya</v>
          </cell>
          <cell r="AV244" t="str">
            <v>5804 - Kab. Murung Raya</v>
          </cell>
        </row>
        <row r="245">
          <cell r="AM245" t="str">
            <v>3702 - Belitung, Kab.</v>
          </cell>
          <cell r="AO245" t="str">
            <v>0030 - Penduduk - Sektor Pemerintah - Pemerintah Pusat - Departemen Pertahanan</v>
          </cell>
          <cell r="AU245" t="str">
            <v xml:space="preserve">452400 - KONSTRUKSI  - KONSTRUKSI  - Konstruksi Gedung dan Bangunan Sipil  - Konstruksi Khusus </v>
          </cell>
          <cell r="AV245" t="str">
            <v>5805 - Kab. Barito Timur</v>
          </cell>
        </row>
        <row r="246">
          <cell r="AM246" t="str">
            <v>3703 - Bangka Barat, Kab</v>
          </cell>
          <cell r="AO246" t="str">
            <v>0040 - Penduduk - Sektor Pemerintah - Pemerintah Pusat - Departemen Kehutanan</v>
          </cell>
          <cell r="AU246" t="str">
            <v xml:space="preserve">453100 - KONSTRUKSI  - KONSTRUKSI  - Instalasi Gedung dan Bangunan Sipil - Instalasi Gedung </v>
          </cell>
          <cell r="AV246" t="str">
            <v>5807 - Kab. Gunung Mas</v>
          </cell>
        </row>
        <row r="247">
          <cell r="AM247" t="str">
            <v>3704 - Bangka Selatan, Kab</v>
          </cell>
          <cell r="AO247" t="str">
            <v>0050 - Penduduk - Sektor Pemerintah - Pemerintah Pusat - Departemen Pertanian</v>
          </cell>
          <cell r="AU247" t="str">
            <v xml:space="preserve">453200 - KONSTRUKSI  - KONSTRUKSI  - Instalasi Gedung dan Bangunan Sipil - Instalasi Bangunan Sipil </v>
          </cell>
          <cell r="AV247" t="str">
            <v>5809 - Kab. Pulang Pisau</v>
          </cell>
        </row>
        <row r="248">
          <cell r="AM248" t="str">
            <v>3705 - Bangka Tengah, Kab</v>
          </cell>
          <cell r="AO248" t="str">
            <v>0060 - Penduduk - Sektor Pemerintah - Pemerintah Pusat - Departemen Pertambangan dan Energi</v>
          </cell>
          <cell r="AU248" t="str">
            <v xml:space="preserve">454000 - KONSTRUKSI  - KONSTRUKSI  - Penyelesaian Konstruksi Gedung </v>
          </cell>
          <cell r="AV248" t="str">
            <v>5810 - Kab. Seruyan</v>
          </cell>
        </row>
        <row r="249">
          <cell r="AM249" t="str">
            <v>3706 - Belitung Timur, Kab</v>
          </cell>
          <cell r="AO249" t="str">
            <v>0070 - Penduduk - Sektor Pemerintah - Pemerintah Pusat - Departemen Agama</v>
          </cell>
          <cell r="AU249" t="str">
            <v xml:space="preserve">455000 - KONSTRUKSI  - KONSTRUKSI  - Penghancur Bangunan Dengan Operatornya </v>
          </cell>
          <cell r="AV249" t="str">
            <v>5811 - Kab. Katingan</v>
          </cell>
        </row>
        <row r="250">
          <cell r="AM250" t="str">
            <v>3707 - Kab. Bangka Belitung</v>
          </cell>
          <cell r="AO250" t="str">
            <v xml:space="preserve">0080 - Penduduk - Sektor Pemerintah - Pemerintah Pusat - Kementrian Negara BUMN </v>
          </cell>
          <cell r="AU250" t="str">
            <v>501000 - PERDAGANGAN BESAR DAN ECERAN - PENJUALAN MOBIL, SEPEDA MOTOR DAN PENJUALAN ECERAN BAHAN BAKAR KENDARAAN  - Penjualan Mobil</v>
          </cell>
          <cell r="AV250" t="str">
            <v>5812 - Kab. Sukamara</v>
          </cell>
        </row>
        <row r="251">
          <cell r="AM251" t="str">
            <v>3791 - Pangkal Pinang, Kota.</v>
          </cell>
          <cell r="AO251" t="str">
            <v>0999 - Penduduk - Sektor Pemerintah - Pemerintah Pusat - Departemen lainnya</v>
          </cell>
          <cell r="AU251" t="str">
            <v xml:space="preserve">502000 - PERDAGANGAN BESAR DAN ECERAN - PENJUALAN MOBIL, SEPEDA MOTOR DAN PENJUALAN ECERAN BAHAN BAKAR KENDARAAN  - Penjualan Suku Cadang dan Aksesoris Mobil </v>
          </cell>
          <cell r="AV251" t="str">
            <v>5813 - Kab. Lamandau</v>
          </cell>
        </row>
        <row r="252">
          <cell r="AM252" t="str">
            <v>3801 - Karimun, Kab</v>
          </cell>
          <cell r="AO252" t="str">
            <v>1010 - Penduduk - Sektor Pemerintah - Pemerintah Daerah (Pemda) - Provinsi</v>
          </cell>
          <cell r="AU252" t="str">
            <v>503001 - PERDAGANGAN BESAR DAN ECERAN - PENJUALAN MOBIL, SEPEDA MOTOR DAN PENJUALAN ECERAN BAHAN BAKAR KENDARAAN  - Penjualan Sepeda Motor Serta Suku Cadang dan Aksesorisnya  - Penjualan Sepeda Motor</v>
          </cell>
          <cell r="AV252" t="str">
            <v>5892 - Kota Palangkaraya</v>
          </cell>
        </row>
        <row r="253">
          <cell r="AM253" t="str">
            <v>3802 - Lingga, Kab</v>
          </cell>
          <cell r="AO253" t="str">
            <v xml:space="preserve">1020 - Penduduk - Sektor Pemerintah - Pemerintah Daerah (Pemda) - Pemerintah Kota </v>
          </cell>
          <cell r="AU253" t="str">
            <v>503002 - PERDAGANGAN BESAR DAN ECERAN - PENJUALAN MOBIL, SEPEDA MOTOR DAN PENJUALAN ECERAN BAHAN BAKAR KENDARAAN  - Penjualan Sepeda Motor Serta Suku Cadang dan Aksesorisnya  - Penjualan Suku Cadang dan Aksesoris Sepeda Motor</v>
          </cell>
          <cell r="AV253" t="str">
            <v>6001 - Kab. Donggala</v>
          </cell>
        </row>
        <row r="254">
          <cell r="AM254" t="str">
            <v>3803 - Natuna, Kab</v>
          </cell>
          <cell r="AO254" t="str">
            <v xml:space="preserve">1030 - Penduduk - Sektor Pemerintah - Pemerintah Daerah (Pemda) - Pemerintah Kabupaten </v>
          </cell>
          <cell r="AU254" t="str">
            <v xml:space="preserve">504000 - PERDAGANGAN BESAR DAN ECERAN - PENJUALAN MOBIL, SEPEDA MOTOR DAN PENJUALAN ECERAN BAHAN BAKAR KENDARAAN  - Perdagangan Eceran Bahan Bakar Kendaraan </v>
          </cell>
          <cell r="AV254" t="str">
            <v>6002 - Kab. Poso</v>
          </cell>
        </row>
        <row r="255">
          <cell r="AM255" t="str">
            <v>3804 - Bintan, Kab (d/h Kab. Kepulauan Riau</v>
          </cell>
          <cell r="AO255" t="str">
            <v>2010 - Penduduk - Sektor Pemerintah - Badan dan lembaga pemerintah - Badan Urusan Logistik (BULOG)</v>
          </cell>
          <cell r="AU255" t="str">
            <v xml:space="preserve">511000 - PERDAGANGAN BESAR DAN ECERAN - PERDAGANGAN BESAR DALAM NEGERI SELAIN EKSPOR DAN IMPOR (KECUALI PERDAGANGAN MOBIL DAN SEPEDA MOTOR)  - Perdagangan Besar Berdasarkan Balas Jasa (Fee) Atau Kontrak </v>
          </cell>
          <cell r="AV255" t="str">
            <v>6003 - Kab. Parimo/Banggai</v>
          </cell>
        </row>
        <row r="256">
          <cell r="AM256" t="str">
            <v>3805 - Kab. Anambas</v>
          </cell>
          <cell r="AO256" t="str">
            <v>2020 - Penduduk - Sektor Pemerintah - Badan dan lembaga pemerintah - Lembaga Penjamin Simpanan (LPS)</v>
          </cell>
          <cell r="AU256" t="str">
            <v>512111 - PERDAGANGAN BESAR DAN ECERAN - PERDAGANGAN BESAR DALAM NEGERI SELAIN EKSPOR DAN IMPOR (KECUALI PERDAGANGAN MOBIL DAN SEPEDA MOTOR)  - Perdagangan Besar Dalam Negeri Hasil Pertanian, Binatang Hidup, Makanan, Minuman, dan Tembakau  - Perdagangan Be</v>
          </cell>
          <cell r="AV256" t="str">
            <v>6004 - Kab. Toli-Toli</v>
          </cell>
        </row>
        <row r="257">
          <cell r="AM257" t="str">
            <v>3891 - Tanjungpinang, Kota</v>
          </cell>
          <cell r="AO257" t="str">
            <v>2090 - Penduduk - Sektor Pemerintah - Badan dan lembaga pemerintah - Lainnya</v>
          </cell>
          <cell r="AU257" t="str">
            <v>512112 - PERDAGANGAN BESAR DAN ECERAN - PERDAGANGAN BESAR DALAM NEGERI SELAIN EKSPOR DAN IMPOR (KECUALI PERDAGANGAN MOBIL DAN SEPEDA MOTOR)  - Perdagangan Besar Dalam Negeri Hasil Pertanian, Binatang Hidup, Makanan, Minuman, dan Tembakau  - Perdagangan Be</v>
          </cell>
          <cell r="AV257" t="str">
            <v>6005 - Kab.Banggai Kepulauan</v>
          </cell>
        </row>
        <row r="258">
          <cell r="AM258" t="str">
            <v>3892 - Batam, Kota</v>
          </cell>
          <cell r="AO258" t="str">
            <v>4111 - Penduduk - Sektor Pemerintah - Badan Usaha Milik Negara (BUMN) atau Pemerintah Campuran - Lembaga Keuangan Non Bank - Perusahaan Asuransi dan Dana Pensiun - Asuransi - Jamsostek</v>
          </cell>
          <cell r="AU258" t="str">
            <v>512113 - PERDAGANGAN BESAR DAN ECERAN - PERDAGANGAN BESAR DALAM NEGERI SELAIN EKSPOR DAN IMPOR (KECUALI PERDAGANGAN MOBIL DAN SEPEDA MOTOR)  - Perdagangan Besar Dalam Negeri Hasil Pertanian, Binatang Hidup, Makanan, Minuman, dan Tembakau  - Perdagangan Be</v>
          </cell>
          <cell r="AV258" t="str">
            <v>6006 - Kab. Morowali</v>
          </cell>
        </row>
        <row r="259">
          <cell r="AM259" t="str">
            <v>3901 - Lampung Selatan, Kab.</v>
          </cell>
          <cell r="AO259" t="str">
            <v>4112 - Penduduk - Sektor Pemerintah - Badan Usaha Milik Negara (BUMN) atau Pemerintah Campuran - Lembaga Keuangan Non Bank - Perusahaan Asuransi dan Dana Pensiun - Asuransi - Taspen</v>
          </cell>
          <cell r="AU259" t="str">
            <v>512114 - PERDAGANGAN BESAR DAN ECERAN - PERDAGANGAN BESAR DALAM NEGERI SELAIN EKSPOR DAN IMPOR (KECUALI PERDAGANGAN MOBIL DAN SEPEDA MOTOR)  - Perdagangan Besar Dalam Negeri Hasil Pertanian, Binatang Hidup, Makanan, Minuman, dan Tembakau  - Perdagangan Be</v>
          </cell>
          <cell r="AV259" t="str">
            <v>6007 - Kab. Buol</v>
          </cell>
        </row>
        <row r="260">
          <cell r="AM260" t="str">
            <v>3902 - Lampung Tengah, Kab.</v>
          </cell>
          <cell r="AO260" t="str">
            <v>4113 - Penduduk - Sektor Pemerintah - Badan Usaha Milik Negara (BUMN) atau Pemerintah Campuran - Lembaga Keuangan Non Bank - Perusahaan Asuransi dan Dana Pensiun - Asuransi - Jiwasraya</v>
          </cell>
          <cell r="AU260" t="str">
            <v>512115 - PERDAGANGAN BESAR DAN ECERAN - PERDAGANGAN BESAR DALAM NEGERI SELAIN EKSPOR DAN IMPOR (KECUALI PERDAGANGAN MOBIL DAN SEPEDA MOTOR)  - Perdagangan Besar Dalam Negeri Hasil Pertanian, Binatang Hidup, Makanan, Minuman, dan Tembakau  - Perdagangan Be</v>
          </cell>
          <cell r="AV260" t="str">
            <v>6008 - Kab. Tojo Una-Una</v>
          </cell>
        </row>
        <row r="261">
          <cell r="AM261" t="str">
            <v>3903 - Lampung Utara, Kab.</v>
          </cell>
          <cell r="AO261" t="str">
            <v>4114 - Penduduk - Sektor Pemerintah - Badan Usaha Milik Negara (BUMN) atau Pemerintah Campuran - Lembaga Keuangan Non Bank - Perusahaan Asuransi dan Dana Pensiun - Asuransi - Jasa Raharja</v>
          </cell>
          <cell r="AU261" t="str">
            <v>512116 - PERDAGANGAN BESAR DAN ECERAN - PERDAGANGAN BESAR DALAM NEGERI SELAIN EKSPOR DAN IMPOR (KECUALI PERDAGANGAN MOBIL DAN SEPEDA MOTOR)  - Perdagangan Besar Dalam Negeri Hasil Pertanian, Binatang Hidup, Makanan, Minuman, dan Tembakau  - Perdagangan Be</v>
          </cell>
          <cell r="AV261" t="str">
            <v>6009 - Kab. Parigi Moutong</v>
          </cell>
        </row>
        <row r="262">
          <cell r="AM262" t="str">
            <v>3904 - Lampung Barat, Kab.</v>
          </cell>
          <cell r="AO262" t="str">
            <v>4115 - Penduduk - Sektor Pemerintah - Badan Usaha Milik Negara (BUMN) atau Pemerintah Campuran - Lembaga Keuangan Non Bank - Perusahaan Asuransi dan Dana Pensiun - Asuransi - Jasindo</v>
          </cell>
          <cell r="AU262" t="str">
            <v>512117 - PERDAGANGAN BESAR DAN ECERAN - PERDAGANGAN BESAR DALAM NEGERI SELAIN EKSPOR DAN IMPOR (KECUALI PERDAGANGAN MOBIL DAN SEPEDA MOTOR)  - Perdagangan Besar Dalam Negeri Hasil Pertanian, Binatang Hidup, Makanan, Minuman, dan Tembakau  - Perdagangan Be</v>
          </cell>
          <cell r="AV262" t="str">
            <v>6010 - Kab. Sigi</v>
          </cell>
        </row>
        <row r="263">
          <cell r="AM263" t="str">
            <v>3905 - Tulang Bawang, Kab.</v>
          </cell>
          <cell r="AO263" t="str">
            <v>4116 - Penduduk - Sektor Pemerintah - Badan Usaha Milik Negara (BUMN) atau Pemerintah Campuran - Lembaga Keuangan Non Bank - Perusahaan Asuransi dan Dana Pensiun - Asuransi - ASABRI</v>
          </cell>
          <cell r="AU263" t="str">
            <v>512119 - PERDAGANGAN BESAR DAN ECERAN - PERDAGANGAN BESAR DALAM NEGERI SELAIN EKSPOR DAN IMPOR (KECUALI PERDAGANGAN MOBIL DAN SEPEDA MOTOR)  - Perdagangan Besar Dalam Negeri Hasil Pertanian, Binatang Hidup, Makanan, Minuman, dan Tembakau  - Perdagangan Be</v>
          </cell>
          <cell r="AV263" t="str">
            <v>6091 - Kota Palu</v>
          </cell>
        </row>
        <row r="264">
          <cell r="AM264" t="str">
            <v>3906 - Tanggamus, Kab.</v>
          </cell>
          <cell r="AO264" t="str">
            <v>4119 - Penduduk - Sektor Pemerintah - Badan Usaha Milik Negara (BUMN) atau Pemerintah Campuran - Lembaga Keuangan Non Bank - Perusahaan Asuransi dan Dana Pensiun - Asuransi - Perusahaan asuransi lainnya</v>
          </cell>
          <cell r="AU264" t="str">
            <v>512120 - PERDAGANGAN BESAR DAN ECERAN - PERDAGANGAN BESAR DALAM NEGERI SELAIN EKSPOR DAN IMPOR (KECUALI PERDAGANGAN MOBIL DAN SEPEDA MOTOR)  - Perdagangan Besar Dalam Negeri Hasil Pertanian, Binatang Hidup, Makanan, Minuman, dan Tembakau  - Perdagangan Be</v>
          </cell>
          <cell r="AV264" t="str">
            <v>6101 - Kab. Pinrang</v>
          </cell>
        </row>
        <row r="265">
          <cell r="AM265" t="str">
            <v>3907 - Lampung Timur, Kab.</v>
          </cell>
          <cell r="AO265" t="str">
            <v>4120 - Penduduk - Sektor Pemerintah - Badan Usaha Milik Negara (BUMN) atau Pemerintah Campuran - Lembaga Keuangan Non Bank - Perusahaan Asuransi dan Dana Pensiun - Dana Pensiun</v>
          </cell>
          <cell r="AU265" t="str">
            <v>512130 - PERDAGANGAN BESAR DAN ECERAN - PERDAGANGAN BESAR DALAM NEGERI SELAIN EKSPOR DAN IMPOR (KECUALI PERDAGANGAN MOBIL DAN SEPEDA MOTOR)  - Perdagangan Besar Dalam Negeri Hasil Pertanian, Binatang Hidup, Makanan, Minuman, dan Tembakau  - Perdagangan Be</v>
          </cell>
          <cell r="AV265" t="str">
            <v>6102 - Kab. Gowa</v>
          </cell>
        </row>
        <row r="266">
          <cell r="AM266" t="str">
            <v>3908 - Way Kanan, Kab.</v>
          </cell>
          <cell r="AO266" t="str">
            <v>4130 - Penduduk - Sektor Pemerintah - Badan Usaha Milik Negara (BUMN) atau Pemerintah Campuran - Lembaga Keuangan Non Bank - Modal Ventura</v>
          </cell>
          <cell r="AU266" t="str">
            <v>512141 - PERDAGANGAN BESAR DAN ECERAN - PERDAGANGAN BESAR DALAM NEGERI SELAIN EKSPOR DAN IMPOR (KECUALI PERDAGANGAN MOBIL DAN SEPEDA MOTOR)  - Perdagangan Besar Dalam Negeri Hasil Pertanian, Binatang Hidup, Makanan, Minuman, dan Tembakau  - Perdagangan Be</v>
          </cell>
          <cell r="AV266" t="str">
            <v>6103 - Kab. Wajo</v>
          </cell>
        </row>
        <row r="267">
          <cell r="AM267" t="str">
            <v>3909 - Pesawaran, Kab</v>
          </cell>
          <cell r="AO267" t="str">
            <v>4140 - Penduduk - Sektor Pemerintah - Badan Usaha Milik Negara (BUMN) atau Pemerintah Campuran - Lembaga Keuangan Non Bank - Perusahaan Pembiayaan</v>
          </cell>
          <cell r="AU267" t="str">
            <v>512149 - PERDAGANGAN BESAR DAN ECERAN - PERDAGANGAN BESAR DALAM NEGERI SELAIN EKSPOR DAN IMPOR (KECUALI PERDAGANGAN MOBIL DAN SEPEDA MOTOR)  - Perdagangan Besar Dalam Negeri Hasil Pertanian, Binatang Hidup, Makanan, Minuman, dan Tembakau  - Perdagangan Be</v>
          </cell>
          <cell r="AV267" t="str">
            <v>2391 - Kota Bengkulu</v>
          </cell>
        </row>
        <row r="268">
          <cell r="AM268" t="str">
            <v>3910 - Kab. Pringsewu</v>
          </cell>
          <cell r="AO268" t="str">
            <v>4151 - Penduduk - Sektor Pemerintah - Badan Usaha Milik Negara (BUMN) atau Pemerintah Campuran - Lembaga Keuangan Non Bank - Perusahaan Sekuritas dan Reksadana - Perusahaan sekuritas yang tidak melakukan kegiatan usaha Reksadana</v>
          </cell>
          <cell r="AU268" t="str">
            <v>512201 - PERDAGANGAN BESAR DAN ECERAN - PERDAGANGAN BESAR DALAM NEGERI SELAIN EKSPOR DAN IMPOR (KECUALI PERDAGANGAN MOBIL DAN SEPEDA MOTOR)  - Perdagangan Besar Dalam Negeri Hasil Pertanian, Binatang Hidup, Makanan, Minuman, dan Tembakau  - Perdagangan Be</v>
          </cell>
          <cell r="AV268" t="str">
            <v>3101 - Kab. Batanghari</v>
          </cell>
        </row>
        <row r="269">
          <cell r="AM269" t="str">
            <v>3911 - Kab. Tulang Bawang Barat</v>
          </cell>
          <cell r="AO269" t="str">
            <v>4152 - Penduduk - Sektor Pemerintah - Badan Usaha Milik Negara (BUMN) atau Pemerintah Campuran - Lembaga Keuangan Non Bank - Perusahaan Sekuritas dan Reksadana - Perusahaan sekuritas yang melakukan kegiatan usaha Reksadana</v>
          </cell>
          <cell r="AU269" t="str">
            <v>512202 - PERDAGANGAN BESAR DAN ECERAN - PERDAGANGAN BESAR DALAM NEGERI SELAIN EKSPOR DAN IMPOR (KECUALI PERDAGANGAN MOBIL DAN SEPEDA MOTOR)  - Perdagangan Besar Dalam Negeri Hasil Pertanian, Binatang Hidup, Makanan, Minuman, dan Tembakau  - Perdagangan Be</v>
          </cell>
          <cell r="AV269" t="str">
            <v>3104 - Kab. Sarolangun</v>
          </cell>
        </row>
        <row r="270">
          <cell r="AM270" t="str">
            <v>3912 - Kab. Mesuji</v>
          </cell>
          <cell r="AO270" t="str">
            <v>4153 - Penduduk - Sektor Pemerintah - Badan Usaha Milik Negara (BUMN) atau Pemerintah Campuran - Lembaga Keuangan Non Bank - Perusahaan Sekuritas dan Reksadana - Perusahaan Reksadana</v>
          </cell>
          <cell r="AU270" t="str">
            <v>512203 - PERDAGANGAN BESAR DAN ECERAN - PERDAGANGAN BESAR DALAM NEGERI SELAIN EKSPOR DAN IMPOR (KECUALI PERDAGANGAN MOBIL DAN SEPEDA MOTOR)  - Perdagangan Besar Dalam Negeri Hasil Pertanian, Binatang Hidup, Makanan, Minuman, dan Tembakau  - Perdagangan Be</v>
          </cell>
          <cell r="AV270" t="str">
            <v>3105 - Kab. Kerinci</v>
          </cell>
        </row>
        <row r="271">
          <cell r="AM271" t="str">
            <v>3991 - Bandar Lampung, Kota.</v>
          </cell>
          <cell r="AO271" t="str">
            <v>4154 - Penduduk - Sektor Pemerintah - Badan Usaha Milik Negara (BUMN) atau Pemerintah Campuran - Lembaga Keuangan Non Bank - Perusahaan Sekuritas dan Reksadana - Manager Investasi</v>
          </cell>
          <cell r="AU271" t="str">
            <v>512204 - PERDAGANGAN BESAR DAN ECERAN - PERDAGANGAN BESAR DALAM NEGERI SELAIN EKSPOR DAN IMPOR (KECUALI PERDAGANGAN MOBIL DAN SEPEDA MOTOR)  - Perdagangan Besar Dalam Negeri Hasil Pertanian, Binatang Hidup, Makanan, Minuman, dan Tembakau  - Perdagangan Be</v>
          </cell>
          <cell r="AV271" t="str">
            <v>3106 - Kab. Muaro Jambi</v>
          </cell>
        </row>
        <row r="272">
          <cell r="AM272" t="str">
            <v>3992 - Metro, Kota.</v>
          </cell>
          <cell r="AO272" t="str">
            <v>4155 - Penduduk - Sektor Pemerintah - Badan Usaha Milik Negara (BUMN) atau Pemerintah Campuran - Lembaga Keuangan Non Bank - Perusahaan Sekuritas dan Reksadana - PT Danareksa</v>
          </cell>
          <cell r="AU272" t="str">
            <v>512205 - PERDAGANGAN BESAR DAN ECERAN - PERDAGANGAN BESAR DALAM NEGERI SELAIN EKSPOR DAN IMPOR (KECUALI PERDAGANGAN MOBIL DAN SEPEDA MOTOR)  - Perdagangan Besar Dalam Negeri Hasil Pertanian, Binatang Hidup, Makanan, Minuman, dan Tembakau  - Perdagangan Be</v>
          </cell>
          <cell r="AV272" t="str">
            <v>3107 - Kab. Tanjung Jabung Barat</v>
          </cell>
        </row>
        <row r="273">
          <cell r="AM273" t="str">
            <v>5101 - Banjar, Kab.</v>
          </cell>
          <cell r="AO273" t="str">
            <v>4159 - Penduduk - Sektor Pemerintah - Badan Usaha Milik Negara (BUMN) atau Pemerintah Campuran - Lembaga Keuangan Non Bank - Perusahaan Sekuritas dan Reksadana - Lainnya</v>
          </cell>
          <cell r="AU273" t="str">
            <v>512206 - PERDAGANGAN BESAR DAN ECERAN - PERDAGANGAN BESAR DALAM NEGERI SELAIN EKSPOR DAN IMPOR (KECUALI PERDAGANGAN MOBIL DAN SEPEDA MOTOR)  - Perdagangan Besar Dalam Negeri Hasil Pertanian, Binatang Hidup, Makanan, Minuman, dan Tembakau  - Perdagangan Be</v>
          </cell>
          <cell r="AV273" t="str">
            <v>3108 - Kab. Tanjung Jabung Timur</v>
          </cell>
        </row>
        <row r="274">
          <cell r="AM274" t="str">
            <v>5102 - Tanah Laut, Kab.</v>
          </cell>
          <cell r="AO274" t="str">
            <v>4171 - Penduduk - Sektor Pemerintah - Badan Usaha Milik Negara (BUMN) atau Pemerintah Campuran - Lembaga Keuangan Non Bank - Lainnya - Perum Pegadaian</v>
          </cell>
          <cell r="AU274" t="str">
            <v>512207 - PERDAGANGAN BESAR DAN ECERAN - PERDAGANGAN BESAR DALAM NEGERI SELAIN EKSPOR DAN IMPOR (KECUALI PERDAGANGAN MOBIL DAN SEPEDA MOTOR)  - Perdagangan Besar Dalam Negeri Hasil Pertanian, Binatang Hidup, Makanan, Minuman, dan Tembakau  - Perdagangan Be</v>
          </cell>
          <cell r="AV274" t="str">
            <v>3109 - Kab. Tebo</v>
          </cell>
        </row>
        <row r="275">
          <cell r="AM275" t="str">
            <v>5103 - Tapin, Kab.</v>
          </cell>
          <cell r="AO275" t="str">
            <v>4172 - Penduduk - Sektor Pemerintah - Badan Usaha Milik Negara (BUMN) atau Pemerintah Campuran - Lembaga Keuangan Non Bank - Lainnya - PT Pos Indonesia</v>
          </cell>
          <cell r="AU275" t="str">
            <v>512208 - PERDAGANGAN BESAR DAN ECERAN - PERDAGANGAN BESAR DALAM NEGERI SELAIN EKSPOR DAN IMPOR (KECUALI PERDAGANGAN MOBIL DAN SEPEDA MOTOR)  - Perdagangan Besar Dalam Negeri Hasil Pertanian, Binatang Hidup, Makanan, Minuman, dan Tembakau  - Perdagangan Be</v>
          </cell>
          <cell r="AV275" t="str">
            <v>3111 - Kab. Merangin</v>
          </cell>
        </row>
        <row r="276">
          <cell r="AM276" t="str">
            <v>5104 - Hulu Sungai Selatan, Kab.</v>
          </cell>
          <cell r="AO276" t="str">
            <v>4173 - Penduduk - Sektor Pemerintah - Badan Usaha Milik Negara (BUMN) atau Pemerintah Campuran - Lembaga Keuangan Non Bank - Lainnya - Lembaga Pembiayaan Ekspor Indonesia</v>
          </cell>
          <cell r="AU276" t="str">
            <v>512209 - PERDAGANGAN BESAR DAN ECERAN - PERDAGANGAN BESAR DALAM NEGERI SELAIN EKSPOR DAN IMPOR (KECUALI PERDAGANGAN MOBIL DAN SEPEDA MOTOR)  - Perdagangan Besar Dalam Negeri Hasil Pertanian, Binatang Hidup, Makanan, Minuman, dan Tembakau  - Perdagangan Be</v>
          </cell>
          <cell r="AV276" t="str">
            <v>3112 - Kab. Bungo</v>
          </cell>
        </row>
        <row r="277">
          <cell r="AM277" t="str">
            <v>5105 - Hulu Sungai Tengah, Kab.</v>
          </cell>
          <cell r="AO277" t="str">
            <v>4179 - Penduduk - Sektor Pemerintah - Badan Usaha Milik Negara (BUMN) atau Pemerintah Campuran - Lembaga Keuangan Non Bank - Lainnya - Lainnya</v>
          </cell>
          <cell r="AU277" t="str">
            <v>513100 - PERDAGANGAN BESAR DAN ECERAN - PERDAGANGAN BESAR DALAM NEGERI SELAIN EKSPOR DAN IMPOR (KECUALI PERDAGANGAN MOBIL DAN SEPEDA MOTOR)  - Perdagangan Besar Dalam Negeri Hasil Pertanian, Binatang Hidup, Makanan, Minuman, dan Tembakau  - Perdagangan Be</v>
          </cell>
          <cell r="AV277" t="str">
            <v>3191 - Kota Jambi</v>
          </cell>
        </row>
        <row r="278">
          <cell r="AM278" t="str">
            <v>5106 - Hulu Sungai Utara, Kab.</v>
          </cell>
          <cell r="AO278" t="str">
            <v>4501 - Penduduk - Sektor Pemerintah - Badan Usaha Milik Negara (BUMN) atau Pemerintah Campuran - Bukan Lembaga Keuangan - PT Kereta Api Indonesia (KAI)</v>
          </cell>
          <cell r="AU278" t="str">
            <v>513900 - PERDAGANGAN BESAR DAN ECERAN - PERDAGANGAN BESAR DALAM NEGERI SELAIN EKSPOR DAN IMPOR (KECUALI PERDAGANGAN MOBIL DAN SEPEDA MOTOR)  - Perdagangan Besar Dalam Negeri Hasil Pertanian, Binatang Hidup, Makanan, Minuman, dan Tembakau  - Perdagangan Be</v>
          </cell>
          <cell r="AV278" t="str">
            <v>3192 - Kota Sungai Penuh</v>
          </cell>
        </row>
        <row r="279">
          <cell r="AM279" t="str">
            <v>5107 - Barito Kuala, Kab.</v>
          </cell>
          <cell r="AO279" t="str">
            <v>4502 - Penduduk - Sektor Pemerintah - Badan Usaha Milik Negara (BUMN) atau Pemerintah Campuran - Bukan Lembaga Keuangan - PT Pelayaran Nasional Indonesia (PELNI)</v>
          </cell>
          <cell r="AU279" t="str">
            <v>514100 - PERDAGANGAN BESAR DAN ECERAN - PERDAGANGAN BESAR DALAM NEGERI SELAIN EKSPOR DAN IMPOR (KECUALI PERDAGANGAN MOBIL DAN SEPEDA MOTOR)  - Perdagangan Besar Produk Antara Bukan Hasil Pertanian, Barang-barang Bekas dan Sisa-sisa Tak Terpakai (Scrap)  -</v>
          </cell>
          <cell r="AV279" t="str">
            <v>3201 - Kab. Aceh Besar</v>
          </cell>
        </row>
        <row r="280">
          <cell r="AM280" t="str">
            <v>5108 - Kota Baru, Kab.</v>
          </cell>
          <cell r="AO280" t="str">
            <v>4503 - Penduduk - Sektor Pemerintah - Badan Usaha Milik Negara (BUMN) atau Pemerintah Campuran - Bukan Lembaga Keuangan - PT Pelabuhan Laut Indonesia (PELINDO)</v>
          </cell>
          <cell r="AU280" t="str">
            <v>514200 - PERDAGANGAN BESAR DAN ECERAN - PERDAGANGAN BESAR DALAM NEGERI SELAIN EKSPOR DAN IMPOR (KECUALI PERDAGANGAN MOBIL DAN SEPEDA MOTOR)  - Perdagangan Besar Produk Antara Bukan Hasil Pertanian, Barang-barang Bekas dan Sisa-sisa Tak Terpakai (Scrap)  -</v>
          </cell>
          <cell r="AV280" t="str">
            <v>3202 - Kab. Pidie</v>
          </cell>
        </row>
        <row r="281">
          <cell r="AM281" t="str">
            <v>5109 - Tabalong, Kab.</v>
          </cell>
          <cell r="AO281" t="str">
            <v>4504 - Penduduk - Sektor Pemerintah - Badan Usaha Milik Negara (BUMN) atau Pemerintah Campuran - Bukan Lembaga Keuangan - PT Angkutan Sungai, Danau dan Penyeberangan (ASDP)</v>
          </cell>
          <cell r="AU281" t="str">
            <v>514301 - PERDAGANGAN BESAR DAN ECERAN - PERDAGANGAN BESAR DALAM NEGERI SELAIN EKSPOR DAN IMPOR (KECUALI PERDAGANGAN MOBIL DAN SEPEDA MOTOR)  - Perdagangan Besar Produk Antara Bukan Hasil Pertanian, Barang-barang Bekas dan Sisa-sisa Tak Terpakai (Scrap)  -</v>
          </cell>
          <cell r="AV281" t="str">
            <v>3203 - Kab. Aceh Utara</v>
          </cell>
        </row>
        <row r="282">
          <cell r="AM282" t="str">
            <v>5110 - Tanah Bumbu, Kab.</v>
          </cell>
          <cell r="AO282" t="str">
            <v>4505 - Penduduk - Sektor Pemerintah - Badan Usaha Milik Negara (BUMN) atau Pemerintah Campuran - Bukan Lembaga Keuangan - PT Angkasa Pura</v>
          </cell>
          <cell r="AU282" t="str">
            <v>514302 - PERDAGANGAN BESAR DAN ECERAN - PERDAGANGAN BESAR DALAM NEGERI SELAIN EKSPOR DAN IMPOR (KECUALI PERDAGANGAN MOBIL DAN SEPEDA MOTOR)  - Perdagangan Besar Produk Antara Bukan Hasil Pertanian, Barang-barang Bekas dan Sisa-sisa Tak Terpakai (Scrap)  -</v>
          </cell>
          <cell r="AV282" t="str">
            <v>3204 - Kab. Aceh Timur</v>
          </cell>
        </row>
        <row r="283">
          <cell r="AM283" t="str">
            <v>5111 - Balangan, Kab.</v>
          </cell>
          <cell r="AO283" t="str">
            <v>4506 - Penduduk - Sektor Pemerintah - Badan Usaha Milik Negara (BUMN) atau Pemerintah Campuran - Bukan Lembaga Keuangan - PT Perkebunan Nusantara</v>
          </cell>
          <cell r="AU283" t="str">
            <v>514309 - PERDAGANGAN BESAR DAN ECERAN - PERDAGANGAN BESAR DALAM NEGERI SELAIN EKSPOR DAN IMPOR (KECUALI PERDAGANGAN MOBIL DAN SEPEDA MOTOR)  - Perdagangan Besar Produk Antara Bukan Hasil Pertanian, Barang-barang Bekas dan Sisa-sisa Tak Terpakai (Scrap)  -</v>
          </cell>
          <cell r="AV283" t="str">
            <v>3205 - Kab. Aceh Selatan</v>
          </cell>
        </row>
        <row r="284">
          <cell r="AM284" t="str">
            <v>5191 - Banjarmasin, Kota.</v>
          </cell>
          <cell r="AO284" t="str">
            <v>4507 - Penduduk - Sektor Pemerintah - Badan Usaha Milik Negara (BUMN) atau Pemerintah Campuran - Bukan Lembaga Keuangan - PT Pertamina</v>
          </cell>
          <cell r="AU284" t="str">
            <v>514901 - PERDAGANGAN BESAR DAN ECERAN - PERDAGANGAN BESAR DALAM NEGERI SELAIN EKSPOR DAN IMPOR (KECUALI PERDAGANGAN MOBIL DAN SEPEDA MOTOR)  - Perdagangan Besar Produk Antara Bukan Hasil Pertanian, Barang-barang Bekas dan Sisa-sisa Tak Terpakai (Scrap)  -</v>
          </cell>
          <cell r="AV284" t="str">
            <v>3206 - Kab. Aceh Barat</v>
          </cell>
        </row>
        <row r="285">
          <cell r="AM285" t="str">
            <v>5192 - Banjarbaru, Kota.</v>
          </cell>
          <cell r="AO285" t="str">
            <v>4508 - Penduduk - Sektor Pemerintah - Badan Usaha Milik Negara (BUMN) atau Pemerintah Campuran - Bukan Lembaga Keuangan - PT Perusahaan Listrik Negara (PLN)</v>
          </cell>
          <cell r="AU285" t="str">
            <v>514909 - PERDAGANGAN BESAR DAN ECERAN - PERDAGANGAN BESAR DALAM NEGERI SELAIN EKSPOR DAN IMPOR (KECUALI PERDAGANGAN MOBIL DAN SEPEDA MOTOR)  - Perdagangan Besar Produk Antara Bukan Hasil Pertanian, Barang-barang Bekas dan Sisa-sisa Tak Terpakai (Scrap)  -</v>
          </cell>
          <cell r="AV285" t="str">
            <v>3207 - Kab. Aceh Tengah</v>
          </cell>
        </row>
        <row r="286">
          <cell r="AM286" t="str">
            <v>5301 - Pontianak, Kab.</v>
          </cell>
          <cell r="AO286" t="str">
            <v>4509 - Penduduk - Sektor Pemerintah - Badan Usaha Milik Negara (BUMN) atau Pemerintah Campuran - Bukan Lembaga Keuangan - PT Krakatau Steel</v>
          </cell>
          <cell r="AU286" t="str">
            <v xml:space="preserve">515000 - PERDAGANGAN BESAR DAN ECERAN - PERDAGANGAN BESAR DALAM NEGERI SELAIN EKSPOR DAN IMPOR (KECUALI PERDAGANGAN MOBIL DAN SEPEDA MOTOR)  - Perdagangan Besar Mesin-mesin, Suku Cadang dan Perlengkapannya </v>
          </cell>
          <cell r="AV286" t="str">
            <v>3208 - Kab. Aceh Tenggara</v>
          </cell>
        </row>
        <row r="287">
          <cell r="AM287" t="str">
            <v>5302 - Sambas, Kab.</v>
          </cell>
          <cell r="AO287" t="str">
            <v>4510 - Penduduk - Sektor Pemerintah - Badan Usaha Milik Negara (BUMN) atau Pemerintah Campuran - Bukan Lembaga Keuangan - PT Garuda Indonesia</v>
          </cell>
          <cell r="AU287" t="str">
            <v>519001 - PERDAGANGAN BESAR DAN ECERAN - PERDAGANGAN BESAR DALAM NEGERI SELAIN EKSPOR DAN IMPOR (KECUALI PERDAGANGAN MOBIL DAN SEPEDA MOTOR)  - Perdagangan Besar Lainnya  - Perdagangan Dalam Negeri Kertas Koran</v>
          </cell>
          <cell r="AV287" t="str">
            <v>3209 - Kab. Aceh Singkil</v>
          </cell>
        </row>
        <row r="288">
          <cell r="AM288" t="str">
            <v>5303 - Ketapang, Kab.</v>
          </cell>
          <cell r="AO288" t="str">
            <v>4511 - Penduduk - Sektor Pemerintah - Badan Usaha Milik Negara (BUMN) atau Pemerintah Campuran - Bukan Lembaga Keuangan - PT Telkom</v>
          </cell>
          <cell r="AU288" t="str">
            <v xml:space="preserve">519009 - PERDAGANGAN BESAR DAN ECERAN - PERDAGANGAN BESAR DALAM NEGERI SELAIN EKSPOR DAN IMPOR (KECUALI PERDAGANGAN MOBIL DAN SEPEDA MOTOR)  - Perdagangan Besar Lainnya  - Perdagangan Dalam Negeri yang Tidak Diklasifikasikan di Tempat Lain </v>
          </cell>
          <cell r="AV288" t="str">
            <v>3210 - Kab. Aceh Jeumpa/Bireuen</v>
          </cell>
        </row>
        <row r="289">
          <cell r="AM289" t="str">
            <v>5304 - Sanggau, Kab.</v>
          </cell>
          <cell r="AO289" t="str">
            <v>4512 - Penduduk - Sektor Pemerintah - Badan Usaha Milik Negara (BUMN) atau Pemerintah Campuran - Bukan Lembaga Keuangan - PT Indosat</v>
          </cell>
          <cell r="AU289" t="str">
            <v xml:space="preserve">521100 - PERDAGANGAN BESAR DAN ECERAN - PERDAGANGAN ECERAN, KECUALI MOBIL DAN SEPEDA MOTOR  - Perdagangan Eceran Berbagai Macam Barang - Perdagangan Eceran Berbagai Macam Barang yang Didominasi Makanan, Minuman dan Tembakau </v>
          </cell>
          <cell r="AV289" t="str">
            <v>3211 - Kab. Aceh Tamiang</v>
          </cell>
        </row>
        <row r="290">
          <cell r="AM290" t="str">
            <v>5305 - Sintang, Kab.</v>
          </cell>
          <cell r="AO290" t="str">
            <v>4513 - Penduduk - Sektor Pemerintah - Badan Usaha Milik Negara (BUMN) atau Pemerintah Campuran - Bukan Lembaga Keuangan - PT Jasa Marga</v>
          </cell>
          <cell r="AU290" t="str">
            <v xml:space="preserve">521900 - PERDAGANGAN BESAR DAN ECERAN - PERDAGANGAN ECERAN, KECUALI MOBIL DAN SEPEDA MOTOR  - Perdagangan Eceran Berbagai Macam Barang - Perdagangan Eceran Berbagai Macam Barang yang Didominasi Oleh Barang Bukan Makanan, Minuman dan Tembakau </v>
          </cell>
          <cell r="AV290" t="str">
            <v>3212 - Kab. Gayo Luwes</v>
          </cell>
        </row>
        <row r="291">
          <cell r="AM291" t="str">
            <v>5306 - Kapuas Hulu, Kab.</v>
          </cell>
          <cell r="AO291" t="str">
            <v>4514 - Penduduk - Sektor Pemerintah - Badan Usaha Milik Negara (BUMN) atau Pemerintah Campuran - Bukan Lembaga Keuangan - PT Timah</v>
          </cell>
          <cell r="AU291" t="str">
            <v>522100 - PERDAGANGAN BESAR DAN ECERAN - PERDAGANGAN ECERAN, KECUALI MOBIL DAN SEPEDA MOTOR  - Perdagangan Eceran Komoditi Makanan, Minuman, Atau Tembakau - Perdagangan Eceran Komoditi Makanan dari Hasil Pertanian</v>
          </cell>
          <cell r="AV291" t="str">
            <v>3213 - Kab. Aceh Barat Daya</v>
          </cell>
        </row>
        <row r="292">
          <cell r="AM292" t="str">
            <v>5307 - Bengkayang, Kab.</v>
          </cell>
          <cell r="AO292" t="str">
            <v>4515 - Penduduk - Sektor Pemerintah - Badan Usaha Milik Negara (BUMN) atau Pemerintah Campuran - Bukan Lembaga Keuangan - PT Aneka Tambang</v>
          </cell>
          <cell r="AU292" t="str">
            <v xml:space="preserve">522200 - PERDAGANGAN BESAR DAN ECERAN - PERDAGANGAN ECERAN, KECUALI MOBIL DAN SEPEDA MOTOR  - Perdagangan Eceran Komoditi Makanan, Minuman, Atau Tembakau - Perdagangan Eceran Komoditi Makanan, Minuman, Atau Tembakau Hasil Industri Pengolahan </v>
          </cell>
          <cell r="AV292" t="str">
            <v>3214 - Kab. Aceh Jaya</v>
          </cell>
        </row>
        <row r="293">
          <cell r="AM293" t="str">
            <v>5308 - Landak, Kab.</v>
          </cell>
          <cell r="AO293" t="str">
            <v>4516 - Penduduk - Sektor Pemerintah - Badan Usaha Milik Negara (BUMN) atau Pemerintah Campuran - Bukan Lembaga Keuangan - Perusahaan Jasa Konstruksi</v>
          </cell>
          <cell r="AU293" t="str">
            <v xml:space="preserve">523100 - PERDAGANGAN BESAR DAN ECERAN - PERDAGANGAN ECERAN, KECUALI MOBIL DAN SEPEDA MOTOR  - Perdagangan Eceran Komoditi Bukan Makanan, Minuman atau Tembakau - Perdagangan Eceran Bahan Kimia, Farmasi, Kosmetik, dan Alat Laboratorium </v>
          </cell>
          <cell r="AV293" t="str">
            <v>3215 - Kab. Nagan Raya</v>
          </cell>
        </row>
        <row r="294">
          <cell r="AM294" t="str">
            <v>5309 - Sekadau, Kab.</v>
          </cell>
          <cell r="AO294" t="str">
            <v>4599 - Penduduk - Sektor Pemerintah - Badan Usaha Milik Negara (BUMN) atau Pemerintah Campuran - Bukan Lembaga Keuangan - Lainnya</v>
          </cell>
          <cell r="AU294" t="str">
            <v xml:space="preserve">523200 - PERDAGANGAN BESAR DAN ECERAN - PERDAGANGAN ECERAN, KECUALI MOBIL DAN SEPEDA MOTOR  - Perdagangan Eceran Komoditi Bukan Makanan, Minuman atau Tembakau - Perdagangan Eceran Tekstil, Pakaian Jadi, Alas Kaki, dan Barang Keperluan Pribadi </v>
          </cell>
          <cell r="AV294" t="str">
            <v>3216 - Kab. Aceh Simeuleu</v>
          </cell>
        </row>
        <row r="295">
          <cell r="AM295" t="str">
            <v>5310 - Melawi, Kab..</v>
          </cell>
          <cell r="AO295" t="str">
            <v>5110 - Penduduk - Sektor Pemerintah - Badan Usaha Milik Daerah (BUMD) - Lembaga Keuangan Non Bank - Perusahaan Asuransi dan Dana Pensiun - Perusahaan Asuransi</v>
          </cell>
          <cell r="AU295" t="str">
            <v xml:space="preserve">523300 - PERDAGANGAN BESAR DAN ECERAN - PERDAGANGAN ECERAN, KECUALI MOBIL DAN SEPEDA MOTOR  - Perdagangan Eceran Komoditi Bukan Makanan, Minuman atau Tembakau - Perdagangan Eceran Perlengkapan Rumah Tangga dan Perlengkapan Dapur </v>
          </cell>
          <cell r="AV295" t="str">
            <v>3217 - Kab. Bener Meriah</v>
          </cell>
        </row>
        <row r="296">
          <cell r="AM296" t="str">
            <v>5311 - Kayong Utara, Kab.</v>
          </cell>
          <cell r="AO296" t="str">
            <v>5120 - Penduduk - Sektor Pemerintah - Badan Usaha Milik Daerah (BUMD) - Lembaga Keuangan Non Bank - Perusahaan Asuransi dan Dana Pensiun - Dana Asuransi</v>
          </cell>
          <cell r="AU296" t="str">
            <v xml:space="preserve">523400 - PERDAGANGAN BESAR DAN ECERAN - PERDAGANGAN ECERAN, KECUALI MOBIL DAN SEPEDA MOTOR  - Perdagangan Eceran Komoditi Bukan Makanan, Minuman atau Tembakau - Perdagangan Eceran Bahan Konstruksi </v>
          </cell>
          <cell r="AV296" t="str">
            <v>3218 - Kab. Pidie Jaya</v>
          </cell>
        </row>
        <row r="297">
          <cell r="AM297" t="str">
            <v>5312 - Kubu Raya, Kab.</v>
          </cell>
          <cell r="AO297" t="str">
            <v>5130 - Penduduk - Sektor Pemerintah - Badan Usaha Milik Daerah (BUMD) - Lembaga Keuangan Non Bank - Modal Ventura</v>
          </cell>
          <cell r="AU297" t="str">
            <v xml:space="preserve">523500 - PERDAGANGAN BESAR DAN ECERAN - PERDAGANGAN ECERAN, KECUALI MOBIL DAN SEPEDA MOTOR  - Perdagangan Eceran Komoditi Bukan Makanan, Minuman atau Tembakau - Perdagangan Eceran Bahan Bakar dan Minyak Pelumas </v>
          </cell>
          <cell r="AV297" t="str">
            <v>3219 - Kab. Subulussalam</v>
          </cell>
        </row>
        <row r="298">
          <cell r="AM298" t="str">
            <v>5391 - Pontianak, Kota.</v>
          </cell>
          <cell r="AO298" t="str">
            <v>5140 - Penduduk - Sektor Pemerintah - Badan Usaha Milik Daerah (BUMD) - Lembaga Keuangan Non Bank - Perusahaan Pembiayaan</v>
          </cell>
          <cell r="AU298" t="str">
            <v>523600 - PERDAGANGAN BESAR DAN ECERAN - PERDAGANGAN ECERAN, KECUALI MOBIL DAN SEPEDA MOTOR  - Perdagangan Eceran Komoditi Bukan Makanan, Minuman atau Tembakau - Perdagangan Eceran Kertas, Barang-barang dari Kertas, Alat Tulis, Barang Cetakan, Alat Olahrag</v>
          </cell>
          <cell r="AV298" t="str">
            <v>3291 - Kota Banda Aceh</v>
          </cell>
        </row>
        <row r="299">
          <cell r="AM299" t="str">
            <v>5392 - Singkawang, Kota.</v>
          </cell>
          <cell r="AO299" t="str">
            <v>5151 - Penduduk - Sektor Pemerintah - Badan Usaha Milik Daerah (BUMD) - Lembaga Keuangan Non Bank - Perusahaan Sekuritas dan Reksadana - Perusahaan sekuritas yang tidak melakukan kegiatan usaha reksadana</v>
          </cell>
          <cell r="AU299" t="str">
            <v>523700 - PERDAGANGAN BESAR DAN ECERAN - PERDAGANGAN ECERAN, KECUALI MOBIL DAN SEPEDA MOTOR  - Perdagangan Eceran Komoditi Bukan Makanan, Minuman atau Tembakau - Perdagangan Eceran Mesin-mesin (Kecuali Mobil dan Sepeda Motor) dan Suku Cadang (Onderdil), Te</v>
          </cell>
          <cell r="AV299" t="str">
            <v>3292 - Kota Sabang</v>
          </cell>
        </row>
        <row r="300">
          <cell r="AM300" t="str">
            <v>5401 - Kutai Kartanegara, Kab.</v>
          </cell>
          <cell r="AO300" t="str">
            <v>5152 - Penduduk - Sektor Pemerintah - Badan Usaha Milik Daerah (BUMD) - Lembaga Keuangan Non Bank - Perusahaan Sekuritas dan Reksadana - Perusahaan sekuritas yang melakukan kegiatan usaha reksadana</v>
          </cell>
          <cell r="AU300" t="str">
            <v xml:space="preserve">523800 - PERDAGANGAN BESAR DAN ECERAN - PERDAGANGAN ECERAN, KECUALI MOBIL DAN SEPEDA MOTOR  - Perdagangan Eceran Komoditi Bukan Makanan, Minuman atau Tembakau - Perdagangan Eceran Barang-barang Kerajinan, Mainan Anak-anak, dan Lukisan </v>
          </cell>
          <cell r="AV300" t="str">
            <v>3293 - Kota Lhokseumawe</v>
          </cell>
        </row>
        <row r="301">
          <cell r="AM301" t="str">
            <v>5402 - Berau, Kab.</v>
          </cell>
          <cell r="AO301" t="str">
            <v>5153 - Penduduk - Sektor Pemerintah - Badan Usaha Milik Daerah (BUMD) - Lembaga Keuangan Non Bank - Perusahaan Sekuritas dan Reksadana - Perusahaan Reksadana</v>
          </cell>
          <cell r="AU301" t="str">
            <v xml:space="preserve">523900 - PERDAGANGAN BESAR DAN ECERAN - PERDAGANGAN ECERAN, KECUALI MOBIL DAN SEPEDA MOTOR  - Perdagangan Eceran Komoditi Bukan Makanan, Minuman atau Tembakau - Perdagangan Eceran Komoditi Lainnya (Bukan Makanan, Minuman, Atau Tembakau) </v>
          </cell>
          <cell r="AV301" t="str">
            <v>3294 - Kota Langsa</v>
          </cell>
        </row>
        <row r="302">
          <cell r="AM302" t="str">
            <v>5403 - Pasir, Kab.</v>
          </cell>
          <cell r="AO302" t="str">
            <v>5154 - Penduduk - Sektor Pemerintah - Badan Usaha Milik Daerah (BUMD) - Lembaga Keuangan Non Bank - Perusahaan Sekuritas dan Reksadana - Manajer Investasi</v>
          </cell>
          <cell r="AU302" t="str">
            <v>524000 - PERDAGANGAN BESAR DAN ECERAN - PERDAGANGAN ECERAN, KECUALI MOBIL DAN SEPEDA MOTOR  - Perdagangan Eceran Komoditi Bukan Makanan, Minuman atau Tembakau - Perdagangan Eceran Barang Bekas</v>
          </cell>
          <cell r="AV302" t="str">
            <v>3301 - Kab. Deli Serdang</v>
          </cell>
        </row>
        <row r="303">
          <cell r="AM303" t="str">
            <v>5404 - Bulungan, Kab.</v>
          </cell>
          <cell r="AO303" t="str">
            <v>5159 - Penduduk - Sektor Pemerintah - Badan Usaha Milik Daerah (BUMD) - Lembaga Keuangan Non Bank - Perusahaan Sekuritas dan Reksadana - Lainnya</v>
          </cell>
          <cell r="AU303" t="str">
            <v xml:space="preserve">525100 - PERDAGANGAN BESAR DAN ECERAN - PERDAGANGAN ECERAN, KECUALI MOBIL DAN SEPEDA MOTOR  - Perdagangan Eceran Kaki Lima  - Perdagangan Eceran Kaki Lima Komoditi dari Hasil Pertanian </v>
          </cell>
          <cell r="AV303" t="str">
            <v>3302 - Kab. Langkat</v>
          </cell>
        </row>
        <row r="304">
          <cell r="AM304" t="str">
            <v>5405 - Kutai Barat, Kab.</v>
          </cell>
          <cell r="AO304" t="str">
            <v>5199 - Penduduk - Sektor Pemerintah - Badan Usaha Milik Daerah (BUMD) - Lembaga Keuangan Non Bank - Lainnya</v>
          </cell>
          <cell r="AU304" t="str">
            <v xml:space="preserve">525200 - PERDAGANGAN BESAR DAN ECERAN - PERDAGANGAN ECERAN, KECUALI MOBIL DAN SEPEDA MOTOR  - Perdagangan Eceran Kaki Lima  - Perdagangan Eceran Kaki Lima Komoditi Makanan, Minuman Hasil Industri Pengolahan </v>
          </cell>
          <cell r="AV304" t="str">
            <v>3303 - Kab. Karo</v>
          </cell>
        </row>
        <row r="305">
          <cell r="AM305" t="str">
            <v>5406 - Kutai Timur, Kab.</v>
          </cell>
          <cell r="AO305" t="str">
            <v>5501 - Penduduk - Sektor Pemerintah - Badan Usaha Milik Daerah (BUMD) - Bukan Lembaga Keuangan - Perusahaan Daerah Air Minum (PDAM)</v>
          </cell>
          <cell r="AU305" t="str">
            <v xml:space="preserve">525300 - PERDAGANGAN BESAR DAN ECERAN - PERDAGANGAN ECERAN, KECUALI MOBIL DAN SEPEDA MOTOR  - Perdagangan Eceran Kaki Lima  - Perdagangan Eceran Kaki Lima Bahan Kimia, Frmasi, Kosmetik, dan Alat Laboratorium </v>
          </cell>
          <cell r="AV305" t="str">
            <v>3304 - Kab. Simalungun</v>
          </cell>
        </row>
        <row r="306">
          <cell r="AM306" t="str">
            <v>5409 - Nunukan, Kab.</v>
          </cell>
          <cell r="AO306" t="str">
            <v>5502 - Penduduk - Sektor Pemerintah - Badan Usaha Milik Daerah (BUMD) - Bukan Lembaga Keuangan - Perusahaan Daerah Pasar (PD Pasar)</v>
          </cell>
          <cell r="AU306" t="str">
            <v xml:space="preserve">525400 - PERDAGANGAN BESAR DAN ECERAN - PERDAGANGAN ECERAN, KECUALI MOBIL DAN SEPEDA MOTOR  - Perdagangan Eceran Kaki Lima  - Perdagangan Eceran Kaki Lima Tekstil, Pakaian Jadi, Alas Kaki, dan Barang Keperluan Pribadi </v>
          </cell>
          <cell r="AV306" t="str">
            <v>3305 - Kab. Labuhan Batu</v>
          </cell>
        </row>
        <row r="307">
          <cell r="AM307" t="str">
            <v>5410 - Malinau, Kab.</v>
          </cell>
          <cell r="AO307" t="str">
            <v>5599 - Penduduk - Sektor Pemerintah - Badan Usaha Milik Daerah (BUMD) - Bukan Lembaga Keuangan - Lainnya</v>
          </cell>
          <cell r="AU307" t="str">
            <v xml:space="preserve">525500 - PERDAGANGAN BESAR DAN ECERAN - PERDAGANGAN ECERAN, KECUALI MOBIL DAN SEPEDA MOTOR  - Perdagangan Eceran Kaki Lima  - Perdagangan Eceran Kaki Lima Perlengkapan Rumah Tangga dan Perlengkapan Dapur </v>
          </cell>
          <cell r="AV307" t="str">
            <v>3306 - Kab. Asahan</v>
          </cell>
        </row>
        <row r="308">
          <cell r="AM308" t="str">
            <v>5411 - Penajam Paser Utara, Kab.</v>
          </cell>
          <cell r="AO308" t="str">
            <v>7110 - Penduduk - Sektor Swasta - Lembaga Keuangan Non Bank - Swasta Nasional - Perusahaan Asuransi dan Dana Pensiun - Perusahaan Asuransi</v>
          </cell>
          <cell r="AU308" t="str">
            <v>525600 - PERDAGANGAN BESAR DAN ECERAN - PERDAGANGAN ECERAN, KECUALI MOBIL DAN SEPEDA MOTOR  - Perdagangan Eceran Kaki Lima  - Perdagangan Eceran Kaki Lima Bahan Bakar dan Pelumas</v>
          </cell>
          <cell r="AV308" t="str">
            <v>3307 - Kab. Dairi</v>
          </cell>
        </row>
        <row r="309">
          <cell r="AM309" t="str">
            <v>5412 - Tana Tidung, Kab.</v>
          </cell>
          <cell r="AO309" t="str">
            <v>7120 - Penduduk - Sektor Swasta - Lembaga Keuangan Non Bank - Swasta Nasional - Perusahaan Asuransi dan Dana Pensiun - Dana Pensiun</v>
          </cell>
          <cell r="AU309" t="str">
            <v>525700 - PERDAGANGAN BESAR DAN ECERAN - PERDAGANGAN ECERAN, KECUALI MOBIL DAN SEPEDA MOTOR  - Perdagangan Eceran Kaki Lima  - Perdagangan Eceran Kaki Lirna Kertas, Barang-Barang dari Kertas, Alat Tulis, Barang Cetakan, Alat Olah Raga, Alat Musik, Alat Fot</v>
          </cell>
          <cell r="AV309" t="str">
            <v>3308 - Kab. Tapanuli Utara</v>
          </cell>
        </row>
        <row r="310">
          <cell r="AM310" t="str">
            <v>5491 - Samarinda, Kota.</v>
          </cell>
          <cell r="AO310" t="str">
            <v>7130 - Penduduk - Sektor Swasta - Lembaga Keuangan Non Bank - Swasta Nasional - Modal Ventura</v>
          </cell>
          <cell r="AU310" t="str">
            <v xml:space="preserve">525800 - PERDAGANGAN BESAR DAN ECERAN - PERDAGANGAN ECERAN, KECUALI MOBIL DAN SEPEDA MOTOR  - Perdagangan Eceran Kaki Lima  - Perdagangan Eceran Kaki Lima barang-barang kerajinan, mainan anak-anak, dan ILlkisan </v>
          </cell>
          <cell r="AV310" t="str">
            <v>3309 - Kab. Tapanuli Tengah</v>
          </cell>
        </row>
        <row r="311">
          <cell r="AM311" t="str">
            <v>5492 - Balikpapan, Kota.</v>
          </cell>
          <cell r="AO311" t="str">
            <v>7140 - Penduduk - Sektor Swasta - Lembaga Keuangan Non Bank - Swasta Nasional - Perusahaan Pembiayaan</v>
          </cell>
          <cell r="AU311" t="str">
            <v xml:space="preserve">525900 - PERDAGANGAN BESAR DAN ECERAN - PERDAGANGAN ECERAN, KECUALI MOBIL DAN SEPEDA MOTOR  - Perdagangan Eceran Kaki Lima  - Perdagangan Eceran Kaki Lima Barang-Barang Bekas </v>
          </cell>
          <cell r="AV311" t="str">
            <v>3310 - Kab. Tapanuli Selatan</v>
          </cell>
        </row>
        <row r="312">
          <cell r="AM312" t="str">
            <v>5493 - Tarakan, Kota.</v>
          </cell>
          <cell r="AO312" t="str">
            <v>7151 - Penduduk - Sektor Swasta - Lembaga Keuangan Non Bank - Swasta Nasional - Perusahaan Sekuritas dan Reksadana - Perusahaan sekuritas yang tidak melakukan kegiatan usaha Reksadana</v>
          </cell>
          <cell r="AU312" t="str">
            <v xml:space="preserve">526000 - PERDAGANGAN BESAR DAN ECERAN - PERDAGANGAN ECERAN, KECUALI MOBIL DAN SEPEDA MOTOR  - Perdagangan Eceran Kaki Lima Lainnya </v>
          </cell>
          <cell r="AV312" t="str">
            <v>3311 - Kab. Nias</v>
          </cell>
        </row>
        <row r="313">
          <cell r="AM313" t="str">
            <v>5494 - Bontang, Kota.</v>
          </cell>
          <cell r="AO313" t="str">
            <v>7152 - Penduduk - Sektor Swasta - Lembaga Keuangan Non Bank - Swasta Nasional - Perusahaan Sekuritas dan Reksadana - Perusahaan sekuritas yang melakukan kegiatan usaha Reksadana</v>
          </cell>
          <cell r="AU313" t="str">
            <v xml:space="preserve">527100 - PERDAGANGAN BESAR DAN ECERAN - PERDAGANGAN ECERAN, KECUALI MOBIL DAN SEPEDA MOTOR  - Perdagangan Eceran Lainnya - Perdagangan Eceran Melalui Media </v>
          </cell>
          <cell r="AV313" t="str">
            <v>3313 - Kab. Toba Samosir</v>
          </cell>
        </row>
        <row r="314">
          <cell r="AM314" t="str">
            <v>5801 - Kapuas, Kab.</v>
          </cell>
          <cell r="AO314" t="str">
            <v>7153 - Penduduk - Sektor Swasta - Lembaga Keuangan Non Bank - Swasta Nasional - Perusahaan Sekuritas dan Reksadana - Perusahaan Reksadana</v>
          </cell>
          <cell r="AU314" t="str">
            <v xml:space="preserve">527200 - PERDAGANGAN BESAR DAN ECERAN - PERDAGANGAN ECERAN, KECUALI MOBIL DAN SEPEDA MOTOR  - Perdagangan Eceran Lainnya - Perdagangan Eceran Keliling </v>
          </cell>
          <cell r="AV314" t="str">
            <v>3314 - Kab. Mandailing Natal</v>
          </cell>
        </row>
        <row r="315">
          <cell r="AM315" t="str">
            <v>5802 - Kotawaringin Barat, Kab.</v>
          </cell>
          <cell r="AO315" t="str">
            <v>7154 - Penduduk - Sektor Swasta - Lembaga Keuangan Non Bank - Swasta Nasional - Perusahaan Sekuritas dan Reksadana - Manajer Investasi</v>
          </cell>
          <cell r="AU315" t="str">
            <v xml:space="preserve">531000 - PERDAGANGAN BESAR DAN ECERAN - PERDAGANGAN EKSPOR, KECUALI PERDAGANGAN MOBIL DAN SEPEDA MOTOR  - Perdagangan Ekspor Berdasarkan Balas Jasa (Fee) Atau Kontrak </v>
          </cell>
          <cell r="AV315" t="str">
            <v>3315 - Kab. Nias Selatan</v>
          </cell>
        </row>
        <row r="316">
          <cell r="AM316" t="str">
            <v>5803 - Kotawaringin Timur, Kab.</v>
          </cell>
          <cell r="AO316" t="str">
            <v>7159 - Penduduk - Sektor Swasta - Lembaga Keuangan Non Bank - Swasta Nasional - Perusahaan Sekuritas dan Reksadana - Lainnya</v>
          </cell>
          <cell r="AU316" t="str">
            <v>532111 - PERDAGANGAN BESAR DAN ECERAN - PERDAGANGAN EKSPOR, KECUALI PERDAGANGAN MOBIL DAN SEPEDA MOTOR  - Perdagangan Ekspor Bahan Baku Hasil Pertanian, Binatang Hidup, Makanan, Minuman, dan Tembakau  - Perdagangan Ekspor Bahan Baku Hasil Pertanian, dan B</v>
          </cell>
          <cell r="AV316" t="str">
            <v>3316 - Kab. Humbang Hasundutan</v>
          </cell>
        </row>
        <row r="317">
          <cell r="AM317" t="str">
            <v>5804 - Murung Raya, Kab.</v>
          </cell>
          <cell r="AO317" t="str">
            <v>7172 - Penduduk - Sektor Swasta - Lembaga Keuangan Non Bank - Swasta Nasional - Lembaga Keuangan Non Bank Lainnya - Baitul Maal Wa Tamwil (BMT)</v>
          </cell>
          <cell r="AU317" t="str">
            <v>532112 - PERDAGANGAN BESAR DAN ECERAN - PERDAGANGAN EKSPOR, KECUALI PERDAGANGAN MOBIL DAN SEPEDA MOTOR  - Perdagangan Ekspor Bahan Baku Hasil Pertanian, Binatang Hidup, Makanan, Minuman, dan Tembakau  - Perdagangan Ekspor Bahan Baku Hasil Pertanian, dan B</v>
          </cell>
          <cell r="AV317" t="str">
            <v>3317 - Kab. Pakpak Bharat</v>
          </cell>
        </row>
        <row r="318">
          <cell r="AM318" t="str">
            <v>5805 - Barito Timur, Kab.</v>
          </cell>
          <cell r="AO318" t="str">
            <v>7173 - Penduduk - Sektor Swasta - Lembaga Keuangan Non Bank - Swasta Nasional - Lembaga Keuangan Non Bank Lainnya - Koperasi Simpan Pinjam - Koperasi Primer</v>
          </cell>
          <cell r="AU318" t="str">
            <v>532119 - PERDAGANGAN BESAR DAN ECERAN - PERDAGANGAN EKSPOR, KECUALI PERDAGANGAN MOBIL DAN SEPEDA MOTOR  - Perdagangan Ekspor Bahan Baku Hasil Pertanian, Binatang Hidup, Makanan, Minuman, dan Tembakau  - Perdagangan Ekspor Bahan Baku Hasil Pertanian, dan B</v>
          </cell>
          <cell r="AV318" t="str">
            <v>3318 - Kab. Samosir</v>
          </cell>
        </row>
        <row r="319">
          <cell r="AM319" t="str">
            <v>5806 - Barito Selatan, Kab.</v>
          </cell>
          <cell r="AO319" t="str">
            <v>7174 - Penduduk - Sektor Swasta - Lembaga Keuangan Non Bank - Swasta Nasional - Lembaga Keuangan Non Bank Lainnya - Koperasi Simpan Pinjam - Koperasi Lainnya</v>
          </cell>
          <cell r="AU319" t="str">
            <v>532120 - PERDAGANGAN BESAR DAN ECERAN - PERDAGANGAN EKSPOR, KECUALI PERDAGANGAN MOBIL DAN SEPEDA MOTOR  - Perdagangan Ekspor Bahan Baku Hasil Pertanian, Binatang Hidup, Makanan, Minuman, dan Tembakau  - Perdagangan Ekspor Bahan Baku Hasil Pertanian, dan B</v>
          </cell>
          <cell r="AV319" t="str">
            <v>3319 - Kab. Serdang Bedagai</v>
          </cell>
        </row>
        <row r="320">
          <cell r="AM320" t="str">
            <v>5807 - Gunung Mas, Kab.</v>
          </cell>
          <cell r="AO320" t="str">
            <v>7190 - Penduduk - Sektor Swasta - Lembaga Keuangan Non Bank - Swasta Nasional - Lembaga Keuangan Non Bank Lainnya - Lainnya</v>
          </cell>
          <cell r="AU320" t="str">
            <v>532130 - PERDAGANGAN BESAR DAN ECERAN - PERDAGANGAN EKSPOR, KECUALI PERDAGANGAN MOBIL DAN SEPEDA MOTOR  - Perdagangan Ekspor Bahan Baku Hasil Pertanian, Binatang Hidup, Makanan, Minuman, dan Tembakau  - Perdagangan Ekspor Bahan Baku Hasil Pertanian, dan B</v>
          </cell>
          <cell r="AV320" t="str">
            <v>3320 - Kab. Angkola Sipirok</v>
          </cell>
        </row>
        <row r="321">
          <cell r="AM321" t="str">
            <v>5808 - Barito Utara, Kab.</v>
          </cell>
          <cell r="AO321" t="str">
            <v>7210 - Penduduk - Sektor Swasta - Lembaga Keuangan Non Bank - Campuran - Perusahaan Asuransi dan Dana Pensiun - Perusahaan Asuransi</v>
          </cell>
          <cell r="AU321" t="str">
            <v>532141 - PERDAGANGAN BESAR DAN ECERAN - PERDAGANGAN EKSPOR, KECUALI PERDAGANGAN MOBIL DAN SEPEDA MOTOR  - Perdagangan Ekspor Bahan Baku Hasil Pertanian, Binatang Hidup, Makanan, Minuman, dan Tembakau  - Perdagangan Ekspor Bahan Baku Hasil Pertanian, dan B</v>
          </cell>
          <cell r="AV321" t="str">
            <v>3321 - Kab. Batu Bara</v>
          </cell>
        </row>
        <row r="322">
          <cell r="AM322" t="str">
            <v>5809 - Pulang Pisau, Kab.</v>
          </cell>
          <cell r="AO322" t="str">
            <v>7220 - Penduduk - Sektor Swasta - Lembaga Keuangan Non Bank - Campuran - Perusahaan Asuransi dan Dana Pensiun - Dana Pensiun</v>
          </cell>
          <cell r="AU322" t="str">
            <v>532142 - PERDAGANGAN BESAR DAN ECERAN - PERDAGANGAN EKSPOR, KECUALI PERDAGANGAN MOBIL DAN SEPEDA MOTOR  - Perdagangan Ekspor Bahan Baku Hasil Pertanian, Binatang Hidup, Makanan, Minuman, dan Tembakau  - Perdagangan Ekspor Bahan Baku Hasil Pertanian, dan B</v>
          </cell>
          <cell r="AV322" t="str">
            <v>3322 - Kab. Padang Lawas</v>
          </cell>
        </row>
        <row r="323">
          <cell r="AM323" t="str">
            <v>5810 - Seruyan, Kab.</v>
          </cell>
          <cell r="AO323" t="str">
            <v>7230 - Penduduk - Sektor Swasta - Lembaga Keuangan Non Bank - Campuran - Modal Ventura</v>
          </cell>
          <cell r="AU323" t="str">
            <v>532149 - PERDAGANGAN BESAR DAN ECERAN - PERDAGANGAN EKSPOR, KECUALI PERDAGANGAN MOBIL DAN SEPEDA MOTOR  - Perdagangan Ekspor Bahan Baku Hasil Pertanian, Binatang Hidup, Makanan, Minuman, dan Tembakau  - Perdagangan Ekspor Bahan Baku Hasil Pertanian, dan B</v>
          </cell>
          <cell r="AV323" t="str">
            <v>3323 - Kab. Padang Lawas Utara</v>
          </cell>
        </row>
        <row r="324">
          <cell r="AM324" t="str">
            <v>5811 - Katingan, Kab.</v>
          </cell>
          <cell r="AO324" t="str">
            <v>7240 - Penduduk - Sektor Swasta - Lembaga Keuangan Non Bank - Campuran - Perusahaan Pembiayaan</v>
          </cell>
          <cell r="AU324" t="str">
            <v>532201 - PERDAGANGAN BESAR DAN ECERAN - PERDAGANGAN EKSPOR, KECUALI PERDAGANGAN MOBIL DAN SEPEDA MOTOR  - Perdagangan Ekspor Bahan Baku Hasil Pertanian, Binatang Hidup, Makanan, Minuman, dan Tembakau  - Perdagangan Ekspor Makanan, Minuman, dan TembakauPer</v>
          </cell>
          <cell r="AV324" t="str">
            <v>3324 - Kab. Labuhanbatu Selatan</v>
          </cell>
        </row>
        <row r="325">
          <cell r="AM325" t="str">
            <v>5812 - Sukamara, Kab.</v>
          </cell>
          <cell r="AO325" t="str">
            <v>7251 - Penduduk - Sektor Swasta - Lembaga Keuangan Non Bank - Campuran - Perusahaan Sekuritas dan Reksadana - Perusahaan sekuritas yang tidak melakukan kegiatan usaha Reksadana</v>
          </cell>
          <cell r="AU325" t="str">
            <v>532202 - PERDAGANGAN BESAR DAN ECERAN - PERDAGANGAN EKSPOR, KECUALI PERDAGANGAN MOBIL DAN SEPEDA MOTOR  - Perdagangan Ekspor Bahan Baku Hasil Pertanian, Binatang Hidup, Makanan, Minuman, dan Tembakau  - Perdagangan Ekspor Makanan, Minuman, dan TembakauPer</v>
          </cell>
          <cell r="AV325" t="str">
            <v>3325 - Kab. Labuhanbatu Utara</v>
          </cell>
        </row>
        <row r="326">
          <cell r="AM326" t="str">
            <v>5813 - Lamandau, Kab.</v>
          </cell>
          <cell r="AO326" t="str">
            <v>7252 - Penduduk - Sektor Swasta - Lembaga Keuangan Non Bank - Campuran - Perusahaan Sekuritas dan Reksadana - Perusahaan sekuritas yang melakukan kegiatan usaha Reksadana</v>
          </cell>
          <cell r="AU326" t="str">
            <v>532203 - PERDAGANGAN BESAR DAN ECERAN - PERDAGANGAN EKSPOR, KECUALI PERDAGANGAN MOBIL DAN SEPEDA MOTOR  - Perdagangan Ekspor Bahan Baku Hasil Pertanian, Binatang Hidup, Makanan, Minuman, dan Tembakau  - Perdagangan Ekspor Makanan, Minuman, dan TembakauPer</v>
          </cell>
          <cell r="AV326" t="str">
            <v>3326 - Kab. Nias Barat</v>
          </cell>
        </row>
        <row r="327">
          <cell r="AM327" t="str">
            <v>5892 - Palangkaraya, Kota.</v>
          </cell>
          <cell r="AO327" t="str">
            <v>7253 - Penduduk - Sektor Swasta - Lembaga Keuangan Non Bank - Campuran - Perusahaan Sekuritas dan Reksadana - Perusahaan Reksadana</v>
          </cell>
          <cell r="AU327" t="str">
            <v>532204 - PERDAGANGAN BESAR DAN ECERAN - PERDAGANGAN EKSPOR, KECUALI PERDAGANGAN MOBIL DAN SEPEDA MOTOR  - Perdagangan Ekspor Bahan Baku Hasil Pertanian, Binatang Hidup, Makanan, Minuman, dan Tembakau  - Perdagangan Ekspor Makanan, Minuman, dan TembakauPer</v>
          </cell>
          <cell r="AV327" t="str">
            <v>3327 - Kab. Nias Utara</v>
          </cell>
        </row>
        <row r="328">
          <cell r="AM328" t="str">
            <v>6001 - Donggala, Kab.</v>
          </cell>
          <cell r="AO328" t="str">
            <v>7254 - Penduduk - Sektor Swasta - Lembaga Keuangan Non Bank - Campuran - Perusahaan Sekuritas dan Reksadana - Manajer Investasi</v>
          </cell>
          <cell r="AU328" t="str">
            <v>532209 - PERDAGANGAN BESAR DAN ECERAN - PERDAGANGAN EKSPOR, KECUALI PERDAGANGAN MOBIL DAN SEPEDA MOTOR  - Perdagangan Ekspor Bahan Baku Hasil Pertanian, Binatang Hidup, Makanan, Minuman, dan Tembakau  - Perdagangan Ekspor Makanan, Minuman, dan TembakauPer</v>
          </cell>
          <cell r="AV328" t="str">
            <v>3391 - Kota Tebing Tinggi</v>
          </cell>
        </row>
        <row r="329">
          <cell r="AM329" t="str">
            <v>6002 - Poso, Kab.</v>
          </cell>
          <cell r="AO329" t="str">
            <v>7259 - Penduduk - Sektor Swasta - Lembaga Keuangan Non Bank - Campuran - Perusahaan Sekuritas dan Reksadana - Lainnya</v>
          </cell>
          <cell r="AU329" t="str">
            <v>533101 - PERDAGANGAN BESAR DAN ECERAN - PERDAGANGAN EKSPOR, KECUALI PERDAGANGAN MOBIL DAN SEPEDA MOTOR  - Perdagangan Ekspor Barang-barang Keperluan Rumah Tangga  - Perdagangan Ekspor Tekstil, Pakaian Jadi, dan KulitPerdagangan Ekspor Tekstil</v>
          </cell>
          <cell r="AV329" t="str">
            <v>3392 - Kota Binjai</v>
          </cell>
        </row>
        <row r="330">
          <cell r="AM330" t="str">
            <v>6003 - Parimo/Banggai, Kab.</v>
          </cell>
          <cell r="AO330" t="str">
            <v>7272 - Penduduk - Sektor Swasta - Lembaga Keuangan Non Bank - Campuran - Lembaga Keuangan Non Bank Lainnya - Baitul Maal Wa Tamwil (BMT)</v>
          </cell>
          <cell r="AU330" t="str">
            <v>533102 - PERDAGANGAN BESAR DAN ECERAN - PERDAGANGAN EKSPOR, KECUALI PERDAGANGAN MOBIL DAN SEPEDA MOTOR  - Perdagangan Ekspor Barang-barang Keperluan Rumah Tangga  - Perdagangan Ekspor Tekstil, Pakaian Jadi, dan KulitPerdagangan Ekspor Pakaian Jadi</v>
          </cell>
          <cell r="AV330" t="str">
            <v>3393 - Kota Pematang Siantar</v>
          </cell>
        </row>
        <row r="331">
          <cell r="AM331" t="str">
            <v>6004 - Toli-Toli, Kab.</v>
          </cell>
          <cell r="AO331" t="str">
            <v>7273 - Penduduk - Sektor Swasta - Lembaga Keuangan Non Bank - Campuran - Lembaga Keuangan Non Bank Lainnya - Kantor Perwakilan Lembaga Milik Asing di Indonesia Lainnya</v>
          </cell>
          <cell r="AU331" t="str">
            <v>533103 - PERDAGANGAN BESAR DAN ECERAN - PERDAGANGAN EKSPOR, KECUALI PERDAGANGAN MOBIL DAN SEPEDA MOTOR  - Perdagangan Ekspor Barang-barang Keperluan Rumah Tangga  - Perdagangan Ekspor Tekstil, Pakaian Jadi, dan KulitPerdagangan Ekspor Kulit</v>
          </cell>
          <cell r="AV331" t="str">
            <v>3394 - Kota Tanjung Balai</v>
          </cell>
        </row>
        <row r="332">
          <cell r="AM332" t="str">
            <v>6005 - Kab.Banggai Kepulauan</v>
          </cell>
          <cell r="AO332" t="str">
            <v>7290 - Penduduk - Sektor Swasta - Lembaga Keuangan Non Bank - Campuran - Lembaga Keuangan Non Bank Lainnya - Lainnya</v>
          </cell>
          <cell r="AU332" t="str">
            <v xml:space="preserve">533900 - PERDAGANGAN BESAR DAN ECERAN - PERDAGANGAN EKSPOR, KECUALI PERDAGANGAN MOBIL DAN SEPEDA MOTOR  - Perdagangan Ekspor Barang-barang Keperluan Rumah Tangga Lainnya  - Perdagangan Ekspor Barang-barang Keperluan Rumah Tangga Lainnya </v>
          </cell>
          <cell r="AV332" t="str">
            <v>3395 - Kota Sibolga</v>
          </cell>
        </row>
        <row r="333">
          <cell r="AM333" t="str">
            <v>6006 - Morowali, Kab.</v>
          </cell>
          <cell r="AO333" t="str">
            <v>7310 - Penduduk - Sektor Swasta - Lembaga Keuangan Non Bank - Asing - Perusahaan Asuransi dan Dana Pensiun - Perusahaan Asuransi</v>
          </cell>
          <cell r="AU333" t="str">
            <v>534100 - PERDAGANGAN BESAR DAN ECERAN - PERDAGANGAN EKSPOR, KECUALI PERDAGANGAN MOBIL DAN SEPEDA MOTOR  - Perdagangan Ekspor Produk Antara (Intermediate Products) Bukan Hasil Pertanian, Barang-barang Bekas dan Sisa-sisa Tak Terpakai (Scrap)  - Perdagangan</v>
          </cell>
          <cell r="AV333" t="str">
            <v>3396 - Kota Medan</v>
          </cell>
        </row>
        <row r="334">
          <cell r="AM334" t="str">
            <v>6007 - Buol, Kab.</v>
          </cell>
          <cell r="AO334" t="str">
            <v>7320 - Penduduk - Sektor Swasta - Lembaga Keuangan Non Bank - Asing - Perusahaan Asuransi dan Dana Pensiun - Dana Pensiun</v>
          </cell>
          <cell r="AU334" t="str">
            <v>534201 - PERDAGANGAN BESAR DAN ECERAN - PERDAGANGAN EKSPOR, KECUALI PERDAGANGAN MOBIL DAN SEPEDA MOTOR  - Perdagangan Ekspor Produk Antara (Intermediate Products) Bukan Hasil Pertanian, Barang-barang Bekas dan Sisa-sisa Tak Terpakai (Scrap)  - Perdagangan</v>
          </cell>
          <cell r="AV334" t="str">
            <v>3397 - Kota Gunung Sitoli</v>
          </cell>
        </row>
        <row r="335">
          <cell r="AM335" t="str">
            <v>6008 - Tojo Una-Una, Kab.</v>
          </cell>
          <cell r="AO335" t="str">
            <v>7330 - Penduduk - Sektor Swasta - Lembaga Keuangan Non Bank - Asing - Modal Ventura</v>
          </cell>
          <cell r="AU335" t="str">
            <v>534202 - PERDAGANGAN BESAR DAN ECERAN - PERDAGANGAN EKSPOR, KECUALI PERDAGANGAN MOBIL DAN SEPEDA MOTOR  - Perdagangan Ekspor Produk Antara (Intermediate Products) Bukan Hasil Pertanian, Barang-barang Bekas dan Sisa-sisa Tak Terpakai (Scrap)  - Perdagangan</v>
          </cell>
          <cell r="AV335" t="str">
            <v>3399 - Kota Padang Sidempuan</v>
          </cell>
        </row>
        <row r="336">
          <cell r="AM336" t="str">
            <v>6009 - Parigi Moutong, Kab.</v>
          </cell>
          <cell r="AO336" t="str">
            <v>7340 - Penduduk - Sektor Swasta - Lembaga Keuangan Non Bank - Asing - Perusahaan Pembiayaan</v>
          </cell>
          <cell r="AU336" t="str">
            <v>534203 - PERDAGANGAN BESAR DAN ECERAN - PERDAGANGAN EKSPOR, KECUALI PERDAGANGAN MOBIL DAN SEPEDA MOTOR  - Perdagangan Ekspor Produk Antara (Intermediate Products) Bukan Hasil Pertanian, Barang-barang Bekas dan Sisa-sisa Tak Terpakai (Scrap)  - Perdagangan</v>
          </cell>
          <cell r="AV336" t="str">
            <v>3401 - Kab. Agam</v>
          </cell>
        </row>
        <row r="337">
          <cell r="AM337" t="str">
            <v>6010 - Kab. Sigi</v>
          </cell>
          <cell r="AO337" t="str">
            <v>7351 - Penduduk - Sektor Swasta - Lembaga Keuangan Non Bank - Asing - Perusahaan Sekuritas dan Reksadana - Perusahaan sekuritas yang tidak melakukan kegiatan usaha Reksadana</v>
          </cell>
          <cell r="AU337" t="str">
            <v>534209 - PERDAGANGAN BESAR DAN ECERAN - PERDAGANGAN EKSPOR, KECUALI PERDAGANGAN MOBIL DAN SEPEDA MOTOR  - Perdagangan Ekspor Produk Antara (Intermediate Products) Bukan Hasil Pertanian, Barang-barang Bekas dan Sisa-sisa Tak Terpakai (Scrap)  - Perdagangan</v>
          </cell>
          <cell r="AV337" t="str">
            <v>3402 - Kab. Pasaman</v>
          </cell>
        </row>
        <row r="338">
          <cell r="AM338" t="str">
            <v>6091 - Palu, Kota.</v>
          </cell>
          <cell r="AO338" t="str">
            <v>7352 - Penduduk - Sektor Swasta - Lembaga Keuangan Non Bank - Asing - Perusahaan Sekuritas dan Reksadana - Perusahaan sekuritas yang melakukan kegiatan usaha Reksadana</v>
          </cell>
          <cell r="AU338" t="str">
            <v>534301 - PERDAGANGAN BESAR DAN ECERAN - PERDAGANGAN EKSPOR, KECUALI PERDAGANGAN MOBIL DAN SEPEDA MOTOR  - Perdagangan Ekspor Produk Antara (Intermediate Products) Bukan Hasil Pertanian, Barang-barang Bekas dan Sisa-sisa Tak Terpakai (Scrap)  - Perdagangan</v>
          </cell>
          <cell r="AV338" t="str">
            <v>3403 - Kab. Limapuluh Koto</v>
          </cell>
        </row>
        <row r="339">
          <cell r="AM339" t="str">
            <v>6101 - Pinrang, Kab.</v>
          </cell>
          <cell r="AO339" t="str">
            <v>7353 - Penduduk - Sektor Swasta - Lembaga Keuangan Non Bank - Asing - Perusahaan Sekuritas dan Reksadana - Perusahaan Reksadana</v>
          </cell>
          <cell r="AU339" t="str">
            <v>534309 - PERDAGANGAN BESAR DAN ECERAN - PERDAGANGAN EKSPOR, KECUALI PERDAGANGAN MOBIL DAN SEPEDA MOTOR  - Perdagangan Ekspor Produk Antara (Intermediate Products) Bukan Hasil Pertanian, Barang-barang Bekas dan Sisa-sisa Tak Terpakai (Scrap)  - Perdagangan</v>
          </cell>
          <cell r="AV339" t="str">
            <v>3404 - Kab. Solok Selatan</v>
          </cell>
        </row>
        <row r="340">
          <cell r="AM340" t="str">
            <v>6102 - Gowa, Kab.</v>
          </cell>
          <cell r="AO340" t="str">
            <v>7354 - Penduduk - Sektor Swasta - Lembaga Keuangan Non Bank - Asing - Perusahaan Sekuritas dan Reksadana - Manajer Investasi</v>
          </cell>
          <cell r="AU340" t="str">
            <v>534900 - PERDAGANGAN BESAR DAN ECERAN - PERDAGANGAN EKSPOR, KECUALI PERDAGANGAN MOBIL DAN SEPEDA MOTOR  - Perdagangan Ekspor Produk Antara (Intermediate Products) Bukan Hasil Pertanian, Barang-barang Bekas dan Sisa-sisa Tak Terpakai (Scrap)  - Perdagangan</v>
          </cell>
          <cell r="AV340" t="str">
            <v>3405 - Kab. Padang Pariaman</v>
          </cell>
        </row>
        <row r="341">
          <cell r="AM341" t="str">
            <v>6103 - Wajo, Kab.</v>
          </cell>
          <cell r="AO341" t="str">
            <v>7359 - Penduduk - Sektor Swasta - Lembaga Keuangan Non Bank - Asing - Perusahaan Sekuritas dan Reksadana - Lainnya</v>
          </cell>
          <cell r="AU341" t="str">
            <v xml:space="preserve">535000 - PERDAGANGAN BESAR DAN ECERAN - PERDAGANGAN EKSPOR, KECUALI PERDAGANGAN MOBIL DAN SEPEDA MOTOR  - Perdagangan Ekspor Mesin-mesin, Suku Cadang dan Perlengkapannya </v>
          </cell>
          <cell r="AV341" t="str">
            <v>3406 - Kab. Pesisir Selatan</v>
          </cell>
        </row>
        <row r="342">
          <cell r="AM342" t="str">
            <v>6105 - Bone, Kab.</v>
          </cell>
          <cell r="AO342" t="str">
            <v>7372 - Penduduk - Sektor Swasta - Lembaga Keuangan Non Bank - Asing - Lembaga Keuangan Non Bank Lainnya - Baitul Maal Wa Tamwil (BMT)</v>
          </cell>
          <cell r="AU342" t="str">
            <v>539011 - PERDAGANGAN BESAR DAN ECERAN - PERDAGANGAN EKSPOR, KECUALI PERDAGANGAN MOBIL DAN SEPEDA MOTOR  - Perdagangan Ekspor Lainnya  - Perdagangan Ekspor Barang Setengah Jadi Hasil Pertanian, Perkebunan, dan KehutananPerdagangan Ekspor Kayu Gergajian</v>
          </cell>
          <cell r="AV342" t="str">
            <v>3407 - Kab. Tanah Datar</v>
          </cell>
        </row>
        <row r="343">
          <cell r="AM343" t="str">
            <v>6106 - Tana Toraja, Kab.</v>
          </cell>
          <cell r="AO343" t="str">
            <v>7379 - Penduduk - Sektor Swasta - Lembaga Keuangan Non Bank - Asing - Lembaga Keuangan Non Bank Lainnya - Kantor Perwakilan Lembaga Milik Asing di Indonesia Lainnya</v>
          </cell>
          <cell r="AU343" t="str">
            <v>539012 - PERDAGANGAN BESAR DAN ECERAN - PERDAGANGAN EKSPOR, KECUALI PERDAGANGAN MOBIL DAN SEPEDA MOTOR  - Perdagangan Ekspor Lainnya  - Perdagangan Ekspor Barang Setengah Jadi Hasil Pertanian, Perkebunan, dan KehutananPerdagangan Ekspor Kopi Bijian</v>
          </cell>
          <cell r="AV343" t="str">
            <v>3408 - Kab. Sawahlunto/Sijunjung</v>
          </cell>
        </row>
        <row r="344">
          <cell r="AM344" t="str">
            <v>6107 - Maros, Kab.</v>
          </cell>
          <cell r="AO344" t="str">
            <v>7390 - Penduduk - Sektor Swasta - Lembaga Keuangan Non Bank - Asing - Lembaga Keuangan Non Bank Lainnya - Lainnya</v>
          </cell>
          <cell r="AU344" t="str">
            <v>539013 - PERDAGANGAN BESAR DAN ECERAN - PERDAGANGAN EKSPOR, KECUALI PERDAGANGAN MOBIL DAN SEPEDA MOTOR  - Perdagangan Ekspor Lainnya  - Perdagangan Ekspor Barang Setengah Jadi Hasil Pertanian, Perkebunan, dan KehutananPerdagangan Ekspor Tembakau</v>
          </cell>
          <cell r="AV344" t="str">
            <v>3409 - Kab. Kepulauan Mentawai</v>
          </cell>
        </row>
        <row r="345">
          <cell r="AM345" t="str">
            <v>6109 - Luwu, Kab.</v>
          </cell>
          <cell r="AO345" t="str">
            <v>8111 - Penduduk - Sektor Swasta - Bukan Lembaga Keuangan - Swasta Nasional - Perusahaan Lainnya - Perusahaan Otomotif</v>
          </cell>
          <cell r="AU345" t="str">
            <v>539014 - PERDAGANGAN BESAR DAN ECERAN - PERDAGANGAN EKSPOR, KECUALI PERDAGANGAN MOBIL DAN SEPEDA MOTOR  - Perdagangan Ekspor Lainnya  - Perdagangan Ekspor Barang Setengah Jadi Hasil Pertanian, Perkebunan, dan KehutananPerdagangan Ekspor Karet</v>
          </cell>
          <cell r="AV345" t="str">
            <v>3410 - Kab. Pasaman Barat</v>
          </cell>
        </row>
        <row r="346">
          <cell r="AM346" t="str">
            <v>6110 - Sinjai, Kab.</v>
          </cell>
          <cell r="AO346" t="str">
            <v>8112 - Penduduk - Sektor Swasta - Bukan Lembaga Keuangan - Swasta Nasional - Perusahaan Lainnya - Perusahaan Perminyakan</v>
          </cell>
          <cell r="AU346" t="str">
            <v>539015 - PERDAGANGAN BESAR DAN ECERAN - PERDAGANGAN EKSPOR, KECUALI PERDAGANGAN MOBIL DAN SEPEDA MOTOR  - Perdagangan Ekspor Lainnya  - Perdagangan Ekspor Barang Setengah Jadi Hasil Pertanian, Perkebunan, dan KehutananPerdagangan Ekspor Lada</v>
          </cell>
          <cell r="AV346" t="str">
            <v>3411 - Kab. Dharmasraya</v>
          </cell>
        </row>
        <row r="347">
          <cell r="AM347" t="str">
            <v>6111 - Bulukumba, Kab.</v>
          </cell>
          <cell r="AO347" t="str">
            <v>8113 - Penduduk - Sektor Swasta - Bukan Lembaga Keuangan - Swasta Nasional - Perusahaan Lainnya - Perusahaan Tekstil</v>
          </cell>
          <cell r="AU347" t="str">
            <v>539016 - PERDAGANGAN BESAR DAN ECERAN - PERDAGANGAN EKSPOR, KECUALI PERDAGANGAN MOBIL DAN SEPEDA MOTOR  - Perdagangan Ekspor Lainnya  - Perdagangan Ekspor Barang Setengah Jadi Hasil Pertanian, Perkebunan, dan KehutananPerdagangan Ekspor Minyak Kelapa Sawi</v>
          </cell>
          <cell r="AV347" t="str">
            <v>3412 - Kab. Solok</v>
          </cell>
        </row>
        <row r="348">
          <cell r="AM348" t="str">
            <v>6112 - Bantaeng, Kab.</v>
          </cell>
          <cell r="AO348" t="str">
            <v>8114 - Penduduk - Sektor Swasta - Bukan Lembaga Keuangan - Swasta Nasional - Perusahaan Lainnya - Perusahaan Perkayuan (HPH)</v>
          </cell>
          <cell r="AU348" t="str">
            <v>539017 - PERDAGANGAN BESAR DAN ECERAN - PERDAGANGAN EKSPOR, KECUALI PERDAGANGAN MOBIL DAN SEPEDA MOTOR  - Perdagangan Ekspor Lainnya  - Perdagangan Ekspor Barang Setengah Jadi Hasil Pertanian, Perkebunan, dan KehutananPerdagangan Ekspor Minyak Biji Kelapa</v>
          </cell>
          <cell r="AV348" t="str">
            <v>3491 - Kota Bukittinggi</v>
          </cell>
        </row>
        <row r="349">
          <cell r="AM349" t="str">
            <v>6113 - Jeneponto, Kab.</v>
          </cell>
          <cell r="AO349" t="str">
            <v>8115 - Penduduk - Sektor Swasta - Bukan Lembaga Keuangan - Swasta Nasional - Perusahaan Lainnya - Perusahaan Jasa Konstruksi</v>
          </cell>
          <cell r="AU349" t="str">
            <v>539018 - PERDAGANGAN BESAR DAN ECERAN - PERDAGANGAN EKSPOR, KECUALI PERDAGANGAN MOBIL DAN SEPEDA MOTOR  - Perdagangan Ekspor Lainnya  - Perdagangan Ekspor Barang Setengah Jadi Hasil Pertanian, Perkebunan, dan KehutananPerdagangan Ekspor Bungkil Kopra</v>
          </cell>
          <cell r="AV349" t="str">
            <v>3492 - Kota Padang</v>
          </cell>
        </row>
        <row r="350">
          <cell r="AM350" t="str">
            <v>6114 - Selayar, Kab.</v>
          </cell>
          <cell r="AO350" t="str">
            <v>8116 - Penduduk - Sektor Swasta - Bukan Lembaga Keuangan - Swasta Nasional - Perusahaan Lainnya - Perusahaan Industri Rokok</v>
          </cell>
          <cell r="AU350" t="str">
            <v>539019 - PERDAGANGAN BESAR DAN ECERAN - PERDAGANGAN EKSPOR, KECUALI PERDAGANGAN MOBIL DAN SEPEDA MOTOR  - Perdagangan Ekspor Lainnya  - Perdagangan Ekspor Barang Setengah Jadi Hasil Pertanian, Perkebunan, dan KehutananPerdagangan Ekspor Hasil Pertanian, P</v>
          </cell>
          <cell r="AV350" t="str">
            <v>3493 - Kota Sawahlunto</v>
          </cell>
        </row>
        <row r="351">
          <cell r="AM351" t="str">
            <v>6115 - Takalar, Kab.</v>
          </cell>
          <cell r="AO351" t="str">
            <v>8117 - Penduduk - Sektor Swasta - Bukan Lembaga Keuangan - Swasta Nasional - Perusahaan Lainnya - Perusahaan Industri Makanan</v>
          </cell>
          <cell r="AU351" t="str">
            <v>539021 - PERDAGANGAN BESAR DAN ECERAN - PERDAGANGAN EKSPOR, KECUALI PERDAGANGAN MOBIL DAN SEPEDA MOTOR  - Perdagangan Ekspor Lainnya  - Perdagangan Ekspor Barang Setengah Jadi LainnyaPerdagangan Ekspor Hewan yang Sudah Diolah</v>
          </cell>
          <cell r="AV351" t="str">
            <v>3494 - Kota Padang Panjang</v>
          </cell>
        </row>
        <row r="352">
          <cell r="AM352" t="str">
            <v>6116 - Barru, Kab.</v>
          </cell>
          <cell r="AO352" t="str">
            <v>8118 - Penduduk - Sektor Swasta - Bukan Lembaga Keuangan - Swasta Nasional - Perusahaan Lainnya - Perusahaan Agrobisnis</v>
          </cell>
          <cell r="AU352" t="str">
            <v>539022 - PERDAGANGAN BESAR DAN ECERAN - PERDAGANGAN EKSPOR, KECUALI PERDAGANGAN MOBIL DAN SEPEDA MOTOR  - Perdagangan Ekspor Lainnya  - Perdagangan Ekspor Barang Setengah Jadi LainnyaPerdagangan Ekspor Bahan Makanan Lainnya</v>
          </cell>
          <cell r="AV352" t="str">
            <v>3495 - Kota Solok</v>
          </cell>
        </row>
        <row r="353">
          <cell r="AM353" t="str">
            <v>6117 - Sidenreng Rappang, Kab.</v>
          </cell>
          <cell r="AO353" t="str">
            <v>8139 - Penduduk - Sektor Swasta - Bukan Lembaga Keuangan - Swasta Nasional - Perusahaan Lainnya - Perusahaan Lainnya</v>
          </cell>
          <cell r="AU353" t="str">
            <v>539023 - PERDAGANGAN BESAR DAN ECERAN - PERDAGANGAN EKSPOR, KECUALI PERDAGANGAN MOBIL DAN SEPEDA MOTOR  - Perdagangan Ekspor Lainnya  - Perdagangan Ekspor Barang Setengah Jadi LainnyaPerdagangan Ekspor Hasil Tambang Setengah Jadi</v>
          </cell>
          <cell r="AV353" t="str">
            <v>3496 - Kota Payakumbuh</v>
          </cell>
        </row>
        <row r="354">
          <cell r="AM354" t="str">
            <v>6118 - Pangkajene Kepulauan, Kab.</v>
          </cell>
          <cell r="AO354" t="str">
            <v>8141 - Penduduk - Sektor Swasta - Bukan Lembaga Keuangan - Swasta Nasional - Koperasi Bukan Simpan Pinjam - Koperasi Primer</v>
          </cell>
          <cell r="AU354" t="str">
            <v>539029 - PERDAGANGAN BESAR DAN ECERAN - PERDAGANGAN EKSPOR, KECUALI PERDAGANGAN MOBIL DAN SEPEDA MOTOR  - Perdagangan Ekspor Lainnya  - Perdagangan Ekspor Barang Setengah Jadi LainnyaPerdagangan Ekspor Barang Setengah Jadi Lainnya</v>
          </cell>
          <cell r="AV354" t="str">
            <v>3497 - Kota Pariaman</v>
          </cell>
        </row>
        <row r="355">
          <cell r="AM355" t="str">
            <v>6119 - Kab. Soppeng (d/h Watansoppeng)</v>
          </cell>
          <cell r="AO355" t="str">
            <v>8149 - Penduduk - Sektor Swasta - Bukan Lembaga Keuangan - Swasta Nasional - Koperasi Bukan Simpan Pinjam - Koperasi Lainnya</v>
          </cell>
          <cell r="AU355" t="str">
            <v>539031 - PERDAGANGAN BESAR DAN ECERAN - PERDAGANGAN EKSPOR, KECUALI PERDAGANGAN MOBIL DAN SEPEDA MOTOR  - Perdagangan Ekspor Lainnya  - Perdagangan Ekspor LainnyaPerdagangan Ekspor Barang Kerajinan dari Kayu dan Rotan</v>
          </cell>
          <cell r="AV355" t="str">
            <v>3501 - Kab. Kampar</v>
          </cell>
        </row>
        <row r="356">
          <cell r="AM356" t="str">
            <v>6121 - Enrekang, Kab.</v>
          </cell>
          <cell r="AO356" t="str">
            <v>8151 - Penduduk - Sektor Swasta - Bukan Lembaga Keuangan - Swasta Nasional - Yayasan, Badan Sosial dan Organisasi Kemasyarakatan - Badan Amil Zakat Infaq dan Shadaqah (BAZIS)</v>
          </cell>
          <cell r="AU356" t="str">
            <v>539032 - PERDAGANGAN BESAR DAN ECERAN - PERDAGANGAN EKSPOR, KECUALI PERDAGANGAN MOBIL DAN SEPEDA MOTOR  - Perdagangan Ekspor Lainnya  - Perdagangan Ekspor LainnyaPerdagangan Ekspor Barang Kerajinan selain dari Kayu dan Rotan</v>
          </cell>
          <cell r="AV356" t="str">
            <v>3502 - Kab. Bengkalis</v>
          </cell>
        </row>
        <row r="357">
          <cell r="AM357" t="str">
            <v>6122 - Kab. Luwu Timur (d/h Luwu Selatan)</v>
          </cell>
          <cell r="AO357" t="str">
            <v>8152 - Penduduk - Sektor Swasta - Bukan Lembaga Keuangan - Swasta Nasional - Yayasan, Badan Sosial dan Organisasi Kemasyarakatan - Lembaga Pendidikan</v>
          </cell>
          <cell r="AU357" t="str">
            <v>539034 - PERDAGANGAN BESAR DAN ECERAN - PERDAGANGAN EKSPOR, KECUALI PERDAGANGAN MOBIL DAN SEPEDA MOTOR  - Perdagangan Ekspor Lainnya  - Perdagangan Ekspor LainnyaPerdagangan Ekspor Jasa Konstruksi</v>
          </cell>
          <cell r="AV357" t="str">
            <v>3504 - Kab. Indragiri Hulu</v>
          </cell>
        </row>
        <row r="358">
          <cell r="AM358" t="str">
            <v>6124 - Luwu Utara, Kab.</v>
          </cell>
          <cell r="AO358" t="str">
            <v>8159 - Penduduk - Sektor Swasta - Bukan Lembaga Keuangan - Swasta Nasional - Yayasan, Badan Sosial dan Organisasi Kemasyarakatan - Lainnya</v>
          </cell>
          <cell r="AU358" t="str">
            <v xml:space="preserve">539039 - PERDAGANGAN BESAR DAN ECERAN - PERDAGANGAN EKSPOR, KECUALI PERDAGANGAN MOBIL DAN SEPEDA MOTOR  - Perdagangan Ekspor Lainnya  - Perdagangan Ekspor LainnyaPerdagangan Ekspor yang Tidak Diklasifikasikan di Tempat Lain </v>
          </cell>
          <cell r="AV358" t="str">
            <v>3505 - Kab. Indragiri Hilir</v>
          </cell>
        </row>
        <row r="359">
          <cell r="AM359" t="str">
            <v>6125 - Kab. Toraja Utara</v>
          </cell>
          <cell r="AO359" t="str">
            <v>8411 - Penduduk - Sektor Swasta - Bukan Lembaga Keuangan - Campuran - Perusahaan Lainnya - Perusahaan Otomotif</v>
          </cell>
          <cell r="AU359" t="str">
            <v xml:space="preserve">541000 - PERDAGANGAN BESAR DAN ECERAN - PERDAGANGAN IMPOR, KECUALI PERDAGANGAN MOBIL DAN SEPEDA MOTOR  - Perdagangan Impor Berdasarkan Balas Jasa (Fee) Atau Kontrak </v>
          </cell>
          <cell r="AV359" t="str">
            <v>3508 - Kab. Rokan Hulu</v>
          </cell>
        </row>
        <row r="360">
          <cell r="AM360" t="str">
            <v>6191 - Makassar, Kota.</v>
          </cell>
          <cell r="AO360" t="str">
            <v>8412 - Penduduk - Sektor Swasta - Bukan Lembaga Keuangan - Campuran - Perusahaan Lainnya - Perusahaan Perminyakan</v>
          </cell>
          <cell r="AU360" t="str">
            <v>542101 - PERDAGANGAN BESAR DAN ECERAN - PERDAGANGAN IMPOR, KECUALI PERDAGANGAN MOBIL DAN SEPEDA MOTOR  - Perdagangan Impor Bahan Baku Hasil Pertanian, Binatang Hidup, Makanan, Minuman, dan Tembakau  - Perdagangan Impor Bahan Baku Hasil Pertanian, dan Bina</v>
          </cell>
          <cell r="AV360" t="str">
            <v>3509 - Kab. Rokan Hilir</v>
          </cell>
        </row>
        <row r="361">
          <cell r="AM361" t="str">
            <v>6192 - Pare-Pare, Kota.</v>
          </cell>
          <cell r="AO361" t="str">
            <v>8413 - Penduduk - Sektor Swasta - Bukan Lembaga Keuangan - Campuran - Perusahaan Lainnya - Perusahaan Tekstil</v>
          </cell>
          <cell r="AU361" t="str">
            <v>542102 - PERDAGANGAN BESAR DAN ECERAN - PERDAGANGAN IMPOR, KECUALI PERDAGANGAN MOBIL DAN SEPEDA MOTOR  - Perdagangan Impor Bahan Baku Hasil Pertanian, Binatang Hidup, Makanan, Minuman, dan Tembakau  - Perdagangan Impor Bahan Baku Hasil Pertanian, dan Bina</v>
          </cell>
          <cell r="AV361" t="str">
            <v>3510 - Kab. Pelalawan</v>
          </cell>
        </row>
        <row r="362">
          <cell r="AM362" t="str">
            <v>6193 - Palopo, Kota.</v>
          </cell>
          <cell r="AO362" t="str">
            <v>8414 - Penduduk - Sektor Swasta - Bukan Lembaga Keuangan - Campuran - Perusahaan Lainnya - Perusahaan Perkayuan (HPH)</v>
          </cell>
          <cell r="AU362" t="str">
            <v>542103 - PERDAGANGAN BESAR DAN ECERAN - PERDAGANGAN IMPOR, KECUALI PERDAGANGAN MOBIL DAN SEPEDA MOTOR  - Perdagangan Impor Bahan Baku Hasil Pertanian, Binatang Hidup, Makanan, Minuman, dan Tembakau  - Perdagangan Impor Bahan Baku Hasil Pertanian, dan Bina</v>
          </cell>
          <cell r="AV362" t="str">
            <v>3511 - Kab. Siak</v>
          </cell>
        </row>
        <row r="363">
          <cell r="AM363" t="str">
            <v>6202 - Minahasa, Kab.</v>
          </cell>
          <cell r="AO363" t="str">
            <v>8415 - Penduduk - Sektor Swasta - Bukan Lembaga Keuangan - Campuran - Perusahaan Lainnya - Perusahaan Jasa Konstruksi</v>
          </cell>
          <cell r="AU363" t="str">
            <v>542104 - PERDAGANGAN BESAR DAN ECERAN - PERDAGANGAN IMPOR, KECUALI PERDAGANGAN MOBIL DAN SEPEDA MOTOR  - Perdagangan Impor Bahan Baku Hasil Pertanian, Binatang Hidup, Makanan, Minuman, dan Tembakau  - Perdagangan Impor Bahan Baku Hasil Pertanian, dan Bina</v>
          </cell>
          <cell r="AV363" t="str">
            <v>3512 - Kab. Kuantan Singingi</v>
          </cell>
        </row>
        <row r="364">
          <cell r="AM364" t="str">
            <v>6203 - Bolaang Mongondow, Kab.</v>
          </cell>
          <cell r="AO364" t="str">
            <v>8416 - Penduduk - Sektor Swasta - Bukan Lembaga Keuangan - Campuran - Perusahaan Lainnya - Perusahaan Industri Rokok</v>
          </cell>
          <cell r="AU364" t="str">
            <v>542109 - PERDAGANGAN BESAR DAN ECERAN - PERDAGANGAN IMPOR, KECUALI PERDAGANGAN MOBIL DAN SEPEDA MOTOR  - Perdagangan Impor Bahan Baku Hasil Pertanian, Binatang Hidup, Makanan, Minuman, dan Tembakau  - Perdagangan Impor Bahan Baku Hasil Pertanian, dan Bina</v>
          </cell>
          <cell r="AV364" t="str">
            <v>3513 - Kab. Kepulauan Meranti</v>
          </cell>
        </row>
        <row r="365">
          <cell r="AM365" t="str">
            <v>6204 - Sangihe, Kab.</v>
          </cell>
          <cell r="AO365" t="str">
            <v>8417 - Penduduk - Sektor Swasta - Bukan Lembaga Keuangan - Campuran - Perusahaan Lainnya - Perusahaan Industri Makanan</v>
          </cell>
          <cell r="AU365" t="str">
            <v>542201 - PERDAGANGAN BESAR DAN ECERAN - PERDAGANGAN IMPOR, KECUALI PERDAGANGAN MOBIL DAN SEPEDA MOTOR  - Perdagangan Impor Bahan Baku Hasil Pertanian, Binatang Hidup, Makanan, Minuman, dan Tembakau  - Perdagangan Impor Makanan, Minuman, dan Tembakau Perda</v>
          </cell>
          <cell r="AV365" t="str">
            <v>3591 - Kota Pekanbaru</v>
          </cell>
        </row>
        <row r="366">
          <cell r="AM366" t="str">
            <v>6205 - kepulauan Talaud, Kab.</v>
          </cell>
          <cell r="AO366" t="str">
            <v>8418 - Penduduk - Sektor Swasta - Bukan Lembaga Keuangan - Campuran - Perusahaan Lainnya - Perusahaan Agrobisnis</v>
          </cell>
          <cell r="AU366" t="str">
            <v>542202 - PERDAGANGAN BESAR DAN ECERAN - PERDAGANGAN IMPOR, KECUALI PERDAGANGAN MOBIL DAN SEPEDA MOTOR  - Perdagangan Impor Bahan Baku Hasil Pertanian, Binatang Hidup, Makanan, Minuman, dan Tembakau  - Perdagangan Impor Makanan, Minuman, dan Tembakau Perda</v>
          </cell>
          <cell r="AV366" t="str">
            <v>3592 - Kota Dumai</v>
          </cell>
        </row>
        <row r="367">
          <cell r="AM367" t="str">
            <v>6206 - Minahasa Selatan, Kab.</v>
          </cell>
          <cell r="AO367" t="str">
            <v>8449 - Penduduk - Sektor Swasta - Bukan Lembaga Keuangan - Campuran - Perusahaan Lainnya - Perusahaan Lainnya</v>
          </cell>
          <cell r="AU367" t="str">
            <v>542209 - PERDAGANGAN BESAR DAN ECERAN - PERDAGANGAN IMPOR, KECUALI PERDAGANGAN MOBIL DAN SEPEDA MOTOR  - Perdagangan Impor Bahan Baku Hasil Pertanian, Binatang Hidup, Makanan, Minuman, dan Tembakau  - Perdagangan Impor Makanan, Minuman, dan Tembakau Perda</v>
          </cell>
          <cell r="AV367" t="str">
            <v>3606 - Kab. Musi Banyuasin</v>
          </cell>
        </row>
        <row r="368">
          <cell r="AM368" t="str">
            <v>6207 - Minahasa Utara, Kab.</v>
          </cell>
          <cell r="AO368" t="str">
            <v>8451 - Penduduk - Sektor Swasta - Bukan Lembaga Keuangan - Campuran - Yayasan, Badan Sosial dan Organisasi Kemasyarakatan - Badan Amil Zakat Infaq dan Shadaqah (BAZIS)</v>
          </cell>
          <cell r="AU368" t="str">
            <v xml:space="preserve">543100 - PERDAGANGAN BESAR DAN ECERAN - PERDAGANGAN IMPOR, KECUALI PERDAGANGAN MOBIL DAN SEPEDA MOTOR  - Perdagangan Impor Barang-barang Keperluan Rumah Tangga - Perdagangan Impor Tekstil, Pakaian Jadi, dan Kulit </v>
          </cell>
          <cell r="AV368" t="str">
            <v>3607 - Kab. Ogan Komering Ulu</v>
          </cell>
        </row>
        <row r="369">
          <cell r="AM369" t="str">
            <v>6209 - Minahasa Tenggara, Kab.</v>
          </cell>
          <cell r="AO369" t="str">
            <v>8452 - Penduduk - Sektor Swasta - Bukan Lembaga Keuangan - Campuran - Yayasan, Badan Sosial dan Organisasi Kemasyarakatan - Lembaga Pendidikan</v>
          </cell>
          <cell r="AU369" t="str">
            <v xml:space="preserve">543900 - PERDAGANGAN BESAR DAN ECERAN - PERDAGANGAN IMPOR, KECUALI PERDAGANGAN MOBIL DAN SEPEDA MOTOR  - Perdagangan Impor Barang-barang Keperluan Rumah Tangga - Perdagangan Impor Barang-barang Keperluan Rumah Tangga lainnya </v>
          </cell>
          <cell r="AV369" t="str">
            <v>3608 - Kab. Lematang Ilir Ogan Tengah (Muara Enim)</v>
          </cell>
        </row>
        <row r="370">
          <cell r="AM370" t="str">
            <v>6210 - Bolaang Mongoundow Utara, Kab.</v>
          </cell>
          <cell r="AO370" t="str">
            <v>8469 - Penduduk - Sektor Swasta - Bukan Lembaga Keuangan - Campuran - Yayasan, Badan Sosial dan Organisasi Kemasyarakatan - Lainnya</v>
          </cell>
          <cell r="AU370" t="str">
            <v>544100 - PERDAGANGAN BESAR DAN ECERAN - PERDAGANGAN IMPOR, KECUALI PERDAGANGAN MOBIL DAN SEPEDA MOTOR  - Perdagangan Impor Produk Antara Bukan Hasil Pertanian, Barang-barang Bekas dan Sisa-sisa Tak Terpakai (Scrap)  - Perdagangan Impor Bahan Bakar Gas, Ca</v>
          </cell>
          <cell r="AV370" t="str">
            <v>3609 - Kab. Lahat</v>
          </cell>
        </row>
        <row r="371">
          <cell r="AM371" t="str">
            <v>6211 - Kepulauan Sitaro, Kab.</v>
          </cell>
          <cell r="AO371" t="str">
            <v>8480 - Penduduk - Sektor Swasta - Bukan Lembaga Keuangan - Campuran - Kantor Perwakilan Lembaga Milik Asing di Indonesia</v>
          </cell>
          <cell r="AU371" t="str">
            <v>544200 - PERDAGANGAN BESAR DAN ECERAN - PERDAGANGAN IMPOR, KECUALI PERDAGANGAN MOBIL DAN SEPEDA MOTOR  - Perdagangan Impor Produk Antara Bukan Hasil Pertanian, Barang-barang Bekas dan Sisa-sisa Tak Terpakai (Scrap)  - Perdagangan Impor Logam dan Bijih Log</v>
          </cell>
          <cell r="AV371" t="str">
            <v>3610 - Kab. Musi Rawas</v>
          </cell>
        </row>
        <row r="372">
          <cell r="AM372" t="str">
            <v>6212 - Kab. Bolaang Mongondow Selatan</v>
          </cell>
          <cell r="AO372" t="str">
            <v>8611 - Penduduk - Sektor Swasta - Bukan Lembaga Keuangan - Asing - Perusahaan Lainnya - Perusahaan Otomotif</v>
          </cell>
          <cell r="AU372" t="str">
            <v>544301 - PERDAGANGAN BESAR DAN ECERAN - PERDAGANGAN IMPOR, KECUALI PERDAGANGAN MOBIL DAN SEPEDA MOTOR  - Perdagangan Impor Produk Antara Bukan Hasil Pertanian, Barang-barang Bekas dan Sisa-sisa Tak Terpakai (Scrap)  - Perdagangan Impor Bahan-bahan Konstru</v>
          </cell>
          <cell r="AV372" t="str">
            <v>3611 - Kab. Ogan Komering Ilir</v>
          </cell>
        </row>
        <row r="373">
          <cell r="AM373" t="str">
            <v>6213 - Kab. Bolaang Mongondow Timur</v>
          </cell>
          <cell r="AO373" t="str">
            <v>8612 - Penduduk - Sektor Swasta - Bukan Lembaga Keuangan - Asing - Perusahaan Lainnya - Perusahaan Perminyakan</v>
          </cell>
          <cell r="AU373" t="str">
            <v>544309 - PERDAGANGAN BESAR DAN ECERAN - PERDAGANGAN IMPOR, KECUALI PERDAGANGAN MOBIL DAN SEPEDA MOTOR  - Perdagangan Impor Produk Antara Bukan Hasil Pertanian, Barang-barang Bekas dan Sisa-sisa Tak Terpakai (Scrap)  - Perdagangan Impor Bahan-bahan Konstru</v>
          </cell>
          <cell r="AV373" t="str">
            <v>3613 - Kab. Banyuasin</v>
          </cell>
        </row>
        <row r="374">
          <cell r="AM374" t="str">
            <v>6291 - Menado, Kota.</v>
          </cell>
          <cell r="AO374" t="str">
            <v>8613 - Penduduk - Sektor Swasta - Bukan Lembaga Keuangan - Asing - Perusahaan Lainnya - Perusahaan Tekstil</v>
          </cell>
          <cell r="AU374" t="str">
            <v>544901 - PERDAGANGAN BESAR DAN ECERAN - PERDAGANGAN IMPOR, KECUALI PERDAGANGAN MOBIL DAN SEPEDA MOTOR  - Perdagangan Impor Produk Antara Bukan Hasil Pertanian, Barang-barang Bekas dan Sisa-sisa Tak Terpakai (Scrap)  - Perdagangan Impor Barang Antara (Inte</v>
          </cell>
          <cell r="AV374" t="str">
            <v>3614 - Kab. Ogan Komeing Ulu Selatan</v>
          </cell>
        </row>
        <row r="375">
          <cell r="AM375" t="str">
            <v>6292 - Kotamobagu, Kota.</v>
          </cell>
          <cell r="AO375" t="str">
            <v>8614 - Penduduk - Sektor Swasta - Bukan Lembaga Keuangan - Asing - Perusahaan Lainnya - Perusahaan Perkayuan (HPH)</v>
          </cell>
          <cell r="AU375" t="str">
            <v>544902 - PERDAGANGAN BESAR DAN ECERAN - PERDAGANGAN IMPOR, KECUALI PERDAGANGAN MOBIL DAN SEPEDA MOTOR  - Perdagangan Impor Produk Antara Bukan Hasil Pertanian, Barang-barang Bekas dan Sisa-sisa Tak Terpakai (Scrap)  - Perdagangan Impor Barang Antara (Inte</v>
          </cell>
          <cell r="AV375" t="str">
            <v>0102 - Kab. Bekasi</v>
          </cell>
        </row>
        <row r="376">
          <cell r="AM376" t="str">
            <v>6293 - Bitung, Kota.</v>
          </cell>
          <cell r="AO376" t="str">
            <v>8615 - Penduduk - Sektor Swasta - Bukan Lembaga Keuangan - Asing - Perusahaan Lainnya - Perusahaan Jasa Konstruksi</v>
          </cell>
          <cell r="AU376" t="str">
            <v>544909 - PERDAGANGAN BESAR DAN ECERAN - PERDAGANGAN IMPOR, KECUALI PERDAGANGAN MOBIL DAN SEPEDA MOTOR  - Perdagangan Impor Produk Antara Bukan Hasil Pertanian, Barang-barang Bekas dan Sisa-sisa Tak Terpakai (Scrap)  - Perdagangan Impor Barang Antara (Inte</v>
          </cell>
          <cell r="AV376" t="str">
            <v>0103 - Kab. Purwakarta</v>
          </cell>
        </row>
        <row r="377">
          <cell r="AM377" t="str">
            <v>6294 - Kota. Tomohon</v>
          </cell>
          <cell r="AO377" t="str">
            <v>8616 - Penduduk - Sektor Swasta - Bukan Lembaga Keuangan - Asing - Perusahaan Lainnya - Perusahaan Industri Rokok</v>
          </cell>
          <cell r="AU377" t="str">
            <v>545001 - PERDAGANGAN BESAR DAN ECERAN - PERDAGANGAN IMPOR, KECUALI PERDAGANGAN MOBIL DAN SEPEDA MOTOR  - Perdagangan Impor Mesin-mesin, Suku Cadang dan Perlengkapannya  - Perdagangan Impor Suku Cadang Industri</v>
          </cell>
          <cell r="AV377" t="str">
            <v>0106 - Kab. Karawang</v>
          </cell>
        </row>
        <row r="378">
          <cell r="AM378" t="str">
            <v>6301 - Gorontalo, Kab.</v>
          </cell>
          <cell r="AO378" t="str">
            <v>8617 - Penduduk - Sektor Swasta - Bukan Lembaga Keuangan - Asing - Perusahaan Lainnya - Perusahaan Industri Makanan</v>
          </cell>
          <cell r="AU378" t="str">
            <v>545009 - PERDAGANGAN BESAR DAN ECERAN - PERDAGANGAN IMPOR, KECUALI PERDAGANGAN MOBIL DAN SEPEDA MOTOR  - Perdagangan Impor Mesin-mesin, Suku Cadang dan Perlengkapannya  - Perdagangan Impor Suku Cadang  Mesin-mesin, Suku Cadang dan Perlengkapannya Lainnya</v>
          </cell>
          <cell r="AV378" t="str">
            <v>0108 - Kab. Bogor</v>
          </cell>
        </row>
        <row r="379">
          <cell r="AM379" t="str">
            <v>6302 - Bualemo, Kab.</v>
          </cell>
          <cell r="AO379" t="str">
            <v>8618 - Penduduk - Sektor Swasta - Bukan Lembaga Keuangan - Asing - Perusahaan Lainnya - Perusahaan Agrobisnis</v>
          </cell>
          <cell r="AU379" t="str">
            <v xml:space="preserve">549000 - PERDAGANGAN BESAR DAN ECERAN - PERDAGANGAN IMPOR, KECUALI PERDAGANGAN MOBIL DAN SEPEDA MOTOR  - Perdagangan Impor Lainnya </v>
          </cell>
          <cell r="AV379" t="str">
            <v>0109 - Kab. Sukabumi</v>
          </cell>
        </row>
        <row r="380">
          <cell r="AM380" t="str">
            <v>6303 - Bonebolango, Kab.</v>
          </cell>
          <cell r="AO380" t="str">
            <v>8619 - Penduduk - Sektor Swasta - Bukan Lembaga Keuangan - Asing - Perusahaan Lainnya - Perusahaan Lainnya</v>
          </cell>
          <cell r="AU380" t="str">
            <v xml:space="preserve">551100 - PENYEDIAAN AKOMODASI DAN PENYEDIAAN MAKAN MINUM - PENYEDIAAN AKOMODASI DAN PENYEDIAAN MAKAN MINUM - Penyediaan Akomodasi  - Hotel Bintang </v>
          </cell>
          <cell r="AV380" t="str">
            <v>0110 - Kab. Cianjur</v>
          </cell>
        </row>
        <row r="381">
          <cell r="AM381" t="str">
            <v>6304 - Pohuwato, Kab.</v>
          </cell>
          <cell r="AO381" t="str">
            <v>8651 - Penduduk - Sektor Swasta - Bukan Lembaga Keuangan - Asing - Yayasan, Badan Sosial dan Organisasi Kemasyarakatan - Badan Amil Zakat Infaq dan Shadaqah (BAZIS)</v>
          </cell>
          <cell r="AU381" t="str">
            <v xml:space="preserve">551200 - PENYEDIAAN AKOMODASI DAN PENYEDIAAN MAKAN MINUM - PENYEDIAAN AKOMODASI DAN PENYEDIAAN MAKAN MINUM - Penyediaan Akomodasi  - Hotel Melati </v>
          </cell>
          <cell r="AV381" t="str">
            <v>0111 - Kab. Bandung</v>
          </cell>
        </row>
        <row r="382">
          <cell r="AM382" t="str">
            <v>6305 - Gorontalo Utara, Kab.</v>
          </cell>
          <cell r="AO382" t="str">
            <v>8652 - Penduduk - Sektor Swasta - Bukan Lembaga Keuangan - Asing - Yayasan, Badan Sosial dan Organisasi Kemasyarakatan - Lembaga Pendidikan</v>
          </cell>
          <cell r="AU382" t="str">
            <v xml:space="preserve">551900 - PENYEDIAAN AKOMODASI DAN PENYEDIAAN MAKAN MINUM - PENYEDIAAN AKOMODASI DAN PENYEDIAAN MAKAN MINUM - Penyediaan Akomodasi  - Jasa Akomodasi Lainnya </v>
          </cell>
          <cell r="AV382" t="str">
            <v>0112 - Kab. Sumedang</v>
          </cell>
        </row>
        <row r="383">
          <cell r="AM383" t="str">
            <v>6391 - Gorontalo, Kota.</v>
          </cell>
          <cell r="AO383" t="str">
            <v>8659 - Penduduk - Sektor Swasta - Bukan Lembaga Keuangan - Asing - Yayasan, Badan Sosial dan Organisasi Kemasyarakatan - Lainnya</v>
          </cell>
          <cell r="AU383" t="str">
            <v>552009 - PENYEDIAAN AKOMODASI DAN PENYEDIAAN MAKAN MINUM - PENYEDIAAN AKOMODASI DAN PENYEDIAAN MAKAN MINUM - Restoran / Rumah Makan, Bar dan Jasa Boga  - Penyediaan Makan Minum Lainnya</v>
          </cell>
          <cell r="AV383" t="str">
            <v>0113 - Kab. Tasikmalaya</v>
          </cell>
        </row>
        <row r="384">
          <cell r="AM384" t="str">
            <v>6401 - Polewali Mandar, Kab.</v>
          </cell>
          <cell r="AO384" t="str">
            <v>8670 - Penduduk - Sektor Swasta - Bukan Lembaga Keuangan - Asing - Kantor Perwakilan Lembaga Milik Asing di Indonesia</v>
          </cell>
          <cell r="AU384" t="str">
            <v xml:space="preserve">552100 - PENYEDIAAN AKOMODASI DAN PENYEDIAAN MAKAN MINUM - PENYEDIAAN AKOMODASI DAN PENYEDIAAN MAKAN MINUM - Restoran / Rumah Makan, Bar dan Jasa Boga  - Restoran / Rumah Makan </v>
          </cell>
          <cell r="AV384" t="str">
            <v>0114 - Kab. Garut</v>
          </cell>
        </row>
        <row r="385">
          <cell r="AM385" t="str">
            <v>6402 - Majene, Kab.</v>
          </cell>
          <cell r="AO385" t="str">
            <v xml:space="preserve">9000 - Penduduk - Sektor Swasta - Bukan Lembaga Keuangan - Perseorangan </v>
          </cell>
          <cell r="AU385" t="str">
            <v xml:space="preserve">601000 - TRANSPORTASI, PERGUDANGAN DAN KOMUNIKASI - ANGKUTAN DARAT DAN ANGKUTAN DENGAN SALURAN PIPA  - Angkutan Jalan Rel </v>
          </cell>
          <cell r="AV385" t="str">
            <v>0115 - Kab. Ciamis</v>
          </cell>
        </row>
        <row r="386">
          <cell r="AM386" t="str">
            <v>6403 - Mamasa, Kab.</v>
          </cell>
          <cell r="AO386" t="str">
            <v>9100 - Bukan Penduduk - Pemerintah Pusat</v>
          </cell>
          <cell r="AU386" t="str">
            <v>602100 - TRANSPORTASI, PERGUDANGAN DAN KOMUNIKASI - ANGKUTAN DARAT DAN ANGKUTAN DENGAN SALURAN PIPA  - Angkutan Jalan  - Angkutan Jalan Dalam Trayek Untuk Penumpang</v>
          </cell>
          <cell r="AV386" t="str">
            <v>0116 - Kab. Cirebon</v>
          </cell>
        </row>
        <row r="387">
          <cell r="AM387" t="str">
            <v>6404 - Mamuju Utara, Kab.</v>
          </cell>
          <cell r="AO387" t="str">
            <v>9200 - Bukan Penduduk - Perwakilan negara-negara asing dan stafnya</v>
          </cell>
          <cell r="AU387" t="str">
            <v xml:space="preserve">602200 - TRANSPORTASI, PERGUDANGAN DAN KOMUNIKASI - ANGKUTAN DARAT DAN ANGKUTAN DENGAN SALURAN PIPA  - Angkutan Jalan  - Angkutan Jalan Tidak Dalam Trayek Untuk Penumpang </v>
          </cell>
          <cell r="AV387" t="str">
            <v>0117 - Kab. Kuningan</v>
          </cell>
        </row>
        <row r="388">
          <cell r="AM388" t="str">
            <v>6491 - Mamuju, Kota.</v>
          </cell>
          <cell r="AO388" t="str">
            <v>9300 - Bukan Penduduk - BUMN milik negara asing</v>
          </cell>
          <cell r="AU388" t="str">
            <v xml:space="preserve">602300 - TRANSPORTASI, PERGUDANGAN DAN KOMUNIKASI - ANGKUTAN DARAT DAN ANGKUTAN DENGAN SALURAN PIPA  - Angkutan Jalan  - Angkutan Jalan Untuk Barang </v>
          </cell>
          <cell r="AV388" t="str">
            <v>0118 - Kab. Indramayu</v>
          </cell>
        </row>
        <row r="389">
          <cell r="AM389" t="str">
            <v>6901 - Buton, Kab.</v>
          </cell>
          <cell r="AO389" t="str">
            <v>9400 - Bukan Penduduk - Lembaga-lembaga Keuangan Bukan Bank yang Beroperasi di Luar Indonesia</v>
          </cell>
          <cell r="AU389" t="str">
            <v xml:space="preserve">603000 - TRANSPORTASI, PERGUDANGAN DAN KOMUNIKASI - ANGKUTAN DARAT DAN ANGKUTAN DENGAN SALURAN PIPA  - Angkutan Dengan Saluran Pipa </v>
          </cell>
          <cell r="AV389" t="str">
            <v>0119 - Kab. Majalengka</v>
          </cell>
        </row>
        <row r="390">
          <cell r="AM390" t="str">
            <v>6903 - Muna, Kab.</v>
          </cell>
          <cell r="AO390" t="str">
            <v>9501 - Bukan Penduduk - Swasta Lainnya - Swasta Patungan Indonesia dan Negara Asing</v>
          </cell>
          <cell r="AU390" t="str">
            <v xml:space="preserve">611100 - TRANSPORTASI, PERGUDANGAN DAN KOMUNIKASI - ANGKUTAN AIR  - Angkutan Laut  - Angkutan Laut Domestik </v>
          </cell>
          <cell r="AV390" t="str">
            <v>0121 - Kab. Subang</v>
          </cell>
        </row>
        <row r="391">
          <cell r="AM391" t="str">
            <v>6904 - Kolaka, Kab.</v>
          </cell>
          <cell r="AO391" t="str">
            <v>9502 - Bukan Penduduk - Swasta Lainnya - Swasta Milik Indonesia</v>
          </cell>
          <cell r="AU391" t="str">
            <v xml:space="preserve">611200 - TRANSPORTASI, PERGUDANGAN DAN KOMUNIKASI - ANGKUTAN AIR  - Angkutan Laut  - Angkutan Laut Internasional </v>
          </cell>
          <cell r="AV391" t="str">
            <v>0122 - Kab. Bandung Barat</v>
          </cell>
        </row>
        <row r="392">
          <cell r="AM392" t="str">
            <v>6905 - Wakatobi, Kab.</v>
          </cell>
          <cell r="AO392" t="str">
            <v>9519 - Bukan Penduduk - Swasta Lainnya - Lainnya</v>
          </cell>
          <cell r="AU392" t="str">
            <v xml:space="preserve">612100 - TRANSPORTASI, PERGUDANGAN DAN KOMUNIKASI - ANGKUTAN AIR  - Angkutan Sungai, danau, dan penyeberangan  - Angkutan Sungai dan Danau </v>
          </cell>
          <cell r="AV392" t="str">
            <v>0191 - Kota Bandung</v>
          </cell>
        </row>
        <row r="393">
          <cell r="AM393" t="str">
            <v>6906 - Konawe, Kab.</v>
          </cell>
          <cell r="AO393" t="str">
            <v>9611 - Bukan Penduduk - Lembaga-lembaga International - Bank Pembangunan Multilateral - Islamic Development Bank (IDB)</v>
          </cell>
          <cell r="AU393" t="str">
            <v xml:space="preserve">612200 - TRANSPORTASI, PERGUDANGAN DAN KOMUNIKASI - ANGKUTAN AIR  - Angkutan Sungai, danau, dan penyeberangan  - Angkutan Penyeberangan Domestik </v>
          </cell>
          <cell r="AV393" t="str">
            <v>0192 - Kota Bogor</v>
          </cell>
        </row>
        <row r="394">
          <cell r="AM394" t="str">
            <v>6907 - Konawe Selatan, Kab.</v>
          </cell>
          <cell r="AO394" t="str">
            <v>9612 - Bukan Penduduk - Lembaga-lembaga International - Bank Pembangunan Multilateral - Asian Development Bank (ADB)</v>
          </cell>
          <cell r="AU394" t="str">
            <v xml:space="preserve">621000 - TRANSPORTASI, PERGUDANGAN DAN KOMUNIKASI - ANGKUTAN AIR  - Angkutan Udara Berjadwal </v>
          </cell>
          <cell r="AV394" t="str">
            <v>0193 - Kota Sukabumi</v>
          </cell>
        </row>
        <row r="395">
          <cell r="AM395" t="str">
            <v>6908 - Bombana, Kab.</v>
          </cell>
          <cell r="AO395" t="str">
            <v>9613 - Bukan Penduduk - Lembaga-lembaga International - Bank Pembangunan Multilateral - World Bank</v>
          </cell>
          <cell r="AU395" t="str">
            <v xml:space="preserve">622000 - TRANSPORTASI, PERGUDANGAN DAN KOMUNIKASI - ANGKUTAN AIR  - Angkutan Udara Tidak Berjadwal </v>
          </cell>
          <cell r="AV395" t="str">
            <v>0194 - Kota Cirebon</v>
          </cell>
        </row>
        <row r="396">
          <cell r="AM396" t="str">
            <v>6909 - Kolaka Utara, Kab.</v>
          </cell>
          <cell r="AO396" t="str">
            <v>9629 - Bukan Penduduk - Lembaga-lembaga International - Bank Pembangunan Multilateral - Lainnya</v>
          </cell>
          <cell r="AU396" t="str">
            <v xml:space="preserve">623000 - TRANSPORTASI, PERGUDANGAN DAN KOMUNIKASI - ANGKUTAN AIR  - Angkutan Udara Khusus </v>
          </cell>
          <cell r="AV396" t="str">
            <v>0195 - Kota Tasikmalaya</v>
          </cell>
        </row>
        <row r="397">
          <cell r="AM397" t="str">
            <v>6910 - Buton Utara, Kab.</v>
          </cell>
          <cell r="AO397" t="str">
            <v>9690 - Bukan Penduduk - Lembaga-lembaga International - Lainnya</v>
          </cell>
          <cell r="AU397" t="str">
            <v xml:space="preserve">631000 - TRANSPORTASI, PERGUDANGAN DAN KOMUNIKASI - JASA PENUNJANG DAN PELENGKAP KEGIATAN ANGKUTAN, DAN JASA PERJALANAN WISATA  - Jasa Pelayanan Bongkar Muat Barang </v>
          </cell>
          <cell r="AV397" t="str">
            <v>0196 - Kota Cimahi</v>
          </cell>
        </row>
        <row r="398">
          <cell r="AM398" t="str">
            <v>6911 - Konawe Utara, Kab.</v>
          </cell>
          <cell r="AO398" t="str">
            <v>9700 - Bukan Penduduk - Perorangan</v>
          </cell>
          <cell r="AU398" t="str">
            <v xml:space="preserve">632000 - TRANSPORTASI, PERGUDANGAN DAN KOMUNIKASI - JASA PENUNJANG DAN PELENGKAP KEGIATAN ANGKUTAN, DAN JASA PERJALANAN WISATA  - Pergudangan, Jasa Cold Storage, dan Jasa Wilayah Berikat </v>
          </cell>
          <cell r="AV398" t="str">
            <v>0197 - Kota Depok</v>
          </cell>
        </row>
        <row r="399">
          <cell r="AM399" t="str">
            <v>6990 - Bau-Bau,Kota.</v>
          </cell>
          <cell r="AO399" t="str">
            <v>9999 - Lainnya</v>
          </cell>
          <cell r="AU399" t="str">
            <v xml:space="preserve">633000 - TRANSPORTASI, PERGUDANGAN DAN KOMUNIKASI - JASA PENUNJANG DAN PELENGKAP KEGIATAN ANGKUTAN, DAN JASA PERJALANAN WISATA  - Jasa Penunjang Angkutan Kecuali Jasa Bongkar Muat dan Pergudangan </v>
          </cell>
          <cell r="AV399" t="str">
            <v>0198 - Kota Bekasi</v>
          </cell>
        </row>
        <row r="400">
          <cell r="AM400" t="str">
            <v>6991 - Kendari, Kota.</v>
          </cell>
          <cell r="AU400" t="str">
            <v xml:space="preserve">634000 - TRANSPORTASI, PERGUDANGAN DAN KOMUNIKASI - JASA PENUNJANG DAN PELENGKAP KEGIATAN ANGKUTAN, DAN JASA PERJALANAN WISATA  - Jasa Perjalanan Wisata </v>
          </cell>
          <cell r="AV400" t="str">
            <v>0180 - Kota Banjar</v>
          </cell>
        </row>
        <row r="401">
          <cell r="AM401" t="str">
            <v>7101 - Lombok Barat, Kab.</v>
          </cell>
          <cell r="AU401" t="str">
            <v xml:space="preserve">635000 - TRANSPORTASI, PERGUDANGAN DAN KOMUNIKASI - JASA PENUNJANG DAN PELENGKAP KEGIATAN ANGKUTAN, DAN JASA PERJALANAN WISATA  - Jasa Pengiriman dan Pengepakan </v>
          </cell>
          <cell r="AV401" t="str">
            <v>0201 - Kab. Lebak</v>
          </cell>
        </row>
        <row r="402">
          <cell r="AM402" t="str">
            <v>7102 - Lombok Tengah, Kab.</v>
          </cell>
          <cell r="AU402" t="str">
            <v>641000 - TRANSPORTASI, PERGUDANGAN DAN KOMUNIKASI - POS DAN TELEKOMUNIKASI - Pos Nasional, Unit Pelayanan Pos dan Jasa Kurir</v>
          </cell>
          <cell r="AV402" t="str">
            <v>0202 - Kab. Pandeglang</v>
          </cell>
        </row>
        <row r="403">
          <cell r="AM403" t="str">
            <v>7103 - Lombok Timur, Kab.</v>
          </cell>
          <cell r="AU403" t="str">
            <v xml:space="preserve">642000 - TRANSPORTASI, PERGUDANGAN DAN KOMUNIKASI - POS DAN TELEKOMUNIKASI - Jaringan Telekomunikasi </v>
          </cell>
          <cell r="AV403" t="str">
            <v>0203 - Kab. Serang</v>
          </cell>
        </row>
        <row r="404">
          <cell r="AM404" t="str">
            <v>7104 - Sumbawa, Kab.</v>
          </cell>
          <cell r="AU404" t="str">
            <v xml:space="preserve">643000 - TRANSPORTASI, PERGUDANGAN DAN KOMUNIKASI - POS DAN TELEKOMUNIKASI - Jasa Telekomunikasi </v>
          </cell>
          <cell r="AV404" t="str">
            <v>0204 - Kab. Tangerang</v>
          </cell>
        </row>
        <row r="405">
          <cell r="AM405" t="str">
            <v>7105 - Bima, Kab.</v>
          </cell>
          <cell r="AU405" t="str">
            <v>644000 - TRANSPORTASI, PERGUDANGAN DAN KOMUNIKASI - POS DAN TELEKOMUNIKASI - Telekomunikasi Khusus</v>
          </cell>
          <cell r="AV405" t="str">
            <v>0291 - Kota Cilegon</v>
          </cell>
        </row>
        <row r="406">
          <cell r="AM406" t="str">
            <v>7106 - Dompu, Kab.</v>
          </cell>
          <cell r="AU406" t="str">
            <v>651000 - PERANTARA KEUANGAN  - PERANTARA KEUANGAN KECUALI ASURANSI DAN DANA PENSIUN - Perantara Moneter (Bank)</v>
          </cell>
          <cell r="AV406" t="str">
            <v>0292 - Kota Tangerang</v>
          </cell>
        </row>
        <row r="407">
          <cell r="AM407" t="str">
            <v>7107 - Sumbawa Barat, Kab.</v>
          </cell>
          <cell r="AU407" t="str">
            <v>659001 - PERANTARA KEUANGAN  - PERANTARA KEUANGAN KECUALI ASURANSI DAN DANA PENSIUN - Perantara Keuangan Lainnya (Non Bank) - Perantara Keuangan Lainnya (Non Bank) Leasing</v>
          </cell>
          <cell r="AV407" t="str">
            <v>0293 - Kota Serang</v>
          </cell>
        </row>
        <row r="408">
          <cell r="AM408" t="str">
            <v>7108 - Kab. Lombok Utara</v>
          </cell>
          <cell r="AU408" t="str">
            <v>659009 - PERANTARA KEUANGAN  - PERANTARA KEUANGAN KECUALI ASURANSI DAN DANA PENSIUN - Perantara Keuangan Lainnya (Non Bank) - Perantara Keuangan Lainnya (Non Bank) Selain Leasing</v>
          </cell>
          <cell r="AV408" t="str">
            <v>0294 - Kota Tangerang Selatan</v>
          </cell>
        </row>
        <row r="409">
          <cell r="AM409" t="str">
            <v>7191 - Mataram, Kota.</v>
          </cell>
          <cell r="AU409" t="str">
            <v xml:space="preserve">660000 - PERANTARA KEUANGAN  - PERANTARA KEUANGAN KECUALI ASURANSI DAN DANA PENSIUN - Asuransi dan Dana Pensiun </v>
          </cell>
          <cell r="AV409" t="str">
            <v>0391 - Wil. Kota Jakarta Pusat</v>
          </cell>
        </row>
        <row r="410">
          <cell r="AM410" t="str">
            <v>7192 - Kota. Bima</v>
          </cell>
          <cell r="AU410" t="str">
            <v>671001 - PERANTARA KEUANGAN  - PERANTARA KEUANGAN KECUALI ASURANSI DAN DANA PENSIUN - Jasa Penukaran Mata Uang atau Pedagang Valuta Asing (Money Changer)</v>
          </cell>
          <cell r="AV410" t="str">
            <v>0392 - Wil. Kota Jakarta Utara</v>
          </cell>
        </row>
        <row r="411">
          <cell r="AM411" t="str">
            <v>7201 - Buleleng, Kab.</v>
          </cell>
          <cell r="AU411" t="str">
            <v>671002 - PERANTARA KEUANGAN  - PERANTARA KEUANGAN KECUALI ASURANSI DAN DANA PENSIUN - Jasa Penunjang Perantara Keuangan Lainnya</v>
          </cell>
          <cell r="AV411" t="str">
            <v>0393 - Wil. Kota Jakarta Barat</v>
          </cell>
        </row>
        <row r="412">
          <cell r="AM412" t="str">
            <v>7202 - Jembrana, Kab.</v>
          </cell>
          <cell r="AU412" t="str">
            <v xml:space="preserve">672000 - PERANTARA KEUANGAN  - PERANTARA KEUANGAN KECUALI ASURANSI DAN DANA PENSIUN - Jasa Penunjang Asuransi dan dana Pensiun </v>
          </cell>
          <cell r="AV412" t="str">
            <v>0394 - Wil. Kota Jakarta Selatan</v>
          </cell>
        </row>
        <row r="413">
          <cell r="AM413" t="str">
            <v>7203 - Tabanan, Kab.</v>
          </cell>
          <cell r="AU413" t="str">
            <v>701001 - REAL ESTATE, USAHA PERSEWAAN, DAN JASA PERUSAHAAN - REAL ESTATE, USAHA PERSEWAAN, DAN JASA PERUSAHAAN - Real Estate yang Dimiliki Sendiri Atau Disewa dan Asrama  - Real Estate Perumahan Sederhana - Perumnas</v>
          </cell>
          <cell r="AV413" t="str">
            <v>0395 - Wil. Kota Jakarta Timur</v>
          </cell>
        </row>
        <row r="414">
          <cell r="AM414" t="str">
            <v>7204 - Badung, Kab.</v>
          </cell>
          <cell r="AU414" t="str">
            <v>701002 - REAL ESTATE, USAHA PERSEWAAN, DAN JASA PERUSAHAAN - REAL ESTATE, USAHA PERSEWAAN, DAN JASA PERUSAHAAN - Real Estate yang Dimiliki Sendiri Atau Disewa dan Asrama  - Real Estate Perumahan Sederhana - Selain Perumnas s.d. Tipe 21</v>
          </cell>
          <cell r="AV414" t="str">
            <v>0396 - Wil. Kepulauan Seribu</v>
          </cell>
        </row>
        <row r="415">
          <cell r="AM415" t="str">
            <v>7205 - Gianyar, Kab.</v>
          </cell>
          <cell r="AU415" t="str">
            <v>701003 - REAL ESTATE, USAHA PERSEWAAN, DAN JASA PERUSAHAAN - REAL ESTATE, USAHA PERSEWAAN, DAN JASA PERUSAHAAN - Real Estate yang Dimiliki Sendiri Atau Disewa dan Asrama  - Real Estate Perumahan Sederhana - Selain Perumnas s.d. Tipe 22 s.d. 70</v>
          </cell>
          <cell r="AV415" t="str">
            <v>0501 - Kab. Bantul</v>
          </cell>
        </row>
        <row r="416">
          <cell r="AM416" t="str">
            <v>7206 - Klungkung, Kab.</v>
          </cell>
          <cell r="AU416" t="str">
            <v>701004 - REAL ESTATE, USAHA PERSEWAAN, DAN JASA PERUSAHAAN - REAL ESTATE, USAHA PERSEWAAN, DAN JASA PERUSAHAAN - Real Estate yang Dimiliki Sendiri Atau Disewa dan Asrama  - Real Estate Perumahan Menengah, Besar Atau Mewah (Tipe Diatas 70)</v>
          </cell>
          <cell r="AV416" t="str">
            <v>0502 - Kab. Sleman</v>
          </cell>
        </row>
        <row r="417">
          <cell r="AM417" t="str">
            <v>7207 - Bangli, Kab.</v>
          </cell>
          <cell r="AU417" t="str">
            <v>701005 - REAL ESTATE, USAHA PERSEWAAN, DAN JASA PERUSAHAAN - REAL ESTATE, USAHA PERSEWAAN, DAN JASA PERUSAHAAN - Real Estate yang Dimiliki Sendiri Atau Disewa dan Asrama  - Real Estate Perumahan Flat / Apartemen</v>
          </cell>
          <cell r="AV417" t="str">
            <v>0503 - Kab. Gunung Kidul</v>
          </cell>
        </row>
        <row r="418">
          <cell r="AM418" t="str">
            <v>7208 - Karangasem, Kab.</v>
          </cell>
          <cell r="AU418" t="str">
            <v>701006 - REAL ESTATE, USAHA PERSEWAAN, DAN JASA PERUSAHAAN - REAL ESTATE, USAHA PERSEWAAN, DAN JASA PERUSAHAAN - Real Estate yang Dimiliki Sendiri Atau Disewa dan Asrama  - Real Estate Gedung Perbelanjaan (Mal, Plaza)</v>
          </cell>
          <cell r="AV418" t="str">
            <v>0504 - Kab. Kulon Progo</v>
          </cell>
        </row>
        <row r="419">
          <cell r="AM419" t="str">
            <v>7291 - Denpasar, Kota.</v>
          </cell>
          <cell r="AU419" t="str">
            <v>701007 - REAL ESTATE, USAHA PERSEWAAN, DAN JASA PERUSAHAAN - REAL ESTATE, USAHA PERSEWAAN, DAN JASA PERUSAHAAN - Real Estate yang Dimiliki Sendiri Atau Disewa dan Asrama  - Real Estate Gedung Perkantoran</v>
          </cell>
          <cell r="AV419" t="str">
            <v>0591 - Kota Yogyakarta</v>
          </cell>
        </row>
        <row r="420">
          <cell r="AM420" t="str">
            <v>7401 - Kupang, Kab.</v>
          </cell>
          <cell r="AU420" t="str">
            <v>701008 - REAL ESTATE, USAHA PERSEWAAN, DAN JASA PERUSAHAAN - REAL ESTATE, USAHA PERSEWAAN, DAN JASA PERUSAHAAN - Real Estate yang Dimiliki Sendiri Atau Disewa dan Asrama  - Real Estate Gedung Rumah Toko (Ruko) atau Rumah Kantor (Rukan)</v>
          </cell>
          <cell r="AV420" t="str">
            <v>0901 - Kab. Semarang</v>
          </cell>
        </row>
        <row r="421">
          <cell r="AM421" t="str">
            <v>7402 - Timor-Tengah Selatan, Kab.</v>
          </cell>
          <cell r="AU421" t="str">
            <v>701009 - REAL ESTATE, USAHA PERSEWAAN, DAN JASA PERUSAHAAN - REAL ESTATE, USAHA PERSEWAAN, DAN JASA PERUSAHAAN - Real Estate yang Dimiliki Sendiri Atau Disewa dan Asrama  - Real Estate Lainnya</v>
          </cell>
          <cell r="AV421" t="str">
            <v>0902 - Kab. Kendal</v>
          </cell>
        </row>
        <row r="422">
          <cell r="AM422" t="str">
            <v>7403 - Timor-Tengah Utara, Kab.</v>
          </cell>
          <cell r="AU422" t="str">
            <v xml:space="preserve">702000 - REAL ESTATE, USAHA PERSEWAAN, DAN JASA PERUSAHAAN - REAL ESTATE, USAHA PERSEWAAN, DAN JASA PERUSAHAAN - Real Estate Atas Dasar Balas Jasa (Fee) Atau Kontrak </v>
          </cell>
          <cell r="AV422" t="str">
            <v>0903 - Kab. Demak</v>
          </cell>
        </row>
        <row r="423">
          <cell r="AM423" t="str">
            <v>7404 - Belu, Kab.</v>
          </cell>
          <cell r="AU423" t="str">
            <v xml:space="preserve">703000 - REAL ESTATE, USAHA PERSEWAAN, DAN JASA PERUSAHAAN - REAL ESTATE, USAHA PERSEWAAN, DAN JASA PERUSAHAAN - Kawasan Pariwisata dan Penyediaan Sarana Wisata Tirta Kawasan Pariwisata </v>
          </cell>
          <cell r="AV423" t="str">
            <v>0904 - Kab. Grobogan</v>
          </cell>
        </row>
        <row r="424">
          <cell r="AM424" t="str">
            <v>7405 - Alor, Kab.</v>
          </cell>
          <cell r="AU424" t="str">
            <v xml:space="preserve">711100 - REAL ESTATE, USAHA PERSEWAAN, DAN JASA PERUSAHAAN - JASA PERSEWAAN MESIN DAN PERALATANNYA (TANPA OPERATOR), BARANG-BARANG KEPERLUAN RUMAH TANGGA DAN PRIBADI - Persewaan Alat-alat Transportasi - Persewaan Alat Transportasi Darat </v>
          </cell>
          <cell r="AV424" t="str">
            <v>0905 - Kab. Pekalongan</v>
          </cell>
        </row>
        <row r="425">
          <cell r="AM425" t="str">
            <v>7406 - Flores Timur, Kab.</v>
          </cell>
          <cell r="AU425" t="str">
            <v>711200 - REAL ESTATE, USAHA PERSEWAAN, DAN JASA PERUSAHAAN - JASA PERSEWAAN MESIN DAN PERALATANNYA (TANPA OPERATOR), BARANG-BARANG KEPERLUAN RUMAH TANGGA DAN PRIBADI - Persewaan Alat-alat Transportasi - Persewaan Alat Transportasi Air</v>
          </cell>
          <cell r="AV425" t="str">
            <v>0906 - Kab. Tegal</v>
          </cell>
        </row>
        <row r="426">
          <cell r="AM426" t="str">
            <v>7407 - Sikka, Kab.</v>
          </cell>
          <cell r="AU426" t="str">
            <v xml:space="preserve">711300 - REAL ESTATE, USAHA PERSEWAAN, DAN JASA PERUSAHAAN - JASA PERSEWAAN MESIN DAN PERALATANNYA (TANPA OPERATOR), BARANG-BARANG KEPERLUAN RUMAH TANGGA DAN PRIBADI - Persewaan Alat-alat Transportasi - Persewaan Alat Transportasi Udara </v>
          </cell>
          <cell r="AV426" t="str">
            <v>0907 - Kab. Brebes</v>
          </cell>
        </row>
        <row r="427">
          <cell r="AM427" t="str">
            <v>7408 - Ende, Kab.</v>
          </cell>
          <cell r="AU427" t="str">
            <v xml:space="preserve">712100 - REAL ESTATE, USAHA PERSEWAAN, DAN JASA PERUSAHAAN - JASA PERSEWAAN MESIN DAN PERALATANNYA (TANPA OPERATOR), BARANG-BARANG KEPERLUAN RUMAH TANGGA DAN PRIBADI - Persewaan Mesin Lainnya dan Peralatannya - Persewaan Mesin Pertanian dan Peralatannya </v>
          </cell>
          <cell r="AV427" t="str">
            <v>0908 - Kab. Pati</v>
          </cell>
        </row>
        <row r="428">
          <cell r="AM428" t="str">
            <v>7409 - Ngada, Kab.</v>
          </cell>
          <cell r="AU428" t="str">
            <v xml:space="preserve">712200 - REAL ESTATE, USAHA PERSEWAAN, DAN JASA PERUSAHAAN - JASA PERSEWAAN MESIN DAN PERALATANNYA (TANPA OPERATOR), BARANG-BARANG KEPERLUAN RUMAH TANGGA DAN PRIBADI - Persewaan Mesin Lainnya dan Peralatannya - Persewaan Mesin Konstruksi dan Teknik Sipil </v>
          </cell>
          <cell r="AV428" t="str">
            <v>0909 - Kab. Kudus</v>
          </cell>
        </row>
        <row r="429">
          <cell r="AM429" t="str">
            <v>7410 - Manggarai, Kab.</v>
          </cell>
          <cell r="AU429" t="str">
            <v>712300 - REAL ESTATE, USAHA PERSEWAAN, DAN JASA PERUSAHAAN - JASA PERSEWAAN MESIN DAN PERALATANNYA (TANPA OPERATOR), BARANG-BARANG KEPERLUAN RUMAH TANGGA DAN PRIBADI - Persewaan Mesin Lainnya dan Peralatannya - Persewaan Mesin Kantor dan Peralatannya (Ter</v>
          </cell>
          <cell r="AV429" t="str">
            <v>0910 - Kab. Pemalang</v>
          </cell>
        </row>
        <row r="430">
          <cell r="AM430" t="str">
            <v>7411 - Sumba Timur, Kab.</v>
          </cell>
          <cell r="AU430" t="str">
            <v>712900 - REAL ESTATE, USAHA PERSEWAAN, DAN JASA PERUSAHAAN - JASA PERSEWAAN MESIN DAN PERALATANNYA (TANPA OPERATOR), BARANG-BARANG KEPERLUAN RUMAH TANGGA DAN PRIBADI - Persewaan Mesin Lainnya dan Peralatannya - Persewaan Mesin Lainnya dan Peralatannya yan</v>
          </cell>
          <cell r="AV430" t="str">
            <v>0911 - Kab. Jepara</v>
          </cell>
        </row>
        <row r="431">
          <cell r="AM431" t="str">
            <v>7412 - Sumba Barat, Kab.</v>
          </cell>
          <cell r="AU431" t="str">
            <v xml:space="preserve">713000 - REAL ESTATE, USAHA PERSEWAAN, DAN JASA PERUSAHAAN - JASA PERSEWAAN MESIN DAN PERALATANNYA (TANPA OPERATOR), BARANG-BARANG KEPERLUAN RUMAH TANGGA DAN PRIBADI - Persewaan Barang-barang Keperluan Rumah Tangga dan Pribadi yang Tidak Diklasifikasikan </v>
          </cell>
          <cell r="AV431" t="str">
            <v>0912 - Kab. Rembang</v>
          </cell>
        </row>
        <row r="432">
          <cell r="AM432" t="str">
            <v>7413 - Lembata, Kab.</v>
          </cell>
          <cell r="AU432" t="str">
            <v xml:space="preserve">721000 - REAL ESTATE, USAHA PERSEWAAN, DAN JASA PERUSAHAAN - JASA KOMPUTER DAN KEGIATAN YANG TERKAIT - Jasa Konsultasi Piranti Keras (Hardware Consulting) </v>
          </cell>
          <cell r="AV432" t="str">
            <v>0913 - Kab. Blora</v>
          </cell>
        </row>
        <row r="433">
          <cell r="AM433" t="str">
            <v>7414 - Rote, Kab.</v>
          </cell>
          <cell r="AU433" t="str">
            <v xml:space="preserve">722000 - REAL ESTATE, USAHA PERSEWAAN, DAN JASA PERUSAHAAN - JASA KOMPUTER DAN KEGIATAN YANG TERKAIT - Jasa Konsultasi Piranti Lunak (Software Consulting) </v>
          </cell>
          <cell r="AV433" t="str">
            <v>0914 - Kab. Banyumas</v>
          </cell>
        </row>
        <row r="434">
          <cell r="AM434" t="str">
            <v>7415 - Manggarai Barat, Kab.</v>
          </cell>
          <cell r="AU434" t="str">
            <v xml:space="preserve">723000 - REAL ESTATE, USAHA PERSEWAAN, DAN JASA PERUSAHAAN - JASA KOMPUTER DAN KEGIATAN YANG TERKAIT - Pengolahan Data </v>
          </cell>
          <cell r="AV434" t="str">
            <v>0915 - Kab. Cilacap</v>
          </cell>
        </row>
        <row r="435">
          <cell r="AM435" t="str">
            <v>7416 - Sumba Tengah, Kab.</v>
          </cell>
          <cell r="AU435" t="str">
            <v xml:space="preserve">724000 - REAL ESTATE, USAHA PERSEWAAN, DAN JASA PERUSAHAAN - JASA KOMPUTER DAN KEGIATAN YANG TERKAIT - Jasa Kegiatan Data Base </v>
          </cell>
          <cell r="AV435" t="str">
            <v>0916 - Kab. Purbalingga</v>
          </cell>
        </row>
        <row r="436">
          <cell r="AM436" t="str">
            <v>7417 - Sumba Barat Daya, Kab.</v>
          </cell>
          <cell r="AU436" t="str">
            <v xml:space="preserve">725000 - REAL ESTATE, USAHA PERSEWAAN, DAN JASA PERUSAHAAN - JASA KOMPUTER DAN KEGIATAN YANG TERKAIT - Perawatan dan Reparasi Mesin-mesin Kantor, Akuntansi, dan Komputer </v>
          </cell>
          <cell r="AV436" t="str">
            <v>0917 - Kab. Banjarnegara</v>
          </cell>
        </row>
        <row r="437">
          <cell r="AM437" t="str">
            <v>7418 - Manggarai Timur, Kab.</v>
          </cell>
          <cell r="AU437" t="str">
            <v xml:space="preserve">729000 - REAL ESTATE, USAHA PERSEWAAN, DAN JASA PERUSAHAAN - JASA KOMPUTER DAN KEGIATAN YANG TERKAIT - Kegiatan Lain yang Berkaitan Dengan Komputer </v>
          </cell>
          <cell r="AV437" t="str">
            <v>0918 - Kab. Magelang</v>
          </cell>
        </row>
        <row r="438">
          <cell r="AM438" t="str">
            <v>7419 - Nagekeo, Kab.</v>
          </cell>
          <cell r="AU438" t="str">
            <v xml:space="preserve">731000 - REAL ESTATE, USAHA PERSEWAAN, DAN JASA PERUSAHAAN - PENELITIAN DAN PENGEMBANGAN (SWASTA)  - Penelitian dan Pengembangan Ilmu Pengetahuan Alam dan Teknologi </v>
          </cell>
          <cell r="AV438" t="str">
            <v>0919 - Kab. Temanggung</v>
          </cell>
        </row>
        <row r="439">
          <cell r="AM439" t="str">
            <v>7420 - Kab. Sabu Raijua</v>
          </cell>
          <cell r="AU439" t="str">
            <v xml:space="preserve">732000 - REAL ESTATE, USAHA PERSEWAAN, DAN JASA PERUSAHAAN - PENELITIAN DAN PENGEMBANGAN (SWASTA)  - Penelitian dan Pengembangan Ilmu Pengetahuan Sosial dan Humaniora </v>
          </cell>
          <cell r="AV439" t="str">
            <v>0920 - Kab. Wonosobo</v>
          </cell>
        </row>
        <row r="440">
          <cell r="AM440" t="str">
            <v>7491 - Kupang, Kota.</v>
          </cell>
          <cell r="AU440" t="str">
            <v xml:space="preserve">741000 - REAL ESTATE, USAHA PERSEWAAN, DAN JASA PERUSAHAAN - JASA PERUSAHAAN LAINNYA  - Jasa Hukum, Akuntansi dan Pembukuan, Konsultasi Pajak, Penelitian Pasar, dan Konsultasi Bisnis dan Manajemen </v>
          </cell>
          <cell r="AV440" t="str">
            <v>0921 - Kab. Purworejo</v>
          </cell>
        </row>
        <row r="441">
          <cell r="AM441" t="str">
            <v>8101 - Maluku Tengah, Kab.</v>
          </cell>
          <cell r="AU441" t="str">
            <v xml:space="preserve">742000 - REAL ESTATE, USAHA PERSEWAAN, DAN JASA PERUSAHAAN - JASA PERUSAHAAN LAINNYA  - Jasa Konsultasi Arsitek, Kegiatan Teknik dan Rekayasa, Serta Analisis dan Testing </v>
          </cell>
          <cell r="AV441" t="str">
            <v>0922 - Kab. Kebumen</v>
          </cell>
        </row>
        <row r="442">
          <cell r="AM442" t="str">
            <v>8102 - Maluku Tenggara, Kab.</v>
          </cell>
          <cell r="AU442" t="str">
            <v xml:space="preserve">743000 - REAL ESTATE, USAHA PERSEWAAN, DAN JASA PERUSAHAAN - JASA PERUSAHAAN LAINNYA  - Jasa Periklanan </v>
          </cell>
          <cell r="AV442" t="str">
            <v>0923 - Kab. Klaten</v>
          </cell>
        </row>
        <row r="443">
          <cell r="AM443" t="str">
            <v>8103 - Maluku Tenggara Barat, Kab.</v>
          </cell>
          <cell r="AU443" t="str">
            <v>749000 - REAL ESTATE, USAHA PERSEWAAN, DAN JASA PERUSAHAAN - JASA PERUSAHAAN LAINNYA  - Jasa Perusahaan Lainnya yang Tidak Diklasifikasikan di Tempat Lain</v>
          </cell>
          <cell r="AV443" t="str">
            <v>0924 - Kab. Boyolali</v>
          </cell>
        </row>
        <row r="444">
          <cell r="AM444" t="str">
            <v>8104 - Kab Buru</v>
          </cell>
          <cell r="AU444" t="str">
            <v xml:space="preserve">751000 - ADMINISTRASI PEMERINTAHAN, PERTAHANAN DAN JAMINAN SOSIAL WAJIB  - ADMINISTRASI PEMERINTAHAN, PERTAHANAN DAN JAMINAN SOSIAL WAJIB  - Administrasi Pemerintahan, dan Kebijaksanaan Ekonomi dan Sosial </v>
          </cell>
          <cell r="AV444" t="str">
            <v>0925 - Kab. Sragen</v>
          </cell>
        </row>
        <row r="445">
          <cell r="AM445" t="str">
            <v>8105 - Seram Bagian Barat, Kota.</v>
          </cell>
          <cell r="AU445" t="str">
            <v>752000 - ADMINISTRASI PEMERINTAHAN, PERTAHANAN DAN JAMINAN SOSIAL WAJIB  - ADMINISTRASI PEMERINTAHAN, PERTAHANAN DAN JAMINAN SOSIAL WAJIB  - Hubungan Luar Negeri, Pertahanan, dan Keamanan</v>
          </cell>
          <cell r="AV445" t="str">
            <v>0926 - Kab. Sukoharjo</v>
          </cell>
        </row>
        <row r="446">
          <cell r="AM446" t="str">
            <v>8106 - Seram Bagian Timur, Kota.</v>
          </cell>
          <cell r="AU446" t="str">
            <v xml:space="preserve">753000 - ADMINISTRASI PEMERINTAHAN, PERTAHANAN DAN JAMINAN SOSIAL WAJIB  - ADMINISTRASI PEMERINTAHAN, PERTAHANAN DAN JAMINAN SOSIAL WAJIB  - Jaminan Sosial Wajib </v>
          </cell>
          <cell r="AV446" t="str">
            <v>0927 - Kab. Karanganyar</v>
          </cell>
        </row>
        <row r="447">
          <cell r="AM447" t="str">
            <v>8107 - Kepulauan Aru, Kota.</v>
          </cell>
          <cell r="AU447" t="str">
            <v xml:space="preserve">801000 - JASA PENDIDIKAN  - JASA PENDIDIKAN  - Jasa Pendidikan Dasar </v>
          </cell>
          <cell r="AV447" t="str">
            <v>0928 - Kab. Wonogiri</v>
          </cell>
        </row>
        <row r="448">
          <cell r="AM448" t="str">
            <v>8108 - Kab. Maluku Barat Daya</v>
          </cell>
          <cell r="AU448" t="str">
            <v xml:space="preserve">802000 - JASA PENDIDIKAN  - JASA PENDIDIKAN  - Jasa Pendidikan Menengah </v>
          </cell>
          <cell r="AV448" t="str">
            <v>0929 - Kab. Batang</v>
          </cell>
        </row>
        <row r="449">
          <cell r="AM449" t="str">
            <v>8109 - Kab. Buru Selatan</v>
          </cell>
          <cell r="AU449" t="str">
            <v xml:space="preserve">803000 - JASA PENDIDIKAN  - JASA PENDIDIKAN  - Jasa Pendidikan Tinggi </v>
          </cell>
          <cell r="AV449" t="str">
            <v>0991 - Kota Semarang</v>
          </cell>
        </row>
        <row r="450">
          <cell r="AM450" t="str">
            <v>8191 - Ambon, Kota.</v>
          </cell>
          <cell r="AU450" t="str">
            <v xml:space="preserve">804000 - JASA PENDIDIKAN  - JASA PENDIDIKAN  - Jasa Pendidikan Lainnya </v>
          </cell>
          <cell r="AV450" t="str">
            <v>0992 - Kota Salatiga</v>
          </cell>
        </row>
        <row r="451">
          <cell r="AM451" t="str">
            <v>8192 - Tual, Kota.</v>
          </cell>
          <cell r="AU451" t="str">
            <v>851001 - JASA KESEHATAN DAN KEGIATAN SOSIAL  - JASA KESEHATAN DAN KEGIATAN SOSIAL  - Jasa Kesehatan Manusia (Rumah Sakit dan Praktek Dokter Lainnya) - Jasa Kesehatan Manusia - Rumah sakit</v>
          </cell>
          <cell r="AV451" t="str">
            <v>0993 - Kota Pekalongan</v>
          </cell>
        </row>
        <row r="452">
          <cell r="AM452" t="str">
            <v>8201 - Jayapura, Kab.</v>
          </cell>
          <cell r="AU452" t="str">
            <v>851002 - JASA KESEHATAN DAN KEGIATAN SOSIAL  - JASA KESEHATAN DAN KEGIATAN SOSIAL  - Jasa Kesehatan Manusia (Rumah Sakit dan Praktek Dokter Lainnya) - Jasa Kesehatan Manusia - Poliklinik / Rumah Bersalin</v>
          </cell>
          <cell r="AV452" t="str">
            <v>0994 - Kota Tegal</v>
          </cell>
        </row>
        <row r="453">
          <cell r="AM453" t="str">
            <v>8202 - Biak Numfor, Kab.</v>
          </cell>
          <cell r="AU453" t="str">
            <v>851003 - JASA KESEHATAN DAN KEGIATAN SOSIAL  - JASA KESEHATAN DAN KEGIATAN SOSIAL  - Jasa Kesehatan Manusia (Rumah Sakit dan Praktek Dokter Lainnya) - Jasa Kesehatan Manusia - Tempat Perawatan / Pengobatan</v>
          </cell>
          <cell r="AV453" t="str">
            <v>0995 - Kota Magelang</v>
          </cell>
        </row>
        <row r="454">
          <cell r="AM454" t="str">
            <v>8210 - Yapen-Waropen, Kab.</v>
          </cell>
          <cell r="AU454" t="str">
            <v>851004 - JASA KESEHATAN DAN KEGIATAN SOSIAL  - JASA KESEHATAN DAN KEGIATAN SOSIAL  - Jasa Kesehatan Manusia (Rumah Sakit dan Praktek Dokter Lainnya) - Jasa Kesehatan Manusia - Profesi Dokter</v>
          </cell>
          <cell r="AV454" t="str">
            <v>0996 - Kota Surakarta/Solo</v>
          </cell>
        </row>
        <row r="455">
          <cell r="AM455" t="str">
            <v>8211 - Merauke, Kab.</v>
          </cell>
          <cell r="AU455" t="str">
            <v xml:space="preserve">852000 - JASA KESEHATAN DAN KEGIATAN SOSIAL  - JASA KESEHATAN DAN KEGIATAN SOSIAL  - Jasa Kesehatan Hewan </v>
          </cell>
          <cell r="AV455" t="str">
            <v>1201 - Kab. Gresik</v>
          </cell>
        </row>
        <row r="456">
          <cell r="AM456" t="str">
            <v>8212 - Paniai, Kab.</v>
          </cell>
          <cell r="AU456" t="str">
            <v xml:space="preserve">853000 - JASA KESEHATAN DAN KEGIATAN SOSIAL  - JASA KESEHATAN DAN KEGIATAN SOSIAL  - Jasa Kegiatan Sosial </v>
          </cell>
          <cell r="AV456" t="str">
            <v>1202 - Kab. Sidoarjo</v>
          </cell>
        </row>
        <row r="457">
          <cell r="AM457" t="str">
            <v>8213 - Jayawijaya, Kab.</v>
          </cell>
          <cell r="AU457" t="str">
            <v xml:space="preserve">900000 - JASA KEMASYARAKATAN, SOSIAL BUDAYA, HIBURAN DAN PERORANGAN LAINNYA  - JASA KEBERSIHAN  - Jasa Kebersihan </v>
          </cell>
          <cell r="AV457" t="str">
            <v>1203 - Kab. Mojokerto</v>
          </cell>
        </row>
        <row r="458">
          <cell r="AM458" t="str">
            <v>8214 - Nabire, Kab.</v>
          </cell>
          <cell r="AU458" t="str">
            <v xml:space="preserve">910000 - JASA KEMASYARAKATAN, SOSIAL BUDAYA, HIBURAN DAN PERORANGAN LAINNYA  - KEGIATAN ORGANISASI YANG TIDAK DIKLASIFIKASI DI TEMPAT LAIN  - Organisasi Bisnis, Pengusaha dan Profesional </v>
          </cell>
          <cell r="AV458" t="str">
            <v>1204 - Kab. Jombang</v>
          </cell>
        </row>
        <row r="459">
          <cell r="AM459" t="str">
            <v>8215 - Mimika, Kab.</v>
          </cell>
          <cell r="AU459" t="str">
            <v xml:space="preserve">912000 - JASA KEMASYARAKATAN, SOSIAL BUDAYA, HIBURAN DAN PERORANGAN LAINNYA  - KEGIATAN ORGANISASI YANG TIDAK DIKLASIFIKASI DI TEMPAT LAIN  - Organisasi Buruh </v>
          </cell>
          <cell r="AV459" t="str">
            <v>1205 - Kab. Sampang</v>
          </cell>
        </row>
        <row r="460">
          <cell r="AM460" t="str">
            <v>8216 - Puncak Jaya, Kab.</v>
          </cell>
          <cell r="AU460" t="str">
            <v xml:space="preserve">919000 - JASA KEMASYARAKATAN, SOSIAL BUDAYA, HIBURAN DAN PERORANGAN LAINNYA  - KEGIATAN ORGANISASI YANG TIDAK DIKLASIFIKASI DI TEMPAT LAIN  - Organisasi Lainnya </v>
          </cell>
          <cell r="AV460" t="str">
            <v>1206 - Kab. Pamekasan</v>
          </cell>
        </row>
        <row r="461">
          <cell r="AM461" t="str">
            <v>8217 - Sarmi, Kab.</v>
          </cell>
          <cell r="AU461" t="str">
            <v xml:space="preserve">921000 - JASA KEMASYARAKATAN, SOSIAL BUDAYA, HIBURAN DAN PERORANGAN LAINNYA  - JASA REKREASI, KEBUDAYAAN, DAN OLAHRAGA - Kegiatan Perfilman, Radio, Televisi, dan Hiburan Lainnya </v>
          </cell>
          <cell r="AV461" t="str">
            <v>1207 - Kab. Sumenep</v>
          </cell>
        </row>
        <row r="462">
          <cell r="AM462" t="str">
            <v>8218 - Keerom, Kab.</v>
          </cell>
          <cell r="AU462" t="str">
            <v xml:space="preserve">922000 - JASA KEMASYARAKATAN, SOSIAL BUDAYA, HIBURAN DAN PERORANGAN LAINNYA  - JASA REKREASI, KEBUDAYAAN, DAN OLAHRAGA - Kegiatan Kantor Berita </v>
          </cell>
          <cell r="AV462" t="str">
            <v>1208 - Kab. Bangkalan</v>
          </cell>
        </row>
        <row r="463">
          <cell r="AM463" t="str">
            <v>8221 - Pegunungan Bintang, Kab.</v>
          </cell>
          <cell r="AU463" t="str">
            <v xml:space="preserve">923000 - JASA KEMASYARAKATAN, SOSIAL BUDAYA, HIBURAN DAN PERORANGAN LAINNYA  - JASA REKREASI, KEBUDAYAAN, DAN OLAHRAGA - Perpustakaan, Arsip, Museum, dan Kegiatan Kebudayaan Lainnya </v>
          </cell>
          <cell r="AV463" t="str">
            <v>1209 - Kab. Bondowoso</v>
          </cell>
        </row>
        <row r="464">
          <cell r="AM464" t="str">
            <v>8222 - Yahukimo, Kab.</v>
          </cell>
          <cell r="AU464" t="str">
            <v>930000 - JASA KEMASYARAKATAN, SOSIAL BUDAYA, HIBURAN DAN PERORANGAN LAINNYA  - JASA KEGIATAN LAINNYA  - Jasa Kegiatan Lainnya</v>
          </cell>
          <cell r="AV464" t="str">
            <v>1211 - Kab. Banyuwangi</v>
          </cell>
        </row>
        <row r="465">
          <cell r="AM465" t="str">
            <v>8223 - Tolikara, Kab.</v>
          </cell>
          <cell r="AU465" t="str">
            <v xml:space="preserve">950000 - JASA PERORANGAN YANG MELAYANI RUMAH TANGGA - JASA PERORANGAN YANG MELAYANI RUMAH TANGGA - Jasa Perorangan yang Melayani Rumah Tangga </v>
          </cell>
          <cell r="AV465" t="str">
            <v>1212 - Kab. Jember</v>
          </cell>
        </row>
        <row r="466">
          <cell r="AM466" t="str">
            <v>8224 - Waropen, Kab.</v>
          </cell>
          <cell r="AU466" t="str">
            <v>990000 - BADAN INTERNASIONAL DAN BADAN EKSTRA INTERNASIONAL LAINNYA  - BADAN INTERNASIONAL DAN BADAN EKSTRA INTERNASIONAL LAINNYA  - Badan Internasional dan Badan Ekstra Internasional Lainnya</v>
          </cell>
          <cell r="AV466" t="str">
            <v>1213 - Kab. Malang</v>
          </cell>
        </row>
        <row r="467">
          <cell r="AM467" t="str">
            <v>8226 - Boven Digoel, Kab.</v>
          </cell>
          <cell r="AV467" t="str">
            <v>1214 - Kab. Pasuruan</v>
          </cell>
        </row>
        <row r="468">
          <cell r="AM468" t="str">
            <v>8227 - Mappi, Kab.</v>
          </cell>
          <cell r="AV468" t="str">
            <v>1215 - Kab. Probolinggo</v>
          </cell>
        </row>
        <row r="469">
          <cell r="AM469" t="str">
            <v>8228 - Asmat, Kab.</v>
          </cell>
          <cell r="AV469" t="str">
            <v>1216 - Kab. Lumajang</v>
          </cell>
        </row>
        <row r="470">
          <cell r="AM470" t="str">
            <v>8231 - Supiori,Kab.</v>
          </cell>
          <cell r="AV470" t="str">
            <v>1217 - Kab. Kediri</v>
          </cell>
        </row>
        <row r="471">
          <cell r="AM471" t="str">
            <v>8232 - Mamberamo Raya, Kab.</v>
          </cell>
          <cell r="AV471" t="str">
            <v>1218 - Kab. Nganjuk</v>
          </cell>
        </row>
        <row r="472">
          <cell r="AM472" t="str">
            <v>8233 - Dogiyai, Kab.</v>
          </cell>
          <cell r="AV472" t="str">
            <v>1219 - Kab. Tulungagung</v>
          </cell>
        </row>
        <row r="473">
          <cell r="AM473" t="str">
            <v>8234 - Lanny Jaya, Kab.</v>
          </cell>
          <cell r="AV473" t="str">
            <v>1220 - Kab. Trenggalek</v>
          </cell>
        </row>
        <row r="474">
          <cell r="AM474" t="str">
            <v>8235 - Mamberamo Tengah, Kab.</v>
          </cell>
          <cell r="AV474" t="str">
            <v>1221 - Kab. Blitar</v>
          </cell>
        </row>
        <row r="475">
          <cell r="AM475" t="str">
            <v>8236 - Nduga Tengah, Kab.</v>
          </cell>
          <cell r="AV475" t="str">
            <v>1222 - Kab. Madiun</v>
          </cell>
        </row>
        <row r="476">
          <cell r="AM476" t="str">
            <v>8237 - Yalimo, Kab.</v>
          </cell>
          <cell r="AV476" t="str">
            <v>1223 - Kab. Ngawi</v>
          </cell>
        </row>
        <row r="477">
          <cell r="AM477" t="str">
            <v>8238 - Puncak, Kab.</v>
          </cell>
          <cell r="AV477" t="str">
            <v>1224 - Kab. Magetan</v>
          </cell>
        </row>
        <row r="478">
          <cell r="AM478" t="str">
            <v>8239 - Kab. Intan Jaya</v>
          </cell>
          <cell r="AV478" t="str">
            <v>1225 - Kab. Ponorogo</v>
          </cell>
        </row>
        <row r="479">
          <cell r="AM479" t="str">
            <v>8240 - Kab. Deiyai</v>
          </cell>
          <cell r="AV479" t="str">
            <v>1226 - Kab. Pacitan</v>
          </cell>
        </row>
        <row r="480">
          <cell r="AM480" t="str">
            <v>8291 - Jayapura, Kota.</v>
          </cell>
          <cell r="AV480" t="str">
            <v>1227 - Kab. Bojonegoro</v>
          </cell>
        </row>
        <row r="481">
          <cell r="AM481" t="str">
            <v>8302 - Halmahera Tengah, Kab.</v>
          </cell>
          <cell r="AV481" t="str">
            <v>1228 - Kab. Tuban</v>
          </cell>
        </row>
        <row r="482">
          <cell r="AM482" t="str">
            <v>8303 - Halmahera Utara, Kab.</v>
          </cell>
          <cell r="AV482" t="str">
            <v>1229 - Kab. Lamongan</v>
          </cell>
        </row>
        <row r="483">
          <cell r="AM483" t="str">
            <v>8304 - Halmahera Timur, Kab.</v>
          </cell>
          <cell r="AV483" t="str">
            <v>1230 - Kab. Situbondo</v>
          </cell>
        </row>
        <row r="484">
          <cell r="AM484" t="str">
            <v>8305 - Halmahera Barat, Kab.</v>
          </cell>
          <cell r="AV484" t="str">
            <v>1291 - Kota Surabaya</v>
          </cell>
        </row>
        <row r="485">
          <cell r="AM485" t="str">
            <v>8306 - Halmahera Selatan, Kab.</v>
          </cell>
          <cell r="AV485" t="str">
            <v>1292 - Kota Mojokerto</v>
          </cell>
        </row>
        <row r="486">
          <cell r="AM486" t="str">
            <v>8307 - Kepulauan Sula, Kab.</v>
          </cell>
          <cell r="AV486" t="str">
            <v>1293 - Kota Malang</v>
          </cell>
        </row>
        <row r="487">
          <cell r="AM487" t="str">
            <v>8308 - Kab. Pulau Morotai</v>
          </cell>
          <cell r="AV487" t="str">
            <v>1294 - Kota Pasuruan</v>
          </cell>
        </row>
        <row r="488">
          <cell r="AM488" t="str">
            <v>8390 - Ternate, Kota.</v>
          </cell>
          <cell r="AV488" t="str">
            <v>1295 - Kota Probolinggo</v>
          </cell>
        </row>
        <row r="489">
          <cell r="AM489" t="str">
            <v>8391 - Tidore Kepulauan, Kota.</v>
          </cell>
          <cell r="AV489" t="str">
            <v>1296 - Kota Blitar</v>
          </cell>
        </row>
        <row r="490">
          <cell r="AM490" t="str">
            <v>8401 - Sorong, Kab.</v>
          </cell>
          <cell r="AV490" t="str">
            <v>1297 - Kota Kediri</v>
          </cell>
        </row>
        <row r="491">
          <cell r="AM491" t="str">
            <v>8402 - Fak-Fak, Kab.</v>
          </cell>
          <cell r="AV491" t="str">
            <v>1298 - Kota Madiun</v>
          </cell>
        </row>
        <row r="492">
          <cell r="AM492" t="str">
            <v>8403 - Manokwari, Kab.</v>
          </cell>
          <cell r="AV492" t="str">
            <v>1271 - Kota Batu</v>
          </cell>
        </row>
        <row r="493">
          <cell r="AM493" t="str">
            <v>8404 - Sorong selatan, Kab.</v>
          </cell>
          <cell r="AV493" t="str">
            <v>2301 - Kab. Bengkulu Selatan</v>
          </cell>
        </row>
        <row r="494">
          <cell r="AM494" t="str">
            <v>8405 - Raja Ampat, Kab.</v>
          </cell>
          <cell r="AV494" t="str">
            <v>2302 - Kab. Bengkulu Utara</v>
          </cell>
        </row>
        <row r="495">
          <cell r="AM495" t="str">
            <v>8406 - Kaimana, Kab.</v>
          </cell>
          <cell r="AV495" t="str">
            <v>2303 - Kab. Rejang Lebong</v>
          </cell>
        </row>
        <row r="496">
          <cell r="AM496" t="str">
            <v>8407 - Teluk Bintuni, Kab.</v>
          </cell>
          <cell r="AV496" t="str">
            <v>2304 - Kab. Lebong</v>
          </cell>
        </row>
        <row r="497">
          <cell r="AM497" t="str">
            <v>8408 - Teluk Wondama, Kab.</v>
          </cell>
          <cell r="AV497" t="str">
            <v>2305 - Kab. Kepahiang</v>
          </cell>
        </row>
        <row r="498">
          <cell r="AM498" t="str">
            <v>8409 - Kab. Tembrauw</v>
          </cell>
          <cell r="AV498" t="str">
            <v>2306 - Kab. Mukomuko</v>
          </cell>
        </row>
        <row r="499">
          <cell r="AM499" t="str">
            <v>8410 - Kab. Maybrat</v>
          </cell>
          <cell r="AV499" t="str">
            <v>2307 - Kab. Seluma</v>
          </cell>
        </row>
        <row r="500">
          <cell r="AM500" t="str">
            <v>8491 - Sorong, Kota.</v>
          </cell>
          <cell r="AV500" t="str">
            <v>2308 - Kab. Kaur</v>
          </cell>
        </row>
        <row r="501">
          <cell r="AM501" t="str">
            <v>9999 - DI  LUAR  INDONESIA</v>
          </cell>
        </row>
      </sheetData>
      <sheetData sheetId="18" refreshError="1"/>
      <sheetData sheetId="19"/>
      <sheetData sheetId="20"/>
      <sheetData sheetId="21"/>
      <sheetData sheetId="22"/>
      <sheetData sheetId="23"/>
      <sheetData sheetId="24"/>
      <sheetData sheetId="25"/>
      <sheetData sheetId="2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BIR"/>
      <sheetName val="Informasi Debitur"/>
      <sheetName val="Order appraisal"/>
      <sheetName val="Oder BI checking_old"/>
      <sheetName val="Oder BI checking"/>
      <sheetName val="Order Trade Checking"/>
      <sheetName val="Supplier Checking"/>
      <sheetName val="Buyer Checking"/>
      <sheetName val="Spreading"/>
      <sheetName val="Summary Spreading"/>
      <sheetName val="Fin. Needs Analysis"/>
      <sheetName val="Analisa Rek Koran"/>
      <sheetName val="Parameter"/>
      <sheetName val="RAC"/>
      <sheetName val="MKK"/>
      <sheetName val="Pelaporan BI"/>
      <sheetName val="Surat Penawaran"/>
      <sheetName val="Order Notaris"/>
      <sheetName val="Database"/>
      <sheetName val="Sheet2"/>
      <sheetName val="Value"/>
      <sheetName val="Tabel Map Industry"/>
      <sheetName val="Mapping SIDLBU"/>
      <sheetName val="Random Checking"/>
      <sheetName val="Analisa Lap Keu"/>
      <sheetName val="Memo Review"/>
      <sheetName val="Sandi BI Existing Debitur"/>
      <sheetName val="Surat Penawaran (2)"/>
      <sheetName val="Cabang S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176">
          <cell r="A176" t="str">
            <v>Increase</v>
          </cell>
        </row>
        <row r="177">
          <cell r="A177" t="str">
            <v>Maintain</v>
          </cell>
        </row>
        <row r="178">
          <cell r="A178" t="str">
            <v>Decrease</v>
          </cell>
        </row>
        <row r="179">
          <cell r="A179" t="str">
            <v>Phase Out</v>
          </cell>
        </row>
      </sheetData>
      <sheetData sheetId="20" refreshError="1"/>
      <sheetData sheetId="21" refreshError="1">
        <row r="1">
          <cell r="A1" t="str">
            <v>Rp</v>
          </cell>
          <cell r="C1" t="str">
            <v>Deposito</v>
          </cell>
          <cell r="E1" t="str">
            <v>Jaminan baru</v>
          </cell>
          <cell r="F1" t="str">
            <v>Terbatas</v>
          </cell>
          <cell r="G1" t="str">
            <v>Baru</v>
          </cell>
          <cell r="H1" t="str">
            <v>Disetujui sesuai pengajuan</v>
          </cell>
          <cell r="I1" t="str">
            <v>APHT</v>
          </cell>
          <cell r="J1" t="str">
            <v>1 - Lancar</v>
          </cell>
          <cell r="K1" t="str">
            <v>Tunai / Cash</v>
          </cell>
          <cell r="M1" t="str">
            <v>Tidak Ada</v>
          </cell>
          <cell r="S1" t="str">
            <v>Diri Sendiri</v>
          </cell>
          <cell r="T1" t="str">
            <v>Pemegang saham / manajemen inti  sendiri</v>
          </cell>
          <cell r="U1" t="str">
            <v>Kredit untuk investasi/modal kerja usaha utama</v>
          </cell>
          <cell r="V1" t="str">
            <v>N/A</v>
          </cell>
          <cell r="W1" t="str">
            <v>Calon debitur secara rutin memesan dari beberapa supplier utama – supplier ini dapat dengan mudah digantikan tanpa mempengaruhi usaha</v>
          </cell>
          <cell r="X1" t="str">
            <v>Tidak ada kontrak (walk in). Hal ini berlaku untuk ritel, produk kebutuhan pokok atau produk khusus (tertentu) dengan basis pelanggan yang stabil</v>
          </cell>
          <cell r="Y1" t="str">
            <v>Calon debitur menjaminkan seluruh tanah / bangunan yang dia miliki sebagai jaminan</v>
          </cell>
          <cell r="Z1" t="str">
            <v>Pemegang saham / manajemen inti menjaminkan seluruh tanah / bangunan yang dimiliki sebagai jaminan</v>
          </cell>
          <cell r="AA1" t="str">
            <v>Jaminan telah dibeli dari pihak luar (bukan kerabat calon debitur / pemegang saham / manajemen inti)</v>
          </cell>
          <cell r="AB1" t="str">
            <v>Tidak Ada , karena hanya ada satu jaminan</v>
          </cell>
          <cell r="AC1" t="str">
            <v>Perorangan</v>
          </cell>
          <cell r="AD1" t="str">
            <v>Tidak Ada</v>
          </cell>
          <cell r="AE1" t="str">
            <v>Bulanan</v>
          </cell>
          <cell r="AX1" t="str">
            <v>Aceh Barat Daya, Kab. - 3213</v>
          </cell>
          <cell r="AY1" t="str">
            <v>00 - Pengurus - Pemilik</v>
          </cell>
          <cell r="BA1" t="str">
            <v>Jakarta Cililitan</v>
          </cell>
        </row>
        <row r="2">
          <cell r="A2" t="str">
            <v>Australian Dollar (AUD)</v>
          </cell>
          <cell r="C2" t="str">
            <v>Tanah dan Bangunan</v>
          </cell>
          <cell r="E2" t="str">
            <v>Jaminan eksisting</v>
          </cell>
          <cell r="F2" t="str">
            <v>Tidak Terbatas</v>
          </cell>
          <cell r="G2" t="str">
            <v>Tambahan</v>
          </cell>
          <cell r="H2" t="str">
            <v>Disetujui hanya sebagian</v>
          </cell>
          <cell r="I2" t="str">
            <v>Fiducia</v>
          </cell>
          <cell r="J2" t="str">
            <v>2 - Dalam Perhatian Khusus</v>
          </cell>
          <cell r="K2" t="str">
            <v>Kredit</v>
          </cell>
          <cell r="M2" t="str">
            <v>Max. 1 kali dalam 3 bulan</v>
          </cell>
          <cell r="S2" t="str">
            <v>Suami / Istri</v>
          </cell>
          <cell r="T2" t="str">
            <v xml:space="preserve">Suami istri dari pemegang saham/manajemen inti </v>
          </cell>
          <cell r="U2" t="str">
            <v>Kredit untuk investasi/modal kerja usaha sampingan/ tambahan</v>
          </cell>
          <cell r="V2" t="str">
            <v>100% ditempati</v>
          </cell>
          <cell r="W2" t="str">
            <v>Calon debitur secara rutin memesan dari beberapa supplier utama  –  supplier ini tidak dapat dengan mudah digantikan tanpa berdampak pada usaha</v>
          </cell>
          <cell r="X2" t="str">
            <v>Ini adalah usaha ritel atau grosir. Calon debitur memiliki beberapa pembeli utama yang dapat dengan mudah digantikan</v>
          </cell>
          <cell r="Y2" t="str">
            <v>Calon debitur memiliki dua atau lebih tanah / bangunan dan menjaminkan sebagian darinya sebagai jaminan</v>
          </cell>
          <cell r="Z2" t="str">
            <v>Pemegang saham / manajemen inti memiliki dua atau lebih tanah / bangunan dan menjaminkan sebagian darinya sebagai jaminan</v>
          </cell>
          <cell r="AA2" t="str">
            <v xml:space="preserve">Jaminan telah dibeli dari kerabat calon debitur / pemegang saham / manajemen inti </v>
          </cell>
          <cell r="AB2" t="str">
            <v>Jaminan telah dibeli dari pihak luar (bukan kerabat calon debitur / pemegang saham / manajemen inti)</v>
          </cell>
          <cell r="AC2" t="str">
            <v>Badan Hukum Firma</v>
          </cell>
          <cell r="AD2">
            <v>1</v>
          </cell>
          <cell r="AE2" t="str">
            <v>Mingguan</v>
          </cell>
          <cell r="AM2" t="str">
            <v>0102 - Bekasi, Kab.</v>
          </cell>
          <cell r="AN2" t="str">
            <v>ADP - Andorran Peseta</v>
          </cell>
          <cell r="AV2" t="str">
            <v>8105 - Kabupaten Seram Bagian Barat</v>
          </cell>
          <cell r="AX2" t="str">
            <v>Aceh Barat, Kab. - 3206</v>
          </cell>
          <cell r="AY2" t="str">
            <v>01 - Direktur Utama / Pres. Dir (Pemilik)</v>
          </cell>
          <cell r="BA2" t="str">
            <v>Jakarta Panglima Polim</v>
          </cell>
        </row>
        <row r="3">
          <cell r="A3" t="str">
            <v>British Pound (GBP)</v>
          </cell>
          <cell r="C3" t="str">
            <v>Tanah Kosong</v>
          </cell>
          <cell r="E3" t="str">
            <v>Jaminan telah ditarik</v>
          </cell>
          <cell r="G3" t="str">
            <v>Perpanjangan</v>
          </cell>
          <cell r="H3" t="str">
            <v>Disetujui hanya fasilitas perpanjangan</v>
          </cell>
          <cell r="I3" t="str">
            <v>Borghtocht</v>
          </cell>
          <cell r="J3" t="str">
            <v>3 - Kurang Lancar</v>
          </cell>
          <cell r="M3" t="str">
            <v>Max. 2 kali dalam 3 bulan</v>
          </cell>
          <cell r="S3" t="str">
            <v>Orang Tua / Kakek Nenek</v>
          </cell>
          <cell r="T3" t="str">
            <v xml:space="preserve">Orang tua / kakek nenek dari pemegang saham  / manajemen inti </v>
          </cell>
          <cell r="U3" t="str">
            <v>Calon debitur tidak dapat menjelaskan tujuan pengajuan kredit dengan jelas – kemungkinan maksud penggunaannya adalah untuk kebutuhan pribadi</v>
          </cell>
          <cell r="V3" t="str">
            <v>80 - 100% ditempati</v>
          </cell>
          <cell r="W3" t="str">
            <v>Calon debitur secara rutin memesan dari satu supplier – supplier ini  dapat dengan mudah digantikan tanpa mempengaruhi usaha</v>
          </cell>
          <cell r="X3" t="str">
            <v>Ini adalah usaha ritel atau grosir.  Calon debitur memiliki beberapa pembeli utama yang sulit digantikan</v>
          </cell>
          <cell r="Y3" t="str">
            <v>Calon debitur  menjaminkan tanah / bangunan milik kerabat dekatnya (milik orang tua, anak, suami/istri) sebagai jaminan</v>
          </cell>
          <cell r="Z3" t="str">
            <v>Pemegang saham / manajemen inti menjaminkan tanah / bangunan milik kerabat dekatnya (milik orang tua, anak, suami/istri) sebagai jaminan</v>
          </cell>
          <cell r="AA3" t="str">
            <v xml:space="preserve">Jaminan telah dialihkan dari kerabat calon debitur / pemegang saham / manajemen inti </v>
          </cell>
          <cell r="AB3" t="str">
            <v xml:space="preserve">Jaminan telah dibeli dari kerabat calon debitur / pemegang saham / manajemen inti </v>
          </cell>
          <cell r="AC3" t="str">
            <v>Commaditer Venootschap (CV)</v>
          </cell>
          <cell r="AD3">
            <v>2</v>
          </cell>
          <cell r="AE3" t="str">
            <v>Harian</v>
          </cell>
          <cell r="AM3" t="str">
            <v>0103 - Purwakarta, Kab.</v>
          </cell>
          <cell r="AN3" t="str">
            <v>AED - UAD Dirham</v>
          </cell>
          <cell r="AV3" t="str">
            <v>8106 - Kabupaten Seram Bagian Timur</v>
          </cell>
          <cell r="AX3" t="str">
            <v>Aceh Besar, Kab. - 3201</v>
          </cell>
          <cell r="AY3" t="str">
            <v>02 - Direktur (Pemilik)</v>
          </cell>
          <cell r="BA3" t="str">
            <v>Jakarta Pecenongan</v>
          </cell>
        </row>
        <row r="4">
          <cell r="A4" t="str">
            <v>Canadian Dollar (CAD)</v>
          </cell>
          <cell r="C4" t="str">
            <v>Kendaraan Baru</v>
          </cell>
          <cell r="G4" t="str">
            <v>Banding</v>
          </cell>
          <cell r="H4" t="str">
            <v>Disetujui sebagian dan fasilitas  perpanjangan</v>
          </cell>
          <cell r="I4" t="str">
            <v>Gadai</v>
          </cell>
          <cell r="J4" t="str">
            <v>4 - Diragukan</v>
          </cell>
          <cell r="M4" t="str">
            <v>3 kali dalam 3 bulan</v>
          </cell>
          <cell r="S4" t="str">
            <v>Lainnya</v>
          </cell>
          <cell r="T4" t="str">
            <v>Lainnya</v>
          </cell>
          <cell r="V4" t="str">
            <v>60 - 80% ditempati</v>
          </cell>
          <cell r="W4" t="str">
            <v>Calon debitur secara rutin memesan dari satu supplier – supplier ini tidak dapat dengan mudah digantikan tanpa mempengaruhi usaha</v>
          </cell>
          <cell r="X4" t="str">
            <v>Penjualan berdasarkan kontrak (job order), tetapi barang/produk bersifat umum (tidak customized/tailored), sehingga  mudah untuk dijual ke pembeli lain</v>
          </cell>
          <cell r="Y4" t="str">
            <v xml:space="preserve">Tidak dapat diaplikasikan,karena jaminan bukan merupakan tanah/bangunan </v>
          </cell>
          <cell r="Z4" t="str">
            <v>Tidak dapat diaplikasikan,karena jaminan bukan merupakan tanah/bangunan</v>
          </cell>
          <cell r="AA4" t="str">
            <v>Jaminan telah dialihkan dari pihak luar (bukan kerabat calon debitur / pemegang saham / manajemen inti)</v>
          </cell>
          <cell r="AB4" t="str">
            <v xml:space="preserve">Jaminan telah dialihkan dari kerabat calon debitur / pemegang saham / manajemen inti </v>
          </cell>
          <cell r="AC4" t="str">
            <v>Perusahaan Terbatas (PT) NV Limited (LTD)</v>
          </cell>
          <cell r="AD4">
            <v>3</v>
          </cell>
          <cell r="AE4" t="str">
            <v>Berdasarkan kontrak</v>
          </cell>
          <cell r="AM4" t="str">
            <v>0106 - Karawang, Kab.</v>
          </cell>
          <cell r="AN4" t="str">
            <v>AFN - Afghanistan Afghani</v>
          </cell>
          <cell r="AV4" t="str">
            <v>8107 - Kabupaten Kepulauan Aru</v>
          </cell>
          <cell r="AX4" t="str">
            <v>Aceh Jaya, Kab. - 3214</v>
          </cell>
          <cell r="AY4" t="str">
            <v>03 -  Komisaris Utama / Pres. Kom (Pemilik)</v>
          </cell>
          <cell r="BA4" t="str">
            <v>Tangerang Merdeka</v>
          </cell>
        </row>
        <row r="5">
          <cell r="A5" t="str">
            <v>European Euro (EUR)</v>
          </cell>
          <cell r="C5" t="str">
            <v>Kendaraan Bekas</v>
          </cell>
          <cell r="G5" t="str">
            <v>Perubahan</v>
          </cell>
          <cell r="H5" t="str">
            <v>Ditolak</v>
          </cell>
          <cell r="I5" t="str">
            <v>Hipotik</v>
          </cell>
          <cell r="J5" t="str">
            <v>5 - Macet</v>
          </cell>
          <cell r="M5" t="str">
            <v>4 kali dalam 3 bulan</v>
          </cell>
          <cell r="V5" t="str">
            <v>40 - 60% ditempati</v>
          </cell>
          <cell r="W5" t="str">
            <v>N/A,karena tidak ada supplier tetap untuk industri ini</v>
          </cell>
          <cell r="X5" t="str">
            <v>Penjualan berdasarkan kontrak (job order), tetapi barang/produk customized/tailored, sehingga tidak mudah untuk dijual ke pembeli lain</v>
          </cell>
          <cell r="AB5" t="str">
            <v>Jaminan telah dialihkan dari pihak luar (bukan kerabat calon debitur / pemegang saham / manajemen inti)</v>
          </cell>
          <cell r="AC5" t="str">
            <v>Perseroan Terbatas (PERSERO)</v>
          </cell>
          <cell r="AD5">
            <v>4</v>
          </cell>
          <cell r="AE5" t="str">
            <v>Berdasarkan order</v>
          </cell>
          <cell r="AM5" t="str">
            <v>0108 - Bogor, Kab.</v>
          </cell>
          <cell r="AN5" t="str">
            <v>ALL - Albanian Lek</v>
          </cell>
          <cell r="AV5" t="str">
            <v>8108 - Kab. Maluku Barat Daya</v>
          </cell>
          <cell r="AX5" t="str">
            <v>Aceh Jeumpa/Bireuen, Kab. - 3210</v>
          </cell>
          <cell r="AY5" t="str">
            <v>04 -  Komisaris (Pemilik)</v>
          </cell>
          <cell r="BA5" t="str">
            <v>Bogor Padjajaran</v>
          </cell>
        </row>
        <row r="6">
          <cell r="A6" t="str">
            <v>Japanese Yen (JPY)</v>
          </cell>
          <cell r="B6" t="str">
            <v>Modal Kerja</v>
          </cell>
          <cell r="C6" t="str">
            <v>Mesin Baru</v>
          </cell>
          <cell r="G6" t="str">
            <v>Lainnya</v>
          </cell>
          <cell r="M6" t="str">
            <v>&gt; 4 kali dalam 3 bulan</v>
          </cell>
          <cell r="V6" t="str">
            <v>0 - 40% ditempati</v>
          </cell>
          <cell r="AC6" t="str">
            <v>Perseroan Umum (PERUM)</v>
          </cell>
          <cell r="AD6">
            <v>5</v>
          </cell>
          <cell r="AM6" t="str">
            <v>0109 - Sukabumi, Kab.</v>
          </cell>
          <cell r="AN6" t="str">
            <v>AMD - Armenia Dram</v>
          </cell>
          <cell r="AV6" t="str">
            <v>8109 - Kab. Buru Selatan</v>
          </cell>
          <cell r="AX6" t="str">
            <v>Aceh Selatan, Kab. - 3205</v>
          </cell>
          <cell r="AY6" t="str">
            <v>06 - Kuasa Direksi (Pemilik)</v>
          </cell>
          <cell r="BA6" t="str">
            <v>Jakarta Kelapa Gading</v>
          </cell>
        </row>
        <row r="7">
          <cell r="A7" t="str">
            <v>New Zealand Dollar (NZD)</v>
          </cell>
          <cell r="B7" t="str">
            <v>Investasi</v>
          </cell>
          <cell r="C7" t="str">
            <v>Mesin Bekas</v>
          </cell>
          <cell r="AC7" t="str">
            <v>Perseroan Jawatan (PERJAN)</v>
          </cell>
          <cell r="AD7">
            <v>6</v>
          </cell>
          <cell r="AM7" t="str">
            <v>0110 - Cianjur, Kab.</v>
          </cell>
          <cell r="AN7" t="str">
            <v>ANG - Netherlands Antillian Guilder /Florin</v>
          </cell>
          <cell r="AV7" t="str">
            <v>8191 - Kota Ambon</v>
          </cell>
          <cell r="AX7" t="str">
            <v>Aceh Singkil, Kab. - 3209</v>
          </cell>
          <cell r="AY7" t="str">
            <v>07 - Pemilik Bukan Pengurus</v>
          </cell>
          <cell r="BA7" t="str">
            <v>Jakarta Taman Palem</v>
          </cell>
        </row>
        <row r="8">
          <cell r="A8" t="str">
            <v>Swiss Franc (CHF)</v>
          </cell>
          <cell r="B8" t="str">
            <v>Lainnya</v>
          </cell>
          <cell r="C8" t="str">
            <v>Equipment Baru</v>
          </cell>
          <cell r="AC8" t="str">
            <v>Perseroan Daerah (PERUSDA)</v>
          </cell>
          <cell r="AD8">
            <v>7</v>
          </cell>
          <cell r="AM8" t="str">
            <v>0111 - Bandung, Kab.</v>
          </cell>
          <cell r="AN8" t="str">
            <v>AOA - Angolan Kwanza</v>
          </cell>
          <cell r="AV8" t="str">
            <v>8192 - Kota Tual</v>
          </cell>
          <cell r="AX8" t="str">
            <v>Aceh Tamiang, Kab. - 3211</v>
          </cell>
          <cell r="AY8" t="str">
            <v>09 - Masyarakat (Pemilik)</v>
          </cell>
          <cell r="BA8" t="str">
            <v>Jakarta Mangga Dua</v>
          </cell>
        </row>
        <row r="9">
          <cell r="A9" t="str">
            <v>US Dollar (USD)</v>
          </cell>
          <cell r="C9" t="str">
            <v>Equipment Bekas</v>
          </cell>
          <cell r="AC9" t="str">
            <v>Koperasi</v>
          </cell>
          <cell r="AD9">
            <v>8</v>
          </cell>
          <cell r="AM9" t="str">
            <v>0112 - Sumedang, Kab.</v>
          </cell>
          <cell r="AN9" t="str">
            <v>ARS - Argentine Peso</v>
          </cell>
          <cell r="AV9" t="str">
            <v>8201 - Kab. Jayapura</v>
          </cell>
          <cell r="AX9" t="str">
            <v>Aceh Tengah, Kab. - 3207</v>
          </cell>
          <cell r="AY9" t="str">
            <v>10 - Ketua Umum (Pemilik)</v>
          </cell>
          <cell r="BA9" t="str">
            <v>Bekasi 1</v>
          </cell>
        </row>
        <row r="10">
          <cell r="C10" t="str">
            <v>Personal Guarantee</v>
          </cell>
          <cell r="AC10" t="str">
            <v>Yayasan</v>
          </cell>
          <cell r="AD10">
            <v>9</v>
          </cell>
          <cell r="AM10" t="str">
            <v>0113 - Tasikmalaya, Kab.</v>
          </cell>
          <cell r="AN10" t="str">
            <v>ATS - Austrian Schilling</v>
          </cell>
          <cell r="AV10" t="str">
            <v>8202 - Kab. Biak Numfor</v>
          </cell>
          <cell r="AX10" t="str">
            <v>Aceh Tenggara, Kab. - 3208</v>
          </cell>
          <cell r="AY10" t="str">
            <v>11 - Ketua (Pemilik)</v>
          </cell>
          <cell r="BA10" t="str">
            <v>Jakarta Kebon Jeruk Intercon</v>
          </cell>
        </row>
        <row r="11">
          <cell r="C11" t="str">
            <v>Corporate Guarantee</v>
          </cell>
          <cell r="AC11" t="str">
            <v>Badan Hukum Lainnya</v>
          </cell>
          <cell r="AD11">
            <v>10</v>
          </cell>
          <cell r="AM11" t="str">
            <v>0114 - Garut, Kab.</v>
          </cell>
          <cell r="AN11" t="str">
            <v>AUD - Australian Dollar</v>
          </cell>
          <cell r="AV11" t="str">
            <v>8210 - Kab. Yapen-Waropen</v>
          </cell>
          <cell r="AX11" t="str">
            <v>Aceh Timur, Kab. - 3204</v>
          </cell>
          <cell r="AY11" t="str">
            <v>12 - Sekretaris (Pemilik)</v>
          </cell>
          <cell r="BA11" t="str">
            <v>Jakarta Pluit</v>
          </cell>
        </row>
        <row r="12">
          <cell r="A12" t="str">
            <v>PRK</v>
          </cell>
          <cell r="C12" t="str">
            <v>Piutang</v>
          </cell>
          <cell r="AD12">
            <v>11</v>
          </cell>
          <cell r="AM12" t="str">
            <v>0115 - Ciamis, Kab.</v>
          </cell>
          <cell r="AN12" t="str">
            <v>AWG - Aruban Guilder</v>
          </cell>
          <cell r="AV12" t="str">
            <v>8211 - Kab. Merauke</v>
          </cell>
          <cell r="AX12" t="str">
            <v>Aceh Utara, Kab. - 3203</v>
          </cell>
          <cell r="AY12" t="str">
            <v>13 - Bendahara (Pemilik)</v>
          </cell>
          <cell r="BA12" t="str">
            <v>Jakarta Cempaka Mas</v>
          </cell>
        </row>
        <row r="13">
          <cell r="A13" t="str">
            <v>PAB</v>
          </cell>
          <cell r="C13" t="str">
            <v>Persediaan Barang Dagangan</v>
          </cell>
          <cell r="AD13">
            <v>12</v>
          </cell>
          <cell r="AM13" t="str">
            <v>0116 - Cirebon, Kab.</v>
          </cell>
          <cell r="AN13" t="str">
            <v>AZM - Azerbaijan Mant</v>
          </cell>
          <cell r="AV13" t="str">
            <v>8212 - Kab. Paniai</v>
          </cell>
          <cell r="AX13" t="str">
            <v>Agam, Kab. - 3401</v>
          </cell>
          <cell r="AY13" t="str">
            <v>19 - Lainnya (Pemilik)</v>
          </cell>
          <cell r="BA13" t="str">
            <v>Jakarta Mampang</v>
          </cell>
        </row>
        <row r="14">
          <cell r="A14" t="str">
            <v>PB</v>
          </cell>
          <cell r="C14" t="str">
            <v>Heavy Equipment</v>
          </cell>
          <cell r="AD14">
            <v>13</v>
          </cell>
          <cell r="AM14" t="str">
            <v>0117 - Kuningan, Kab.</v>
          </cell>
          <cell r="AN14" t="str">
            <v>BAM - Bosnia-Herze Conv Marka</v>
          </cell>
          <cell r="AV14" t="str">
            <v>8213 - Kab. Jayawijaya</v>
          </cell>
          <cell r="AX14" t="str">
            <v>Alor, Kab. - 7405</v>
          </cell>
          <cell r="AY14" t="str">
            <v>50 - Pengurus Bukan Pemilik</v>
          </cell>
          <cell r="BA14" t="str">
            <v>Cyber 2</v>
          </cell>
        </row>
        <row r="15">
          <cell r="A15" t="str">
            <v>PRK 1</v>
          </cell>
          <cell r="C15" t="str">
            <v>Commercial Transport Vehicle</v>
          </cell>
          <cell r="AD15">
            <v>14</v>
          </cell>
          <cell r="AM15" t="str">
            <v>0118 - Indramayu, Kab.</v>
          </cell>
          <cell r="AN15" t="str">
            <v>BBD - Barbados Dollar</v>
          </cell>
          <cell r="AV15" t="str">
            <v>8214 - Kab. Nabire</v>
          </cell>
          <cell r="AX15" t="str">
            <v>Ambon, Kota. - 8191</v>
          </cell>
          <cell r="AY15" t="str">
            <v>51 - Direktur Utama / Pres. Dir (Bukan Pemilik)</v>
          </cell>
          <cell r="BA15" t="str">
            <v>Medan Putri Hijau 1</v>
          </cell>
        </row>
        <row r="16">
          <cell r="A16" t="str">
            <v>PRK 2</v>
          </cell>
          <cell r="C16" t="str">
            <v>Tug Bot &amp; Barge</v>
          </cell>
          <cell r="AM16" t="str">
            <v>3216 - Kab. Simeuleu</v>
          </cell>
          <cell r="AN16" t="str">
            <v>BDT - Bangladesh Taka</v>
          </cell>
          <cell r="AV16" t="str">
            <v>7420 - Kab. Sabu Raijua</v>
          </cell>
          <cell r="AX16" t="str">
            <v>Anambas, Kab - 3805</v>
          </cell>
          <cell r="AY16" t="str">
            <v>52 - Direktur (Bukan Pemilik)</v>
          </cell>
          <cell r="BA16" t="str">
            <v>Medan Putri Hijau 2</v>
          </cell>
        </row>
        <row r="17">
          <cell r="A17" t="str">
            <v>PRK 3</v>
          </cell>
          <cell r="AD17">
            <v>15</v>
          </cell>
          <cell r="AM17" t="str">
            <v>0119 - Majalengka, Kab.</v>
          </cell>
          <cell r="AN17" t="str">
            <v>BEF - Belgian Franc</v>
          </cell>
          <cell r="AV17" t="str">
            <v>8215 - Kab. Mimika</v>
          </cell>
          <cell r="AX17" t="str">
            <v>Angkola Sipirok, Kab - 3320</v>
          </cell>
          <cell r="AY17" t="str">
            <v>53 - Komisaris Utama / Pres. Kom (Bukan Pemilik)</v>
          </cell>
          <cell r="BA17" t="str">
            <v>Medan Gatsu</v>
          </cell>
        </row>
        <row r="18">
          <cell r="A18" t="str">
            <v>PRK 4</v>
          </cell>
          <cell r="AD18">
            <v>16</v>
          </cell>
          <cell r="AM18" t="str">
            <v>0121 - Subang, Kab.</v>
          </cell>
          <cell r="AN18" t="str">
            <v>BEN - Bulgarian Lev</v>
          </cell>
          <cell r="AV18" t="str">
            <v>8216 - Kab. Puncak Jaya</v>
          </cell>
          <cell r="AX18" t="str">
            <v>Asahan, Kab. - 3306</v>
          </cell>
          <cell r="AY18" t="str">
            <v>54 - Komisaris (Bukan Pemilik)</v>
          </cell>
          <cell r="BA18" t="str">
            <v>Medan Cirebon 1</v>
          </cell>
        </row>
        <row r="19">
          <cell r="A19" t="str">
            <v>PRK 5</v>
          </cell>
          <cell r="AD19">
            <v>17</v>
          </cell>
          <cell r="AM19" t="str">
            <v>0122 - Bandung Barat, Kab</v>
          </cell>
          <cell r="AN19" t="str">
            <v>BHD - Bahraini Dinar</v>
          </cell>
          <cell r="AV19" t="str">
            <v>8217 - Kab. Sarmi</v>
          </cell>
          <cell r="AX19" t="str">
            <v>Asmat, Kab. - 8228</v>
          </cell>
          <cell r="AY19" t="str">
            <v>55 - Kuasa Direksi (Bukan Pemilik)</v>
          </cell>
          <cell r="BA19" t="str">
            <v>Medan Cirebon 2</v>
          </cell>
        </row>
        <row r="20">
          <cell r="A20" t="str">
            <v>PB 1</v>
          </cell>
          <cell r="AD20">
            <v>18</v>
          </cell>
          <cell r="AM20" t="str">
            <v>0180 - Banjar, Kota.</v>
          </cell>
          <cell r="AN20" t="str">
            <v>BIF - Burundi Franc</v>
          </cell>
          <cell r="AV20" t="str">
            <v>8218 - Kab. Keerom</v>
          </cell>
          <cell r="AX20" t="str">
            <v>Badung, Kab. - 7204</v>
          </cell>
          <cell r="AY20" t="str">
            <v>57 - Ketua Umum (Bukan Pemilik)</v>
          </cell>
          <cell r="BA20" t="str">
            <v>Pematangsiantar Sutomo</v>
          </cell>
        </row>
        <row r="21">
          <cell r="A21" t="str">
            <v>PB 2</v>
          </cell>
          <cell r="AD21">
            <v>19</v>
          </cell>
          <cell r="AM21" t="str">
            <v>0191 - Bandung, Kota.</v>
          </cell>
          <cell r="AN21" t="str">
            <v>BMD - Bermudian Dollar</v>
          </cell>
          <cell r="AV21" t="str">
            <v>8221 - Kab. Pegunungan Bintang</v>
          </cell>
          <cell r="AX21" t="str">
            <v>Balangan, Kab. - 5111</v>
          </cell>
          <cell r="AY21" t="str">
            <v>58 - Ketua (Bukan Pemilik)</v>
          </cell>
          <cell r="BA21" t="str">
            <v>Pekanbaru Riau 1</v>
          </cell>
        </row>
        <row r="22">
          <cell r="A22" t="str">
            <v>PB 3</v>
          </cell>
          <cell r="AD22">
            <v>20</v>
          </cell>
          <cell r="AM22" t="str">
            <v>0192 - Bogor, Kota.</v>
          </cell>
          <cell r="AN22" t="str">
            <v>BND - Brunei Dollar</v>
          </cell>
          <cell r="AV22" t="str">
            <v>8222 - Kab. Yahukimo</v>
          </cell>
          <cell r="AX22" t="str">
            <v>Balikpapan, Kota. - 5492</v>
          </cell>
          <cell r="AY22" t="str">
            <v>59 - Sekretaris (Bukan Pemilik)</v>
          </cell>
          <cell r="BA22" t="str">
            <v>Pekanbaru Riau 2</v>
          </cell>
        </row>
        <row r="23">
          <cell r="A23" t="str">
            <v>PB 4</v>
          </cell>
          <cell r="AD23">
            <v>21</v>
          </cell>
          <cell r="AM23" t="str">
            <v>0193 - Sukabumi, Kota.</v>
          </cell>
          <cell r="AN23" t="str">
            <v>BOB - Bolivian Boliviano</v>
          </cell>
          <cell r="AV23" t="str">
            <v>8223 - Kab. Tolikara</v>
          </cell>
          <cell r="AX23" t="str">
            <v>Banda Aceh, Kota. - 3291</v>
          </cell>
          <cell r="AY23" t="str">
            <v>60 - Bendahara (Bukan Pemilik)</v>
          </cell>
          <cell r="BA23" t="str">
            <v>Jambi Talang Banjar</v>
          </cell>
        </row>
        <row r="24">
          <cell r="A24" t="str">
            <v>PB 5</v>
          </cell>
          <cell r="AD24">
            <v>22</v>
          </cell>
          <cell r="AM24" t="str">
            <v>0194 - Cirebon, Kota.</v>
          </cell>
          <cell r="AN24" t="str">
            <v>BRL - Brazilian Real</v>
          </cell>
          <cell r="AV24" t="str">
            <v>8224 - Kab. Waropen</v>
          </cell>
          <cell r="AX24" t="str">
            <v>Bandar Lampung, Kota. - 3991</v>
          </cell>
          <cell r="AY24" t="str">
            <v>69 - Lainnya (Bukan Pemilik)</v>
          </cell>
          <cell r="BA24" t="str">
            <v>Palembang Cinde</v>
          </cell>
        </row>
        <row r="25">
          <cell r="A25" t="str">
            <v>PAB 1</v>
          </cell>
          <cell r="AD25">
            <v>23</v>
          </cell>
          <cell r="AM25" t="str">
            <v>0195 - Tasikmalaya, Kota.</v>
          </cell>
          <cell r="AN25" t="str">
            <v>BSD - Bahamas Dollar</v>
          </cell>
          <cell r="AV25" t="str">
            <v>8226 - Kab. Boven Digoel</v>
          </cell>
          <cell r="AX25" t="str">
            <v>Bandung Barat, Kab - 0122</v>
          </cell>
          <cell r="BA25" t="str">
            <v>Palembang Sudirman</v>
          </cell>
        </row>
        <row r="26">
          <cell r="A26" t="str">
            <v>PAB 2</v>
          </cell>
          <cell r="AD26">
            <v>24</v>
          </cell>
          <cell r="AM26" t="str">
            <v>0196 - Cimahi, Kota.</v>
          </cell>
          <cell r="AN26" t="str">
            <v>BTN - Bhutan Ngultrum</v>
          </cell>
          <cell r="AV26" t="str">
            <v>8227 - Kab. Mappi</v>
          </cell>
          <cell r="AX26" t="str">
            <v>Bandung, Kab. - 0111</v>
          </cell>
          <cell r="BA26" t="str">
            <v>Lampung Wolter M</v>
          </cell>
        </row>
        <row r="27">
          <cell r="A27" t="str">
            <v>PAB 3</v>
          </cell>
          <cell r="AD27">
            <v>25</v>
          </cell>
          <cell r="AM27" t="str">
            <v>0197 - Depok, Kota.</v>
          </cell>
          <cell r="AN27" t="str">
            <v>BWP - Botswana Pula</v>
          </cell>
          <cell r="AV27" t="str">
            <v>8228 - Kab. Asmat</v>
          </cell>
          <cell r="AX27" t="str">
            <v>Bandung, Kota. - 0191</v>
          </cell>
          <cell r="BA27" t="str">
            <v>Bandung Burangrang 1</v>
          </cell>
        </row>
        <row r="28">
          <cell r="A28" t="str">
            <v>PAB 4</v>
          </cell>
          <cell r="AM28" t="str">
            <v>3323 - Padang Lawas Utara, Kab</v>
          </cell>
          <cell r="AN28" t="str">
            <v>BYR - Belarus Rouble</v>
          </cell>
          <cell r="AV28" t="str">
            <v>3902 - Kab. Lampung Tengah</v>
          </cell>
          <cell r="AX28" t="str">
            <v>Banggai Kepulauan, Kab - 6005</v>
          </cell>
          <cell r="BA28" t="str">
            <v>Bandung Burangrang 2</v>
          </cell>
        </row>
        <row r="29">
          <cell r="A29" t="str">
            <v>PAB 5</v>
          </cell>
          <cell r="AD29">
            <v>26</v>
          </cell>
          <cell r="AM29" t="str">
            <v>0198 - Bekasi, Kota.</v>
          </cell>
          <cell r="AN29" t="str">
            <v>BZD - Belize Dollar</v>
          </cell>
          <cell r="AV29" t="str">
            <v>8231 - Kab. Supiori</v>
          </cell>
          <cell r="AX29" t="str">
            <v>Bangka Barat, Kab - 3703</v>
          </cell>
          <cell r="BA29" t="str">
            <v>Cirebon Wahidin</v>
          </cell>
        </row>
        <row r="30">
          <cell r="A30" t="str">
            <v>PAB 6</v>
          </cell>
          <cell r="AM30" t="str">
            <v>3217 - Kab. Bener Meriah</v>
          </cell>
          <cell r="AN30" t="str">
            <v>CAD - Canadian Dollar</v>
          </cell>
          <cell r="AV30" t="str">
            <v>7491 - Kota Kupang</v>
          </cell>
          <cell r="AX30" t="str">
            <v>Bangka Belitung, Kab - 3707</v>
          </cell>
          <cell r="BA30" t="str">
            <v>Bandung Kopo</v>
          </cell>
        </row>
        <row r="31">
          <cell r="A31" t="str">
            <v>PAB 7</v>
          </cell>
          <cell r="AD31">
            <v>27</v>
          </cell>
          <cell r="AM31" t="str">
            <v>0201 - Lebak, Kab.</v>
          </cell>
          <cell r="AN31" t="str">
            <v>CDF - Democratic Rep.Congo Franc</v>
          </cell>
          <cell r="AV31" t="str">
            <v>8232 - Kab. Mamberamo Raya</v>
          </cell>
          <cell r="AX31" t="str">
            <v>Bangka Selatan, Kab - 3704</v>
          </cell>
          <cell r="BA31" t="str">
            <v>Semarang MT Haryono 1</v>
          </cell>
        </row>
        <row r="32">
          <cell r="A32" t="str">
            <v>PAB 8</v>
          </cell>
          <cell r="AM32" t="str">
            <v>0202 - Pandeglang, Kab.</v>
          </cell>
          <cell r="AN32" t="str">
            <v>CDZ - New Zaire</v>
          </cell>
          <cell r="AV32" t="str">
            <v>8233 - Kab. Dogiyai</v>
          </cell>
          <cell r="AX32" t="str">
            <v>Bangka Tengah, Kab - 3705</v>
          </cell>
          <cell r="BA32" t="str">
            <v>Semarang MT Haryono 2</v>
          </cell>
        </row>
        <row r="33">
          <cell r="A33" t="str">
            <v>PAB 9</v>
          </cell>
          <cell r="AM33" t="str">
            <v>0203 - Serang, Kab.</v>
          </cell>
          <cell r="AN33" t="str">
            <v>CHF - Swiss Franc</v>
          </cell>
          <cell r="AV33" t="str">
            <v>8234 - Kab. Lanny Jaya</v>
          </cell>
          <cell r="AX33" t="str">
            <v>Bangka, Kab. - 3701</v>
          </cell>
          <cell r="BA33" t="str">
            <v>Kudus Sudirman</v>
          </cell>
        </row>
        <row r="34">
          <cell r="A34" t="str">
            <v>PAB 10</v>
          </cell>
          <cell r="AM34" t="str">
            <v>0204 - Tangerang, Kab.</v>
          </cell>
          <cell r="AN34" t="str">
            <v>CLF - Chilean Fomento</v>
          </cell>
          <cell r="AV34" t="str">
            <v>8235 - Kab. Mamberamo Tengah</v>
          </cell>
          <cell r="AX34" t="str">
            <v>Bangkalan, Kab. - 1208</v>
          </cell>
          <cell r="BA34" t="str">
            <v>Purwokerto Pasar Wage</v>
          </cell>
        </row>
        <row r="35">
          <cell r="AM35" t="str">
            <v>0291 - Cilegon, Kota.</v>
          </cell>
          <cell r="AN35" t="str">
            <v>CLP - Chilean Peso</v>
          </cell>
          <cell r="AV35" t="str">
            <v>8236 - Kab. Nduga Tengah</v>
          </cell>
          <cell r="AX35" t="str">
            <v>Bangli, Kab. - 7207</v>
          </cell>
          <cell r="BA35" t="str">
            <v>Surakarta Slamet Riyadi</v>
          </cell>
        </row>
        <row r="36">
          <cell r="AM36" t="str">
            <v>0292 - Tangerang, Kota.</v>
          </cell>
          <cell r="AN36" t="str">
            <v>CNY - China Yuan Renminbi</v>
          </cell>
          <cell r="AV36" t="str">
            <v>8237 - Kab. Yalimo</v>
          </cell>
          <cell r="AX36" t="str">
            <v>Banjar, Kab. - 5101</v>
          </cell>
          <cell r="BA36" t="str">
            <v>Yogya Bintaran</v>
          </cell>
        </row>
        <row r="37">
          <cell r="AM37" t="str">
            <v>0293 - Serang. Kota.</v>
          </cell>
          <cell r="AN37" t="str">
            <v>COP - Colombian Peso</v>
          </cell>
          <cell r="AV37" t="str">
            <v>8238 - Kab. Puncak</v>
          </cell>
          <cell r="AX37" t="str">
            <v>Banjar, Kota. - 0180</v>
          </cell>
          <cell r="BA37" t="str">
            <v>Surabaya Indrapura</v>
          </cell>
        </row>
        <row r="38">
          <cell r="AM38" t="str">
            <v>0294 - Kota Tangerang Selatan</v>
          </cell>
          <cell r="AN38" t="str">
            <v>CRC - Costa Rican Colon</v>
          </cell>
          <cell r="AV38" t="str">
            <v>8239 - Kab. Intan Jaya</v>
          </cell>
          <cell r="AX38" t="str">
            <v>Banjarbaru, Kota. - 5192</v>
          </cell>
          <cell r="BA38" t="str">
            <v>Surabaya Kertajaya</v>
          </cell>
        </row>
        <row r="39">
          <cell r="AM39" t="str">
            <v>0391 - Jakarta Pusat, Wil. Kota</v>
          </cell>
          <cell r="AN39" t="str">
            <v>CUP - Cuban Peso</v>
          </cell>
          <cell r="AV39" t="str">
            <v>8240 - Kab. Deiyai</v>
          </cell>
          <cell r="AX39" t="str">
            <v>Banjarmasin, Kota. - 5191</v>
          </cell>
          <cell r="BA39" t="str">
            <v>Madiun Salak</v>
          </cell>
        </row>
        <row r="40">
          <cell r="AM40" t="str">
            <v>0392 - Jakarta Utara ., Wil. Kota</v>
          </cell>
          <cell r="AN40" t="str">
            <v>CVE - Cape Verde Escudo</v>
          </cell>
          <cell r="AV40" t="str">
            <v>8291 - Kota Jayapura</v>
          </cell>
          <cell r="AX40" t="str">
            <v>Banjarnegara, Kab. - 0917</v>
          </cell>
          <cell r="BA40" t="str">
            <v>Kediri Katamso</v>
          </cell>
        </row>
        <row r="41">
          <cell r="AM41" t="str">
            <v>0393 - Jakarta Barat, Wil. Kota</v>
          </cell>
          <cell r="AN41" t="str">
            <v>CYP - Cyprus Pound</v>
          </cell>
          <cell r="AV41" t="str">
            <v>8302 - Kab. Halmahera Tengah</v>
          </cell>
          <cell r="AX41" t="str">
            <v>Bantaeng, Kab. - 6112</v>
          </cell>
          <cell r="BA41" t="str">
            <v>Surabaya Mulyosari</v>
          </cell>
        </row>
        <row r="42">
          <cell r="AM42" t="str">
            <v>0394 - Jakarta Selatan, Wil. Kota</v>
          </cell>
          <cell r="AN42" t="str">
            <v>CZK - Czech Koruna</v>
          </cell>
          <cell r="AV42" t="str">
            <v>8303 - Kab. Halmahera Utara</v>
          </cell>
          <cell r="AX42" t="str">
            <v>Bantul, Kab. - 0501</v>
          </cell>
          <cell r="BA42" t="str">
            <v>Malang Sutoyo</v>
          </cell>
        </row>
        <row r="43">
          <cell r="AM43" t="str">
            <v>0395 - Jakarta Timur, Wil. Kota</v>
          </cell>
          <cell r="AN43" t="str">
            <v>DEM - Deutsche Mark</v>
          </cell>
          <cell r="AV43" t="str">
            <v>8304 - Kab. Halmahera Timur</v>
          </cell>
          <cell r="AX43" t="str">
            <v>Banyuasin, Kab - 3613</v>
          </cell>
          <cell r="BA43" t="str">
            <v>Denpasar Teuku Umar</v>
          </cell>
        </row>
        <row r="44">
          <cell r="AM44" t="str">
            <v>0396 - Kepulauan Seribu, Wilayah</v>
          </cell>
          <cell r="AN44" t="str">
            <v>DJF - Djibouti Franc</v>
          </cell>
          <cell r="AV44" t="str">
            <v>8305 - Kab. Halmahera Barat</v>
          </cell>
          <cell r="AX44" t="str">
            <v>Banyumas, Kab. - 0914</v>
          </cell>
          <cell r="BA44" t="str">
            <v>Mataram</v>
          </cell>
        </row>
        <row r="45">
          <cell r="AM45" t="str">
            <v>0501 - Bantul, Kab.</v>
          </cell>
          <cell r="AN45" t="str">
            <v>DKK - Danish Krone</v>
          </cell>
          <cell r="AV45" t="str">
            <v>8306 - Kab. Halmahera Selatan</v>
          </cell>
          <cell r="AX45" t="str">
            <v>Banyuwangi, Kab. - 1211</v>
          </cell>
          <cell r="BA45" t="str">
            <v>Surabaya Bukit Darmo Golf</v>
          </cell>
        </row>
        <row r="46">
          <cell r="AM46" t="str">
            <v>0502 - Sleman, Kab.</v>
          </cell>
          <cell r="AN46" t="str">
            <v>DOP - Dominican Republic Peso</v>
          </cell>
          <cell r="AV46" t="str">
            <v>8307 - Kab. Kepulauan Sula</v>
          </cell>
          <cell r="AX46" t="str">
            <v>Barito Kuala, Kab. - 5107</v>
          </cell>
          <cell r="BA46" t="str">
            <v>Surabaya Kedungdoro</v>
          </cell>
        </row>
        <row r="47">
          <cell r="AM47" t="str">
            <v>0503 - Gunung Kidul, Kab.</v>
          </cell>
          <cell r="AN47" t="str">
            <v>DZD - Algerian Dinar</v>
          </cell>
          <cell r="AV47" t="str">
            <v>8308 - Kab. Pulau Morotai</v>
          </cell>
          <cell r="AX47" t="str">
            <v>Barito Selatan, Kab. - 5806</v>
          </cell>
          <cell r="BA47" t="str">
            <v>Balikpapan Sudirman</v>
          </cell>
        </row>
        <row r="48">
          <cell r="AM48" t="str">
            <v>0504 - Kulon Progo, Kab.</v>
          </cell>
          <cell r="AN48" t="str">
            <v>ECS - Ecuadorean Sucre</v>
          </cell>
          <cell r="AV48" t="str">
            <v>8390 - Kota Ternate</v>
          </cell>
          <cell r="AX48" t="str">
            <v>Barito Timur, Kab. - 5805</v>
          </cell>
          <cell r="BA48" t="str">
            <v>Samarinda Pahlawan 1</v>
          </cell>
        </row>
        <row r="49">
          <cell r="AM49" t="str">
            <v>0591 - Yogyakarta, Kota.</v>
          </cell>
          <cell r="AN49" t="str">
            <v>EEK - Estonian Kroon</v>
          </cell>
          <cell r="AV49" t="str">
            <v>8391 - Kota Tidore Kepulauan</v>
          </cell>
          <cell r="AX49" t="str">
            <v>Barito Utara, Kab. - 5808</v>
          </cell>
          <cell r="BA49" t="str">
            <v>Samarinda Pahlawan 2</v>
          </cell>
        </row>
        <row r="50">
          <cell r="AM50" t="str">
            <v>0901 - Semarang, Kab.</v>
          </cell>
          <cell r="AN50" t="str">
            <v>EGP - Egyptian Pound</v>
          </cell>
          <cell r="AV50" t="str">
            <v>8401 - Kab. Sorong</v>
          </cell>
          <cell r="AX50" t="str">
            <v>Barru, Kab. - 6116</v>
          </cell>
          <cell r="BA50" t="str">
            <v>Banjarmasin A. Yani</v>
          </cell>
        </row>
        <row r="51">
          <cell r="AM51" t="str">
            <v>0902 - Kendal, Kab.</v>
          </cell>
          <cell r="AN51" t="str">
            <v>ERN - Eritreian Nakfa</v>
          </cell>
          <cell r="AV51" t="str">
            <v>8402 - Kab. Fak-Fak</v>
          </cell>
          <cell r="AX51" t="str">
            <v>Batam, Kota - 3892</v>
          </cell>
          <cell r="BA51" t="str">
            <v>Pontianak Gajah Mada</v>
          </cell>
        </row>
        <row r="52">
          <cell r="AM52" t="str">
            <v>0903 - Demak, Kab.</v>
          </cell>
          <cell r="AN52" t="str">
            <v>ESB - Spanish Peseta</v>
          </cell>
          <cell r="AV52" t="str">
            <v>8403 - Kab. Manokwari</v>
          </cell>
          <cell r="AX52" t="str">
            <v>Batang, Kab. - 0929</v>
          </cell>
          <cell r="BA52" t="str">
            <v>Makassar Bawakaraeng</v>
          </cell>
        </row>
        <row r="53">
          <cell r="AM53" t="str">
            <v>0904 - Grobogan, Kab.</v>
          </cell>
          <cell r="AN53" t="str">
            <v>ESP - Spanish Peseta</v>
          </cell>
          <cell r="AV53" t="str">
            <v>8404 - Kab. Sorong Selatan</v>
          </cell>
          <cell r="AX53" t="str">
            <v>Batanghari, Kab. - 3101</v>
          </cell>
          <cell r="BA53" t="str">
            <v>Palu Masomba</v>
          </cell>
        </row>
        <row r="54">
          <cell r="AM54" t="str">
            <v>0905 - Pekalongan, Kab.</v>
          </cell>
          <cell r="AN54" t="str">
            <v>ESS - Ecuadoran Sucre</v>
          </cell>
          <cell r="AV54" t="str">
            <v>8405 - Kab. Raja Ampat</v>
          </cell>
          <cell r="AX54" t="str">
            <v>Batu Bara, Kab - 3321</v>
          </cell>
          <cell r="BA54" t="str">
            <v>Kendari Mandonga</v>
          </cell>
        </row>
        <row r="55">
          <cell r="AM55" t="str">
            <v>0906 - Tegal, Kab.</v>
          </cell>
          <cell r="AN55" t="str">
            <v>ETB - Ethiopian Birr</v>
          </cell>
          <cell r="AV55" t="str">
            <v>8406 - Kab. Kaimana</v>
          </cell>
          <cell r="AX55" t="str">
            <v>Batu, Kota. - 1271</v>
          </cell>
          <cell r="BA55" t="str">
            <v>Makassar Alaudin</v>
          </cell>
        </row>
        <row r="56">
          <cell r="AM56" t="str">
            <v>0907 - Brebes, Kab.</v>
          </cell>
          <cell r="AN56" t="str">
            <v>EUR - Euro</v>
          </cell>
          <cell r="AV56" t="str">
            <v>8407 - Kab. Teluk Bintuni</v>
          </cell>
          <cell r="AX56" t="str">
            <v>Bau-Bau,Kota. - 6990</v>
          </cell>
          <cell r="BA56" t="str">
            <v>Manado Sam Ratulangi</v>
          </cell>
        </row>
        <row r="57">
          <cell r="AM57" t="str">
            <v>0908 - Pati, Kab.</v>
          </cell>
          <cell r="AN57" t="str">
            <v>FIM - Finnis Markka</v>
          </cell>
          <cell r="AV57" t="str">
            <v>8408 - Kab. Teluk Wondama</v>
          </cell>
          <cell r="AX57" t="str">
            <v>Bekasi, Kab. - 0102</v>
          </cell>
          <cell r="BA57" t="str">
            <v>Makassar Perintis</v>
          </cell>
        </row>
        <row r="58">
          <cell r="AM58" t="str">
            <v>0909 - Kudus, Kab.</v>
          </cell>
          <cell r="AN58" t="str">
            <v>FJD - Fiji Dollar</v>
          </cell>
          <cell r="AV58" t="str">
            <v>8409 - Kab. Tembrauw</v>
          </cell>
          <cell r="AX58" t="str">
            <v>Bekasi, Kota. - 0198</v>
          </cell>
          <cell r="BA58" t="str">
            <v>Ambon Mardhika</v>
          </cell>
        </row>
        <row r="59">
          <cell r="AM59" t="str">
            <v>0910 - Pemalang, Kab.</v>
          </cell>
          <cell r="AN59" t="str">
            <v>FKP - Falkland Islands Pound</v>
          </cell>
          <cell r="AV59" t="str">
            <v>8410 - Kab. Maybrat</v>
          </cell>
          <cell r="AX59" t="str">
            <v>Belitung Timur, Kab - 3706</v>
          </cell>
          <cell r="BA59" t="str">
            <v>Tasikmalaya Yudanegara</v>
          </cell>
        </row>
        <row r="60">
          <cell r="AM60" t="str">
            <v>0911 - Jepara, Kab.</v>
          </cell>
          <cell r="AN60" t="str">
            <v>FRF - French Franc</v>
          </cell>
          <cell r="AV60" t="str">
            <v>8491 - Kota Sorong</v>
          </cell>
          <cell r="AX60" t="str">
            <v>Belitung, Kab. - 3702</v>
          </cell>
          <cell r="BA60" t="str">
            <v>Tegal Sutomo</v>
          </cell>
        </row>
        <row r="61">
          <cell r="AM61" t="str">
            <v>0912 - Rembang, Kab.</v>
          </cell>
          <cell r="AN61" t="str">
            <v>GBP - Pound Sterling (United Kingdom Pound)</v>
          </cell>
          <cell r="AV61" t="str">
            <v>9999 - DI LUAR INDONESIA</v>
          </cell>
          <cell r="AX61" t="str">
            <v>Belu, Kab. - 7404</v>
          </cell>
          <cell r="BA61" t="str">
            <v>Bandung Kopo 2</v>
          </cell>
        </row>
        <row r="62">
          <cell r="AM62" t="str">
            <v>3218 - Pide Jaya, Kab</v>
          </cell>
          <cell r="AN62" t="str">
            <v>GEK - Georgian Coupon</v>
          </cell>
          <cell r="AV62" t="str">
            <v>8101 - Kab. Maluku Tengah</v>
          </cell>
          <cell r="AX62" t="str">
            <v>Bener Meriah, Kab - 3217</v>
          </cell>
          <cell r="BA62" t="str">
            <v>Jakarta Sunter</v>
          </cell>
        </row>
        <row r="63">
          <cell r="AM63" t="str">
            <v>0913 - Blora, Kab.</v>
          </cell>
          <cell r="AN63" t="str">
            <v>GEL - Georgian Lari</v>
          </cell>
          <cell r="AV63" t="str">
            <v>6105 - Kab. Bone</v>
          </cell>
          <cell r="AX63" t="str">
            <v>Bengkalis, Kab. - 3502</v>
          </cell>
          <cell r="BA63" t="str">
            <v>Gading Serpong Boulevard</v>
          </cell>
        </row>
        <row r="64">
          <cell r="AM64" t="str">
            <v>0914 - Banyumas, Kab.</v>
          </cell>
          <cell r="AN64" t="str">
            <v>GHC - Ghana Cedi</v>
          </cell>
          <cell r="AV64" t="str">
            <v>6106 - Kab. Tana Toraja</v>
          </cell>
          <cell r="AX64" t="str">
            <v>Bengkayang, Kab. - 5307</v>
          </cell>
          <cell r="BA64" t="str">
            <v xml:space="preserve">Jakarta Tanah Abang </v>
          </cell>
        </row>
        <row r="65">
          <cell r="AM65" t="str">
            <v>0915 - Cilacap, Kab.</v>
          </cell>
          <cell r="AN65" t="str">
            <v>GIP - Gibraltar Pound</v>
          </cell>
          <cell r="AV65" t="str">
            <v>6107 - Kab. Maros</v>
          </cell>
          <cell r="AX65" t="str">
            <v>Bengkulu Selatan, Kab. - 2301</v>
          </cell>
          <cell r="BA65" t="str">
            <v xml:space="preserve">Jakarta Jatinegara </v>
          </cell>
        </row>
        <row r="66">
          <cell r="AM66" t="str">
            <v>3219 - Subulussalam</v>
          </cell>
          <cell r="AN66" t="str">
            <v>GMD - Gambian Dalasi</v>
          </cell>
          <cell r="AV66" t="str">
            <v>8102 - Kab. Maluku Tenggara</v>
          </cell>
          <cell r="AX66" t="str">
            <v>Bengkulu Tengah, Kab - 2309</v>
          </cell>
          <cell r="BA66" t="str">
            <v>Jakarta Taman Palem 2</v>
          </cell>
        </row>
        <row r="67">
          <cell r="AM67" t="str">
            <v>0916 - Purbalingga, Kab.</v>
          </cell>
          <cell r="AN67" t="str">
            <v>GNF - Guinea Franc</v>
          </cell>
          <cell r="AV67" t="str">
            <v>6109 - Kab. Luwu</v>
          </cell>
          <cell r="AX67" t="str">
            <v>Bengkulu Utara, Kab. - 2302</v>
          </cell>
          <cell r="BA67" t="str">
            <v>Tangerang BSD</v>
          </cell>
        </row>
        <row r="68">
          <cell r="AM68" t="str">
            <v>0917 - Banjarnegara, Kab.</v>
          </cell>
          <cell r="AN68" t="str">
            <v>GNS - Guinea Franc/Guinea Syli</v>
          </cell>
          <cell r="AV68" t="str">
            <v>6110 - Kab. Sinjai</v>
          </cell>
          <cell r="AX68" t="str">
            <v>Bengkulu, Kota. - 2391</v>
          </cell>
          <cell r="BA68" t="str">
            <v>Tangerang BSD</v>
          </cell>
        </row>
        <row r="69">
          <cell r="AM69" t="str">
            <v>0918 - Magelang, Kab.</v>
          </cell>
          <cell r="AN69" t="str">
            <v>GQE - ekwele</v>
          </cell>
          <cell r="AV69" t="str">
            <v>6111 - Kab. Bulukumba</v>
          </cell>
          <cell r="AX69" t="str">
            <v>Berau, Kab. - 5402</v>
          </cell>
          <cell r="BA69" t="str">
            <v>Semarang MH Thamrin</v>
          </cell>
        </row>
        <row r="70">
          <cell r="AM70" t="str">
            <v>0919 - Temanggung, Kab.</v>
          </cell>
          <cell r="AN70" t="str">
            <v>GRD - Greek Drachma</v>
          </cell>
          <cell r="AV70" t="str">
            <v>6112 - Kab. Bantaeng</v>
          </cell>
          <cell r="AX70" t="str">
            <v>Biak Numfor, Kab. - 8202</v>
          </cell>
          <cell r="BA70" t="str">
            <v>Surabaya Jemur Andayani</v>
          </cell>
        </row>
        <row r="71">
          <cell r="AM71" t="str">
            <v>0920 - Wonosobo, Kab.</v>
          </cell>
          <cell r="AN71" t="str">
            <v>GTQ - Guatemala Quetzal</v>
          </cell>
          <cell r="AV71" t="str">
            <v>6113 - Kab. Jeneponto</v>
          </cell>
          <cell r="AX71" t="str">
            <v>Bima, Kab. - 7105</v>
          </cell>
        </row>
        <row r="72">
          <cell r="AM72" t="str">
            <v>0921 - Purworejo, Kab.</v>
          </cell>
          <cell r="AN72" t="str">
            <v>GWP - Guinea-Bissau Peso</v>
          </cell>
          <cell r="AV72" t="str">
            <v>6114 - Kab. Selayar</v>
          </cell>
          <cell r="AX72" t="str">
            <v>Binjai, Kota. - 3392</v>
          </cell>
        </row>
        <row r="73">
          <cell r="AM73" t="str">
            <v>0922 - Kebumen, Kab.</v>
          </cell>
          <cell r="AN73" t="str">
            <v>GYD - Guyana Dollar</v>
          </cell>
          <cell r="AV73" t="str">
            <v>6115 - Kab. Takalar</v>
          </cell>
          <cell r="AX73" t="str">
            <v>Bintan, Kab (d/h Kab. Kepulauan Riau - 3804</v>
          </cell>
        </row>
        <row r="74">
          <cell r="AM74" t="str">
            <v>0923 - Klaten, Kab.</v>
          </cell>
          <cell r="AN74" t="str">
            <v>HKD - Hong Kong Dollar</v>
          </cell>
          <cell r="AV74" t="str">
            <v>6116 - Kab. Barru</v>
          </cell>
          <cell r="AX74" t="str">
            <v>Bitung, Kota. - 6293</v>
          </cell>
        </row>
        <row r="75">
          <cell r="AM75" t="str">
            <v>0924 - Boyolali, Kab.</v>
          </cell>
          <cell r="AN75" t="str">
            <v>HNL - Honduras Lempira</v>
          </cell>
          <cell r="AV75" t="str">
            <v>6117 - Kab. Sidenreng Rappang</v>
          </cell>
          <cell r="AX75" t="str">
            <v>Blitar, Kab. - 1221</v>
          </cell>
        </row>
        <row r="76">
          <cell r="AM76" t="str">
            <v>0925 - Sragen, Kab.</v>
          </cell>
          <cell r="AN76" t="str">
            <v>HRD - Croatian Dinar</v>
          </cell>
          <cell r="AV76" t="str">
            <v>6118 - Kab. Pangkajene Kepulauan</v>
          </cell>
          <cell r="AX76" t="str">
            <v>Blitar, Kota. - 1296</v>
          </cell>
        </row>
        <row r="77">
          <cell r="AM77" t="str">
            <v>0926 - Sukoharjo, Kab.</v>
          </cell>
          <cell r="AN77" t="str">
            <v>HRK - Croatian Kuna</v>
          </cell>
          <cell r="AV77" t="str">
            <v>6119 - Kab. Soppeng (d/h Watansoppeng)</v>
          </cell>
          <cell r="AX77" t="str">
            <v>Blora, Kab. - 0913</v>
          </cell>
        </row>
        <row r="78">
          <cell r="AM78" t="str">
            <v>0927 - Karanganyar, Kab.</v>
          </cell>
          <cell r="AN78" t="str">
            <v>HTG - Haiti Gourde</v>
          </cell>
          <cell r="AV78" t="str">
            <v>6121 - Kab. Enrekang</v>
          </cell>
          <cell r="AX78" t="str">
            <v>Bogor, Kab. - 0108</v>
          </cell>
        </row>
        <row r="79">
          <cell r="AM79" t="str">
            <v>0928 - Wonogiri, Kab.</v>
          </cell>
          <cell r="AN79" t="str">
            <v>HUF - Hungarian Forint</v>
          </cell>
          <cell r="AV79" t="str">
            <v>6122 - Kab. Luwu Timur (d/h Luwu Selatan)</v>
          </cell>
          <cell r="AX79" t="str">
            <v>Bogor, Kota. - 0192</v>
          </cell>
        </row>
        <row r="80">
          <cell r="AM80" t="str">
            <v>0929 - Batang, Kab.</v>
          </cell>
          <cell r="AN80" t="str">
            <v>IDR - Indonesian Rupiah</v>
          </cell>
          <cell r="AV80" t="str">
            <v>6124 - Kab. Luwu Utara</v>
          </cell>
          <cell r="AX80" t="str">
            <v>Bojonegoro, Kab. - 1227</v>
          </cell>
        </row>
        <row r="81">
          <cell r="AM81" t="str">
            <v>3291 - Banda Aceh, Kota.</v>
          </cell>
          <cell r="AN81" t="str">
            <v>IEP - Irish Punt</v>
          </cell>
          <cell r="AV81" t="str">
            <v>8103 - Kab. Maluku Tenggara Barat</v>
          </cell>
          <cell r="AX81" t="str">
            <v>Bolaang Mongondow Selatan, Kab - 6212</v>
          </cell>
        </row>
        <row r="82">
          <cell r="AM82" t="str">
            <v>3292 - Sabang, Kota.</v>
          </cell>
          <cell r="AN82" t="str">
            <v>ILS - Israeli Shekel</v>
          </cell>
          <cell r="AV82" t="str">
            <v>8104 - Kab Buru</v>
          </cell>
          <cell r="AX82" t="str">
            <v>Bolaang Mongondow Timur, Kab - 6213</v>
          </cell>
        </row>
        <row r="83">
          <cell r="AM83" t="str">
            <v>0991 - Semarang, Kota.</v>
          </cell>
          <cell r="AN83" t="str">
            <v>INR - Indian Rupee</v>
          </cell>
          <cell r="AV83" t="str">
            <v>6125 - Kab. Toraja Utara</v>
          </cell>
          <cell r="AX83" t="str">
            <v>Bolaang Mongondow, Kab. - 6203</v>
          </cell>
        </row>
        <row r="84">
          <cell r="AM84" t="str">
            <v>0992 - Salatiga, Kota.</v>
          </cell>
          <cell r="AN84" t="str">
            <v>IQD - Iraqi Dinar</v>
          </cell>
          <cell r="AV84" t="str">
            <v>6191 - Kota Makassar</v>
          </cell>
          <cell r="AX84" t="str">
            <v>Bolaang Mongoundow Utara, Kab. - 6210</v>
          </cell>
        </row>
        <row r="85">
          <cell r="AM85" t="str">
            <v>0993 - Pekalongan, Kota.</v>
          </cell>
          <cell r="AN85" t="str">
            <v>IRR - Iranian Rial</v>
          </cell>
          <cell r="AV85" t="str">
            <v>6192 - Kota Pare-Pare</v>
          </cell>
          <cell r="AX85" t="str">
            <v>Bombana, Kab. - 6908</v>
          </cell>
        </row>
        <row r="86">
          <cell r="AM86" t="str">
            <v>0994 - Tegal, Kota.</v>
          </cell>
          <cell r="AN86" t="str">
            <v>ISK - Icelandic Krona</v>
          </cell>
          <cell r="AV86" t="str">
            <v>6193 - Kota Palopo</v>
          </cell>
          <cell r="AX86" t="str">
            <v>Bondowoso, Kab. - 1209</v>
          </cell>
        </row>
        <row r="87">
          <cell r="AM87" t="str">
            <v>0995 - Magelang, Kota.</v>
          </cell>
          <cell r="AN87" t="str">
            <v>ISS - Israeli Shekel</v>
          </cell>
          <cell r="AV87" t="str">
            <v>6202 - Kab. Minahasa</v>
          </cell>
          <cell r="AX87" t="str">
            <v>Bone, Kab. - 6105</v>
          </cell>
        </row>
        <row r="88">
          <cell r="AM88" t="str">
            <v>0996 - Surakarta, Kota.</v>
          </cell>
          <cell r="AN88" t="str">
            <v>ITL - Italian Lira</v>
          </cell>
          <cell r="AV88" t="str">
            <v>6203 - Kab. Bolaang Mongondow</v>
          </cell>
          <cell r="AX88" t="str">
            <v>Bonebolango, Kab. - 6303</v>
          </cell>
        </row>
        <row r="89">
          <cell r="AM89" t="str">
            <v>1201 - Gresik, Kab.</v>
          </cell>
          <cell r="AN89" t="str">
            <v>JMD - Jamaican Dollar</v>
          </cell>
          <cell r="AV89" t="str">
            <v>6204 - Kab. Kepulauan Sangihe</v>
          </cell>
          <cell r="AX89" t="str">
            <v>Bontang, Kota. - 5494</v>
          </cell>
        </row>
        <row r="90">
          <cell r="AM90" t="str">
            <v>1202 - Sidoarjo, Kab.</v>
          </cell>
          <cell r="AN90" t="str">
            <v>JOD - Jordanian Dinar</v>
          </cell>
          <cell r="AV90" t="str">
            <v>6205 - Kab. kepulauan Talaud</v>
          </cell>
          <cell r="AX90" t="str">
            <v>Boven Digoel, Kab. - 8226</v>
          </cell>
        </row>
        <row r="91">
          <cell r="AM91" t="str">
            <v>1203 - Mojokerto, Kab.</v>
          </cell>
          <cell r="AN91" t="str">
            <v>JPY - Japanese Yen</v>
          </cell>
          <cell r="AV91" t="str">
            <v>6206 - Kab. Minahasa Selatan</v>
          </cell>
          <cell r="AX91" t="str">
            <v>Boyolali, Kab. - 0924</v>
          </cell>
        </row>
        <row r="92">
          <cell r="AM92" t="str">
            <v>1204 - Jombang, Kab.</v>
          </cell>
          <cell r="AN92" t="str">
            <v>KES - Kenyan Shilling</v>
          </cell>
          <cell r="AV92" t="str">
            <v>6207 - Kab. Minahasa Utara</v>
          </cell>
          <cell r="AX92" t="str">
            <v>Brebes, Kab. - 0907</v>
          </cell>
        </row>
        <row r="93">
          <cell r="AM93" t="str">
            <v>1205 - Sampang, Kab.</v>
          </cell>
          <cell r="AN93" t="str">
            <v>KGS - Kyrgyzstan Som</v>
          </cell>
          <cell r="AV93" t="str">
            <v>6209 - Kab. Minahasa Tenggara</v>
          </cell>
          <cell r="AX93" t="str">
            <v>Bualemo, Kab. - 6302</v>
          </cell>
        </row>
        <row r="94">
          <cell r="AM94" t="str">
            <v>1206 - Pamekasan, Kab.</v>
          </cell>
          <cell r="AN94" t="str">
            <v>KHR - Cambodia Riel</v>
          </cell>
          <cell r="AV94" t="str">
            <v>6210 - Kab. Bolaang Mongondow Utara</v>
          </cell>
          <cell r="AX94" t="str">
            <v>Bukittinggi, Kota. - 3491</v>
          </cell>
        </row>
        <row r="95">
          <cell r="AM95" t="str">
            <v>1207 - Sumenep, Kab.</v>
          </cell>
          <cell r="AN95" t="str">
            <v>KMF - Comoros Franc</v>
          </cell>
          <cell r="AV95" t="str">
            <v>6211 - Kab. Kepulauan Sitaro</v>
          </cell>
          <cell r="AX95" t="str">
            <v>Buleleng, Kab. - 7201</v>
          </cell>
        </row>
        <row r="96">
          <cell r="AM96" t="str">
            <v>1208 - Bangkalan, Kab.</v>
          </cell>
          <cell r="AN96" t="str">
            <v>KPW - North Korean Won</v>
          </cell>
          <cell r="AV96" t="str">
            <v>6212 - Kab. Bolaang Mongondow Selatan</v>
          </cell>
          <cell r="AX96" t="str">
            <v>Bulukumba, Kab. - 6111</v>
          </cell>
        </row>
        <row r="97">
          <cell r="AM97" t="str">
            <v>1209 - Bondowoso, Kab.</v>
          </cell>
          <cell r="AN97" t="str">
            <v>KRW - Korean Won</v>
          </cell>
          <cell r="AV97" t="str">
            <v>6213 - Kab. Bolaang Mongondow Timur</v>
          </cell>
          <cell r="AX97" t="str">
            <v>Bulungan, Kab. - 5404</v>
          </cell>
        </row>
        <row r="98">
          <cell r="AM98" t="str">
            <v>1211 - Banyuwangi, Kab.</v>
          </cell>
          <cell r="AN98" t="str">
            <v>KTS - Kazakhstan Tenge</v>
          </cell>
          <cell r="AV98" t="str">
            <v>6291 - Kota Menado</v>
          </cell>
          <cell r="AX98" t="str">
            <v>Bungo, Kab - 3112</v>
          </cell>
        </row>
        <row r="99">
          <cell r="AM99" t="str">
            <v>1212 - Jember, Kab.</v>
          </cell>
          <cell r="AN99" t="str">
            <v>KWD - Kuwaiti Dinar</v>
          </cell>
          <cell r="AV99" t="str">
            <v>6292 - Kota Kotamobagu</v>
          </cell>
          <cell r="AX99" t="str">
            <v>Buol, Kab. - 6007</v>
          </cell>
        </row>
        <row r="100">
          <cell r="AM100" t="str">
            <v>3293 - Lhokseumawe, Kota.</v>
          </cell>
          <cell r="AN100" t="str">
            <v>KYD - Cayman Islands Dollar</v>
          </cell>
          <cell r="AV100" t="str">
            <v>3615 - Kab. Ogan Komeing Ulu Timur</v>
          </cell>
          <cell r="AX100" t="str">
            <v>Buru Selatan, Kab - 8109</v>
          </cell>
        </row>
        <row r="101">
          <cell r="AM101" t="str">
            <v>3215 - Nagan Raya, Kab.</v>
          </cell>
          <cell r="AN101" t="str">
            <v>KYS - Kyrgyzstan Som</v>
          </cell>
          <cell r="AV101" t="str">
            <v>7419 - Kab. Nagekeo</v>
          </cell>
          <cell r="AX101" t="str">
            <v>Buru, Kab - 8104</v>
          </cell>
        </row>
        <row r="102">
          <cell r="AM102" t="str">
            <v>1213 - Malang, Kab.</v>
          </cell>
          <cell r="AN102" t="str">
            <v>KZT - Kazakhstan Tenge</v>
          </cell>
          <cell r="AV102" t="str">
            <v>6293 - Kota Bitung</v>
          </cell>
          <cell r="AX102" t="str">
            <v>Buton Utara, Kab. - 6910</v>
          </cell>
        </row>
        <row r="103">
          <cell r="AM103" t="str">
            <v>1214 - Pasuruan, Kab.</v>
          </cell>
          <cell r="AN103" t="str">
            <v>LAK - Laos New Kip</v>
          </cell>
          <cell r="AV103" t="str">
            <v>6294 - Kota. Tomohon</v>
          </cell>
          <cell r="AX103" t="str">
            <v>Buton, Kab. - 6901</v>
          </cell>
        </row>
        <row r="104">
          <cell r="AM104" t="str">
            <v>1215 - Probolinggo, Kab.</v>
          </cell>
          <cell r="AN104" t="str">
            <v>LBP - Lebanese Pound</v>
          </cell>
          <cell r="AV104" t="str">
            <v>6301 - Kab. Gorontalo</v>
          </cell>
          <cell r="AX104" t="str">
            <v>Ciamis, Kab. - 0115</v>
          </cell>
        </row>
        <row r="105">
          <cell r="AM105" t="str">
            <v>1216 - Lumajang, Kab.</v>
          </cell>
          <cell r="AN105" t="str">
            <v>LKR - Sri Langka Rupee</v>
          </cell>
          <cell r="AV105" t="str">
            <v>6302 - Kab. Bualemo</v>
          </cell>
          <cell r="AX105" t="str">
            <v>Cianjur, Kab. - 0110</v>
          </cell>
        </row>
        <row r="106">
          <cell r="AM106" t="str">
            <v>1217 - Kediri, Kab.</v>
          </cell>
          <cell r="AN106" t="str">
            <v>LRD - Liberian Dollar</v>
          </cell>
          <cell r="AV106" t="str">
            <v>6303 - Kab. Bonebolango</v>
          </cell>
          <cell r="AX106" t="str">
            <v>Cilacap, Kab. - 0915</v>
          </cell>
        </row>
        <row r="107">
          <cell r="AM107" t="str">
            <v>1218 - Nganjuk, Kab.</v>
          </cell>
          <cell r="AN107" t="str">
            <v>LSL - Loti Lesotho</v>
          </cell>
          <cell r="AV107" t="str">
            <v>6304 - Kab. Pohuwato</v>
          </cell>
          <cell r="AX107" t="str">
            <v>Cilegon, Kota. - 0291</v>
          </cell>
        </row>
        <row r="108">
          <cell r="AM108" t="str">
            <v>1219 - Tulungagung, Kab.</v>
          </cell>
          <cell r="AN108" t="str">
            <v>LSM - Lesotho Maloti</v>
          </cell>
          <cell r="AV108" t="str">
            <v>6305 - Kab. Gorontalo Utara</v>
          </cell>
          <cell r="AX108" t="str">
            <v>Cimahi, Kota. - 0196</v>
          </cell>
        </row>
        <row r="109">
          <cell r="AM109" t="str">
            <v>1220 - Trenggalek, Kab.</v>
          </cell>
          <cell r="AN109" t="str">
            <v>LTL - Lithuanian Litas</v>
          </cell>
          <cell r="AV109" t="str">
            <v>6391 - Kota Gorontalo</v>
          </cell>
          <cell r="AX109" t="str">
            <v>Cirebon, Kab. - 0116</v>
          </cell>
        </row>
        <row r="110">
          <cell r="AM110" t="str">
            <v>1221 - Blitar, Kab.</v>
          </cell>
          <cell r="AN110" t="str">
            <v>LTT - Litas</v>
          </cell>
          <cell r="AV110" t="str">
            <v>6401 - Kab. Polewali Mandar</v>
          </cell>
          <cell r="AX110" t="str">
            <v>Cirebon, Kota. - 0194</v>
          </cell>
        </row>
        <row r="111">
          <cell r="AM111" t="str">
            <v>1222 - Madiun, Kab.</v>
          </cell>
          <cell r="AN111" t="str">
            <v>LUF - Luxembourg Franc</v>
          </cell>
          <cell r="AV111" t="str">
            <v>6402 - Kab. Majene</v>
          </cell>
          <cell r="AX111" t="str">
            <v>Dairi, Kab. - 3307</v>
          </cell>
        </row>
        <row r="112">
          <cell r="AM112" t="str">
            <v>3294 - Langsa, Kota.</v>
          </cell>
          <cell r="AN112" t="str">
            <v>LVL - Latvian Lats</v>
          </cell>
          <cell r="AV112" t="str">
            <v>3616 - Kab. Ogan Ilir</v>
          </cell>
          <cell r="AX112" t="str">
            <v>Deiyai, Kab - 8240</v>
          </cell>
        </row>
        <row r="113">
          <cell r="AM113" t="str">
            <v>1223 - Ngawi, Kab.</v>
          </cell>
          <cell r="AN113" t="str">
            <v>LVR - Latvian Rouble</v>
          </cell>
          <cell r="AV113" t="str">
            <v>6403 - Kab. Mamasa</v>
          </cell>
          <cell r="AX113" t="str">
            <v>Deli Serdang, Kab. - 3301</v>
          </cell>
        </row>
        <row r="114">
          <cell r="AM114" t="str">
            <v>1224 - Magetan, Kab.</v>
          </cell>
          <cell r="AN114" t="str">
            <v>LYD - Libyan Dinar</v>
          </cell>
          <cell r="AV114" t="str">
            <v>6404 - Kab. Mamuju Utara</v>
          </cell>
          <cell r="AX114" t="str">
            <v>Demak, Kab. - 0903</v>
          </cell>
        </row>
        <row r="115">
          <cell r="AM115" t="str">
            <v>1225 - Ponorogo, Kab.</v>
          </cell>
          <cell r="AN115" t="str">
            <v>MAD - Morrocoan Dirham</v>
          </cell>
          <cell r="AV115" t="str">
            <v>6491 - Kota Mamuju</v>
          </cell>
          <cell r="AX115" t="str">
            <v>Denpasar, Kota. - 7291</v>
          </cell>
        </row>
        <row r="116">
          <cell r="AM116" t="str">
            <v>1226 - Pacitan, Kab.</v>
          </cell>
          <cell r="AN116" t="str">
            <v>MDL - Moldova Lei</v>
          </cell>
          <cell r="AV116" t="str">
            <v>6901 - Kab. Buton</v>
          </cell>
          <cell r="AX116" t="str">
            <v>Depok, Kota. - 0197</v>
          </cell>
        </row>
        <row r="117">
          <cell r="AM117" t="str">
            <v>1227 - Bojonegoro, Kab.</v>
          </cell>
          <cell r="AN117" t="str">
            <v>MGF - Madagascar Franc</v>
          </cell>
          <cell r="AV117" t="str">
            <v>6903 - Kab. Muna</v>
          </cell>
          <cell r="AX117" t="str">
            <v>Dharmasraya, Kab. - 3411</v>
          </cell>
        </row>
        <row r="118">
          <cell r="AM118" t="str">
            <v>1228 - Tuban, Kab.</v>
          </cell>
          <cell r="AN118" t="str">
            <v>MKD - Macedonian Denar</v>
          </cell>
          <cell r="AV118" t="str">
            <v>6904 - Kab. Kolaka</v>
          </cell>
          <cell r="AX118" t="str">
            <v>DI  LUAR  INDONESIA - 9999</v>
          </cell>
        </row>
        <row r="119">
          <cell r="AM119" t="str">
            <v>1229 - Lamongan, Kab.</v>
          </cell>
          <cell r="AN119" t="str">
            <v>MLF - Malian Franc</v>
          </cell>
          <cell r="AV119" t="str">
            <v>6905 - Kab. Wakatobi</v>
          </cell>
          <cell r="AX119" t="str">
            <v>Dogiyai, Kab. - 8233</v>
          </cell>
        </row>
        <row r="120">
          <cell r="AM120" t="str">
            <v>1230 - Situbondo, Kab.</v>
          </cell>
          <cell r="AN120" t="str">
            <v>MMK - Myanmar Kyat</v>
          </cell>
          <cell r="AV120" t="str">
            <v>6906 - Kab. Konawe</v>
          </cell>
          <cell r="AX120" t="str">
            <v>Dompu, Kab. - 7106</v>
          </cell>
        </row>
        <row r="121">
          <cell r="AM121" t="str">
            <v>1271 - Batu, Kota.</v>
          </cell>
          <cell r="AN121" t="str">
            <v>MNT - Mongolia Tugrik</v>
          </cell>
          <cell r="AV121" t="str">
            <v>6907 - Kab. Konawe Selatan</v>
          </cell>
          <cell r="AX121" t="str">
            <v>Donggala, Kab. - 6001</v>
          </cell>
        </row>
        <row r="122">
          <cell r="AM122" t="str">
            <v>1291 - Surabaya, Kota.</v>
          </cell>
          <cell r="AN122" t="str">
            <v>MOP - Macau Pataca</v>
          </cell>
          <cell r="AV122" t="str">
            <v>6908 - Kab. Bombana</v>
          </cell>
          <cell r="AX122" t="str">
            <v>Dumai, Kota. - 3592</v>
          </cell>
        </row>
        <row r="123">
          <cell r="AM123" t="str">
            <v>1292 - Mojokerto, Kota.</v>
          </cell>
          <cell r="AN123" t="str">
            <v>MRO - Mauritania Ouguiya</v>
          </cell>
          <cell r="AV123" t="str">
            <v>6909 - Kab. Kolaka Utara</v>
          </cell>
          <cell r="AX123" t="str">
            <v>Empat Lawang - 3617</v>
          </cell>
        </row>
        <row r="124">
          <cell r="AM124" t="str">
            <v>1293 - Malang, Kota.</v>
          </cell>
          <cell r="AN124" t="str">
            <v>MTL - Maltese Lira</v>
          </cell>
          <cell r="AV124" t="str">
            <v>6910 - Kab. Buton Utara</v>
          </cell>
          <cell r="AX124" t="str">
            <v>Ende, Kab. - 7408</v>
          </cell>
        </row>
        <row r="125">
          <cell r="AM125" t="str">
            <v>1294 - Pasuruan, Kota.</v>
          </cell>
          <cell r="AN125" t="str">
            <v>MUR - Maurutius Rupee</v>
          </cell>
          <cell r="AV125" t="str">
            <v>6911 - Kab. Konawe Utara</v>
          </cell>
          <cell r="AX125" t="str">
            <v>Enrekang, Kab. - 6121</v>
          </cell>
        </row>
        <row r="126">
          <cell r="AM126" t="str">
            <v>1295 - Probolinggo, Kota.</v>
          </cell>
          <cell r="AN126" t="str">
            <v>MVR - Maldives Rufiyaa</v>
          </cell>
          <cell r="AV126" t="str">
            <v>6990 - Kota Bau-Bau</v>
          </cell>
          <cell r="AX126" t="str">
            <v>Fak-Fak, Kab. - 8402</v>
          </cell>
        </row>
        <row r="127">
          <cell r="AM127" t="str">
            <v>1296 - Blitar, Kota.</v>
          </cell>
          <cell r="AN127" t="str">
            <v>MVS - Moldova Leu</v>
          </cell>
          <cell r="AV127" t="str">
            <v>6991 - Kota Kendari</v>
          </cell>
          <cell r="AX127" t="str">
            <v>Flores Timur, Kab. - 7406</v>
          </cell>
        </row>
        <row r="128">
          <cell r="AM128" t="str">
            <v>1297 - Kediri, Kota.</v>
          </cell>
          <cell r="AN128" t="str">
            <v>MWK - Malawi Kwacha</v>
          </cell>
          <cell r="AV128" t="str">
            <v>7101 - Kab. Lombok Barat</v>
          </cell>
          <cell r="AX128" t="str">
            <v>Garut, Kab. - 0114</v>
          </cell>
        </row>
        <row r="129">
          <cell r="AM129" t="str">
            <v>1298 - Madiun, Kota.</v>
          </cell>
          <cell r="AN129" t="str">
            <v>MXN - Mexican New Peso</v>
          </cell>
          <cell r="AV129" t="str">
            <v>7102 - Kab. Lombok Tengah</v>
          </cell>
          <cell r="AX129" t="str">
            <v>Gayo Luwes, Kab. - 3212</v>
          </cell>
        </row>
        <row r="130">
          <cell r="AM130" t="str">
            <v>2301 - Bengkulu Selatan, Kab.</v>
          </cell>
          <cell r="AN130" t="str">
            <v>MYR - Malaysian Ringgit</v>
          </cell>
          <cell r="AV130" t="str">
            <v>7103 - Kab. Lombok Timur</v>
          </cell>
          <cell r="AX130" t="str">
            <v>Gianyar, Kab. - 7205</v>
          </cell>
        </row>
        <row r="131">
          <cell r="AM131" t="str">
            <v>2302 - Bengkulu Utara, Kab.</v>
          </cell>
          <cell r="AN131" t="str">
            <v>MZM - Mozambique Metical</v>
          </cell>
          <cell r="AV131" t="str">
            <v>7104 - Kab. Sumbawa</v>
          </cell>
          <cell r="AX131" t="str">
            <v>Gorontalo Utara, Kab. - 6305</v>
          </cell>
        </row>
        <row r="132">
          <cell r="AM132" t="str">
            <v>2303 - Rejang Lebong, Kab.</v>
          </cell>
          <cell r="AN132" t="str">
            <v>N11 - Lainnya atau sandi yang telah ditentukan</v>
          </cell>
          <cell r="AV132" t="str">
            <v>7105 - Kab. Bima</v>
          </cell>
          <cell r="AX132" t="str">
            <v>Gorontalo, Kab. - 6301</v>
          </cell>
        </row>
        <row r="133">
          <cell r="AM133" t="str">
            <v>2304 - Lebong, Kab</v>
          </cell>
          <cell r="AN133" t="str">
            <v>NAD - Namibia Dollar</v>
          </cell>
          <cell r="AV133" t="str">
            <v>7106 - Kab. Dompu</v>
          </cell>
          <cell r="AX133" t="str">
            <v>Gorontalo, Kota. - 6391</v>
          </cell>
        </row>
        <row r="134">
          <cell r="AM134" t="str">
            <v>2305 - Kepahiang, Kab</v>
          </cell>
          <cell r="AN134" t="str">
            <v>NGN - Nigeria Naira</v>
          </cell>
          <cell r="AV134" t="str">
            <v>7107 - Kab. Sumbawa Barat</v>
          </cell>
          <cell r="AX134" t="str">
            <v>Gowa, Kab. - 6102</v>
          </cell>
        </row>
        <row r="135">
          <cell r="AM135" t="str">
            <v>2306 - Mukomuko, Kab</v>
          </cell>
          <cell r="AN135" t="str">
            <v>NIC - Nicaragua Cordoba</v>
          </cell>
          <cell r="AV135" t="str">
            <v>7108 - Kab. Lombok Utara</v>
          </cell>
          <cell r="AX135" t="str">
            <v>Gresik, Kab. - 1201</v>
          </cell>
        </row>
        <row r="136">
          <cell r="AM136" t="str">
            <v>2307 - Seluma, Kab</v>
          </cell>
          <cell r="AN136" t="str">
            <v>NIO - Nicaragua Cordoba Oro</v>
          </cell>
          <cell r="AV136" t="str">
            <v>7191 - Kota Mataram</v>
          </cell>
          <cell r="AX136" t="str">
            <v>Grobogan, Kab. - 0904</v>
          </cell>
        </row>
        <row r="137">
          <cell r="AM137" t="str">
            <v>2308 - Kaur, Kab</v>
          </cell>
          <cell r="AN137" t="str">
            <v>NLG - Netherlands Guilder/ Gulden/Florin</v>
          </cell>
          <cell r="AV137" t="str">
            <v>7192 - Kota. Bima</v>
          </cell>
          <cell r="AX137" t="str">
            <v>Gunung Kidul, Kab. - 0503</v>
          </cell>
        </row>
        <row r="138">
          <cell r="AM138" t="str">
            <v>2309 - Kab. Bengkulu Tengah</v>
          </cell>
          <cell r="AN138" t="str">
            <v>NOK - Norwegian Krone</v>
          </cell>
          <cell r="AV138" t="str">
            <v>7201 - Kab. Buleleng</v>
          </cell>
          <cell r="AX138" t="str">
            <v>Gunung Mas, Kab. - 5807</v>
          </cell>
        </row>
        <row r="139">
          <cell r="AM139" t="str">
            <v>2391 - Bengkulu, Kota.</v>
          </cell>
          <cell r="AN139" t="str">
            <v>NPR - Nepalese Rupee</v>
          </cell>
          <cell r="AV139" t="str">
            <v>7202 - Kab. Jembrana</v>
          </cell>
          <cell r="AX139" t="str">
            <v>Halmahera Barat, Kab. - 8305</v>
          </cell>
        </row>
        <row r="140">
          <cell r="AM140" t="str">
            <v>3101 - Batanghari, Kab.</v>
          </cell>
          <cell r="AN140" t="str">
            <v>NZD - New Zealand Dollar</v>
          </cell>
          <cell r="AV140" t="str">
            <v>7203 - Kab. Tabanan</v>
          </cell>
          <cell r="AX140" t="str">
            <v>Halmahera Selatan, Kab. - 8306</v>
          </cell>
        </row>
        <row r="141">
          <cell r="AM141" t="str">
            <v>3104 - Sarolangun, Kab.</v>
          </cell>
          <cell r="AN141" t="str">
            <v>OMR - Omani Rial</v>
          </cell>
          <cell r="AV141" t="str">
            <v>7204 - Kab. Badung</v>
          </cell>
          <cell r="AX141" t="str">
            <v>Halmahera Tengah, Kab. - 8302</v>
          </cell>
        </row>
        <row r="142">
          <cell r="AM142" t="str">
            <v>3105 - Kerinci, Kab.</v>
          </cell>
          <cell r="AN142" t="str">
            <v>PAB - Panamanian Balboa</v>
          </cell>
          <cell r="AV142" t="str">
            <v>7205 - Kab. Gianyar</v>
          </cell>
          <cell r="AX142" t="str">
            <v>Halmahera Timur, Kab. - 8304</v>
          </cell>
        </row>
        <row r="143">
          <cell r="AM143" t="str">
            <v>3106 - Muaro Jambi, Kab.</v>
          </cell>
          <cell r="AN143" t="str">
            <v>PEI - Inti</v>
          </cell>
          <cell r="AV143" t="str">
            <v>7206 - Kab. Klungkung</v>
          </cell>
          <cell r="AX143" t="str">
            <v>Halmahera Utara, Kab. - 8303</v>
          </cell>
        </row>
        <row r="144">
          <cell r="AM144" t="str">
            <v>3107 - Tanjung Jabung Barat, Kab.</v>
          </cell>
          <cell r="AN144" t="str">
            <v>PEN - Peruvian Nuevo Sol</v>
          </cell>
          <cell r="AV144" t="str">
            <v>7207 - Kab. Bangli</v>
          </cell>
          <cell r="AX144" t="str">
            <v>Hulu Sungai Selatan, Kab. - 5104</v>
          </cell>
        </row>
        <row r="145">
          <cell r="AM145" t="str">
            <v>3108 - Tanjung Jabung Timur, Kab.</v>
          </cell>
          <cell r="AN145" t="str">
            <v>PGK - Papua New Guinea Kina</v>
          </cell>
          <cell r="AV145" t="str">
            <v>7208 - Kab. Karangasem</v>
          </cell>
          <cell r="AX145" t="str">
            <v>Hulu Sungai Tengah, Kab. - 5105</v>
          </cell>
        </row>
        <row r="146">
          <cell r="AM146" t="str">
            <v>3109 - Tebo, Kab.</v>
          </cell>
          <cell r="AN146" t="str">
            <v>PHP - Philippines Peso</v>
          </cell>
          <cell r="AV146" t="str">
            <v>7291 - Kota Denpasar</v>
          </cell>
          <cell r="AX146" t="str">
            <v>Hulu Sungai Utara, Kab. - 5106</v>
          </cell>
        </row>
        <row r="147">
          <cell r="AM147" t="str">
            <v>3111 - Merangin, Kab.</v>
          </cell>
          <cell r="AN147" t="str">
            <v>PKR - Pakistan Rupee</v>
          </cell>
          <cell r="AV147" t="str">
            <v>7401 - Kab. Kupang</v>
          </cell>
          <cell r="AX147" t="str">
            <v>Humbang Hasundutan, Kab - 3316</v>
          </cell>
        </row>
        <row r="148">
          <cell r="AM148" t="str">
            <v>3112 - Bungo, Kab</v>
          </cell>
          <cell r="AN148" t="str">
            <v>PLN - Polish Zloty/New Zloty</v>
          </cell>
          <cell r="AV148" t="str">
            <v>7402 - Kab. Timor-Tengah Selatan</v>
          </cell>
          <cell r="AX148" t="str">
            <v>Indragiri Hilir, Kab. - 3505</v>
          </cell>
        </row>
        <row r="149">
          <cell r="AM149" t="str">
            <v>3191 - Jambi, Kota.</v>
          </cell>
          <cell r="AN149" t="str">
            <v>PLZ - Zloty</v>
          </cell>
          <cell r="AV149" t="str">
            <v>7403 - Kab. Timor-Tengah Utara</v>
          </cell>
          <cell r="AX149" t="str">
            <v>Indragiri Hulu, Kab. - 3504</v>
          </cell>
        </row>
        <row r="150">
          <cell r="AM150" t="str">
            <v>3192 - Kota Sungai Penuh</v>
          </cell>
          <cell r="AN150" t="str">
            <v>PSS - Peruvian New Sol</v>
          </cell>
          <cell r="AV150" t="str">
            <v>7404 - Kab. Belu</v>
          </cell>
          <cell r="AX150" t="str">
            <v>Indramayu, Kab. - 0118</v>
          </cell>
        </row>
        <row r="151">
          <cell r="AM151" t="str">
            <v>3301 - Deli Serdang, Kab.</v>
          </cell>
          <cell r="AN151" t="str">
            <v>PTE - Portuguese Escudo</v>
          </cell>
          <cell r="AV151" t="str">
            <v>3617 - Kab. Empat Lawang</v>
          </cell>
          <cell r="AX151" t="str">
            <v>Intan Jaya, Kab - 8239</v>
          </cell>
        </row>
        <row r="152">
          <cell r="AM152" t="str">
            <v>3201 - Aceh Besar, Kab.</v>
          </cell>
          <cell r="AN152" t="str">
            <v>PYG - Paraguayan Guarani</v>
          </cell>
          <cell r="AV152" t="str">
            <v>7405 - Kab. Alor</v>
          </cell>
          <cell r="AX152" t="str">
            <v>Jakarta Barat, Wil. Kota - 0393</v>
          </cell>
        </row>
        <row r="153">
          <cell r="AM153" t="str">
            <v>3202 - Pidie, Kab.</v>
          </cell>
          <cell r="AN153" t="str">
            <v>QAR - Qatari Rial</v>
          </cell>
          <cell r="AV153" t="str">
            <v>7406 - Kab. Flores Timur</v>
          </cell>
          <cell r="AX153" t="str">
            <v>Jakarta Pusat, Wil. Kota - 0391</v>
          </cell>
        </row>
        <row r="154">
          <cell r="AM154" t="str">
            <v>3203 - Aceh Utara, Kab.</v>
          </cell>
          <cell r="AN154" t="str">
            <v>ROL - Romanian Leu</v>
          </cell>
          <cell r="AV154" t="str">
            <v>7407 - Kab. Sikka</v>
          </cell>
          <cell r="AX154" t="str">
            <v>Jakarta Selatan, Wil. Kota - 0394</v>
          </cell>
        </row>
        <row r="155">
          <cell r="AM155" t="str">
            <v>3204 - Aceh Timur, Kab.</v>
          </cell>
          <cell r="AN155" t="str">
            <v>RUR - Russian Rouble</v>
          </cell>
          <cell r="AV155" t="str">
            <v>7408 - Kab. Ende</v>
          </cell>
          <cell r="AX155" t="str">
            <v>Jakarta Timur, Wil. Kota - 0395</v>
          </cell>
        </row>
        <row r="156">
          <cell r="AM156" t="str">
            <v>3205 - Aceh Selatan, Kab.</v>
          </cell>
          <cell r="AN156" t="str">
            <v>RWF - Rwanda Franc</v>
          </cell>
          <cell r="AV156" t="str">
            <v>7409 - Kab. Ngada</v>
          </cell>
          <cell r="AX156" t="str">
            <v>Jakarta Utara ., Wil. Kota - 0392</v>
          </cell>
        </row>
        <row r="157">
          <cell r="AM157" t="str">
            <v>3206 - Aceh Barat, Kab.</v>
          </cell>
          <cell r="AN157" t="str">
            <v>SAR - Saudi Riyal</v>
          </cell>
          <cell r="AV157" t="str">
            <v>7410 - Kab. Manggarai</v>
          </cell>
          <cell r="AX157" t="str">
            <v>Jambi, Kota. - 3191</v>
          </cell>
        </row>
        <row r="158">
          <cell r="AM158" t="str">
            <v>3207 - Aceh Tengah, Kab.</v>
          </cell>
          <cell r="AN158" t="str">
            <v>SBD - Solomon Islands Dollar</v>
          </cell>
          <cell r="AV158" t="str">
            <v>7411 - Kab. Sumba Timur</v>
          </cell>
          <cell r="AX158" t="str">
            <v>Jayapura, Kab. - 8201</v>
          </cell>
        </row>
        <row r="159">
          <cell r="AM159" t="str">
            <v>3208 - Aceh Tenggara, Kab.</v>
          </cell>
          <cell r="AN159" t="str">
            <v>SCR - Seychelles Rupee</v>
          </cell>
          <cell r="AV159" t="str">
            <v>7412 - Kab. Sumba Barat</v>
          </cell>
          <cell r="AX159" t="str">
            <v>Jayapura, Kota. - 8291</v>
          </cell>
        </row>
        <row r="160">
          <cell r="AM160" t="str">
            <v>3209 - Aceh Singkil, Kab.</v>
          </cell>
          <cell r="AN160" t="str">
            <v>SDD - Sudanese Dinar</v>
          </cell>
          <cell r="AV160" t="str">
            <v>7413 - Kab. Lembata</v>
          </cell>
          <cell r="AX160" t="str">
            <v>Jayawijaya, Kab. - 8213</v>
          </cell>
        </row>
        <row r="161">
          <cell r="AM161" t="str">
            <v>3210 - Aceh Jeumpa/Bireuen, Kab.</v>
          </cell>
          <cell r="AN161" t="str">
            <v>SDP - Sudanese Pound</v>
          </cell>
          <cell r="AV161" t="str">
            <v>7414 - Kab. Rote</v>
          </cell>
          <cell r="AX161" t="str">
            <v>Jember, Kab. - 1212</v>
          </cell>
        </row>
        <row r="162">
          <cell r="AM162" t="str">
            <v>3211 - Aceh Tamiang, Kab.</v>
          </cell>
          <cell r="AN162" t="str">
            <v>SEK - Swedish Krone</v>
          </cell>
          <cell r="AV162" t="str">
            <v>7415 - Kab. Manggarai Barat</v>
          </cell>
          <cell r="AX162" t="str">
            <v>Jembrana, Kab. - 7202</v>
          </cell>
        </row>
        <row r="163">
          <cell r="AM163" t="str">
            <v>3212 - Gayo Luwes, Kab.</v>
          </cell>
          <cell r="AN163" t="str">
            <v>SGD - Singapore Dollar</v>
          </cell>
          <cell r="AV163" t="str">
            <v>7416 - Kab. Sumba Tengah</v>
          </cell>
          <cell r="AX163" t="str">
            <v>Jeneponto, Kab. - 6113</v>
          </cell>
        </row>
        <row r="164">
          <cell r="AM164" t="str">
            <v>3213 - Aceh Barat Daya, Kab.</v>
          </cell>
          <cell r="AN164" t="str">
            <v>SHP - St. Helena Pound</v>
          </cell>
          <cell r="AV164" t="str">
            <v>7417 - Kab. Sumba Barat Daya</v>
          </cell>
          <cell r="AX164" t="str">
            <v>Jepara, Kab. - 0911</v>
          </cell>
        </row>
        <row r="165">
          <cell r="AM165" t="str">
            <v>3214 - Aceh Jaya, Kab.</v>
          </cell>
          <cell r="AN165" t="str">
            <v>SIT - Slovenia Tolar</v>
          </cell>
          <cell r="AV165" t="str">
            <v>7418 - Kab. Manggarai Timur</v>
          </cell>
          <cell r="AX165" t="str">
            <v>Jombang, Kab. - 1204</v>
          </cell>
        </row>
        <row r="166">
          <cell r="AM166" t="str">
            <v>3324 - Kab. Labuanbatu Selatan</v>
          </cell>
          <cell r="AN166" t="str">
            <v>SKK - Slovakia Koruna</v>
          </cell>
          <cell r="AV166" t="str">
            <v>3903 - Kab. Lampung Utara</v>
          </cell>
          <cell r="AX166" t="str">
            <v>Kaimana, Kab. - 8406</v>
          </cell>
        </row>
        <row r="167">
          <cell r="AM167" t="str">
            <v>3325 - Kab. Labuanbatu Utara</v>
          </cell>
          <cell r="AN167" t="str">
            <v>SLL - Sierra Leone Leone</v>
          </cell>
          <cell r="AV167" t="str">
            <v>3904 - Kab. Lampung Barat</v>
          </cell>
          <cell r="AX167" t="str">
            <v>Kampar, Kab. - 3501</v>
          </cell>
        </row>
        <row r="168">
          <cell r="AM168" t="str">
            <v>3326 - Kab. Nias Barat</v>
          </cell>
          <cell r="AN168" t="str">
            <v>SOS - Somalia Schilling</v>
          </cell>
          <cell r="AV168" t="str">
            <v>3905 - Kab. Tulang Bawang</v>
          </cell>
          <cell r="AX168" t="str">
            <v>Kapuas Hulu, Kab. - 5306</v>
          </cell>
        </row>
        <row r="169">
          <cell r="AM169" t="str">
            <v>3327 - Kab. Nias Utara</v>
          </cell>
          <cell r="AN169" t="str">
            <v>SRD - Surinam Dollar</v>
          </cell>
          <cell r="AV169" t="str">
            <v>3906 - Kab. Tanggamus</v>
          </cell>
          <cell r="AX169" t="str">
            <v>Kapuas, Kab. - 5801</v>
          </cell>
        </row>
        <row r="170">
          <cell r="AM170" t="str">
            <v>3391 - Tebing Tinggi, Kota.</v>
          </cell>
          <cell r="AN170" t="str">
            <v>SRG - Surinam Guilder</v>
          </cell>
          <cell r="AV170" t="str">
            <v>3907 - Kab. Lampung Timur</v>
          </cell>
          <cell r="AX170" t="str">
            <v>Karanganyar, Kab. - 0927</v>
          </cell>
        </row>
        <row r="171">
          <cell r="AM171" t="str">
            <v>3392 - Binjai, Kota.</v>
          </cell>
          <cell r="AN171" t="str">
            <v>STD - Sao Tome Dobra</v>
          </cell>
          <cell r="AV171" t="str">
            <v>3908 - Kab. Way Kanan</v>
          </cell>
          <cell r="AX171" t="str">
            <v>Karangasem, Kab. - 7208</v>
          </cell>
        </row>
        <row r="172">
          <cell r="AM172" t="str">
            <v>3393 - Pematang Siantar, Kota.</v>
          </cell>
          <cell r="AN172" t="str">
            <v>SUR - USSR Rouble</v>
          </cell>
          <cell r="AV172" t="str">
            <v>3909 - Kab. Pesawaran</v>
          </cell>
          <cell r="AX172" t="str">
            <v>Karawang, Kab. - 0106</v>
          </cell>
        </row>
        <row r="173">
          <cell r="AM173" t="str">
            <v>3394 - Tanjung Balai, Kota.</v>
          </cell>
          <cell r="AN173" t="str">
            <v>SVC - El Salvador Colon</v>
          </cell>
          <cell r="AV173" t="str">
            <v>3910 - Kab. Pringsewu</v>
          </cell>
          <cell r="AX173" t="str">
            <v>Karimun, Kab - 3801</v>
          </cell>
        </row>
        <row r="174">
          <cell r="AM174" t="str">
            <v>3395 - Sibolga, Kota.</v>
          </cell>
          <cell r="AN174" t="str">
            <v>SYP - Syrian Pound</v>
          </cell>
          <cell r="AV174" t="str">
            <v>3911 - Kab. Tulang Bawang Barat</v>
          </cell>
          <cell r="AX174" t="str">
            <v>Karo, Kab. - 3303</v>
          </cell>
        </row>
        <row r="175">
          <cell r="AM175" t="str">
            <v>3396 - Medan, Kota.</v>
          </cell>
          <cell r="AN175" t="str">
            <v>SZL - Swaziland Lilangeni</v>
          </cell>
          <cell r="AV175" t="str">
            <v>3912 - Kab. Mesuji</v>
          </cell>
          <cell r="AX175" t="str">
            <v>Katingan, Kab. - 5811</v>
          </cell>
        </row>
        <row r="176">
          <cell r="AM176" t="str">
            <v>3397 - Kota Gunung Sitoli</v>
          </cell>
          <cell r="AN176" t="str">
            <v>THB - Thai Bath</v>
          </cell>
          <cell r="AV176" t="str">
            <v>3991 - Kota Bandar Lampung</v>
          </cell>
          <cell r="AX176" t="str">
            <v>Kaur, Kab - 2308</v>
          </cell>
        </row>
        <row r="177">
          <cell r="AM177" t="str">
            <v>3399 - Padang Sidempuan, Kota.</v>
          </cell>
          <cell r="AN177" t="str">
            <v>TJR - Tajik Ruble</v>
          </cell>
          <cell r="AV177" t="str">
            <v>3992 - Kota Metro</v>
          </cell>
          <cell r="AX177" t="str">
            <v>Kayong Utara, Kab. - 5311</v>
          </cell>
        </row>
        <row r="178">
          <cell r="AM178" t="str">
            <v>3401 - Agam, Kab.</v>
          </cell>
          <cell r="AN178" t="str">
            <v>TJS - Tajikistan Somoni</v>
          </cell>
          <cell r="AV178" t="str">
            <v>5101 - Kab. Banjar</v>
          </cell>
          <cell r="AX178" t="str">
            <v>Kebumen, Kab. - 0922</v>
          </cell>
        </row>
        <row r="179">
          <cell r="AM179" t="str">
            <v>3402 - Pasaman, Kab.</v>
          </cell>
          <cell r="AN179" t="str">
            <v>TMM - Turkmenistan Manat</v>
          </cell>
          <cell r="AV179" t="str">
            <v>5102 - Kab. Tanah Laut</v>
          </cell>
          <cell r="AX179" t="str">
            <v>Kediri, Kab. - 1217</v>
          </cell>
        </row>
        <row r="180">
          <cell r="AM180" t="str">
            <v>3403 - Limapuluh Koto, Kab.</v>
          </cell>
          <cell r="AN180" t="str">
            <v>TND - Tunisian Dinar</v>
          </cell>
          <cell r="AV180" t="str">
            <v>5103 - Kab. Tapin</v>
          </cell>
          <cell r="AX180" t="str">
            <v>Kediri, Kota. - 1297</v>
          </cell>
        </row>
        <row r="181">
          <cell r="AM181" t="str">
            <v>3404 - Solok Selatan, Kab.</v>
          </cell>
          <cell r="AN181" t="str">
            <v>TOP - Tonga Paanga</v>
          </cell>
          <cell r="AV181" t="str">
            <v>5104 - Kab. Hulu Sungai Selatan</v>
          </cell>
          <cell r="AX181" t="str">
            <v>Keerom, Kab. - 8218</v>
          </cell>
        </row>
        <row r="182">
          <cell r="AM182" t="str">
            <v>3405 - Padang Pariaman, Kab.</v>
          </cell>
          <cell r="AN182" t="str">
            <v>TRL - Turkish Lira</v>
          </cell>
          <cell r="AV182" t="str">
            <v>5105 - Kab. Hulu Sungai Tengah</v>
          </cell>
          <cell r="AX182" t="str">
            <v>Kendal, Kab. - 0902</v>
          </cell>
        </row>
        <row r="183">
          <cell r="AM183" t="str">
            <v>3406 - Pesisir Selatan, Kab.</v>
          </cell>
          <cell r="AN183" t="str">
            <v>TTD - Trinidad &amp; Tobago Dollar</v>
          </cell>
          <cell r="AV183" t="str">
            <v>5106 - Kab. Hulu Sungai Utara</v>
          </cell>
          <cell r="AX183" t="str">
            <v>Kendari, Kota. - 6991</v>
          </cell>
        </row>
        <row r="184">
          <cell r="AM184" t="str">
            <v>3407 - Tanah Datar, Kab.</v>
          </cell>
          <cell r="AN184" t="str">
            <v>TWD - Taiwan Dollar</v>
          </cell>
          <cell r="AV184" t="str">
            <v>5107 - Kab. Barito Kuala</v>
          </cell>
          <cell r="AX184" t="str">
            <v>Kepahiang, Kab - 2305</v>
          </cell>
        </row>
        <row r="185">
          <cell r="AM185" t="str">
            <v>3408 - Kab. Sijunjung</v>
          </cell>
          <cell r="AN185" t="str">
            <v>TZS - Tanzanian Shilling</v>
          </cell>
          <cell r="AV185" t="str">
            <v>5108 - Kab. Kota Baru</v>
          </cell>
          <cell r="AX185" t="str">
            <v>Kepulauan Aru, Kota. - 8107</v>
          </cell>
        </row>
        <row r="186">
          <cell r="AM186" t="str">
            <v>3409 - Kepulauan Mentawai, Kab.</v>
          </cell>
          <cell r="AN186" t="str">
            <v>UAH - Ukraine Hryvna</v>
          </cell>
          <cell r="AV186" t="str">
            <v>5109 - Kab. Tabalong</v>
          </cell>
          <cell r="AX186" t="str">
            <v>Kepulauan Mentawai, Kab. - 3409</v>
          </cell>
        </row>
        <row r="187">
          <cell r="AM187" t="str">
            <v>3302 - Langkat, Kab.</v>
          </cell>
          <cell r="AN187" t="str">
            <v>UAK - Ukraine Karbovanet</v>
          </cell>
          <cell r="AV187" t="str">
            <v>3691 - Kota Palembang</v>
          </cell>
          <cell r="AX187" t="str">
            <v>Kepulauan Meranti, Kab - 3513</v>
          </cell>
        </row>
        <row r="188">
          <cell r="AM188" t="str">
            <v>3410 - Pasaman Barat, Kab</v>
          </cell>
          <cell r="AN188" t="str">
            <v>UGS - Ugandan Shilling</v>
          </cell>
          <cell r="AV188" t="str">
            <v>5110 - Kab.Tanah Bumbu</v>
          </cell>
          <cell r="AX188" t="str">
            <v>Kepulauan Seribu, Wilayah - 0396</v>
          </cell>
        </row>
        <row r="189">
          <cell r="AM189" t="str">
            <v>3411 - Dharmasraya, Kab.</v>
          </cell>
          <cell r="AN189" t="str">
            <v>UGX - Ugandan Shilling</v>
          </cell>
          <cell r="AV189" t="str">
            <v>5111 - Kab. Balangan</v>
          </cell>
          <cell r="AX189" t="str">
            <v>Kepulauan Sitaro, Kab. - 6211</v>
          </cell>
        </row>
        <row r="190">
          <cell r="AM190" t="str">
            <v>3412 - Solok, Kab</v>
          </cell>
          <cell r="AN190" t="str">
            <v>USD - US Dollar</v>
          </cell>
          <cell r="AV190" t="str">
            <v>5191 - Kota Banjarmasin</v>
          </cell>
          <cell r="AX190" t="str">
            <v>Kepulauan Sula, Kab. - 8307</v>
          </cell>
        </row>
        <row r="191">
          <cell r="AM191" t="str">
            <v>3491 - Bukittinggi, Kota.</v>
          </cell>
          <cell r="AN191" t="str">
            <v>USP - US Dollar</v>
          </cell>
          <cell r="AV191" t="str">
            <v>5192 - Kota Banjarbaru</v>
          </cell>
          <cell r="AX191" t="str">
            <v>kepulauan Talaud, Kab. - 6205</v>
          </cell>
        </row>
        <row r="192">
          <cell r="AM192" t="str">
            <v>3492 - Padang, Kota.</v>
          </cell>
          <cell r="AN192" t="str">
            <v>UYP - Uruguay Peso</v>
          </cell>
          <cell r="AV192" t="str">
            <v>5301 - Kab. Pontianak</v>
          </cell>
          <cell r="AX192" t="str">
            <v>Kerinci, Kab. - 3105</v>
          </cell>
        </row>
        <row r="193">
          <cell r="AM193" t="str">
            <v>3493 - Sawahlunto, Kota.</v>
          </cell>
          <cell r="AN193" t="str">
            <v>UYU - Uruguay Peso</v>
          </cell>
          <cell r="AV193" t="str">
            <v>5302 - Kab. Sambas</v>
          </cell>
          <cell r="AX193" t="str">
            <v>Ketapang, Kab. - 5303</v>
          </cell>
        </row>
        <row r="194">
          <cell r="AM194" t="str">
            <v>3494 - Padang Panjang, Kota.</v>
          </cell>
          <cell r="AN194" t="str">
            <v>UZS - Uzbekistan Sum</v>
          </cell>
          <cell r="AV194" t="str">
            <v>5303 - Kab. Ketapang</v>
          </cell>
          <cell r="AX194" t="str">
            <v>Klaten, Kab. - 0923</v>
          </cell>
        </row>
        <row r="195">
          <cell r="AM195" t="str">
            <v>3495 - Solok, Kota.</v>
          </cell>
          <cell r="AN195" t="str">
            <v>VEB - Venezuelan Bolivar</v>
          </cell>
          <cell r="AV195" t="str">
            <v>5304 - Kab. Sanggau</v>
          </cell>
          <cell r="AX195" t="str">
            <v>Klungkung, Kab. - 7206</v>
          </cell>
        </row>
        <row r="196">
          <cell r="AM196" t="str">
            <v>3496 - Payakumbuh, Kota.</v>
          </cell>
          <cell r="AN196" t="str">
            <v>VND - Vietnam Dong</v>
          </cell>
          <cell r="AV196" t="str">
            <v>5305 - Kab. Sintang</v>
          </cell>
          <cell r="AX196" t="str">
            <v>Kolaka Utara, Kab. - 6909</v>
          </cell>
        </row>
        <row r="197">
          <cell r="AM197" t="str">
            <v>3497 - Pariaman, Kota.</v>
          </cell>
          <cell r="AN197" t="str">
            <v>VUV - Vanuatu Vatu</v>
          </cell>
          <cell r="AV197" t="str">
            <v>5306 - Kab. Kapuas Hulu</v>
          </cell>
          <cell r="AX197" t="str">
            <v>Kolaka, Kab. - 6904</v>
          </cell>
        </row>
        <row r="198">
          <cell r="AM198" t="str">
            <v>3501 - Kampar, Kab.</v>
          </cell>
          <cell r="AN198" t="str">
            <v>WST - Samoan (West) Tala</v>
          </cell>
          <cell r="AV198" t="str">
            <v>5307 - Kab. Bengkayang</v>
          </cell>
          <cell r="AX198" t="str">
            <v>Konawe Selatan, Kab. - 6907</v>
          </cell>
        </row>
        <row r="199">
          <cell r="AM199" t="str">
            <v>3502 - Bengkalis, Kab.</v>
          </cell>
          <cell r="AN199" t="str">
            <v>XAF - Franc de la Communaute financiere Africaine</v>
          </cell>
          <cell r="AV199" t="str">
            <v>5308 - Kab. Landak</v>
          </cell>
          <cell r="AX199" t="str">
            <v>Konawe Utara, Kab. - 6911</v>
          </cell>
        </row>
        <row r="200">
          <cell r="AM200" t="str">
            <v>3504 - Indragiri Hulu, Kab.</v>
          </cell>
          <cell r="AN200" t="str">
            <v>XAG - Silver</v>
          </cell>
          <cell r="AV200" t="str">
            <v>5309 - Kab. Sekadau</v>
          </cell>
          <cell r="AX200" t="str">
            <v>Konawe, Kab. - 6906</v>
          </cell>
        </row>
        <row r="201">
          <cell r="AM201" t="str">
            <v>3505 - Indragiri Hilir, Kab.</v>
          </cell>
          <cell r="AN201" t="str">
            <v>XAU - Gold</v>
          </cell>
          <cell r="AV201" t="str">
            <v>5310 - Kab. Melawi</v>
          </cell>
          <cell r="AX201" t="str">
            <v>Kota Baru, Kab. - 5108</v>
          </cell>
        </row>
        <row r="202">
          <cell r="AM202" t="str">
            <v>3508 - Rokan Hulu, Kab.</v>
          </cell>
          <cell r="AN202" t="str">
            <v>XCD - East Caribbean Dollar</v>
          </cell>
          <cell r="AV202" t="str">
            <v>5311 - Kab. Kayong Utara</v>
          </cell>
          <cell r="AX202" t="str">
            <v>Kota Gunung Sitoli - 3397</v>
          </cell>
        </row>
        <row r="203">
          <cell r="AM203" t="str">
            <v>3509 - Rokan Hilir, Kab.</v>
          </cell>
          <cell r="AN203" t="str">
            <v>XDR - Special Drawing Right</v>
          </cell>
          <cell r="AV203" t="str">
            <v>5312 - Kab. Kubu Raya</v>
          </cell>
          <cell r="AX203" t="str">
            <v>Kota Sungai Penuh - 3192</v>
          </cell>
        </row>
        <row r="204">
          <cell r="AM204" t="str">
            <v>3510 - Pelalawan, Kab.</v>
          </cell>
          <cell r="AN204" t="str">
            <v>XOF - CFA Franc BCEAO</v>
          </cell>
          <cell r="AV204" t="str">
            <v>5391 - Kota Pontianak</v>
          </cell>
          <cell r="AX204" t="str">
            <v>Kota Tangerang Selatan - 0294</v>
          </cell>
        </row>
        <row r="205">
          <cell r="AM205" t="str">
            <v>3511 - Siak, Kab.</v>
          </cell>
          <cell r="AN205" t="str">
            <v>XPF - Franc Pacific Is.Fran</v>
          </cell>
          <cell r="AV205" t="str">
            <v>5392 - Kota Singkawang</v>
          </cell>
          <cell r="AX205" t="str">
            <v>Kota. Bima - 7192</v>
          </cell>
        </row>
        <row r="206">
          <cell r="AM206" t="str">
            <v>3512 - Kuantan Singingi, Kab.</v>
          </cell>
          <cell r="AN206" t="str">
            <v>YER - Yemeni Rial</v>
          </cell>
          <cell r="AV206" t="str">
            <v>5401 - Kab. Kutai Kartanegara</v>
          </cell>
          <cell r="AX206" t="str">
            <v>Kota. Tomohon - 6294</v>
          </cell>
        </row>
        <row r="207">
          <cell r="AM207" t="str">
            <v>3513 - Kab. Kepulauan Meranti</v>
          </cell>
          <cell r="AN207" t="str">
            <v>YUD - New Dinar</v>
          </cell>
          <cell r="AV207" t="str">
            <v>5402 - Kab. Berau</v>
          </cell>
          <cell r="AX207" t="str">
            <v>Kotamobagu, Kota. - 6292</v>
          </cell>
        </row>
        <row r="208">
          <cell r="AM208" t="str">
            <v>3591 - Pekanbaru, Kota.</v>
          </cell>
          <cell r="AN208" t="str">
            <v>YUN - New Yugoslavian</v>
          </cell>
          <cell r="AV208" t="str">
            <v>5403 - Kab. Pasir</v>
          </cell>
          <cell r="AX208" t="str">
            <v>Kotawaringin Barat, Kab. - 5802</v>
          </cell>
        </row>
        <row r="209">
          <cell r="AM209" t="str">
            <v>3592 - Dumai, Kota.</v>
          </cell>
          <cell r="AN209" t="str">
            <v>ZAL - Rand (South African Rand)</v>
          </cell>
          <cell r="AV209" t="str">
            <v>5404 - Kab. Bulungan</v>
          </cell>
          <cell r="AX209" t="str">
            <v>Kotawaringin Timur, Kab. - 5803</v>
          </cell>
        </row>
        <row r="210">
          <cell r="AM210" t="str">
            <v>3606 - Musi Banyuasin, Kab.</v>
          </cell>
          <cell r="AN210" t="str">
            <v>ZAR - Rand (South African Rand)</v>
          </cell>
          <cell r="AV210" t="str">
            <v>5405 - Kab. Kutai Barat</v>
          </cell>
          <cell r="AX210" t="str">
            <v>Kuantan Singingi, Kab. - 3512</v>
          </cell>
        </row>
        <row r="211">
          <cell r="AM211" t="str">
            <v>3607 - Ogan Komering Ulu, Kab.</v>
          </cell>
          <cell r="AN211" t="str">
            <v>ZMK - Zambian Kwacha</v>
          </cell>
          <cell r="AV211" t="str">
            <v>5406 - Kab. Kutai Timur</v>
          </cell>
          <cell r="AX211" t="str">
            <v>Kubu Raya, Kab. - 5312</v>
          </cell>
        </row>
        <row r="212">
          <cell r="AM212" t="str">
            <v>3608 - Lematang Ilir Ogan Tengah (Muara Enim), Kab.</v>
          </cell>
          <cell r="AN212" t="str">
            <v>ZWD - Zimbabwe Dollar</v>
          </cell>
          <cell r="AV212" t="str">
            <v>5409 - Kab. Nunukan</v>
          </cell>
          <cell r="AX212" t="str">
            <v>Kudus, Kab. - 0909</v>
          </cell>
        </row>
        <row r="213">
          <cell r="AM213" t="str">
            <v>3609 - Lahat, Kab.</v>
          </cell>
          <cell r="AV213" t="str">
            <v>5410 - Kab. Malinau</v>
          </cell>
          <cell r="AX213" t="str">
            <v>Kulon Progo, Kab. - 0504</v>
          </cell>
        </row>
        <row r="214">
          <cell r="AM214" t="str">
            <v>3610 - Musi Rawas, Kab.</v>
          </cell>
          <cell r="AV214" t="str">
            <v>5411 - Kab. Penajam Paser Utara</v>
          </cell>
          <cell r="AX214" t="str">
            <v>Kuningan, Kab. - 0117</v>
          </cell>
        </row>
        <row r="215">
          <cell r="AM215" t="str">
            <v>3611 - Ogan Komering Ilir, Kab.</v>
          </cell>
          <cell r="AV215" t="str">
            <v>5412 - Kab. Tana Tidung</v>
          </cell>
          <cell r="AX215" t="str">
            <v>Kupang, Kab. - 7401</v>
          </cell>
        </row>
        <row r="216">
          <cell r="AM216" t="str">
            <v>3613 - Banyuasin, Kab</v>
          </cell>
          <cell r="AV216" t="str">
            <v>5491 - Kota Samarinda</v>
          </cell>
          <cell r="AX216" t="str">
            <v>Kupang, Kota. - 7491</v>
          </cell>
        </row>
        <row r="217">
          <cell r="AM217" t="str">
            <v>3614 - Ogan Komering Ulu Selatan, Kab</v>
          </cell>
          <cell r="AV217" t="str">
            <v>5492 - Kota Balikpapan</v>
          </cell>
          <cell r="AX217" t="str">
            <v>Kutai Barat, Kab. - 5405</v>
          </cell>
        </row>
        <row r="218">
          <cell r="AM218" t="str">
            <v>3615 - Ogan Komering Ulu Timur, Kab</v>
          </cell>
          <cell r="AV218" t="str">
            <v>5493 - Kota Tarakan</v>
          </cell>
          <cell r="AX218" t="str">
            <v>Kutai Kartanegara, Kab. - 5401</v>
          </cell>
        </row>
        <row r="219">
          <cell r="AM219" t="str">
            <v>3616 - Ogan Ilir, Kab</v>
          </cell>
          <cell r="AV219" t="str">
            <v>5494 - Kota Bontang</v>
          </cell>
          <cell r="AX219" t="str">
            <v>Kutai Timur, Kab. - 5406</v>
          </cell>
        </row>
        <row r="220">
          <cell r="AM220" t="str">
            <v>3303 - Karo, Kab.</v>
          </cell>
          <cell r="AV220" t="str">
            <v>3693 - Kota Lubuklinggau</v>
          </cell>
          <cell r="AX220" t="str">
            <v>Labuanbatu Selatan, Kab - 3324</v>
          </cell>
        </row>
        <row r="221">
          <cell r="AM221" t="str">
            <v>3304 - Simalungun, Kab.</v>
          </cell>
          <cell r="AV221" t="str">
            <v>3694 - Kota Prabumulih</v>
          </cell>
          <cell r="AX221" t="str">
            <v>Labuanbatu Utara, Kab - 3325</v>
          </cell>
        </row>
        <row r="222">
          <cell r="AM222" t="str">
            <v>3617 - Empat Lawang</v>
          </cell>
          <cell r="AV222" t="str">
            <v>5801 - Kab. Kapuas</v>
          </cell>
          <cell r="AX222" t="str">
            <v>Labuhan Batu, Kab. - 3305</v>
          </cell>
        </row>
        <row r="223">
          <cell r="AM223" t="str">
            <v>3691 - Palembang, Kota.</v>
          </cell>
          <cell r="AV223" t="str">
            <v>5802 - Kab. Kotawaringin Barat</v>
          </cell>
          <cell r="AX223" t="str">
            <v>Lahat, Kab. - 3609</v>
          </cell>
        </row>
        <row r="224">
          <cell r="AM224" t="str">
            <v>3693 - Lubuklinggau, Kota.</v>
          </cell>
          <cell r="AV224" t="str">
            <v>5803 - Kab. Kotawaringin Timur</v>
          </cell>
          <cell r="AX224" t="str">
            <v>Lamandau, Kab. - 5813</v>
          </cell>
        </row>
        <row r="225">
          <cell r="AM225" t="str">
            <v>3694 - Prabumulih, Kota.</v>
          </cell>
          <cell r="AV225" t="str">
            <v>5806 - Kab. Barito Selatan</v>
          </cell>
          <cell r="AX225" t="str">
            <v>Lamongan, Kab. - 1229</v>
          </cell>
        </row>
        <row r="226">
          <cell r="AM226" t="str">
            <v>3697 - Pagar Alam, Kota.</v>
          </cell>
          <cell r="AV226" t="str">
            <v>5808 - Kab. Barito Utara</v>
          </cell>
          <cell r="AX226" t="str">
            <v>Lampung Barat, Kab. - 3904</v>
          </cell>
        </row>
        <row r="227">
          <cell r="AM227" t="str">
            <v>3701 - Bangka, Kab.</v>
          </cell>
          <cell r="AV227" t="str">
            <v>5804 - Kab. Murung Raya</v>
          </cell>
          <cell r="AX227" t="str">
            <v>Lampung Selatan, Kab. - 3901</v>
          </cell>
        </row>
        <row r="228">
          <cell r="AM228" t="str">
            <v>3702 - Belitung, Kab.</v>
          </cell>
          <cell r="AV228" t="str">
            <v>5805 - Kab. Barito Timur</v>
          </cell>
          <cell r="AX228" t="str">
            <v>Lampung Tengah, Kab. - 3902</v>
          </cell>
        </row>
        <row r="229">
          <cell r="AM229" t="str">
            <v>3703 - Bangka Barat, Kab</v>
          </cell>
          <cell r="AV229" t="str">
            <v>5807 - Kab. Gunung Mas</v>
          </cell>
          <cell r="AX229" t="str">
            <v>Lampung Timur, Kab. - 3907</v>
          </cell>
        </row>
        <row r="230">
          <cell r="AM230" t="str">
            <v>3704 - Bangka Selatan, Kab</v>
          </cell>
          <cell r="AV230" t="str">
            <v>5809 - Kab. Pulang Pisau</v>
          </cell>
          <cell r="AX230" t="str">
            <v>Lampung Utara, Kab. - 3903</v>
          </cell>
        </row>
        <row r="231">
          <cell r="AM231" t="str">
            <v>3705 - Bangka Tengah, Kab</v>
          </cell>
          <cell r="AV231" t="str">
            <v>5810 - Kab. Seruyan</v>
          </cell>
          <cell r="AX231" t="str">
            <v>Landak, Kab. - 5308</v>
          </cell>
        </row>
        <row r="232">
          <cell r="AM232" t="str">
            <v>3706 - Belitung Timur, Kab</v>
          </cell>
          <cell r="AV232" t="str">
            <v>5811 - Kab. Katingan</v>
          </cell>
          <cell r="AX232" t="str">
            <v>Langkat, Kab. - 3302</v>
          </cell>
        </row>
        <row r="233">
          <cell r="AM233" t="str">
            <v>3707 - Kab. Bangka Belitung</v>
          </cell>
          <cell r="AV233" t="str">
            <v>5812 - Kab. Sukamara</v>
          </cell>
          <cell r="AX233" t="str">
            <v>Langsa, Kota. - 3294</v>
          </cell>
        </row>
        <row r="234">
          <cell r="AM234" t="str">
            <v>3791 - Pangkal Pinang, Kota.</v>
          </cell>
          <cell r="AV234" t="str">
            <v>5813 - Kab. Lamandau</v>
          </cell>
          <cell r="AX234" t="str">
            <v>Lanny Jaya, Kab. - 8234</v>
          </cell>
        </row>
        <row r="235">
          <cell r="AM235" t="str">
            <v>3801 - Karimun, Kab</v>
          </cell>
          <cell r="AV235" t="str">
            <v>5892 - Kota Palangkaraya</v>
          </cell>
          <cell r="AX235" t="str">
            <v>Lebak, Kab. - 0201</v>
          </cell>
        </row>
        <row r="236">
          <cell r="AM236" t="str">
            <v>3802 - Lingga, Kab</v>
          </cell>
          <cell r="AV236" t="str">
            <v>6001 - Kab. Donggala</v>
          </cell>
          <cell r="AX236" t="str">
            <v>Lebong, Kab - 2304</v>
          </cell>
        </row>
        <row r="237">
          <cell r="AM237" t="str">
            <v>3803 - Natuna, Kab</v>
          </cell>
          <cell r="AV237" t="str">
            <v>6002 - Kab. Poso</v>
          </cell>
          <cell r="AX237" t="str">
            <v>Lematang Ilir Ogan Tengah (Muara Enim), Kab. - 3608</v>
          </cell>
        </row>
        <row r="238">
          <cell r="AM238" t="str">
            <v>3804 - Bintan, Kab (d/h Kab. Kepulauan Riau</v>
          </cell>
          <cell r="AV238" t="str">
            <v>6003 - Kab. Parimo/Banggai</v>
          </cell>
          <cell r="AX238" t="str">
            <v>Lembata, Kab. - 7413</v>
          </cell>
        </row>
        <row r="239">
          <cell r="AM239" t="str">
            <v>3805 - Kab. Anambas</v>
          </cell>
          <cell r="AV239" t="str">
            <v>6004 - Kab. Toli-Toli</v>
          </cell>
          <cell r="AX239" t="str">
            <v>Lhokseumawe, Kota. - 3293</v>
          </cell>
        </row>
        <row r="240">
          <cell r="AM240" t="str">
            <v>3891 - Tanjungpinang, Kota</v>
          </cell>
          <cell r="AV240" t="str">
            <v>6005 - Kab.Banggai Kepulauan</v>
          </cell>
          <cell r="AX240" t="str">
            <v>Limapuluh Koto, Kab. - 3403</v>
          </cell>
        </row>
        <row r="241">
          <cell r="AM241" t="str">
            <v>3892 - Batam, Kota</v>
          </cell>
          <cell r="AV241" t="str">
            <v>6006 - Kab. Morowali</v>
          </cell>
          <cell r="AX241" t="str">
            <v>Lingga, Kab - 3802</v>
          </cell>
        </row>
        <row r="242">
          <cell r="AM242" t="str">
            <v>3901 - Lampung Selatan, Kab.</v>
          </cell>
          <cell r="AV242" t="str">
            <v>6007 - Kab. Buol</v>
          </cell>
          <cell r="AX242" t="str">
            <v>Lombok Barat, Kab. - 7101</v>
          </cell>
        </row>
        <row r="243">
          <cell r="AM243" t="str">
            <v>3902 - Lampung Tengah, Kab.</v>
          </cell>
          <cell r="AV243" t="str">
            <v>6008 - Kab. Tojo Una-Una</v>
          </cell>
          <cell r="AX243" t="str">
            <v>Lombok Tengah, Kab. - 7102</v>
          </cell>
        </row>
        <row r="244">
          <cell r="AM244" t="str">
            <v>3903 - Lampung Utara, Kab.</v>
          </cell>
          <cell r="AV244" t="str">
            <v>6009 - Kab. Parigi Moutong</v>
          </cell>
          <cell r="AX244" t="str">
            <v>Lombok Timur, Kab. - 7103</v>
          </cell>
        </row>
        <row r="245">
          <cell r="AM245" t="str">
            <v>3305 - Labuhan Batu, Kab.</v>
          </cell>
          <cell r="AV245" t="str">
            <v>3697 - Kota Pagar Alam</v>
          </cell>
          <cell r="AX245" t="str">
            <v>Lombok Utara, Kab - 7108</v>
          </cell>
        </row>
        <row r="246">
          <cell r="AM246" t="str">
            <v>3904 - Lampung Barat, Kab.</v>
          </cell>
          <cell r="AV246" t="str">
            <v>6010 - Kab. Sigi</v>
          </cell>
          <cell r="AX246" t="str">
            <v>Lubuklinggau, Kota. - 3693</v>
          </cell>
        </row>
        <row r="247">
          <cell r="AM247" t="str">
            <v>3905 - Tulang Bawang, Kab.</v>
          </cell>
          <cell r="AV247" t="str">
            <v>6091 - Kota Palu</v>
          </cell>
          <cell r="AX247" t="str">
            <v>Lumajang, Kab. - 1216</v>
          </cell>
        </row>
        <row r="248">
          <cell r="AM248" t="str">
            <v>3306 - Asahan, Kab.</v>
          </cell>
          <cell r="AV248" t="str">
            <v>3701 - Kab. Bangka</v>
          </cell>
          <cell r="AX248" t="str">
            <v>Luwu Timur, Kab (d/h Luwu Selatan) - 6122</v>
          </cell>
        </row>
        <row r="249">
          <cell r="AM249" t="str">
            <v>3906 - Tanggamus, Kab.</v>
          </cell>
          <cell r="AV249" t="str">
            <v>6101 - Kab. Pinrang</v>
          </cell>
          <cell r="AX249" t="str">
            <v>Luwu Utara, Kab. - 6124</v>
          </cell>
        </row>
        <row r="250">
          <cell r="AM250" t="str">
            <v>3907 - Lampung Timur, Kab.</v>
          </cell>
          <cell r="AV250" t="str">
            <v>6102 - Kab. Gowa</v>
          </cell>
          <cell r="AX250" t="str">
            <v>Luwu, Kab. - 6109</v>
          </cell>
        </row>
        <row r="251">
          <cell r="AM251" t="str">
            <v>3908 - Way Kanan, Kab.</v>
          </cell>
          <cell r="AV251" t="str">
            <v>6103 - Kab. Wajo</v>
          </cell>
          <cell r="AX251" t="str">
            <v>Madiun, Kab. - 1222</v>
          </cell>
        </row>
        <row r="252">
          <cell r="AM252" t="str">
            <v>3909 - Pesawaran, Kab</v>
          </cell>
          <cell r="AV252" t="str">
            <v>2391 - Kota Bengkulu</v>
          </cell>
          <cell r="AX252" t="str">
            <v>Madiun, Kota. - 1298</v>
          </cell>
        </row>
        <row r="253">
          <cell r="AM253" t="str">
            <v>3910 - Kab. Pringsewu</v>
          </cell>
          <cell r="AV253" t="str">
            <v>3101 - Kab. Batanghari</v>
          </cell>
          <cell r="AX253" t="str">
            <v>Magelang, Kab. - 0918</v>
          </cell>
        </row>
        <row r="254">
          <cell r="AM254" t="str">
            <v>3911 - Kab. Tulang Bawang Barat</v>
          </cell>
          <cell r="AV254" t="str">
            <v>3104 - Kab. Sarolangun</v>
          </cell>
          <cell r="AX254" t="str">
            <v>Magelang, Kota. - 0995</v>
          </cell>
        </row>
        <row r="255">
          <cell r="AM255" t="str">
            <v>3912 - Kab. Mesuji</v>
          </cell>
          <cell r="AV255" t="str">
            <v>3105 - Kab. Kerinci</v>
          </cell>
          <cell r="AX255" t="str">
            <v>Magetan, Kab. - 1224</v>
          </cell>
        </row>
        <row r="256">
          <cell r="AM256" t="str">
            <v>3991 - Bandar Lampung, Kota.</v>
          </cell>
          <cell r="AV256" t="str">
            <v>3106 - Kab. Muaro Jambi</v>
          </cell>
          <cell r="AX256" t="str">
            <v>Majalengka, Kab. - 0119</v>
          </cell>
        </row>
        <row r="257">
          <cell r="AM257" t="str">
            <v>3992 - Metro, Kota.</v>
          </cell>
          <cell r="AV257" t="str">
            <v>3107 - Kab. Tanjung Jabung Barat</v>
          </cell>
          <cell r="AX257" t="str">
            <v>Majene, Kab. - 6402</v>
          </cell>
        </row>
        <row r="258">
          <cell r="AM258" t="str">
            <v>5101 - Banjar, Kab.</v>
          </cell>
          <cell r="AV258" t="str">
            <v>3108 - Kab. Tanjung Jabung Timur</v>
          </cell>
          <cell r="AX258" t="str">
            <v>Makassar, Kota. - 6191</v>
          </cell>
        </row>
        <row r="259">
          <cell r="AM259" t="str">
            <v>5102 - Tanah Laut, Kab.</v>
          </cell>
          <cell r="AV259" t="str">
            <v>3109 - Kab. Tebo</v>
          </cell>
          <cell r="AX259" t="str">
            <v>Malang, Kab. - 1213</v>
          </cell>
        </row>
        <row r="260">
          <cell r="AM260" t="str">
            <v>5103 - Tapin, Kab.</v>
          </cell>
          <cell r="AV260" t="str">
            <v>3111 - Kab. Merangin</v>
          </cell>
          <cell r="AX260" t="str">
            <v>Malang, Kota. - 1293</v>
          </cell>
        </row>
        <row r="261">
          <cell r="AM261" t="str">
            <v>5104 - Hulu Sungai Selatan, Kab.</v>
          </cell>
          <cell r="AV261" t="str">
            <v>3112 - Kab. Bungo</v>
          </cell>
          <cell r="AX261" t="str">
            <v>Malinau, Kab. - 5410</v>
          </cell>
        </row>
        <row r="262">
          <cell r="AM262" t="str">
            <v>3307 - Dairi, Kab.</v>
          </cell>
          <cell r="AV262" t="str">
            <v>3702 - Kab. Belitung</v>
          </cell>
          <cell r="AX262" t="str">
            <v>Maluku Barat Daya, Kab - 8108</v>
          </cell>
        </row>
        <row r="263">
          <cell r="AM263" t="str">
            <v>5105 - Hulu Sungai Tengah, Kab.</v>
          </cell>
          <cell r="AV263" t="str">
            <v>3191 - Kota Jambi</v>
          </cell>
          <cell r="AX263" t="str">
            <v>Maluku Tengah, Kab. - 8101</v>
          </cell>
        </row>
        <row r="264">
          <cell r="AM264" t="str">
            <v>5106 - Hulu Sungai Utara, Kab.</v>
          </cell>
          <cell r="AV264" t="str">
            <v>3192 - Kota Sungai Penuh</v>
          </cell>
          <cell r="AX264" t="str">
            <v>Maluku Tenggara Barat, Kab. - 8103</v>
          </cell>
        </row>
        <row r="265">
          <cell r="AM265" t="str">
            <v>5107 - Barito Kuala, Kab.</v>
          </cell>
          <cell r="AV265" t="str">
            <v>3201 - Kab. Aceh Besar</v>
          </cell>
          <cell r="AX265" t="str">
            <v>Maluku Tenggara, Kab. - 8102</v>
          </cell>
        </row>
        <row r="266">
          <cell r="AM266" t="str">
            <v>5108 - Kota Baru, Kab.</v>
          </cell>
          <cell r="AV266" t="str">
            <v>3202 - Kab. Pidie</v>
          </cell>
          <cell r="AX266" t="str">
            <v>Mamasa, Kab. - 6403</v>
          </cell>
        </row>
        <row r="267">
          <cell r="AM267" t="str">
            <v>5109 - Tabalong, Kab.</v>
          </cell>
          <cell r="AV267" t="str">
            <v>3203 - Kab. Aceh Utara</v>
          </cell>
          <cell r="AX267" t="str">
            <v>Mamberamo Raya, Kab. - 8232</v>
          </cell>
        </row>
        <row r="268">
          <cell r="AM268" t="str">
            <v>5110 - Tanah Bumbu, Kab.</v>
          </cell>
          <cell r="AV268" t="str">
            <v>3204 - Kab. Aceh Timur</v>
          </cell>
          <cell r="AX268" t="str">
            <v>Mamberamo Tengah, Kab. - 8235</v>
          </cell>
        </row>
        <row r="269">
          <cell r="AM269" t="str">
            <v>5111 - Balangan, Kab.</v>
          </cell>
          <cell r="AV269" t="str">
            <v>3205 - Kab. Aceh Selatan</v>
          </cell>
          <cell r="AX269" t="str">
            <v>Mamuju Utara, Kab. - 6404</v>
          </cell>
        </row>
        <row r="270">
          <cell r="AM270" t="str">
            <v>5191 - Banjarmasin, Kota.</v>
          </cell>
          <cell r="AV270" t="str">
            <v>3206 - Kab. Aceh Barat</v>
          </cell>
          <cell r="AX270" t="str">
            <v>Mamuju, Kota. - 6491</v>
          </cell>
        </row>
        <row r="271">
          <cell r="AM271" t="str">
            <v>5192 - Banjarbaru, Kota.</v>
          </cell>
          <cell r="AV271" t="str">
            <v>3207 - Kab. Aceh Tengah</v>
          </cell>
          <cell r="AX271" t="str">
            <v>Mandailing Natal, Kab. - 3314</v>
          </cell>
        </row>
        <row r="272">
          <cell r="AM272" t="str">
            <v>5301 - Pontianak, Kab.</v>
          </cell>
          <cell r="AV272" t="str">
            <v>3208 - Kab. Aceh Tenggara</v>
          </cell>
          <cell r="AX272" t="str">
            <v>Manggarai Barat, Kab. - 7415</v>
          </cell>
        </row>
        <row r="273">
          <cell r="AM273" t="str">
            <v>5302 - Sambas, Kab.</v>
          </cell>
          <cell r="AV273" t="str">
            <v>3209 - Kab. Aceh Singkil</v>
          </cell>
          <cell r="AX273" t="str">
            <v>Manggarai Timur, Kab. - 7418</v>
          </cell>
        </row>
        <row r="274">
          <cell r="AM274" t="str">
            <v>5303 - Ketapang, Kab.</v>
          </cell>
          <cell r="AV274" t="str">
            <v>3210 - Kab. Aceh Jeumpa/Bireuen</v>
          </cell>
          <cell r="AX274" t="str">
            <v>Manggarai, Kab. - 7410</v>
          </cell>
        </row>
        <row r="275">
          <cell r="AM275" t="str">
            <v>5304 - Sanggau, Kab.</v>
          </cell>
          <cell r="AV275" t="str">
            <v>3211 - Kab. Aceh Tamiang</v>
          </cell>
          <cell r="AX275" t="str">
            <v>Manokwari, Kab. - 8403</v>
          </cell>
        </row>
        <row r="276">
          <cell r="AM276" t="str">
            <v>5305 - Sintang, Kab.</v>
          </cell>
          <cell r="AV276" t="str">
            <v>3212 - Kab. Gayo Luwes</v>
          </cell>
          <cell r="AX276" t="str">
            <v>Mappi, Kab. - 8227</v>
          </cell>
        </row>
        <row r="277">
          <cell r="AM277" t="str">
            <v>5306 - Kapuas Hulu, Kab.</v>
          </cell>
          <cell r="AV277" t="str">
            <v>3213 - Kab. Aceh Barat Daya</v>
          </cell>
          <cell r="AX277" t="str">
            <v>Maros, Kab. - 6107</v>
          </cell>
        </row>
        <row r="278">
          <cell r="AM278" t="str">
            <v>5307 - Bengkayang, Kab.</v>
          </cell>
          <cell r="AV278" t="str">
            <v>3214 - Kab. Aceh Jaya</v>
          </cell>
          <cell r="AX278" t="str">
            <v>Mataram, Kota. - 7191</v>
          </cell>
        </row>
        <row r="279">
          <cell r="AM279" t="str">
            <v>3308 - Tapanuli Utara, Kab.</v>
          </cell>
          <cell r="AV279" t="str">
            <v>3703 - Kab. Bangka Barat</v>
          </cell>
          <cell r="AX279" t="str">
            <v>Maybrat, Kab - 8410</v>
          </cell>
        </row>
        <row r="280">
          <cell r="AM280" t="str">
            <v>5308 - Landak, Kab.</v>
          </cell>
          <cell r="AV280" t="str">
            <v>3215 - Kab. Nagan Raya</v>
          </cell>
          <cell r="AX280" t="str">
            <v>Medan, Kota. - 3396</v>
          </cell>
        </row>
        <row r="281">
          <cell r="AM281" t="str">
            <v>5309 - Sekadau, Kab.</v>
          </cell>
          <cell r="AV281" t="str">
            <v>3216 - Kab. Aceh Simeuleu</v>
          </cell>
          <cell r="AX281" t="str">
            <v>Melawi, Kab.. - 5310</v>
          </cell>
        </row>
        <row r="282">
          <cell r="AM282" t="str">
            <v>5310 - Melawi, Kab..</v>
          </cell>
          <cell r="AV282" t="str">
            <v>3217 - Kab. Bener Meriah</v>
          </cell>
          <cell r="AX282" t="str">
            <v>Menado, Kota. - 6291</v>
          </cell>
        </row>
        <row r="283">
          <cell r="AM283" t="str">
            <v>5311 - Kayong Utara, Kab.</v>
          </cell>
          <cell r="AV283" t="str">
            <v>3218 - Kab. Pidie Jaya</v>
          </cell>
          <cell r="AX283" t="str">
            <v>Merangin, Kab. - 3111</v>
          </cell>
        </row>
        <row r="284">
          <cell r="AM284" t="str">
            <v>5312 - Kubu Raya, Kab.</v>
          </cell>
          <cell r="AV284" t="str">
            <v>3219 - Kab. Subulussalam</v>
          </cell>
          <cell r="AX284" t="str">
            <v>Merauke, Kab. - 8211</v>
          </cell>
        </row>
        <row r="285">
          <cell r="AM285" t="str">
            <v>3309 - Tapanuli Tengah, Kab.</v>
          </cell>
          <cell r="AV285" t="str">
            <v>3704 - Kab. Bangka Selatan</v>
          </cell>
          <cell r="AX285" t="str">
            <v>Mesuji, Kab - 3912</v>
          </cell>
        </row>
        <row r="286">
          <cell r="AM286" t="str">
            <v>5391 - Pontianak, Kota.</v>
          </cell>
          <cell r="AV286" t="str">
            <v>3291 - Kota Banda Aceh</v>
          </cell>
          <cell r="AX286" t="str">
            <v>Metro, Kota. - 3992</v>
          </cell>
        </row>
        <row r="287">
          <cell r="AM287" t="str">
            <v>5392 - Singkawang, Kota.</v>
          </cell>
          <cell r="AV287" t="str">
            <v>3292 - Kota Sabang</v>
          </cell>
          <cell r="AX287" t="str">
            <v>Mimika, Kab. - 8215</v>
          </cell>
        </row>
        <row r="288">
          <cell r="AM288" t="str">
            <v>5401 - Kutai Kartanegara, Kab.</v>
          </cell>
          <cell r="AV288" t="str">
            <v>3293 - Kota Lhokseumawe</v>
          </cell>
          <cell r="AX288" t="str">
            <v>Minahasa Selatan, Kab. - 6206</v>
          </cell>
        </row>
        <row r="289">
          <cell r="AM289" t="str">
            <v>5402 - Berau, Kab.</v>
          </cell>
          <cell r="AV289" t="str">
            <v>3294 - Kota Langsa</v>
          </cell>
          <cell r="AX289" t="str">
            <v>Minahasa Tenggara, Kab. - 6209</v>
          </cell>
        </row>
        <row r="290">
          <cell r="AM290" t="str">
            <v>5403 - Pasir, Kab.</v>
          </cell>
          <cell r="AV290" t="str">
            <v>3301 - Kab. Deli Serdang</v>
          </cell>
          <cell r="AX290" t="str">
            <v>Minahasa Utara, Kab. - 6207</v>
          </cell>
        </row>
        <row r="291">
          <cell r="AM291" t="str">
            <v>5404 - Bulungan, Kab.</v>
          </cell>
          <cell r="AV291" t="str">
            <v>3302 - Kab. Langkat</v>
          </cell>
          <cell r="AX291" t="str">
            <v>Minahasa, Kab. - 6202</v>
          </cell>
        </row>
        <row r="292">
          <cell r="AM292" t="str">
            <v>5405 - Kutai Barat, Kab.</v>
          </cell>
          <cell r="AV292" t="str">
            <v>3303 - Kab. Karo</v>
          </cell>
          <cell r="AX292" t="str">
            <v>Mojokerto, Kab. - 1203</v>
          </cell>
        </row>
        <row r="293">
          <cell r="AM293" t="str">
            <v>5406 - Kutai Timur, Kab.</v>
          </cell>
          <cell r="AV293" t="str">
            <v>3304 - Kab. Simalungun</v>
          </cell>
          <cell r="AX293" t="str">
            <v>Mojokerto, Kota. - 1292</v>
          </cell>
        </row>
        <row r="294">
          <cell r="AM294" t="str">
            <v>5409 - Nunukan, Kab.</v>
          </cell>
          <cell r="AV294" t="str">
            <v>3305 - Kab. Labuhan Batu</v>
          </cell>
          <cell r="AX294" t="str">
            <v>Morowali, Kab. - 6006</v>
          </cell>
        </row>
        <row r="295">
          <cell r="AM295" t="str">
            <v>5410 - Malinau, Kab.</v>
          </cell>
          <cell r="AV295" t="str">
            <v>3306 - Kab. Asahan</v>
          </cell>
          <cell r="AX295" t="str">
            <v>Muaro Jambi, Kab. - 3106</v>
          </cell>
        </row>
        <row r="296">
          <cell r="AM296" t="str">
            <v>5411 - Penajam Paser Utara, Kab.</v>
          </cell>
          <cell r="AV296" t="str">
            <v>3307 - Kab. Dairi</v>
          </cell>
          <cell r="AX296" t="str">
            <v>Mukomuko, Kab - 2306</v>
          </cell>
        </row>
        <row r="297">
          <cell r="AM297" t="str">
            <v>5412 - Tana Tidung, Kab.</v>
          </cell>
          <cell r="AV297" t="str">
            <v>3308 - Kab. Tapanuli Utara</v>
          </cell>
          <cell r="AX297" t="str">
            <v>Muna, Kab. - 6903</v>
          </cell>
        </row>
        <row r="298">
          <cell r="AM298" t="str">
            <v>5491 - Samarinda, Kota.</v>
          </cell>
          <cell r="AV298" t="str">
            <v>3309 - Kab. Tapanuli Tengah</v>
          </cell>
          <cell r="AX298" t="str">
            <v>Murung Raya, Kab. - 5804</v>
          </cell>
        </row>
        <row r="299">
          <cell r="AM299" t="str">
            <v>5492 - Balikpapan, Kota.</v>
          </cell>
          <cell r="AV299" t="str">
            <v>3310 - Kab. Tapanuli Selatan</v>
          </cell>
          <cell r="AX299" t="str">
            <v>Musi Banyuasin, Kab. - 3606</v>
          </cell>
        </row>
        <row r="300">
          <cell r="AM300" t="str">
            <v>5493 - Tarakan, Kota.</v>
          </cell>
          <cell r="AV300" t="str">
            <v>3311 - Kab. Nias</v>
          </cell>
          <cell r="AX300" t="str">
            <v>Musi Rawas, Kab. - 3610</v>
          </cell>
        </row>
        <row r="301">
          <cell r="AM301" t="str">
            <v>5494 - Bontang, Kota.</v>
          </cell>
          <cell r="AV301" t="str">
            <v>3313 - Kab. Toba Samosir</v>
          </cell>
          <cell r="AX301" t="str">
            <v>Nabire, Kab. - 8214</v>
          </cell>
        </row>
        <row r="302">
          <cell r="AM302" t="str">
            <v>5801 - Kapuas, Kab.</v>
          </cell>
          <cell r="AV302" t="str">
            <v>3314 - Kab. Mandailing Natal</v>
          </cell>
          <cell r="AX302" t="str">
            <v>Nagan Raya, Kab. - 3215</v>
          </cell>
        </row>
        <row r="303">
          <cell r="AM303" t="str">
            <v>5802 - Kotawaringin Barat, Kab.</v>
          </cell>
          <cell r="AV303" t="str">
            <v>3315 - Kab. Nias Selatan</v>
          </cell>
          <cell r="AX303" t="str">
            <v>Nagekeo, Kab. - 7419</v>
          </cell>
        </row>
        <row r="304">
          <cell r="AM304" t="str">
            <v>5803 - Kotawaringin Timur, Kab.</v>
          </cell>
          <cell r="AV304" t="str">
            <v>3316 - Kab. Humbang Hasundutan</v>
          </cell>
          <cell r="AX304" t="str">
            <v>Natuna, Kab - 3803</v>
          </cell>
        </row>
        <row r="305">
          <cell r="AM305" t="str">
            <v>5804 - Murung Raya, Kab.</v>
          </cell>
          <cell r="AV305" t="str">
            <v>3317 - Kab. Pakpak Bharat</v>
          </cell>
          <cell r="AX305" t="str">
            <v>Nduga Tengah, Kab. - 8236</v>
          </cell>
        </row>
        <row r="306">
          <cell r="AM306" t="str">
            <v>5805 - Barito Timur, Kab.</v>
          </cell>
          <cell r="AV306" t="str">
            <v>3318 - Kab. Samosir</v>
          </cell>
          <cell r="AX306" t="str">
            <v>Ngada, Kab. - 7409</v>
          </cell>
        </row>
        <row r="307">
          <cell r="AM307" t="str">
            <v>5806 - Barito Selatan, Kab.</v>
          </cell>
          <cell r="AV307" t="str">
            <v>3319 - Kab. Serdang Bedagai</v>
          </cell>
          <cell r="AX307" t="str">
            <v>Nganjuk, Kab. - 1218</v>
          </cell>
        </row>
        <row r="308">
          <cell r="AM308" t="str">
            <v>5807 - Gunung Mas, Kab.</v>
          </cell>
          <cell r="AV308" t="str">
            <v>3320 - Kab. Angkola Sipirok</v>
          </cell>
          <cell r="AX308" t="str">
            <v>Ngawi, Kab. - 1223</v>
          </cell>
        </row>
        <row r="309">
          <cell r="AM309" t="str">
            <v>3310 - Tapanuli Selatan, Kab.</v>
          </cell>
          <cell r="AV309" t="str">
            <v>3705 - Kab. Bangka Tengah</v>
          </cell>
          <cell r="AX309" t="str">
            <v>Nias Barat, Kab - 3326</v>
          </cell>
        </row>
        <row r="310">
          <cell r="AM310" t="str">
            <v>5808 - Barito Utara, Kab.</v>
          </cell>
          <cell r="AV310" t="str">
            <v>3321 - Kab. Batu Bara</v>
          </cell>
          <cell r="AX310" t="str">
            <v>Nias Selatan, Kab - 3315</v>
          </cell>
        </row>
        <row r="311">
          <cell r="AM311" t="str">
            <v>3311 - Nias, Kab.</v>
          </cell>
          <cell r="AV311" t="str">
            <v>3706 - Kab. Belitung Timur</v>
          </cell>
          <cell r="AX311" t="str">
            <v>Nias Utara, Kab - 3327</v>
          </cell>
        </row>
        <row r="312">
          <cell r="AM312" t="str">
            <v>5809 - Pulang Pisau, Kab.</v>
          </cell>
          <cell r="AV312" t="str">
            <v>3322 - Kab. Padang Lawas</v>
          </cell>
          <cell r="AX312" t="str">
            <v>Nias, Kab. - 3311</v>
          </cell>
        </row>
        <row r="313">
          <cell r="AM313" t="str">
            <v>5810 - Seruyan, Kab.</v>
          </cell>
          <cell r="AV313" t="str">
            <v>3323 - Kab. Padang Lawas Utara</v>
          </cell>
          <cell r="AX313" t="str">
            <v>Nunukan, Kab. - 5409</v>
          </cell>
        </row>
        <row r="314">
          <cell r="AM314" t="str">
            <v>5811 - Katingan, Kab.</v>
          </cell>
          <cell r="AV314" t="str">
            <v>3324 - Kab. Labuhanbatu Selatan</v>
          </cell>
          <cell r="AX314" t="str">
            <v>Ogan Ilir, Kab - 3616</v>
          </cell>
        </row>
        <row r="315">
          <cell r="AM315" t="str">
            <v>5812 - Sukamara, Kab.</v>
          </cell>
          <cell r="AV315" t="str">
            <v>3325 - Kab. Labuhanbatu Utara</v>
          </cell>
          <cell r="AX315" t="str">
            <v>Ogan Komering Ilir, Kab. - 3611</v>
          </cell>
        </row>
        <row r="316">
          <cell r="AM316" t="str">
            <v>5813 - Lamandau, Kab.</v>
          </cell>
          <cell r="AV316" t="str">
            <v>3326 - Kab. Nias Barat</v>
          </cell>
          <cell r="AX316" t="str">
            <v>Ogan Komering Ulu Selatan, Kab - 3614</v>
          </cell>
        </row>
        <row r="317">
          <cell r="AM317" t="str">
            <v>5892 - Palangkaraya, Kota.</v>
          </cell>
          <cell r="AV317" t="str">
            <v>3327 - Kab. Nias Utara</v>
          </cell>
          <cell r="AX317" t="str">
            <v>Ogan Komering Ulu Timur, Kab - 3615</v>
          </cell>
        </row>
        <row r="318">
          <cell r="AM318" t="str">
            <v>6001 - Donggala, Kab.</v>
          </cell>
          <cell r="AV318" t="str">
            <v>3391 - Kota Tebing Tinggi</v>
          </cell>
          <cell r="AX318" t="str">
            <v>Ogan Komering Ulu, Kab. - 3607</v>
          </cell>
        </row>
        <row r="319">
          <cell r="AM319" t="str">
            <v>6002 - Poso, Kab.</v>
          </cell>
          <cell r="AV319" t="str">
            <v>3392 - Kota Binjai</v>
          </cell>
          <cell r="AX319" t="str">
            <v>Pacitan, Kab. - 1226</v>
          </cell>
        </row>
        <row r="320">
          <cell r="AM320" t="str">
            <v>6003 - Parimo/Banggai, Kab.</v>
          </cell>
          <cell r="AV320" t="str">
            <v>3393 - Kota Pematang Siantar</v>
          </cell>
          <cell r="AX320" t="str">
            <v>Padang Lawas Utara, Kab - 3323</v>
          </cell>
        </row>
        <row r="321">
          <cell r="AM321" t="str">
            <v>6004 - Toli-Toli, Kab.</v>
          </cell>
          <cell r="AV321" t="str">
            <v>3394 - Kota Tanjung Balai</v>
          </cell>
          <cell r="AX321" t="str">
            <v>Padang Lawas, Kab - 3322</v>
          </cell>
        </row>
        <row r="322">
          <cell r="AM322" t="str">
            <v>6005 - Kab.Banggai Kepulauan</v>
          </cell>
          <cell r="AV322" t="str">
            <v>3395 - Kota Sibolga</v>
          </cell>
          <cell r="AX322" t="str">
            <v>Padang Panjang, Kota. - 3494</v>
          </cell>
        </row>
        <row r="323">
          <cell r="AM323" t="str">
            <v>6006 - Morowali, Kab.</v>
          </cell>
          <cell r="AV323" t="str">
            <v>3396 - Kota Medan</v>
          </cell>
          <cell r="AX323" t="str">
            <v>Padang Pariaman, Kab. - 3405</v>
          </cell>
        </row>
        <row r="324">
          <cell r="AM324" t="str">
            <v>6007 - Buol, Kab.</v>
          </cell>
          <cell r="AV324" t="str">
            <v>3397 - Kota Gunung Sitoli</v>
          </cell>
          <cell r="AX324" t="str">
            <v>Padang Sidempuan, Kota. - 3399</v>
          </cell>
        </row>
        <row r="325">
          <cell r="AM325" t="str">
            <v>6008 - Tojo Una-Una, Kab.</v>
          </cell>
          <cell r="AV325" t="str">
            <v>3399 - Kota Padang Sidempuan</v>
          </cell>
          <cell r="AX325" t="str">
            <v>Padang, Kota. - 3492</v>
          </cell>
        </row>
        <row r="326">
          <cell r="AM326" t="str">
            <v>6009 - Parigi Moutong, Kab.</v>
          </cell>
          <cell r="AV326" t="str">
            <v>3401 - Kab. Agam</v>
          </cell>
          <cell r="AX326" t="str">
            <v>Pagar Alam, Kota. - 3697</v>
          </cell>
        </row>
        <row r="327">
          <cell r="AM327" t="str">
            <v>6010 - Kab. Sigi</v>
          </cell>
          <cell r="AV327" t="str">
            <v>3402 - Kab. Pasaman</v>
          </cell>
          <cell r="AX327" t="str">
            <v>Pakpak Barat, Kab - 3317</v>
          </cell>
        </row>
        <row r="328">
          <cell r="AM328" t="str">
            <v>6091 - Palu, Kota.</v>
          </cell>
          <cell r="AV328" t="str">
            <v>3403 - Kab. Limapuluh Koto</v>
          </cell>
          <cell r="AX328" t="str">
            <v>Palangkaraya, Kota. - 5892</v>
          </cell>
        </row>
        <row r="329">
          <cell r="AM329" t="str">
            <v>6101 - Pinrang, Kab.</v>
          </cell>
          <cell r="AV329" t="str">
            <v>3404 - Kab. Solok Selatan</v>
          </cell>
          <cell r="AX329" t="str">
            <v>Palembang, Kota. - 3691</v>
          </cell>
        </row>
        <row r="330">
          <cell r="AM330" t="str">
            <v>6102 - Gowa, Kab.</v>
          </cell>
          <cell r="AV330" t="str">
            <v>3405 - Kab. Padang Pariaman</v>
          </cell>
          <cell r="AX330" t="str">
            <v>Palopo, Kota. - 6193</v>
          </cell>
        </row>
        <row r="331">
          <cell r="AM331" t="str">
            <v>6103 - Wajo, Kab.</v>
          </cell>
          <cell r="AV331" t="str">
            <v>3406 - Kab. Pesisir Selatan</v>
          </cell>
          <cell r="AX331" t="str">
            <v>Palu, Kota. - 6091</v>
          </cell>
        </row>
        <row r="332">
          <cell r="AM332" t="str">
            <v>6105 - Bone, Kab.</v>
          </cell>
          <cell r="AV332" t="str">
            <v>3407 - Kab. Tanah Datar</v>
          </cell>
          <cell r="AX332" t="str">
            <v>Pamekasan, Kab. - 1206</v>
          </cell>
        </row>
        <row r="333">
          <cell r="AM333" t="str">
            <v>6106 - Tana Toraja, Kab.</v>
          </cell>
          <cell r="AV333" t="str">
            <v>3408 - Kab. Sawahlunto/Sijunjung</v>
          </cell>
          <cell r="AX333" t="str">
            <v>Pandeglang, Kab. - 0202</v>
          </cell>
        </row>
        <row r="334">
          <cell r="AM334" t="str">
            <v>6107 - Maros, Kab.</v>
          </cell>
          <cell r="AV334" t="str">
            <v>3409 - Kab. Kepulauan Mentawai</v>
          </cell>
          <cell r="AX334" t="str">
            <v>Pangkajene Kepulauan, Kab. - 6118</v>
          </cell>
        </row>
        <row r="335">
          <cell r="AM335" t="str">
            <v>6109 - Luwu, Kab.</v>
          </cell>
          <cell r="AV335" t="str">
            <v>3410 - Kab. Pasaman Barat</v>
          </cell>
          <cell r="AX335" t="str">
            <v>Pangkal Pinang, Kota. - 3791</v>
          </cell>
        </row>
        <row r="336">
          <cell r="AM336" t="str">
            <v>6110 - Sinjai, Kab.</v>
          </cell>
          <cell r="AV336" t="str">
            <v>3411 - Kab. Dharmasraya</v>
          </cell>
          <cell r="AX336" t="str">
            <v>Paniai, Kab. - 8212</v>
          </cell>
        </row>
        <row r="337">
          <cell r="AM337" t="str">
            <v>6111 - Bulukumba, Kab.</v>
          </cell>
          <cell r="AV337" t="str">
            <v>3412 - Kab. Solok</v>
          </cell>
          <cell r="AX337" t="str">
            <v>Pare-Pare, Kota. - 6192</v>
          </cell>
        </row>
        <row r="338">
          <cell r="AM338" t="str">
            <v>6112 - Bantaeng, Kab.</v>
          </cell>
          <cell r="AV338" t="str">
            <v>3491 - Kota Bukittinggi</v>
          </cell>
          <cell r="AX338" t="str">
            <v>Pariaman, Kota. - 3497</v>
          </cell>
        </row>
        <row r="339">
          <cell r="AM339" t="str">
            <v>6113 - Jeneponto, Kab.</v>
          </cell>
          <cell r="AV339" t="str">
            <v>3492 - Kota Padang</v>
          </cell>
          <cell r="AX339" t="str">
            <v>Parigi Moutong, Kab. - 6009</v>
          </cell>
        </row>
        <row r="340">
          <cell r="AM340" t="str">
            <v>6114 - Selayar, Kab.</v>
          </cell>
          <cell r="AV340" t="str">
            <v>3493 - Kota Sawahlunto</v>
          </cell>
          <cell r="AX340" t="str">
            <v>Parimo/Banggai, Kab. - 6003</v>
          </cell>
        </row>
        <row r="341">
          <cell r="AM341" t="str">
            <v>6115 - Takalar, Kab.</v>
          </cell>
          <cell r="AV341" t="str">
            <v>3494 - Kota Padang Panjang</v>
          </cell>
          <cell r="AX341" t="str">
            <v>Pasaman Barat, Kab - 3410</v>
          </cell>
        </row>
        <row r="342">
          <cell r="AM342" t="str">
            <v>6116 - Barru, Kab.</v>
          </cell>
          <cell r="AV342" t="str">
            <v>3495 - Kota Solok</v>
          </cell>
          <cell r="AX342" t="str">
            <v>Pasaman, Kab. - 3402</v>
          </cell>
        </row>
        <row r="343">
          <cell r="AM343" t="str">
            <v>6117 - Sidenreng Rappang, Kab.</v>
          </cell>
          <cell r="AV343" t="str">
            <v>3496 - Kota Payakumbuh</v>
          </cell>
          <cell r="AX343" t="str">
            <v>Pasir, Kab. - 5403</v>
          </cell>
        </row>
        <row r="344">
          <cell r="AM344" t="str">
            <v>6118 - Pangkajene Kepulauan, Kab.</v>
          </cell>
          <cell r="AV344" t="str">
            <v>3497 - Kota Pariaman</v>
          </cell>
          <cell r="AX344" t="str">
            <v>Pasuruan, Kab. - 1214</v>
          </cell>
        </row>
        <row r="345">
          <cell r="AM345" t="str">
            <v>6119 - Kab. Soppeng (d/h Watansoppeng)</v>
          </cell>
          <cell r="AV345" t="str">
            <v>3501 - Kab. Kampar</v>
          </cell>
          <cell r="AX345" t="str">
            <v>Pasuruan, Kota. - 1294</v>
          </cell>
        </row>
        <row r="346">
          <cell r="AM346" t="str">
            <v>6121 - Enrekang, Kab.</v>
          </cell>
          <cell r="AV346" t="str">
            <v>3502 - Kab. Bengkalis</v>
          </cell>
          <cell r="AX346" t="str">
            <v>Pati, Kab. - 0908</v>
          </cell>
        </row>
        <row r="347">
          <cell r="AM347" t="str">
            <v>6122 - Kab. Luwu Timur (d/h Luwu Selatan)</v>
          </cell>
          <cell r="AV347" t="str">
            <v>3504 - Kab. Indragiri Hulu</v>
          </cell>
          <cell r="AX347" t="str">
            <v>Payakumbuh, Kota. - 3496</v>
          </cell>
        </row>
        <row r="348">
          <cell r="AM348" t="str">
            <v>6124 - Luwu Utara, Kab.</v>
          </cell>
          <cell r="AV348" t="str">
            <v>3505 - Kab. Indragiri Hilir</v>
          </cell>
          <cell r="AX348" t="str">
            <v>Pegunungan Bintang, Kab. - 8221</v>
          </cell>
        </row>
        <row r="349">
          <cell r="AM349" t="str">
            <v>6125 - Kab. Toraja Utara</v>
          </cell>
          <cell r="AV349" t="str">
            <v>3508 - Kab. Rokan Hulu</v>
          </cell>
          <cell r="AX349" t="str">
            <v>Pekalongan, Kab. - 0905</v>
          </cell>
        </row>
        <row r="350">
          <cell r="AM350" t="str">
            <v>6191 - Makassar, Kota.</v>
          </cell>
          <cell r="AV350" t="str">
            <v>3509 - Kab. Rokan Hilir</v>
          </cell>
          <cell r="AX350" t="str">
            <v>Pekalongan, Kota. - 0993</v>
          </cell>
        </row>
        <row r="351">
          <cell r="AM351" t="str">
            <v>6192 - Pare-Pare, Kota.</v>
          </cell>
          <cell r="AV351" t="str">
            <v>3510 - Kab. Pelalawan</v>
          </cell>
          <cell r="AX351" t="str">
            <v>Pekanbaru, Kota. - 3591</v>
          </cell>
        </row>
        <row r="352">
          <cell r="AM352" t="str">
            <v>6193 - Palopo, Kota.</v>
          </cell>
          <cell r="AV352" t="str">
            <v>3511 - Kab. Siak</v>
          </cell>
          <cell r="AX352" t="str">
            <v>Pelalawan, Kab. - 3510</v>
          </cell>
        </row>
        <row r="353">
          <cell r="AM353" t="str">
            <v>6202 - Minahasa, Kab.</v>
          </cell>
          <cell r="AV353" t="str">
            <v>3512 - Kab. Kuantan Singingi</v>
          </cell>
          <cell r="AX353" t="str">
            <v>Pemalang, Kab. - 0910</v>
          </cell>
        </row>
        <row r="354">
          <cell r="AM354" t="str">
            <v>6203 - Bolaang Mongondow, Kab.</v>
          </cell>
          <cell r="AV354" t="str">
            <v>3513 - Kab. Kepulauan Meranti</v>
          </cell>
          <cell r="AX354" t="str">
            <v>Pematang Siantar, Kota. - 3393</v>
          </cell>
        </row>
        <row r="355">
          <cell r="AM355" t="str">
            <v>6204 - Sangihe, Kab.</v>
          </cell>
          <cell r="AV355" t="str">
            <v>3591 - Kota Pekanbaru</v>
          </cell>
          <cell r="AX355" t="str">
            <v>Penajam Paser Utara, Kab. - 5411</v>
          </cell>
        </row>
        <row r="356">
          <cell r="AM356" t="str">
            <v>6205 - kepulauan Talaud, Kab.</v>
          </cell>
          <cell r="AV356" t="str">
            <v>3592 - Kota Dumai</v>
          </cell>
          <cell r="AX356" t="str">
            <v>Pesawaran, Kab - 3909</v>
          </cell>
        </row>
        <row r="357">
          <cell r="AM357" t="str">
            <v>6206 - Minahasa Selatan, Kab.</v>
          </cell>
          <cell r="AV357" t="str">
            <v>3606 - Kab. Musi Banyuasin</v>
          </cell>
          <cell r="AX357" t="str">
            <v>Pesisir Selatan, Kab. - 3406</v>
          </cell>
        </row>
        <row r="358">
          <cell r="AM358" t="str">
            <v>6207 - Minahasa Utara, Kab.</v>
          </cell>
          <cell r="AV358" t="str">
            <v>3607 - Kab. Ogan Komering Ulu</v>
          </cell>
          <cell r="AX358" t="str">
            <v>Pide Jaya, Kab - 3218</v>
          </cell>
        </row>
        <row r="359">
          <cell r="AM359" t="str">
            <v>6209 - Minahasa Tenggara, Kab.</v>
          </cell>
          <cell r="AV359" t="str">
            <v>3608 - Kab. Lematang Ilir Ogan Tengah (Muara Enim)</v>
          </cell>
          <cell r="AX359" t="str">
            <v>Pidie, Kab. - 3202</v>
          </cell>
        </row>
        <row r="360">
          <cell r="AM360" t="str">
            <v>6210 - Bolaang Mongoundow Utara, Kab.</v>
          </cell>
          <cell r="AV360" t="str">
            <v>3609 - Kab. Lahat</v>
          </cell>
          <cell r="AX360" t="str">
            <v>Pinrang, Kab. - 6101</v>
          </cell>
        </row>
        <row r="361">
          <cell r="AM361" t="str">
            <v>6211 - Kepulauan Sitaro, Kab.</v>
          </cell>
          <cell r="AV361" t="str">
            <v>3610 - Kab. Musi Rawas</v>
          </cell>
          <cell r="AX361" t="str">
            <v>Pohuwato, Kab. - 6304</v>
          </cell>
        </row>
        <row r="362">
          <cell r="AM362" t="str">
            <v>6212 - Kab. Bolaang Mongondow Selatan</v>
          </cell>
          <cell r="AV362" t="str">
            <v>3611 - Kab. Ogan Komering Ilir</v>
          </cell>
          <cell r="AX362" t="str">
            <v>Polewali Mandar, Kab. - 6401</v>
          </cell>
        </row>
        <row r="363">
          <cell r="AM363" t="str">
            <v>6213 - Kab. Bolaang Mongondow Timur</v>
          </cell>
          <cell r="AV363" t="str">
            <v>3613 - Kab. Banyuasin</v>
          </cell>
          <cell r="AX363" t="str">
            <v>Ponorogo, Kab. - 1225</v>
          </cell>
        </row>
        <row r="364">
          <cell r="AM364" t="str">
            <v>6291 - Menado, Kota.</v>
          </cell>
          <cell r="AV364" t="str">
            <v>3614 - Kab. Ogan Komeing Ulu Selatan</v>
          </cell>
          <cell r="AX364" t="str">
            <v>Pontianak, Kab. - 5301</v>
          </cell>
        </row>
        <row r="365">
          <cell r="AM365" t="str">
            <v>6292 - Kotamobagu, Kota.</v>
          </cell>
          <cell r="AV365" t="str">
            <v>0102 - Kab. Bekasi</v>
          </cell>
          <cell r="AX365" t="str">
            <v>Pontianak, Kota. - 5391</v>
          </cell>
        </row>
        <row r="366">
          <cell r="AM366" t="str">
            <v>6293 - Bitung, Kota.</v>
          </cell>
          <cell r="AV366" t="str">
            <v>0103 - Kab. Purwakarta</v>
          </cell>
          <cell r="AX366" t="str">
            <v>Poso, Kab. - 6002</v>
          </cell>
        </row>
        <row r="367">
          <cell r="AM367" t="str">
            <v>6294 - Kota. Tomohon</v>
          </cell>
          <cell r="AV367" t="str">
            <v>0106 - Kab. Karawang</v>
          </cell>
          <cell r="AX367" t="str">
            <v>Prabumulih, Kota. - 3694</v>
          </cell>
        </row>
        <row r="368">
          <cell r="AM368" t="str">
            <v>3313 - Toba Samosir, Kab.</v>
          </cell>
          <cell r="AV368" t="str">
            <v>3707 - Kab. Bangka Belitung</v>
          </cell>
          <cell r="AX368" t="str">
            <v>Pringsewu, Kab - 3910</v>
          </cell>
        </row>
        <row r="369">
          <cell r="AM369" t="str">
            <v>6301 - Gorontalo, Kab.</v>
          </cell>
          <cell r="AV369" t="str">
            <v>0108 - Kab. Bogor</v>
          </cell>
          <cell r="AX369" t="str">
            <v>Probolinggo, Kab. - 1215</v>
          </cell>
        </row>
        <row r="370">
          <cell r="AM370" t="str">
            <v>6302 - Bualemo, Kab.</v>
          </cell>
          <cell r="AV370" t="str">
            <v>0109 - Kab. Sukabumi</v>
          </cell>
          <cell r="AX370" t="str">
            <v>Probolinggo, Kota. - 1295</v>
          </cell>
        </row>
        <row r="371">
          <cell r="AM371" t="str">
            <v>6303 - Bonebolango, Kab.</v>
          </cell>
          <cell r="AV371" t="str">
            <v>0110 - Kab. Cianjur</v>
          </cell>
          <cell r="AX371" t="str">
            <v>Pulang Pisau, Kab. - 5809</v>
          </cell>
        </row>
        <row r="372">
          <cell r="AM372" t="str">
            <v>3314 - Mandailing Natal, Kab.</v>
          </cell>
          <cell r="AV372" t="str">
            <v>3791 - Kota Pangkal Pinang</v>
          </cell>
          <cell r="AX372" t="str">
            <v>Pulau Morotai, Kab - 8308</v>
          </cell>
        </row>
        <row r="373">
          <cell r="AM373" t="str">
            <v>6304 - Pohuwato, Kab.</v>
          </cell>
          <cell r="AV373" t="str">
            <v>0111 - Kab. Bandung</v>
          </cell>
          <cell r="AX373" t="str">
            <v>Puncak Jaya, Kab. - 8216</v>
          </cell>
        </row>
        <row r="374">
          <cell r="AM374" t="str">
            <v>6305 - Gorontalo Utara, Kab.</v>
          </cell>
          <cell r="AV374" t="str">
            <v>0112 - Kab. Sumedang</v>
          </cell>
          <cell r="AX374" t="str">
            <v>Puncak, Kab. - 8238</v>
          </cell>
        </row>
        <row r="375">
          <cell r="AM375" t="str">
            <v>6391 - Gorontalo, Kota.</v>
          </cell>
          <cell r="AV375" t="str">
            <v>0113 - Kab. Tasikmalaya</v>
          </cell>
          <cell r="AX375" t="str">
            <v>Purbalingga, Kab. - 0916</v>
          </cell>
        </row>
        <row r="376">
          <cell r="AM376" t="str">
            <v>6401 - Polewali Mandar, Kab.</v>
          </cell>
          <cell r="AV376" t="str">
            <v>0114 - Kab. Garut</v>
          </cell>
          <cell r="AX376" t="str">
            <v>Purwakarta, Kab. - 0103</v>
          </cell>
        </row>
        <row r="377">
          <cell r="AM377" t="str">
            <v>6402 - Majene, Kab.</v>
          </cell>
          <cell r="AV377" t="str">
            <v>0115 - Kab. Ciamis</v>
          </cell>
          <cell r="AX377" t="str">
            <v>Purworejo, Kab. - 0921</v>
          </cell>
        </row>
        <row r="378">
          <cell r="AM378" t="str">
            <v>6403 - Mamasa, Kab.</v>
          </cell>
          <cell r="AV378" t="str">
            <v>0116 - Kab. Cirebon</v>
          </cell>
          <cell r="AX378" t="str">
            <v>Raja Ampat, Kab. - 8405</v>
          </cell>
        </row>
        <row r="379">
          <cell r="AM379" t="str">
            <v>6404 - Mamuju Utara, Kab.</v>
          </cell>
          <cell r="AV379" t="str">
            <v>0117 - Kab. Kuningan</v>
          </cell>
          <cell r="AX379" t="str">
            <v>Rejang Lebong, Kab. - 2303</v>
          </cell>
        </row>
        <row r="380">
          <cell r="AM380" t="str">
            <v>6491 - Mamuju, Kota.</v>
          </cell>
          <cell r="AV380" t="str">
            <v>0118 - Kab. Indramayu</v>
          </cell>
          <cell r="AX380" t="str">
            <v>Rembang, Kab. - 0912</v>
          </cell>
        </row>
        <row r="381">
          <cell r="AM381" t="str">
            <v>6901 - Buton, Kab.</v>
          </cell>
          <cell r="AV381" t="str">
            <v>0119 - Kab. Majalengka</v>
          </cell>
          <cell r="AX381" t="str">
            <v>Rokan Hilir, Kab. - 3509</v>
          </cell>
        </row>
        <row r="382">
          <cell r="AM382" t="str">
            <v>6903 - Muna, Kab.</v>
          </cell>
          <cell r="AV382" t="str">
            <v>0121 - Kab. Subang</v>
          </cell>
          <cell r="AX382" t="str">
            <v>Rokan Hulu, Kab. - 3508</v>
          </cell>
        </row>
        <row r="383">
          <cell r="AM383" t="str">
            <v>6904 - Kolaka, Kab.</v>
          </cell>
          <cell r="AV383" t="str">
            <v>0122 - Kab. Bandung Barat</v>
          </cell>
          <cell r="AX383" t="str">
            <v>Rote, Kab. - 7414</v>
          </cell>
        </row>
        <row r="384">
          <cell r="AM384" t="str">
            <v>6905 - Wakatobi, Kab.</v>
          </cell>
          <cell r="AV384" t="str">
            <v>0191 - Kota Bandung</v>
          </cell>
          <cell r="AX384" t="str">
            <v>Sabang, Kota. - 3292</v>
          </cell>
        </row>
        <row r="385">
          <cell r="AM385" t="str">
            <v>3315 - Nias Selatan, Kab</v>
          </cell>
          <cell r="AV385" t="str">
            <v>3801 - Kab. Karimun</v>
          </cell>
          <cell r="AX385" t="str">
            <v>Sabu Raijua, Kab - 7420</v>
          </cell>
        </row>
        <row r="386">
          <cell r="AM386" t="str">
            <v>6906 - Konawe, Kab.</v>
          </cell>
          <cell r="AV386" t="str">
            <v>0192 - Kota Bogor</v>
          </cell>
          <cell r="AX386" t="str">
            <v>Salatiga, Kota. - 0992</v>
          </cell>
        </row>
        <row r="387">
          <cell r="AM387" t="str">
            <v>6907 - Konawe Selatan, Kab.</v>
          </cell>
          <cell r="AV387" t="str">
            <v>0193 - Kota Sukabumi</v>
          </cell>
          <cell r="AX387" t="str">
            <v>Samarinda, Kota. - 5491</v>
          </cell>
        </row>
        <row r="388">
          <cell r="AM388" t="str">
            <v>6908 - Bombana, Kab.</v>
          </cell>
          <cell r="AV388" t="str">
            <v>0194 - Kota Cirebon</v>
          </cell>
          <cell r="AX388" t="str">
            <v>Sambas, Kab. - 5302</v>
          </cell>
        </row>
        <row r="389">
          <cell r="AM389" t="str">
            <v>6909 - Kolaka Utara, Kab.</v>
          </cell>
          <cell r="AV389" t="str">
            <v>0195 - Kota Tasikmalaya</v>
          </cell>
          <cell r="AX389" t="str">
            <v>Samosir, Kab - 3318</v>
          </cell>
        </row>
        <row r="390">
          <cell r="AM390" t="str">
            <v>6910 - Buton Utara, Kab.</v>
          </cell>
          <cell r="AV390" t="str">
            <v>0196 - Kota Cimahi</v>
          </cell>
          <cell r="AX390" t="str">
            <v>Sampang, Kab. - 1205</v>
          </cell>
        </row>
        <row r="391">
          <cell r="AM391" t="str">
            <v>6911 - Konawe Utara, Kab.</v>
          </cell>
          <cell r="AV391" t="str">
            <v>0197 - Kota Depok</v>
          </cell>
          <cell r="AX391" t="str">
            <v>Sanggau, Kab. - 5304</v>
          </cell>
        </row>
        <row r="392">
          <cell r="AM392" t="str">
            <v>6990 - Bau-Bau,Kota.</v>
          </cell>
          <cell r="AV392" t="str">
            <v>0198 - Kota Bekasi</v>
          </cell>
          <cell r="AX392" t="str">
            <v>Sangihe, Kab. - 6204</v>
          </cell>
        </row>
        <row r="393">
          <cell r="AM393" t="str">
            <v>6991 - Kendari, Kota.</v>
          </cell>
          <cell r="AV393" t="str">
            <v>0180 - Kota Banjar</v>
          </cell>
          <cell r="AX393" t="str">
            <v>Sarmi, Kab. - 8217</v>
          </cell>
        </row>
        <row r="394">
          <cell r="AM394" t="str">
            <v>7101 - Lombok Barat, Kab.</v>
          </cell>
          <cell r="AV394" t="str">
            <v>0201 - Kab. Lebak</v>
          </cell>
          <cell r="AX394" t="str">
            <v>Sarolangun, Kab. - 3104</v>
          </cell>
        </row>
        <row r="395">
          <cell r="AM395" t="str">
            <v>7102 - Lombok Tengah, Kab.</v>
          </cell>
          <cell r="AV395" t="str">
            <v>0202 - Kab. Pandeglang</v>
          </cell>
          <cell r="AX395" t="str">
            <v>Sawahlunto, Kota. - 3493</v>
          </cell>
        </row>
        <row r="396">
          <cell r="AM396" t="str">
            <v>7103 - Lombok Timur, Kab.</v>
          </cell>
          <cell r="AV396" t="str">
            <v>0203 - Kab. Serang</v>
          </cell>
          <cell r="AX396" t="str">
            <v>Sekadau, Kab. - 5309</v>
          </cell>
        </row>
        <row r="397">
          <cell r="AM397" t="str">
            <v>7104 - Sumbawa, Kab.</v>
          </cell>
          <cell r="AV397" t="str">
            <v>0204 - Kab. Tangerang</v>
          </cell>
          <cell r="AX397" t="str">
            <v>Selayar, Kab. - 6114</v>
          </cell>
        </row>
        <row r="398">
          <cell r="AM398" t="str">
            <v>7105 - Bima, Kab.</v>
          </cell>
          <cell r="AV398" t="str">
            <v>0291 - Kota Cilegon</v>
          </cell>
          <cell r="AX398" t="str">
            <v>Seluma, Kab - 2307</v>
          </cell>
        </row>
        <row r="399">
          <cell r="AM399" t="str">
            <v>7106 - Dompu, Kab.</v>
          </cell>
          <cell r="AV399" t="str">
            <v>0292 - Kota Tangerang</v>
          </cell>
          <cell r="AX399" t="str">
            <v>Semarang, Kab. - 0901</v>
          </cell>
        </row>
        <row r="400">
          <cell r="AM400" t="str">
            <v>7107 - Sumbawa Barat, Kab.</v>
          </cell>
          <cell r="AV400" t="str">
            <v>0293 - Kota Serang</v>
          </cell>
          <cell r="AX400" t="str">
            <v>Semarang, Kota. - 0991</v>
          </cell>
        </row>
        <row r="401">
          <cell r="AM401" t="str">
            <v>7108 - Kab. Lombok Utara</v>
          </cell>
          <cell r="AV401" t="str">
            <v>0294 - Kota Tangerang Selatan</v>
          </cell>
          <cell r="AX401" t="str">
            <v>Seram Bagian Barat, Kota. - 8105</v>
          </cell>
        </row>
        <row r="402">
          <cell r="AM402" t="str">
            <v>7191 - Mataram, Kota.</v>
          </cell>
          <cell r="AV402" t="str">
            <v>0391 - Wil. Kota Jakarta Pusat</v>
          </cell>
          <cell r="AX402" t="str">
            <v>Seram Bagian Timur, Kota. - 8106</v>
          </cell>
        </row>
        <row r="403">
          <cell r="AM403" t="str">
            <v>7192 - Kota. Bima</v>
          </cell>
          <cell r="AV403" t="str">
            <v>0392 - Wil. Kota Jakarta Utara</v>
          </cell>
          <cell r="AX403" t="str">
            <v>Serang, Kab. - 0203</v>
          </cell>
        </row>
        <row r="404">
          <cell r="AM404" t="str">
            <v>7201 - Buleleng, Kab.</v>
          </cell>
          <cell r="AV404" t="str">
            <v>0393 - Wil. Kota Jakarta Barat</v>
          </cell>
          <cell r="AX404" t="str">
            <v>Serang. Kota. - 0293</v>
          </cell>
        </row>
        <row r="405">
          <cell r="AM405" t="str">
            <v>7202 - Jembrana, Kab.</v>
          </cell>
          <cell r="AV405" t="str">
            <v>0394 - Wil. Kota Jakarta Selatan</v>
          </cell>
          <cell r="AX405" t="str">
            <v>Serdang Bedagai, Kab - 3319</v>
          </cell>
        </row>
        <row r="406">
          <cell r="AM406" t="str">
            <v>7203 - Tabanan, Kab.</v>
          </cell>
          <cell r="AV406" t="str">
            <v>0395 - Wil. Kota Jakarta Timur</v>
          </cell>
          <cell r="AX406" t="str">
            <v>Seruyan, Kab. - 5810</v>
          </cell>
        </row>
        <row r="407">
          <cell r="AM407" t="str">
            <v>7204 - Badung, Kab.</v>
          </cell>
          <cell r="AV407" t="str">
            <v>0396 - Wil. Kepulauan Seribu</v>
          </cell>
          <cell r="AX407" t="str">
            <v>Siak, Kab. - 3511</v>
          </cell>
        </row>
        <row r="408">
          <cell r="AM408" t="str">
            <v>7205 - Gianyar, Kab.</v>
          </cell>
          <cell r="AV408" t="str">
            <v>0501 - Kab. Bantul</v>
          </cell>
          <cell r="AX408" t="str">
            <v>Sibolga, Kota. - 3395</v>
          </cell>
        </row>
        <row r="409">
          <cell r="AM409" t="str">
            <v>7206 - Klungkung, Kab.</v>
          </cell>
          <cell r="AV409" t="str">
            <v>0502 - Kab. Sleman</v>
          </cell>
          <cell r="AX409" t="str">
            <v>Sidenreng Rappang, Kab. - 6117</v>
          </cell>
        </row>
        <row r="410">
          <cell r="AM410" t="str">
            <v>7207 - Bangli, Kab.</v>
          </cell>
          <cell r="AV410" t="str">
            <v>0503 - Kab. Gunung Kidul</v>
          </cell>
          <cell r="AX410" t="str">
            <v>Sidoarjo, Kab. - 1202</v>
          </cell>
        </row>
        <row r="411">
          <cell r="AM411" t="str">
            <v>3316 - Humbang Hasundutan, Kab</v>
          </cell>
          <cell r="AV411" t="str">
            <v>3802 - Kab. Lingga</v>
          </cell>
          <cell r="AX411" t="str">
            <v>Sigi, Kab - 6010</v>
          </cell>
        </row>
        <row r="412">
          <cell r="AM412" t="str">
            <v>3317 - Pakpak Barat, Kab</v>
          </cell>
          <cell r="AV412" t="str">
            <v>3803 - Kab. Natuna</v>
          </cell>
          <cell r="AX412" t="str">
            <v>Sijunjung, Kab - 3408</v>
          </cell>
        </row>
        <row r="413">
          <cell r="AM413" t="str">
            <v>7208 - Karangasem, Kab.</v>
          </cell>
          <cell r="AV413" t="str">
            <v>0504 - Kab. Kulon Progo</v>
          </cell>
          <cell r="AX413" t="str">
            <v>Sikka, Kab. - 7407</v>
          </cell>
        </row>
        <row r="414">
          <cell r="AM414" t="str">
            <v>7291 - Denpasar, Kota.</v>
          </cell>
          <cell r="AV414" t="str">
            <v>0591 - Kota Yogyakarta</v>
          </cell>
          <cell r="AX414" t="str">
            <v>Simalungun, Kab. - 3304</v>
          </cell>
        </row>
        <row r="415">
          <cell r="AM415" t="str">
            <v>3318 - Samosir, Kab</v>
          </cell>
          <cell r="AV415" t="str">
            <v>3804 - Kab. Bintan (d/h Kabupaten Kepulauan Riau)</v>
          </cell>
          <cell r="AX415" t="str">
            <v>Simeuleu, Kab - 3216</v>
          </cell>
        </row>
        <row r="416">
          <cell r="AM416" t="str">
            <v>7401 - Kupang, Kab.</v>
          </cell>
          <cell r="AV416" t="str">
            <v>0901 - Kab. Semarang</v>
          </cell>
          <cell r="AX416" t="str">
            <v>Singkawang, Kota. - 5392</v>
          </cell>
        </row>
        <row r="417">
          <cell r="AM417" t="str">
            <v>7402 - Timor-Tengah Selatan, Kab.</v>
          </cell>
          <cell r="AV417" t="str">
            <v>0902 - Kab. Kendal</v>
          </cell>
          <cell r="AX417" t="str">
            <v>Sinjai, Kab. - 6110</v>
          </cell>
        </row>
        <row r="418">
          <cell r="AM418" t="str">
            <v>7403 - Timor-Tengah Utara, Kab.</v>
          </cell>
          <cell r="AV418" t="str">
            <v>0903 - Kab. Demak</v>
          </cell>
          <cell r="AX418" t="str">
            <v>Sintang, Kab. - 5305</v>
          </cell>
        </row>
        <row r="419">
          <cell r="AM419" t="str">
            <v>7404 - Belu, Kab.</v>
          </cell>
          <cell r="AV419" t="str">
            <v>0904 - Kab. Grobogan</v>
          </cell>
          <cell r="AX419" t="str">
            <v>Situbondo, Kab. - 1230</v>
          </cell>
        </row>
        <row r="420">
          <cell r="AM420" t="str">
            <v>7405 - Alor, Kab.</v>
          </cell>
          <cell r="AV420" t="str">
            <v>0905 - Kab. Pekalongan</v>
          </cell>
          <cell r="AX420" t="str">
            <v>Sleman, Kab. - 0502</v>
          </cell>
        </row>
        <row r="421">
          <cell r="AM421" t="str">
            <v>7406 - Flores Timur, Kab.</v>
          </cell>
          <cell r="AV421" t="str">
            <v>0906 - Kab. Tegal</v>
          </cell>
          <cell r="AX421" t="str">
            <v>Solok Selatan, Kab. - 3404</v>
          </cell>
        </row>
        <row r="422">
          <cell r="AM422" t="str">
            <v>7407 - Sikka, Kab.</v>
          </cell>
          <cell r="AV422" t="str">
            <v>0907 - Kab. Brebes</v>
          </cell>
          <cell r="AX422" t="str">
            <v>Solok, Kab - 3412</v>
          </cell>
        </row>
        <row r="423">
          <cell r="AM423" t="str">
            <v>7408 - Ende, Kab.</v>
          </cell>
          <cell r="AV423" t="str">
            <v>0908 - Kab. Pati</v>
          </cell>
          <cell r="AX423" t="str">
            <v>Solok, Kota. - 3495</v>
          </cell>
        </row>
        <row r="424">
          <cell r="AM424" t="str">
            <v>3319 - Serdang Bedagai, Kab</v>
          </cell>
          <cell r="AV424" t="str">
            <v>3805 - Kab. Anambas</v>
          </cell>
          <cell r="AX424" t="str">
            <v>Soppeng, Kab (d/h Watansoppeng) - 6119</v>
          </cell>
        </row>
        <row r="425">
          <cell r="AM425" t="str">
            <v>7409 - Ngada, Kab.</v>
          </cell>
          <cell r="AV425" t="str">
            <v>0909 - Kab. Kudus</v>
          </cell>
          <cell r="AX425" t="str">
            <v>Sorong selatan, Kab. - 8404</v>
          </cell>
        </row>
        <row r="426">
          <cell r="AM426" t="str">
            <v>7410 - Manggarai, Kab.</v>
          </cell>
          <cell r="AV426" t="str">
            <v>0910 - Kab. Pemalang</v>
          </cell>
          <cell r="AX426" t="str">
            <v>Sorong, Kab. - 8401</v>
          </cell>
        </row>
        <row r="427">
          <cell r="AM427" t="str">
            <v>7411 - Sumba Timur, Kab.</v>
          </cell>
          <cell r="AV427" t="str">
            <v>0911 - Kab. Jepara</v>
          </cell>
          <cell r="AX427" t="str">
            <v>Sorong, Kota. - 8491</v>
          </cell>
        </row>
        <row r="428">
          <cell r="AM428" t="str">
            <v>7412 - Sumba Barat, Kab.</v>
          </cell>
          <cell r="AV428" t="str">
            <v>0912 - Kab. Rembang</v>
          </cell>
          <cell r="AX428" t="str">
            <v>Sragen, Kab. - 0925</v>
          </cell>
        </row>
        <row r="429">
          <cell r="AM429" t="str">
            <v>7413 - Lembata, Kab.</v>
          </cell>
          <cell r="AV429" t="str">
            <v>0913 - Kab. Blora</v>
          </cell>
          <cell r="AX429" t="str">
            <v>Subang, Kab. - 0121</v>
          </cell>
        </row>
        <row r="430">
          <cell r="AM430" t="str">
            <v>7414 - Rote, Kab.</v>
          </cell>
          <cell r="AV430" t="str">
            <v>0914 - Kab. Banyumas</v>
          </cell>
          <cell r="AX430" t="str">
            <v>Subulussalam - 3219</v>
          </cell>
        </row>
        <row r="431">
          <cell r="AM431" t="str">
            <v>7415 - Manggarai Barat, Kab.</v>
          </cell>
          <cell r="AV431" t="str">
            <v>0915 - Kab. Cilacap</v>
          </cell>
          <cell r="AX431" t="str">
            <v>Sukabumi, Kab. - 0109</v>
          </cell>
        </row>
        <row r="432">
          <cell r="AM432" t="str">
            <v>7416 - Sumba Tengah, Kab.</v>
          </cell>
          <cell r="AV432" t="str">
            <v>0916 - Kab. Purbalingga</v>
          </cell>
          <cell r="AX432" t="str">
            <v>Sukabumi, Kota. - 0193</v>
          </cell>
        </row>
        <row r="433">
          <cell r="AM433" t="str">
            <v>7417 - Sumba Barat Daya, Kab.</v>
          </cell>
          <cell r="AV433" t="str">
            <v>0917 - Kab. Banjarnegara</v>
          </cell>
          <cell r="AX433" t="str">
            <v>Sukamara, Kab. - 5812</v>
          </cell>
        </row>
        <row r="434">
          <cell r="AM434" t="str">
            <v>7418 - Manggarai Timur, Kab.</v>
          </cell>
          <cell r="AV434" t="str">
            <v>0918 - Kab. Magelang</v>
          </cell>
          <cell r="AX434" t="str">
            <v>Sukoharjo, Kab. - 0926</v>
          </cell>
        </row>
        <row r="435">
          <cell r="AM435" t="str">
            <v>7419 - Nagekeo, Kab.</v>
          </cell>
          <cell r="AV435" t="str">
            <v>0919 - Kab. Temanggung</v>
          </cell>
          <cell r="AX435" t="str">
            <v>Sumba Barat Daya, Kab. - 7417</v>
          </cell>
        </row>
        <row r="436">
          <cell r="AM436" t="str">
            <v>7420 - Kab. Sabu Raijua</v>
          </cell>
          <cell r="AV436" t="str">
            <v>0920 - Kab. Wonosobo</v>
          </cell>
          <cell r="AX436" t="str">
            <v>Sumba Barat, Kab. - 7412</v>
          </cell>
        </row>
        <row r="437">
          <cell r="AM437" t="str">
            <v>7491 - Kupang, Kota.</v>
          </cell>
          <cell r="AV437" t="str">
            <v>0921 - Kab. Purworejo</v>
          </cell>
          <cell r="AX437" t="str">
            <v>Sumba Tengah, Kab. - 7416</v>
          </cell>
        </row>
        <row r="438">
          <cell r="AM438" t="str">
            <v>8101 - Maluku Tengah, Kab.</v>
          </cell>
          <cell r="AV438" t="str">
            <v>0922 - Kab. Kebumen</v>
          </cell>
          <cell r="AX438" t="str">
            <v>Sumba Timur, Kab. - 7411</v>
          </cell>
        </row>
        <row r="439">
          <cell r="AM439" t="str">
            <v>8102 - Maluku Tenggara, Kab.</v>
          </cell>
          <cell r="AV439" t="str">
            <v>0923 - Kab. Klaten</v>
          </cell>
          <cell r="AX439" t="str">
            <v>Sumbawa Barat, Kab. - 7107</v>
          </cell>
        </row>
        <row r="440">
          <cell r="AM440" t="str">
            <v>8103 - Maluku Tenggara Barat, Kab.</v>
          </cell>
          <cell r="AV440" t="str">
            <v>0924 - Kab. Boyolali</v>
          </cell>
          <cell r="AX440" t="str">
            <v>Sumbawa, Kab. - 7104</v>
          </cell>
        </row>
        <row r="441">
          <cell r="AM441" t="str">
            <v>8104 - Kab Buru</v>
          </cell>
          <cell r="AV441" t="str">
            <v>0925 - Kab. Sragen</v>
          </cell>
          <cell r="AX441" t="str">
            <v>Sumedang, Kab. - 0112</v>
          </cell>
        </row>
        <row r="442">
          <cell r="AM442" t="str">
            <v>8105 - Seram Bagian Barat, Kota.</v>
          </cell>
          <cell r="AV442" t="str">
            <v>0926 - Kab. Sukoharjo</v>
          </cell>
          <cell r="AX442" t="str">
            <v>Sumenep, Kab. - 1207</v>
          </cell>
        </row>
        <row r="443">
          <cell r="AM443" t="str">
            <v>8106 - Seram Bagian Timur, Kota.</v>
          </cell>
          <cell r="AV443" t="str">
            <v>0927 - Kab. Karanganyar</v>
          </cell>
          <cell r="AX443" t="str">
            <v>Supiori,Kab. - 8231</v>
          </cell>
        </row>
        <row r="444">
          <cell r="AM444" t="str">
            <v>8107 - Kepulauan Aru, Kota.</v>
          </cell>
          <cell r="AV444" t="str">
            <v>0928 - Kab. Wonogiri</v>
          </cell>
          <cell r="AX444" t="str">
            <v>Surabaya, Kota. - 1291</v>
          </cell>
        </row>
        <row r="445">
          <cell r="AM445" t="str">
            <v>8108 - Kab. Maluku Barat Daya</v>
          </cell>
          <cell r="AV445" t="str">
            <v>0929 - Kab. Batang</v>
          </cell>
          <cell r="AX445" t="str">
            <v>Surakarta, Kota. - 0996</v>
          </cell>
        </row>
        <row r="446">
          <cell r="AM446" t="str">
            <v>8109 - Kab. Buru Selatan</v>
          </cell>
          <cell r="AV446" t="str">
            <v>0991 - Kota Semarang</v>
          </cell>
          <cell r="AX446" t="str">
            <v>Tabalong, Kab. - 5109</v>
          </cell>
        </row>
        <row r="447">
          <cell r="AM447" t="str">
            <v>8191 - Ambon, Kota.</v>
          </cell>
          <cell r="AV447" t="str">
            <v>0992 - Kota Salatiga</v>
          </cell>
          <cell r="AX447" t="str">
            <v>Tabanan, Kab. - 7203</v>
          </cell>
        </row>
        <row r="448">
          <cell r="AM448" t="str">
            <v>8192 - Tual, Kota.</v>
          </cell>
          <cell r="AV448" t="str">
            <v>0993 - Kota Pekalongan</v>
          </cell>
          <cell r="AX448" t="str">
            <v>Takalar, Kab. - 6115</v>
          </cell>
        </row>
        <row r="449">
          <cell r="AM449" t="str">
            <v>8201 - Jayapura, Kab.</v>
          </cell>
          <cell r="AV449" t="str">
            <v>0994 - Kota Tegal</v>
          </cell>
          <cell r="AX449" t="str">
            <v>Tana Tidung, Kab. - 5412</v>
          </cell>
        </row>
        <row r="450">
          <cell r="AM450" t="str">
            <v>8202 - Biak Numfor, Kab.</v>
          </cell>
          <cell r="AV450" t="str">
            <v>0995 - Kota Magelang</v>
          </cell>
          <cell r="AX450" t="str">
            <v>Tana Toraja, Kab. - 6106</v>
          </cell>
        </row>
        <row r="451">
          <cell r="AM451" t="str">
            <v>8210 - Yapen-Waropen, Kab.</v>
          </cell>
          <cell r="AV451" t="str">
            <v>0996 - Kota Surakarta/Solo</v>
          </cell>
          <cell r="AX451" t="str">
            <v>Tanah Bumbu, Kab. - 5110</v>
          </cell>
        </row>
        <row r="452">
          <cell r="AM452" t="str">
            <v>8211 - Merauke, Kab.</v>
          </cell>
          <cell r="AV452" t="str">
            <v>1201 - Kab. Gresik</v>
          </cell>
          <cell r="AX452" t="str">
            <v>Tanah Datar, Kab. - 3407</v>
          </cell>
        </row>
        <row r="453">
          <cell r="AM453" t="str">
            <v>8212 - Paniai, Kab.</v>
          </cell>
          <cell r="AV453" t="str">
            <v>1202 - Kab. Sidoarjo</v>
          </cell>
          <cell r="AX453" t="str">
            <v>Tanah Laut, Kab. - 5102</v>
          </cell>
        </row>
        <row r="454">
          <cell r="AM454" t="str">
            <v>8213 - Jayawijaya, Kab.</v>
          </cell>
          <cell r="AV454" t="str">
            <v>1203 - Kab. Mojokerto</v>
          </cell>
          <cell r="AX454" t="str">
            <v>Tangerang, Kab. - 0204</v>
          </cell>
        </row>
        <row r="455">
          <cell r="AM455" t="str">
            <v>8214 - Nabire, Kab.</v>
          </cell>
          <cell r="AV455" t="str">
            <v>1204 - Kab. Jombang</v>
          </cell>
          <cell r="AX455" t="str">
            <v>Tangerang, Kota. - 0292</v>
          </cell>
        </row>
        <row r="456">
          <cell r="AM456" t="str">
            <v>8215 - Mimika, Kab.</v>
          </cell>
          <cell r="AV456" t="str">
            <v>1205 - Kab. Sampang</v>
          </cell>
          <cell r="AX456" t="str">
            <v>Tanggamus, Kab. - 3906</v>
          </cell>
        </row>
        <row r="457">
          <cell r="AM457" t="str">
            <v>8216 - Puncak Jaya, Kab.</v>
          </cell>
          <cell r="AV457" t="str">
            <v>1206 - Kab. Pamekasan</v>
          </cell>
          <cell r="AX457" t="str">
            <v>Tanjung Balai, Kota. - 3394</v>
          </cell>
        </row>
        <row r="458">
          <cell r="AM458" t="str">
            <v>8217 - Sarmi, Kab.</v>
          </cell>
          <cell r="AV458" t="str">
            <v>1207 - Kab. Sumenep</v>
          </cell>
          <cell r="AX458" t="str">
            <v>Tanjung Jabung Barat, Kab. - 3107</v>
          </cell>
        </row>
        <row r="459">
          <cell r="AM459" t="str">
            <v>8218 - Keerom, Kab.</v>
          </cell>
          <cell r="AV459" t="str">
            <v>1208 - Kab. Bangkalan</v>
          </cell>
          <cell r="AX459" t="str">
            <v>Tanjung Jabung Timur, Kab. - 3108</v>
          </cell>
        </row>
        <row r="460">
          <cell r="AM460" t="str">
            <v>8221 - Pegunungan Bintang, Kab.</v>
          </cell>
          <cell r="AV460" t="str">
            <v>1209 - Kab. Bondowoso</v>
          </cell>
          <cell r="AX460" t="str">
            <v>Tanjungpinang, Kota - 3891</v>
          </cell>
        </row>
        <row r="461">
          <cell r="AM461" t="str">
            <v>8222 - Yahukimo, Kab.</v>
          </cell>
          <cell r="AV461" t="str">
            <v>1211 - Kab. Banyuwangi</v>
          </cell>
          <cell r="AX461" t="str">
            <v>Tapanuli Selatan, Kab. - 3310</v>
          </cell>
        </row>
        <row r="462">
          <cell r="AM462" t="str">
            <v>8223 - Tolikara, Kab.</v>
          </cell>
          <cell r="AV462" t="str">
            <v>1212 - Kab. Jember</v>
          </cell>
          <cell r="AX462" t="str">
            <v>Tapanuli Tengah, Kab. - 3309</v>
          </cell>
        </row>
        <row r="463">
          <cell r="AM463" t="str">
            <v>8224 - Waropen, Kab.</v>
          </cell>
          <cell r="AV463" t="str">
            <v>1213 - Kab. Malang</v>
          </cell>
          <cell r="AX463" t="str">
            <v>Tapanuli Utara, Kab. - 3308</v>
          </cell>
        </row>
        <row r="464">
          <cell r="AM464" t="str">
            <v>8226 - Boven Digoel, Kab.</v>
          </cell>
          <cell r="AV464" t="str">
            <v>1214 - Kab. Pasuruan</v>
          </cell>
          <cell r="AX464" t="str">
            <v>Tapin, Kab. - 5103</v>
          </cell>
        </row>
        <row r="465">
          <cell r="AM465" t="str">
            <v>8227 - Mappi, Kab.</v>
          </cell>
          <cell r="AV465" t="str">
            <v>1215 - Kab. Probolinggo</v>
          </cell>
          <cell r="AX465" t="str">
            <v>Tarakan, Kota. - 5493</v>
          </cell>
        </row>
        <row r="466">
          <cell r="AM466" t="str">
            <v>8228 - Asmat, Kab.</v>
          </cell>
          <cell r="AV466" t="str">
            <v>1216 - Kab. Lumajang</v>
          </cell>
          <cell r="AX466" t="str">
            <v>Tasikmalaya, Kab. - 0113</v>
          </cell>
        </row>
        <row r="467">
          <cell r="AM467" t="str">
            <v>8231 - Supiori,Kab.</v>
          </cell>
          <cell r="AV467" t="str">
            <v>1217 - Kab. Kediri</v>
          </cell>
          <cell r="AX467" t="str">
            <v>Tasikmalaya, Kota. - 0195</v>
          </cell>
        </row>
        <row r="468">
          <cell r="AM468" t="str">
            <v>8232 - Mamberamo Raya, Kab.</v>
          </cell>
          <cell r="AV468" t="str">
            <v>1218 - Kab. Nganjuk</v>
          </cell>
          <cell r="AX468" t="str">
            <v>Tebing Tinggi, Kota. - 3391</v>
          </cell>
        </row>
        <row r="469">
          <cell r="AM469" t="str">
            <v>8233 - Dogiyai, Kab.</v>
          </cell>
          <cell r="AV469" t="str">
            <v>1219 - Kab. Tulungagung</v>
          </cell>
          <cell r="AX469" t="str">
            <v>Tebo, Kab. - 3109</v>
          </cell>
        </row>
        <row r="470">
          <cell r="AM470" t="str">
            <v>8234 - Lanny Jaya, Kab.</v>
          </cell>
          <cell r="AV470" t="str">
            <v>1220 - Kab. Trenggalek</v>
          </cell>
          <cell r="AX470" t="str">
            <v>Tegal, Kab. - 0906</v>
          </cell>
        </row>
        <row r="471">
          <cell r="AM471" t="str">
            <v>8235 - Mamberamo Tengah, Kab.</v>
          </cell>
          <cell r="AV471" t="str">
            <v>1221 - Kab. Blitar</v>
          </cell>
          <cell r="AX471" t="str">
            <v>Tegal, Kota. - 0994</v>
          </cell>
        </row>
        <row r="472">
          <cell r="AM472" t="str">
            <v>8236 - Nduga Tengah, Kab.</v>
          </cell>
          <cell r="AV472" t="str">
            <v>1222 - Kab. Madiun</v>
          </cell>
          <cell r="AX472" t="str">
            <v>Teluk Bintuni, Kab. - 8407</v>
          </cell>
        </row>
        <row r="473">
          <cell r="AM473" t="str">
            <v>8237 - Yalimo, Kab.</v>
          </cell>
          <cell r="AV473" t="str">
            <v>1223 - Kab. Ngawi</v>
          </cell>
          <cell r="AX473" t="str">
            <v>Teluk Wondama, Kab. - 8408</v>
          </cell>
        </row>
        <row r="474">
          <cell r="AM474" t="str">
            <v>8238 - Puncak, Kab.</v>
          </cell>
          <cell r="AV474" t="str">
            <v>1224 - Kab. Magetan</v>
          </cell>
          <cell r="AX474" t="str">
            <v>Temanggung, Kab. - 0919</v>
          </cell>
        </row>
        <row r="475">
          <cell r="AM475" t="str">
            <v>3320 - Angkola Sipirok, Kab</v>
          </cell>
          <cell r="AV475" t="str">
            <v>3891 - Kota Tanjung Pinang</v>
          </cell>
          <cell r="AX475" t="str">
            <v>Tembrauw, Kab - 8409</v>
          </cell>
        </row>
        <row r="476">
          <cell r="AM476" t="str">
            <v>8239 - Kab. Intan Jaya</v>
          </cell>
          <cell r="AV476" t="str">
            <v>1225 - Kab. Ponorogo</v>
          </cell>
          <cell r="AX476" t="str">
            <v>Ternate, Kota. - 8390</v>
          </cell>
        </row>
        <row r="477">
          <cell r="AM477" t="str">
            <v>8240 - Kab. Deiyai</v>
          </cell>
          <cell r="AV477" t="str">
            <v>1226 - Kab. Pacitan</v>
          </cell>
          <cell r="AX477" t="str">
            <v>Tidore Kepulauan, Kota. - 8391</v>
          </cell>
        </row>
        <row r="478">
          <cell r="AM478" t="str">
            <v>8291 - Jayapura, Kota.</v>
          </cell>
          <cell r="AV478" t="str">
            <v>1227 - Kab. Bojonegoro</v>
          </cell>
          <cell r="AX478" t="str">
            <v>Timor-Tengah Selatan, Kab. - 7402</v>
          </cell>
        </row>
        <row r="479">
          <cell r="AM479" t="str">
            <v>8302 - Halmahera Tengah, Kab.</v>
          </cell>
          <cell r="AV479" t="str">
            <v>1228 - Kab. Tuban</v>
          </cell>
          <cell r="AX479" t="str">
            <v>Timor-Tengah Utara, Kab. - 7403</v>
          </cell>
        </row>
        <row r="480">
          <cell r="AM480" t="str">
            <v>8303 - Halmahera Utara, Kab.</v>
          </cell>
          <cell r="AV480" t="str">
            <v>1229 - Kab. Lamongan</v>
          </cell>
          <cell r="AX480" t="str">
            <v>Toba Samosir, Kab. - 3313</v>
          </cell>
        </row>
        <row r="481">
          <cell r="AM481" t="str">
            <v>8304 - Halmahera Timur, Kab.</v>
          </cell>
          <cell r="AV481" t="str">
            <v>1230 - Kab. Situbondo</v>
          </cell>
          <cell r="AX481" t="str">
            <v>Tojo Una-Una, Kab. - 6008</v>
          </cell>
        </row>
        <row r="482">
          <cell r="AM482" t="str">
            <v>8305 - Halmahera Barat, Kab.</v>
          </cell>
          <cell r="AV482" t="str">
            <v>1291 - Kota Surabaya</v>
          </cell>
          <cell r="AX482" t="str">
            <v>Tolikara, Kab. - 8223</v>
          </cell>
        </row>
        <row r="483">
          <cell r="AM483" t="str">
            <v>8306 - Halmahera Selatan, Kab.</v>
          </cell>
          <cell r="AV483" t="str">
            <v>1292 - Kota Mojokerto</v>
          </cell>
          <cell r="AX483" t="str">
            <v>Toli-Toli, Kab. - 6004</v>
          </cell>
        </row>
        <row r="484">
          <cell r="AM484" t="str">
            <v>3321 - Batu Bara, Kab</v>
          </cell>
          <cell r="AV484" t="str">
            <v>3892 - Kota Batam</v>
          </cell>
          <cell r="AX484" t="str">
            <v>Toraja Utara, Kab - 6125</v>
          </cell>
        </row>
        <row r="485">
          <cell r="AM485" t="str">
            <v>8307 - Kepulauan Sula, Kab.</v>
          </cell>
          <cell r="AV485" t="str">
            <v>1293 - Kota Malang</v>
          </cell>
          <cell r="AX485" t="str">
            <v>Trenggalek, Kab. - 1220</v>
          </cell>
        </row>
        <row r="486">
          <cell r="AM486" t="str">
            <v>8308 - Kab. Pulau Morotai</v>
          </cell>
          <cell r="AV486" t="str">
            <v>1294 - Kota Pasuruan</v>
          </cell>
          <cell r="AX486" t="str">
            <v>Tual, Kota. - 8192</v>
          </cell>
        </row>
        <row r="487">
          <cell r="AM487" t="str">
            <v>8390 - Ternate, Kota.</v>
          </cell>
          <cell r="AV487" t="str">
            <v>1295 - Kota Probolinggo</v>
          </cell>
          <cell r="AX487" t="str">
            <v>Tuban, Kab. - 1228</v>
          </cell>
        </row>
        <row r="488">
          <cell r="AM488" t="str">
            <v>3322 - Padang Lawas, Kab</v>
          </cell>
          <cell r="AV488" t="str">
            <v>3901 - Kab. Lampung Selatan</v>
          </cell>
          <cell r="AX488" t="str">
            <v>Tulang Bawang Barat, Kab - 3911</v>
          </cell>
        </row>
        <row r="489">
          <cell r="AM489" t="str">
            <v>8391 - Tidore Kepulauan, Kota.</v>
          </cell>
          <cell r="AV489" t="str">
            <v>1296 - Kota Blitar</v>
          </cell>
          <cell r="AX489" t="str">
            <v>Tulang Bawang, Kab. - 3905</v>
          </cell>
        </row>
        <row r="490">
          <cell r="AM490" t="str">
            <v>8401 - Sorong, Kab.</v>
          </cell>
          <cell r="AV490" t="str">
            <v>1297 - Kota Kediri</v>
          </cell>
          <cell r="AX490" t="str">
            <v>Tulungagung, Kab. - 1219</v>
          </cell>
        </row>
        <row r="491">
          <cell r="AM491" t="str">
            <v>8402 - Fak-Fak, Kab.</v>
          </cell>
          <cell r="AV491" t="str">
            <v>1298 - Kota Madiun</v>
          </cell>
          <cell r="AX491" t="str">
            <v>Wajo, Kab. - 6103</v>
          </cell>
        </row>
        <row r="492">
          <cell r="AM492" t="str">
            <v>8403 - Manokwari, Kab.</v>
          </cell>
          <cell r="AV492" t="str">
            <v>1271 - Kota Batu</v>
          </cell>
          <cell r="AX492" t="str">
            <v>Wakatobi, Kab. - 6905</v>
          </cell>
        </row>
        <row r="493">
          <cell r="AM493" t="str">
            <v>8404 - Sorong selatan, Kab.</v>
          </cell>
          <cell r="AV493" t="str">
            <v>2301 - Kab. Bengkulu Selatan</v>
          </cell>
          <cell r="AX493" t="str">
            <v>Waropen, Kab. - 8224</v>
          </cell>
        </row>
        <row r="494">
          <cell r="AM494" t="str">
            <v>8405 - Raja Ampat, Kab.</v>
          </cell>
          <cell r="AV494" t="str">
            <v>2302 - Kab. Bengkulu Utara</v>
          </cell>
          <cell r="AX494" t="str">
            <v>Way Kanan, Kab. - 3908</v>
          </cell>
        </row>
        <row r="495">
          <cell r="AM495" t="str">
            <v>8406 - Kaimana, Kab.</v>
          </cell>
          <cell r="AV495" t="str">
            <v>2303 - Kab. Rejang Lebong</v>
          </cell>
          <cell r="AX495" t="str">
            <v>Wonogiri, Kab. - 0928</v>
          </cell>
        </row>
        <row r="496">
          <cell r="AM496" t="str">
            <v>8407 - Teluk Bintuni, Kab.</v>
          </cell>
          <cell r="AV496" t="str">
            <v>2304 - Kab. Lebong</v>
          </cell>
          <cell r="AX496" t="str">
            <v>Wonosobo, Kab. - 0920</v>
          </cell>
        </row>
        <row r="497">
          <cell r="AM497" t="str">
            <v>8408 - Teluk Wondama, Kab.</v>
          </cell>
          <cell r="AV497" t="str">
            <v>2305 - Kab. Kepahiang</v>
          </cell>
          <cell r="AX497" t="str">
            <v>Yahukimo, Kab. - 8222</v>
          </cell>
        </row>
        <row r="498">
          <cell r="AM498" t="str">
            <v>8409 - Kab. Tembrauw</v>
          </cell>
          <cell r="AV498" t="str">
            <v>2306 - Kab. Mukomuko</v>
          </cell>
          <cell r="AX498" t="str">
            <v>Yalimo, Kab. - 8237</v>
          </cell>
        </row>
        <row r="499">
          <cell r="AM499" t="str">
            <v>8410 - Kab. Maybrat</v>
          </cell>
          <cell r="AV499" t="str">
            <v>2307 - Kab. Seluma</v>
          </cell>
          <cell r="AX499" t="str">
            <v>Yapen-Waropen, Kab. - 8210</v>
          </cell>
        </row>
        <row r="500">
          <cell r="AM500" t="str">
            <v>8491 - Sorong, Kota.</v>
          </cell>
          <cell r="AV500" t="str">
            <v>2308 - Kab. Kaur</v>
          </cell>
          <cell r="AX500" t="str">
            <v>Yogyakarta, Kota. - 0591</v>
          </cell>
        </row>
        <row r="501">
          <cell r="AM501" t="str">
            <v>9999 - DI  LUAR  INDONESIA</v>
          </cell>
        </row>
      </sheetData>
      <sheetData sheetId="22" refreshError="1">
        <row r="2">
          <cell r="J2" t="str">
            <v>ANIMALS, FISHERIES AND FARMING</v>
          </cell>
        </row>
        <row r="3">
          <cell r="J3" t="str">
            <v>AUTOMOTIVE &amp; COMPONENT</v>
          </cell>
        </row>
        <row r="4">
          <cell r="J4" t="str">
            <v>BUILDING MATERIAL</v>
          </cell>
        </row>
        <row r="5">
          <cell r="J5" t="str">
            <v>CHEMICAL &amp; PHARMACEUTICAL</v>
          </cell>
        </row>
        <row r="6">
          <cell r="J6" t="str">
            <v>COAL, MINING &amp; QUARRYING</v>
          </cell>
        </row>
        <row r="7">
          <cell r="J7" t="str">
            <v>COMODITY INDUSTRY</v>
          </cell>
        </row>
        <row r="8">
          <cell r="J8" t="str">
            <v>CONSTRUCTION</v>
          </cell>
        </row>
        <row r="9">
          <cell r="J9" t="str">
            <v>CONSULTING &amp; SERVICE INDUSTRY</v>
          </cell>
        </row>
        <row r="10">
          <cell r="J10" t="str">
            <v>CONSUMABLE GOOD</v>
          </cell>
        </row>
        <row r="11">
          <cell r="J11" t="str">
            <v xml:space="preserve">LEATHER &amp; TEXTILE </v>
          </cell>
        </row>
        <row r="12">
          <cell r="J12" t="str">
            <v>GARMEN (Incl. Jewelry &amp; Accessories)</v>
          </cell>
        </row>
        <row r="13">
          <cell r="J13" t="str">
            <v>CRUMB RUBBER</v>
          </cell>
        </row>
        <row r="14">
          <cell r="J14" t="str">
            <v>ELECTRICITY, ENGINE &amp; MACHINERIES</v>
          </cell>
        </row>
        <row r="15">
          <cell r="J15" t="str">
            <v>FABRICATED METAL, STEEL &amp; OTHER BASIC INDUSTRY</v>
          </cell>
        </row>
        <row r="16">
          <cell r="J16" t="str">
            <v>FOOD &amp; BEVERAGE</v>
          </cell>
        </row>
        <row r="17">
          <cell r="J17" t="str">
            <v>FORESTRY</v>
          </cell>
        </row>
        <row r="18">
          <cell r="J18" t="str">
            <v>HOME APPLIANCES</v>
          </cell>
        </row>
        <row r="19">
          <cell r="J19" t="str">
            <v>HOSPITAL &amp; MEDICAL EQUIPMENT</v>
          </cell>
        </row>
        <row r="20">
          <cell r="J20" t="str">
            <v>HOTEL, RESTAURANT &amp; ACCOMMODATION SERVICE</v>
          </cell>
        </row>
        <row r="21">
          <cell r="J21" t="str">
            <v xml:space="preserve">OIL &amp; GAS </v>
          </cell>
        </row>
        <row r="22">
          <cell r="J22" t="str">
            <v>OTHERS INDUSTRY</v>
          </cell>
        </row>
        <row r="23">
          <cell r="J23" t="str">
            <v>PLANTATION</v>
          </cell>
        </row>
        <row r="24">
          <cell r="J24" t="str">
            <v>PLASTIC, PULP &amp; PAPER</v>
          </cell>
        </row>
        <row r="25">
          <cell r="J25" t="str">
            <v>PRINTING, MEDIA &amp; ADVERTISING</v>
          </cell>
        </row>
        <row r="26">
          <cell r="J26" t="str">
            <v>PROPERTIES &amp; REAL ESTATE</v>
          </cell>
        </row>
        <row r="27">
          <cell r="J27" t="str">
            <v>RENTAL SERVICE</v>
          </cell>
        </row>
        <row r="28">
          <cell r="J28" t="str">
            <v>TELECOMMUNICATION</v>
          </cell>
        </row>
        <row r="29">
          <cell r="J29" t="str">
            <v>TRANSPORTATION AND COURIER SERVICE</v>
          </cell>
        </row>
        <row r="30">
          <cell r="J30" t="str">
            <v>SPBU</v>
          </cell>
        </row>
        <row r="31">
          <cell r="J31" t="str">
            <v>WOOD PRODUCT</v>
          </cell>
        </row>
        <row r="347">
          <cell r="D347" t="str">
            <v>Pertambangan Minyak dan Gas Bumi  - 111010</v>
          </cell>
        </row>
        <row r="348">
          <cell r="D348" t="str">
            <v>Pengusahaan Tenaga Panas Bumi  - 111020</v>
          </cell>
        </row>
        <row r="349">
          <cell r="D349" t="str">
            <v>Jasa Pertambangan Minyak dan Gas Bumi  - 112000</v>
          </cell>
        </row>
        <row r="350">
          <cell r="D350" t="str">
            <v>Industri Pengilangan Minyak Bumi, Pengolahan Gas Bumi, dan Industri Barang-barang dari Hasil Pengilangan Minyak Bumi  - 232000</v>
          </cell>
        </row>
        <row r="351">
          <cell r="D351" t="str">
            <v>Pengolahan Bahan Bakar Nuklir (Nuclear Fuel)  - 233000</v>
          </cell>
        </row>
        <row r="352">
          <cell r="D352" t="str">
            <v>Gas  - 402000</v>
          </cell>
        </row>
        <row r="353">
          <cell r="D353" t="str">
            <v>Perdagangan Ekspor Bahan Bakar Gas, Cair, dan Padat Serta Produk Sejenis  - 534100</v>
          </cell>
        </row>
        <row r="354">
          <cell r="D354" t="str">
            <v>G.5.4.1. Perdagangan Impor Bahan Bakar Gas, Cair, dan Padat Serta Produk Sejenis  - 544100</v>
          </cell>
        </row>
        <row r="355">
          <cell r="D355" t="str">
            <v>Perdagangan Eceran Kaki Lima Bahan Bakar dan Pelumas - 525600</v>
          </cell>
        </row>
      </sheetData>
      <sheetData sheetId="23"/>
      <sheetData sheetId="24"/>
      <sheetData sheetId="25"/>
      <sheetData sheetId="26"/>
      <sheetData sheetId="27"/>
      <sheetData sheetId="28" refreshError="1"/>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BIR"/>
      <sheetName val="Informasi Debitur"/>
      <sheetName val="Order appraisal"/>
      <sheetName val="Oder BI checking"/>
      <sheetName val="Order Trade Checking"/>
      <sheetName val="Supplier Checking"/>
      <sheetName val="Buyer Checking"/>
      <sheetName val="Analisa Lap Keu"/>
      <sheetName val="Analisa Rek Koran"/>
      <sheetName val="RAC"/>
      <sheetName val="Parameter"/>
      <sheetName val="MKK"/>
      <sheetName val="Pelaporan BI"/>
      <sheetName val="Surat Penawaran"/>
      <sheetName val="Order Notaris"/>
      <sheetName val="Database"/>
      <sheetName val="Sheet2"/>
      <sheetName val="Value"/>
      <sheetName val="Memo Revie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row r="1">
          <cell r="A1" t="str">
            <v>Rp</v>
          </cell>
          <cell r="C1" t="str">
            <v>Deposito</v>
          </cell>
          <cell r="E1" t="str">
            <v>Jaminan baru</v>
          </cell>
          <cell r="F1" t="str">
            <v>Terbatas</v>
          </cell>
          <cell r="G1" t="str">
            <v>Baru</v>
          </cell>
          <cell r="H1" t="str">
            <v>Disetujui sesuai pengajuan</v>
          </cell>
          <cell r="I1" t="str">
            <v>APHT</v>
          </cell>
          <cell r="J1" t="str">
            <v>1 - Lancar</v>
          </cell>
          <cell r="K1" t="str">
            <v>Tunai / Cash</v>
          </cell>
          <cell r="L1" t="str">
            <v>Audited</v>
          </cell>
          <cell r="M1" t="str">
            <v>Tidak Ada</v>
          </cell>
          <cell r="S1" t="str">
            <v>Diri Sendiri</v>
          </cell>
          <cell r="T1" t="str">
            <v>Pemegang saham / manajemen inti  sendiri</v>
          </cell>
          <cell r="U1" t="str">
            <v>Kredit untuk investasi/modal kerja usaha utama</v>
          </cell>
          <cell r="V1" t="str">
            <v>N/A</v>
          </cell>
          <cell r="W1" t="str">
            <v>Calon debitur secara rutin memesan dari beberapa supplier utama – supplier ini dapat dengan mudah digantikan tanpa mempengaruhi usaha</v>
          </cell>
          <cell r="X1" t="str">
            <v>Tidak ada kontrak (walk in). Hal ini berlaku untuk ritel, produk kebutuhan pokok atau produk khusus (tertentu) dengan basis pelanggan yang stabil</v>
          </cell>
          <cell r="Y1" t="str">
            <v>Calon debitur menjaminkan seluruh tanah / bangunan yang dia miliki sebagai jaminan</v>
          </cell>
          <cell r="Z1" t="str">
            <v>Pemegang saham / manajemen inti menjaminkan seluruh tanah / bangunan yang dimiliki sebagai jaminan</v>
          </cell>
          <cell r="AA1" t="str">
            <v>Jaminan telah dibeli dari pihak luar (bukan kerabat calon debitur / pemegang saham / manajemen inti)</v>
          </cell>
          <cell r="AB1" t="str">
            <v>Tidak Ada , karena hanya ada satu jaminan</v>
          </cell>
          <cell r="AC1" t="str">
            <v>Perorangan</v>
          </cell>
          <cell r="AD1" t="str">
            <v>Tidak Ada</v>
          </cell>
          <cell r="AE1" t="str">
            <v>Bulanan</v>
          </cell>
          <cell r="AF1" t="str">
            <v>Dengan perjanjian kredit</v>
          </cell>
          <cell r="AX1" t="str">
            <v>Aceh Barat Daya, Kab. - 3213</v>
          </cell>
          <cell r="AY1" t="str">
            <v>00 - Pengurus - Pemilik</v>
          </cell>
          <cell r="AZ1" t="str">
            <v>Balikpapan Sudirman</v>
          </cell>
        </row>
        <row r="2">
          <cell r="A2" t="str">
            <v>Australian Dollar (AUD)</v>
          </cell>
          <cell r="C2" t="str">
            <v>Tanah dan Bangunan</v>
          </cell>
          <cell r="E2" t="str">
            <v>Jaminan eksisting</v>
          </cell>
          <cell r="F2" t="str">
            <v>Tidak Terbatas</v>
          </cell>
          <cell r="G2" t="str">
            <v>Tambahan</v>
          </cell>
          <cell r="H2" t="str">
            <v>Disetujui hanya sebagian</v>
          </cell>
          <cell r="I2" t="str">
            <v>FEO</v>
          </cell>
          <cell r="J2" t="str">
            <v>2 - Dalam Perhatian Khusus</v>
          </cell>
          <cell r="K2" t="str">
            <v>Kredit</v>
          </cell>
          <cell r="L2" t="str">
            <v>Un-Audited</v>
          </cell>
          <cell r="M2" t="str">
            <v>Max. 1 kali dalam 3 bulan</v>
          </cell>
          <cell r="S2" t="str">
            <v>Suami / Istri</v>
          </cell>
          <cell r="T2" t="str">
            <v xml:space="preserve">Suami istri dari pemegang saham/manajemen inti </v>
          </cell>
          <cell r="U2" t="str">
            <v>Kredit untuk investasi/modal kerja usaha sampingan/ tambahan</v>
          </cell>
          <cell r="V2" t="str">
            <v>100% ditempati</v>
          </cell>
          <cell r="W2" t="str">
            <v>Calon debitur secara rutin memesan dari beberapa supplier utama  –  supplier ini tidak dapat dengan mudah digantikan tanpa berdampak pada usaha</v>
          </cell>
          <cell r="X2" t="str">
            <v>Ini adalah usaha ritel atau grosir. Calon debitur memiliki beberapa pembeli utama yang dapat dengan mudah digantikan</v>
          </cell>
          <cell r="Y2" t="str">
            <v>Calon debitur memiliki dua atau lebih tanah / bangunan dan menjaminkan sebagian darinya sebagai jaminan</v>
          </cell>
          <cell r="Z2" t="str">
            <v>Pemegang saham / manajemen inti memiliki dua atau lebih tanah / bangunan dan menjaminkan sebagian darinya sebagai jaminan</v>
          </cell>
          <cell r="AA2" t="str">
            <v xml:space="preserve">Jaminan telah dibeli dari kerabat calon debitur / pemegang saham / manajemen inti </v>
          </cell>
          <cell r="AB2" t="str">
            <v>Jaminan telah dibeli dari pihak luar (bukan kerabat calon debitur / pemegang saham / manajemen inti)</v>
          </cell>
          <cell r="AC2" t="str">
            <v>Badan Hukum Firma</v>
          </cell>
          <cell r="AD2">
            <v>1</v>
          </cell>
          <cell r="AE2" t="str">
            <v>Mingguan</v>
          </cell>
          <cell r="AF2" t="str">
            <v>10 - Dalam rangka pembiayaan bersama</v>
          </cell>
          <cell r="AG2" t="str">
            <v>0100 - Tanpa Gelar</v>
          </cell>
          <cell r="AH2" t="str">
            <v>800 - Pemerintah Pusat</v>
          </cell>
          <cell r="AI2" t="str">
            <v>0000 - Lain-lain</v>
          </cell>
          <cell r="AJ2" t="str">
            <v>0110 - Pengendali dan atau keluarga pengendali Bank</v>
          </cell>
          <cell r="AK2" t="str">
            <v>10 - Debitur UMKM -UMK Jaminan Bersyarat - Penjamin Tertentu Mikro</v>
          </cell>
          <cell r="AL2" t="str">
            <v>10 - Kredit Modal Kerja Permanen (KMKP)</v>
          </cell>
          <cell r="AM2" t="str">
            <v>0102 - Bekasi, Kab.</v>
          </cell>
          <cell r="AN2" t="str">
            <v>ADP - Andorran Peseta</v>
          </cell>
          <cell r="AO2" t="str">
            <v>002 - BANK RAKYAT INDONESIA</v>
          </cell>
          <cell r="AP2" t="str">
            <v>10 - Debitur UMKM dengan Penjaminan/Asuransi - Penjamin Tertentu - Mikro</v>
          </cell>
          <cell r="AQ2" t="str">
            <v>10 - Tagihan Kepada Pemerintah - Pemerintah Indonesia</v>
          </cell>
          <cell r="AR2" t="str">
            <v>05 - Dengan perjanjian kredit - Kredit yang diberikan</v>
          </cell>
          <cell r="AS2" t="str">
            <v>1 - Kredit yang direstrukturisasi</v>
          </cell>
          <cell r="AT2" t="str">
            <v>1 - Diukur pada nilai wajar melalui laporan laba rugi - Diperdagangkan</v>
          </cell>
          <cell r="AU2" t="str">
            <v>001110 - Rumah Tangga untuk Pemilikan Rumah Tinggal s.d. Tipe 21</v>
          </cell>
          <cell r="AV2" t="str">
            <v>8105 - Kabupaten Seram Bagian Barat</v>
          </cell>
          <cell r="AX2" t="str">
            <v>Aceh Barat, Kab. - 3206</v>
          </cell>
          <cell r="AY2" t="str">
            <v>01 - Direktur Utama / Pres. Dir (Pemilik)</v>
          </cell>
          <cell r="AZ2" t="str">
            <v>Bandung 3</v>
          </cell>
        </row>
        <row r="3">
          <cell r="A3" t="str">
            <v>British Pound (GBP)</v>
          </cell>
          <cell r="C3" t="str">
            <v>Tanah Kosong</v>
          </cell>
          <cell r="E3" t="str">
            <v>Jaminan telah ditarik</v>
          </cell>
          <cell r="G3" t="str">
            <v>Perpanjangan</v>
          </cell>
          <cell r="H3" t="str">
            <v>Disetujui hanya fasilitas perpanjangan</v>
          </cell>
          <cell r="I3" t="str">
            <v>Borghtocht</v>
          </cell>
          <cell r="J3" t="str">
            <v>3 - Kurang Lancar</v>
          </cell>
          <cell r="L3" t="str">
            <v>Proforma</v>
          </cell>
          <cell r="M3" t="str">
            <v>Max. 2 kali dalam 3 bulan</v>
          </cell>
          <cell r="S3" t="str">
            <v>Orang Tua / Kakek Nenek</v>
          </cell>
          <cell r="T3" t="str">
            <v xml:space="preserve">Orang tua / kakek nenek dari pemegang saham  / manajemen inti </v>
          </cell>
          <cell r="U3" t="str">
            <v>Calon debitur tidak dapat menjelaskan tujuan pengajuan kredit dengan jelas – kemungkinan maksud penggunaannya adalah untuk kebutuhan pribadi</v>
          </cell>
          <cell r="V3" t="str">
            <v>80 - 100% ditempati</v>
          </cell>
          <cell r="W3" t="str">
            <v>Calon debitur secara rutin memesan dari satu supplier – supplier ini  dapat dengan mudah digantikan tanpa mempengaruhi usaha</v>
          </cell>
          <cell r="X3" t="str">
            <v>Ini adalah usaha ritel atau grosir.  Calon debitur memiliki beberapa pembeli utama yang sulit digantikan</v>
          </cell>
          <cell r="Y3" t="str">
            <v>Calon debitur  menjaminkan tanah / bangunan milik kerabat dekatnya (milik orang tua, anak, suami/istri) sebagai jaminan</v>
          </cell>
          <cell r="Z3" t="str">
            <v>Pemegang saham / manajemen inti menjaminkan tanah / bangunan milik kerabat dekatnya (milik orang tua, anak, suami/istri) sebagai jaminan</v>
          </cell>
          <cell r="AA3" t="str">
            <v xml:space="preserve">Jaminan telah dialihkan dari kerabat calon debitur / pemegang saham / manajemen inti </v>
          </cell>
          <cell r="AB3" t="str">
            <v xml:space="preserve">Jaminan telah dibeli dari kerabat calon debitur / pemegang saham / manajemen inti </v>
          </cell>
          <cell r="AC3" t="str">
            <v>Commaditer Venootschap (CV)</v>
          </cell>
          <cell r="AD3">
            <v>2</v>
          </cell>
          <cell r="AE3" t="str">
            <v>Harian</v>
          </cell>
          <cell r="AF3" t="str">
            <v>15 - Dalam rangka restrukturisasi kredit</v>
          </cell>
          <cell r="AG3" t="str">
            <v>0101 - Diploma 1</v>
          </cell>
          <cell r="AH3" t="str">
            <v>801 - Kantor Perbendaharaan dan Kas Negara (KPKN)</v>
          </cell>
          <cell r="AI3" t="str">
            <v>1000 - Pertanian, Perburuan, Sarana Pertanian</v>
          </cell>
          <cell r="AJ3" t="str">
            <v>0120 - Perusahaan/badan dimana Bank bertindak sebagai pengendali (subsidiary)</v>
          </cell>
          <cell r="AK3" t="str">
            <v>20 - Debitur UMKM-UMK Jaminan Bersyarat-Penjamin Tertentu-Kecil</v>
          </cell>
          <cell r="AL3" t="str">
            <v>16 - Kredit Umum Pedesaan (Kupedes)</v>
          </cell>
          <cell r="AM3" t="str">
            <v>0103 - Purwakarta, Kab.</v>
          </cell>
          <cell r="AN3" t="str">
            <v>AED - UAD Dirham</v>
          </cell>
          <cell r="AO3" t="str">
            <v>003 - BANK EKSPOR INDONESIA</v>
          </cell>
          <cell r="AP3" t="str">
            <v>20 - Debitur UMKM dengan Penjaminan/Asuransi - Penjamin Tertentu - Kecil</v>
          </cell>
          <cell r="AQ3" t="str">
            <v>11 - Tagihan Kepada Pemerintah - Pemerintah Negara Lain</v>
          </cell>
          <cell r="AR3" t="str">
            <v>10 - Dengan perjanjian kredit - Kredit dalam rangka pembiayaan bersama (Sindikasi)</v>
          </cell>
          <cell r="AS3" t="str">
            <v>2 - Pengambilalihan kredit</v>
          </cell>
          <cell r="AT3" t="str">
            <v>2 - Diukur pada nilai wajar melalui laporan laba rugi - Ditetapkan untuk diukur pada nilai wajar</v>
          </cell>
          <cell r="AU3" t="str">
            <v>001120 - Rumah Tangga untuk Pemilikan Rumah Tinggal Tipe 22 s.d. 70</v>
          </cell>
          <cell r="AV3" t="str">
            <v>8106 - Kabupaten Seram Bagian Timur</v>
          </cell>
          <cell r="AX3" t="str">
            <v>Aceh Besar, Kab. - 3201</v>
          </cell>
          <cell r="AY3" t="str">
            <v>02 - Direktur (Pemilik)</v>
          </cell>
          <cell r="AZ3" t="str">
            <v>Bandung Burangrang 1</v>
          </cell>
        </row>
        <row r="4">
          <cell r="A4" t="str">
            <v>Canadian Dollar (CAD)</v>
          </cell>
          <cell r="C4" t="str">
            <v>Kendaraan Baru</v>
          </cell>
          <cell r="G4" t="str">
            <v>Banding</v>
          </cell>
          <cell r="H4" t="str">
            <v>Disetujui sebagian dan fasilitas  perpanjangan</v>
          </cell>
          <cell r="I4" t="str">
            <v>Gadai</v>
          </cell>
          <cell r="J4" t="str">
            <v>4 - Diragukan</v>
          </cell>
          <cell r="L4" t="str">
            <v>In-House</v>
          </cell>
          <cell r="M4" t="str">
            <v>3 kali dalam 3 bulan</v>
          </cell>
          <cell r="S4" t="str">
            <v>Lainnya</v>
          </cell>
          <cell r="T4" t="str">
            <v>Lainnya</v>
          </cell>
          <cell r="V4" t="str">
            <v>60 - 80% ditempati</v>
          </cell>
          <cell r="W4" t="str">
            <v>Calon debitur secara rutin memesan dari satu supplier – supplier ini tidak dapat dengan mudah digantikan tanpa mempengaruhi usaha</v>
          </cell>
          <cell r="X4" t="str">
            <v>Penjualan berdasarkan kontrak (job order), tetapi barang/produk bersifat umum (tidak customized/tailored), sehingga  mudah untuk dijual ke pembeli lain</v>
          </cell>
          <cell r="Y4" t="str">
            <v xml:space="preserve">Tidak dapat diaplikasikan,karena jaminan bukan merupakan tanah/bangunan </v>
          </cell>
          <cell r="Z4" t="str">
            <v>Tidak dapat diaplikasikan,karena jaminan bukan merupakan tanah/bangunan</v>
          </cell>
          <cell r="AA4" t="str">
            <v>Jaminan telah dialihkan dari pihak luar (bukan kerabat calon debitur / pemegang saham / manajemen inti)</v>
          </cell>
          <cell r="AB4" t="str">
            <v xml:space="preserve">Jaminan telah dialihkan dari kerabat calon debitur / pemegang saham / manajemen inti </v>
          </cell>
          <cell r="AC4" t="str">
            <v>Perusahaan Terbatas (PT) NV Limited (LTD)</v>
          </cell>
          <cell r="AD4">
            <v>3</v>
          </cell>
          <cell r="AE4" t="str">
            <v>Berdasarkan kontrak</v>
          </cell>
          <cell r="AF4" t="str">
            <v xml:space="preserve">20 - Penyaluran kredit melalui lembaga lain kredit (channelling) </v>
          </cell>
          <cell r="AG4" t="str">
            <v>0102 - Diploma 2</v>
          </cell>
          <cell r="AH4" t="str">
            <v>802 - Departemen Keuangan</v>
          </cell>
          <cell r="AI4" t="str">
            <v>1111 - Tanaman Pangan - Padi</v>
          </cell>
          <cell r="AJ4" t="str">
            <v>0130 - Pengendali lain dari anak perusahaan/susidiary Bank</v>
          </cell>
          <cell r="AK4" t="str">
            <v>30 - Debitur UMKM-UMK Jaminan Bersyarat-Penjamin Tertentu-Menengah</v>
          </cell>
          <cell r="AL4" t="str">
            <v>18 - Kredit kelolaan</v>
          </cell>
          <cell r="AM4" t="str">
            <v>0106 - Karawang, Kab.</v>
          </cell>
          <cell r="AN4" t="str">
            <v>AFN - Afghanistan Afghani</v>
          </cell>
          <cell r="AO4" t="str">
            <v>008 - BANK MANDIRI</v>
          </cell>
          <cell r="AP4" t="str">
            <v>30 - Debitur UMKM dengan Penjaminan/Asuransi - Penjamin Tertentu - Menengah</v>
          </cell>
          <cell r="AQ4" t="str">
            <v>12 - Tagihan Kepada - Bank Pembangunan Multilateral tertentu dan Lembaga Internasional</v>
          </cell>
          <cell r="AR4" t="str">
            <v>20 - Dengan perjanjian kredit - Kredit kepada pihak ketiga melalui lembaga lain secara channeling</v>
          </cell>
          <cell r="AS4" t="str">
            <v>3 - Kredit Subordinasi</v>
          </cell>
          <cell r="AT4" t="str">
            <v>3 - Tersedia untuk dijual</v>
          </cell>
          <cell r="AU4" t="str">
            <v>001130 - Rumah Tangga untuk Pemilikan Rumah Tinggal Tipe Diatas 70</v>
          </cell>
          <cell r="AV4" t="str">
            <v>8107 - Kabupaten Kepulauan Aru</v>
          </cell>
          <cell r="AX4" t="str">
            <v>Aceh Jaya, Kab. - 3214</v>
          </cell>
          <cell r="AY4" t="str">
            <v>03 -  Komisaris Utama / Pres. Kom (Pemilik)</v>
          </cell>
          <cell r="AZ4" t="str">
            <v>Bandung Burangrang 2</v>
          </cell>
        </row>
        <row r="5">
          <cell r="A5" t="str">
            <v>European Euro (EUR)</v>
          </cell>
          <cell r="C5" t="str">
            <v>Kendaraan Bekas</v>
          </cell>
          <cell r="G5" t="str">
            <v>Perubahan</v>
          </cell>
          <cell r="H5" t="str">
            <v>Ditolak</v>
          </cell>
          <cell r="J5" t="str">
            <v>5 - Macet</v>
          </cell>
          <cell r="M5" t="str">
            <v>4 kali dalam 3 bulan</v>
          </cell>
          <cell r="V5" t="str">
            <v>40 - 60% ditempati</v>
          </cell>
          <cell r="W5" t="str">
            <v>N/A,karena tidak ada supplier tetap untuk industri ini</v>
          </cell>
          <cell r="X5" t="str">
            <v>Penjualan berdasarkan kontrak (job order), tetapi barang/produk customized/tailored, sehingga tidak mudah untuk dijual ke pembeli lain</v>
          </cell>
          <cell r="AB5" t="str">
            <v>Jaminan telah dialihkan dari pihak luar (bukan kerabat calon debitur / pemegang saham / manajemen inti)</v>
          </cell>
          <cell r="AC5" t="str">
            <v>Perseroan Terbatas (PERSERO)</v>
          </cell>
          <cell r="AD5">
            <v>4</v>
          </cell>
          <cell r="AE5" t="str">
            <v>Berdasarkan order</v>
          </cell>
          <cell r="AF5" t="str">
            <v>30 - Kartu kredit</v>
          </cell>
          <cell r="AG5" t="str">
            <v>0103 - Diploma 3</v>
          </cell>
          <cell r="AH5" t="str">
            <v>803 - Departemen Pertahanan</v>
          </cell>
          <cell r="AI5" t="str">
            <v>1115 - Tanaman Pangan - Palawija - Kacang-kacangan</v>
          </cell>
          <cell r="AJ5" t="str">
            <v>0140 - Perusahaan dimana pihak sebagaimana dimaksud pada angka 1 (sandi 0110) bertindak sebagai pengendali</v>
          </cell>
          <cell r="AK5" t="str">
            <v>40 - Debitur UMKM-UMK Jaminan Bersyarat-Penjamin Lainnya-Mikro</v>
          </cell>
          <cell r="AL5" t="str">
            <v>25 - Kredit Perkebunan Swasta Nasional (PSN)</v>
          </cell>
          <cell r="AM5" t="str">
            <v>0108 - Bogor, Kab.</v>
          </cell>
          <cell r="AN5" t="str">
            <v>ALL - Albanian Lek</v>
          </cell>
          <cell r="AO5" t="str">
            <v>009 - BANK NEGARA INDONESIA 1946</v>
          </cell>
          <cell r="AP5" t="str">
            <v>40 - Debitur UMKM dengan Penjaminan/Asuransi - Penjamin Lainnya - Mikro</v>
          </cell>
          <cell r="AQ5" t="str">
            <v>13 - Tagihan Kepada - Bank Pembangunan Multilateral lainnya</v>
          </cell>
          <cell r="AR5" t="str">
            <v>25 - Dengan perjanjian kredit - Kredit kepada pihak ketiga melalui lembaga lain secara executing</v>
          </cell>
          <cell r="AS5" t="str">
            <v>9 - Lainnya</v>
          </cell>
          <cell r="AT5" t="str">
            <v>4 - Dimiliki hingga jatuh tempo</v>
          </cell>
          <cell r="AU5" t="str">
            <v>001210 - Rumah Tangga untuk Pemilikan Flat atau Apartemen s.d. Tipe 21</v>
          </cell>
          <cell r="AV5" t="str">
            <v>8108 - Kab. Maluku Barat Daya</v>
          </cell>
          <cell r="AX5" t="str">
            <v>Aceh Jeumpa/Bireuen, Kab. - 3210</v>
          </cell>
          <cell r="AY5" t="str">
            <v>04 -  Komisaris (Pemilik)</v>
          </cell>
          <cell r="AZ5" t="str">
            <v>Banjarmasin A. Yani</v>
          </cell>
        </row>
        <row r="6">
          <cell r="A6" t="str">
            <v>Japanese Yen (JPY)</v>
          </cell>
          <cell r="B6" t="str">
            <v>Modal Kerja</v>
          </cell>
          <cell r="C6" t="str">
            <v>Mesin Baru</v>
          </cell>
          <cell r="G6" t="str">
            <v>Lainnya</v>
          </cell>
          <cell r="M6" t="str">
            <v>&gt; 4 kali dalam 3 bulan</v>
          </cell>
          <cell r="V6" t="str">
            <v>0 - 40% ditempati</v>
          </cell>
          <cell r="AC6" t="str">
            <v>Perseroan Umum (PERUM)</v>
          </cell>
          <cell r="AD6">
            <v>5</v>
          </cell>
          <cell r="AF6" t="str">
            <v>40 - Pengambilalihan kredit</v>
          </cell>
          <cell r="AG6" t="str">
            <v>0104 - S-1</v>
          </cell>
          <cell r="AH6" t="str">
            <v>804 - Departemen Kehutanan</v>
          </cell>
          <cell r="AI6" t="str">
            <v>1116 - Tanaman Pangan - Palawija - Umbi-umbian</v>
          </cell>
          <cell r="AJ6" t="str">
            <v>0150 - Perusahaan dimana pihak sebagaimana dimaksud pada angka 3 (sandi 0130) bertindak sebagai pengendali</v>
          </cell>
          <cell r="AK6" t="str">
            <v>50 - Debitur UMKM-UMK Jaminan Bersyarat-Penjamin Lainnya-Kecil</v>
          </cell>
          <cell r="AL6" t="str">
            <v>26 - Kredit Ekspor</v>
          </cell>
          <cell r="AM6" t="str">
            <v>0109 - Sukabumi, Kab.</v>
          </cell>
          <cell r="AN6" t="str">
            <v>AMD - Armenia Dram</v>
          </cell>
          <cell r="AO6" t="str">
            <v>011 - BANK DANAMON INDONESIA</v>
          </cell>
          <cell r="AP6" t="str">
            <v>50 - Debitur UMKM dengan Penjaminan/Asuransi - Penjamin Lainnya - Kecil</v>
          </cell>
          <cell r="AQ6" t="str">
            <v>14 - Tagihan Kepada Bank - Tagihan Jangka Pendek</v>
          </cell>
          <cell r="AR6" t="str">
            <v>30 - Dengan perjanjian kredit - Kartu Kredit</v>
          </cell>
          <cell r="AT6" t="str">
            <v>6 - Pinjaman yang Diberikan dan Piutang</v>
          </cell>
          <cell r="AU6" t="str">
            <v>001220 - Rumah Tangga untuk Pemilikan Flat atau Apartemen Tipe 22 s.d. 70</v>
          </cell>
          <cell r="AV6" t="str">
            <v>8109 - Kab. Buru Selatan</v>
          </cell>
          <cell r="AX6" t="str">
            <v>Aceh Selatan, Kab. - 3205</v>
          </cell>
          <cell r="AY6" t="str">
            <v>06 - Kuasa Direksi (Pemilik)</v>
          </cell>
          <cell r="AZ6" t="str">
            <v>Bekasi</v>
          </cell>
        </row>
        <row r="7">
          <cell r="A7" t="str">
            <v>New Zealand Dollar (NZD)</v>
          </cell>
          <cell r="B7" t="str">
            <v>Investasi</v>
          </cell>
          <cell r="C7" t="str">
            <v>Mesin Bekas</v>
          </cell>
          <cell r="AC7" t="str">
            <v>Perseroan Jawatan (PERJAN)</v>
          </cell>
          <cell r="AD7">
            <v>6</v>
          </cell>
          <cell r="AF7" t="str">
            <v>45 - Surat berharga dengan Note Purchase Agreement (NPA)</v>
          </cell>
          <cell r="AG7" t="str">
            <v>0105 - S-2</v>
          </cell>
          <cell r="AH7" t="str">
            <v>805 - Departemen Pertanian</v>
          </cell>
          <cell r="AI7" t="str">
            <v>1117 - Tanaman Pangan - Palawija -  Jagung</v>
          </cell>
          <cell r="AJ7" t="str">
            <v>0210 - Pengurus Bank dan atau keluarga pengurus Bank</v>
          </cell>
          <cell r="AK7" t="str">
            <v>60 - Debitur UMKM-UMK Jaminan Bersyarat-Penjamin Lainnya-Menengah</v>
          </cell>
          <cell r="AL7" t="str">
            <v>28 - Modal Kerja - Kredit Koperasi - Kredit Usaha Tani (KUT)</v>
          </cell>
          <cell r="AM7" t="str">
            <v>0110 - Cianjur, Kab.</v>
          </cell>
          <cell r="AN7" t="str">
            <v>ANG - Netherlands Antillian Guilder /Florin</v>
          </cell>
          <cell r="AO7" t="str">
            <v>013 - BANK PERMATA TBK</v>
          </cell>
          <cell r="AP7" t="str">
            <v>60 - Debitur UMKM dengan Penjaminan/Asuransi - Penjamin Lainnya - Menengah</v>
          </cell>
          <cell r="AQ7" t="str">
            <v>15 - Tagihan Kepada Bank - Tagihan Jangka Panjang</v>
          </cell>
          <cell r="AR7" t="str">
            <v>45 - Dengan perjanjian kredit - Surat berharga dengan Note Purchase Agreement (NPA)</v>
          </cell>
          <cell r="AU7" t="str">
            <v>001230 - Rumah Tangga untuk Pemilikan Flat atau Apartemen Tipe Diatas 70</v>
          </cell>
          <cell r="AV7" t="str">
            <v>8191 - Kota Ambon</v>
          </cell>
          <cell r="AX7" t="str">
            <v>Aceh Singkil, Kab. - 3209</v>
          </cell>
          <cell r="AY7" t="str">
            <v>07 - Pemilik Bukan Pengurus</v>
          </cell>
          <cell r="AZ7" t="str">
            <v>Bogor Padjajaran</v>
          </cell>
        </row>
        <row r="8">
          <cell r="A8" t="str">
            <v>Swiss Franc (CHF)</v>
          </cell>
          <cell r="B8" t="str">
            <v>Lainnya</v>
          </cell>
          <cell r="C8" t="str">
            <v>Equipment Baru</v>
          </cell>
          <cell r="AC8" t="str">
            <v>Perseroan Daerah (PERUSDA)</v>
          </cell>
          <cell r="AD8">
            <v>7</v>
          </cell>
          <cell r="AF8" t="str">
            <v>50 - Pembiayaan Musyarakah</v>
          </cell>
          <cell r="AG8" t="str">
            <v>0106 - S-3</v>
          </cell>
          <cell r="AH8" t="str">
            <v>806 - Departemen Pertambangan dan Energi</v>
          </cell>
          <cell r="AI8" t="str">
            <v>1119 - Tanaman Pangan - Palawija -  lainnya</v>
          </cell>
          <cell r="AJ8" t="str">
            <v>0220 - Pengurus dari perusahaan-perusahaan sebagaimana dimaksud pada angka 1 s.d. 5 (sandi 0110, 0120, 0130, 0140, dan 0150)</v>
          </cell>
          <cell r="AK8" t="str">
            <v>70 - Debitur UMKM-UMKM Lainnya-Mikro</v>
          </cell>
          <cell r="AL8" t="str">
            <v>32 - Modal Kerja - Kredit Koperasi - Kredit kepada Koperasi Unit Desa (KUD)</v>
          </cell>
          <cell r="AM8" t="str">
            <v>0111 - Bandung, Kab.</v>
          </cell>
          <cell r="AN8" t="str">
            <v>AOA - Angolan Kwanza</v>
          </cell>
          <cell r="AO8" t="str">
            <v>012 - BANK DAGANG NASIONAL INDONESIA</v>
          </cell>
          <cell r="AP8" t="str">
            <v>70 - Debitur UMKM - UMKM Lainnya - Mikro</v>
          </cell>
          <cell r="AQ8" t="str">
            <v>16 - Tagihan Kepada Entitas Sektor Publik</v>
          </cell>
          <cell r="AR8" t="str">
            <v>80 - Tanpa perjanjian kredit - Giro bersaldo debet</v>
          </cell>
          <cell r="AU8" t="str">
            <v>001300 - Rumah Tangga untuk Pemilikan Rumah Toko (Ruko) atau Rumah Kantor (Rukan)</v>
          </cell>
          <cell r="AV8" t="str">
            <v>8192 - Kota Tual</v>
          </cell>
          <cell r="AX8" t="str">
            <v>Aceh Tamiang, Kab. - 3211</v>
          </cell>
          <cell r="AY8" t="str">
            <v>09 - Masyarakat (Pemilik)</v>
          </cell>
          <cell r="AZ8" t="str">
            <v>Cirebon Wahidin</v>
          </cell>
        </row>
        <row r="9">
          <cell r="A9" t="str">
            <v>US Dollar (USD)</v>
          </cell>
          <cell r="C9" t="str">
            <v>Equipment Bekas</v>
          </cell>
          <cell r="AC9" t="str">
            <v>Koperasi</v>
          </cell>
          <cell r="AD9">
            <v>8</v>
          </cell>
          <cell r="AF9" t="str">
            <v xml:space="preserve">55 - Pembiayaan Mudharabah </v>
          </cell>
          <cell r="AG9" t="str">
            <v>0107 - Debitur Kelompok</v>
          </cell>
          <cell r="AH9" t="str">
            <v>807 - Departemen Agama</v>
          </cell>
          <cell r="AI9" t="str">
            <v>1130 - Tanaman Pangan - Hortikultura</v>
          </cell>
          <cell r="AJ9" t="str">
            <v>0230 - Perusahaan yang pengurusnya merupakan pengurus Bank</v>
          </cell>
          <cell r="AK9" t="str">
            <v>80 - Debitur UMKM-UMKM Lainnya-Kecil</v>
          </cell>
          <cell r="AL9" t="str">
            <v>36 - Modal Kerja - Kredit Koperasi - Kredit kepada Koperasi Primer untuk Anggotanya</v>
          </cell>
          <cell r="AM9" t="str">
            <v>0112 - Sumedang, Kab.</v>
          </cell>
          <cell r="AN9" t="str">
            <v>ARS - Argentine Peso</v>
          </cell>
          <cell r="AO9" t="str">
            <v>013 - BANK PERMATA</v>
          </cell>
          <cell r="AP9" t="str">
            <v>80 - Debitur UMKM - UMKM Lainnya - Kecil</v>
          </cell>
          <cell r="AQ9" t="str">
            <v>35 - Tagihan Kepada Korporasi</v>
          </cell>
          <cell r="AR9" t="str">
            <v>85 - Tanpa perjanjian kredit - Tagihan atas transaksi perdagangan</v>
          </cell>
          <cell r="AU9" t="str">
            <v>002100 - Rumah Tangga untuk Pemilikan Mobil Roda Empat</v>
          </cell>
          <cell r="AV9" t="str">
            <v>8201 - Kab. Jayapura</v>
          </cell>
          <cell r="AX9" t="str">
            <v>Aceh Tengah, Kab. - 3207</v>
          </cell>
          <cell r="AY9" t="str">
            <v>10 - Ketua Umum (Pemilik)</v>
          </cell>
          <cell r="AZ9" t="str">
            <v>Denpasar Teuku Umar</v>
          </cell>
        </row>
        <row r="10">
          <cell r="C10" t="str">
            <v>Personal Guarantee</v>
          </cell>
          <cell r="AC10" t="str">
            <v>Yayasan</v>
          </cell>
          <cell r="AD10">
            <v>9</v>
          </cell>
          <cell r="AF10" t="str">
            <v>60 - Piutang Murabahah</v>
          </cell>
          <cell r="AG10" t="str">
            <v>0199 - Lainnya - Perorangan</v>
          </cell>
          <cell r="AH10" t="str">
            <v>808 - Kementrian Negara BUMN</v>
          </cell>
          <cell r="AI10" t="str">
            <v>1141 - Perkebunan Karet</v>
          </cell>
          <cell r="AJ10" t="str">
            <v>0240 - Perusahaan yang pengurusnya merupakan pengurus dari perusahaan-perusahaan sebagaimana dimaksud pada angka 1 s.d. 5 (sandi 0110, 0120, 0130, 0140, dan 0150)</v>
          </cell>
          <cell r="AK10" t="str">
            <v>90 - Debitur UMKM-UMKM Lainnya-Menengah</v>
          </cell>
          <cell r="AL10" t="str">
            <v>38 - Modal Kerja - Kredit Koperasi - Lainnya</v>
          </cell>
          <cell r="AM10" t="str">
            <v>0113 - Tasikmalaya, Kab.</v>
          </cell>
          <cell r="AN10" t="str">
            <v>ATS - Austrian Schilling</v>
          </cell>
          <cell r="AO10" t="str">
            <v>014 - BANK CENTRAL ASIA TBK</v>
          </cell>
          <cell r="AP10" t="str">
            <v>90 - Debitur UMKM - UMKM Lainnya - Menengah</v>
          </cell>
          <cell r="AQ10" t="str">
            <v>36 - Tagihan Kepada Usaha Mikro, Usaha Kecil, dan Portofolio Ritel</v>
          </cell>
          <cell r="AR10" t="str">
            <v>99 - Tanpa perjanjian kredit - Lainnya</v>
          </cell>
          <cell r="AU10" t="str">
            <v>002200 - Rumah Tangga untuk Pemilikan Sepeda Bermotor</v>
          </cell>
          <cell r="AV10" t="str">
            <v>8202 - Kab. Biak Numfor</v>
          </cell>
          <cell r="AX10" t="str">
            <v>Aceh Tenggara, Kab. - 3208</v>
          </cell>
          <cell r="AY10" t="str">
            <v>11 - Ketua (Pemilik)</v>
          </cell>
          <cell r="AZ10" t="str">
            <v>Jakarta Cililitan</v>
          </cell>
        </row>
        <row r="11">
          <cell r="C11" t="str">
            <v>Corporate Guarantee</v>
          </cell>
          <cell r="AC11" t="str">
            <v>Badan Hukum Lainnya</v>
          </cell>
          <cell r="AD11">
            <v>10</v>
          </cell>
          <cell r="AF11" t="str">
            <v>65 - Piutang Salam</v>
          </cell>
          <cell r="AG11" t="str">
            <v>0201 - Badan Usaha Unit Desa</v>
          </cell>
          <cell r="AH11" t="str">
            <v>809 - Departemen Lainnya</v>
          </cell>
          <cell r="AI11" t="str">
            <v>1142 - Perkebunan Kelapa</v>
          </cell>
          <cell r="AJ11" t="str">
            <v>0250 - Perusahaan dimana pengurus Bank bertindak sebagai pengendali</v>
          </cell>
          <cell r="AK11" t="str">
            <v>99 - Bukan Debitur Usaha Mikro, Kecil, dan Menengah</v>
          </cell>
          <cell r="AL11" t="str">
            <v>39 - Kredit modal kerja lainnya</v>
          </cell>
          <cell r="AM11" t="str">
            <v>0114 - Garut, Kab.</v>
          </cell>
          <cell r="AN11" t="str">
            <v>AUD - Australian Dollar</v>
          </cell>
          <cell r="AO11" t="str">
            <v>016 - BANK INTERNASIONAL INDONESIA</v>
          </cell>
          <cell r="AP11" t="str">
            <v>99 - Bukan Debitur Usaha Mikro, Kecil, dan Menengah</v>
          </cell>
          <cell r="AQ11" t="str">
            <v>37 - Kredit Beragun Rumah Tinggal - LTV &lt;= 70%</v>
          </cell>
          <cell r="AR11" t="str">
            <v>98 - Khusus untuk agunan atau jaminan kedua dan seterusnya</v>
          </cell>
          <cell r="AU11" t="str">
            <v>002300 - Rumah Tangga untuk Pemilikan Truk dan Kendaraan Bermotor Roda Enam atau Lebih</v>
          </cell>
          <cell r="AV11" t="str">
            <v>8210 - Kab. Yapen-Waropen</v>
          </cell>
          <cell r="AX11" t="str">
            <v>Aceh Timur, Kab. - 3204</v>
          </cell>
          <cell r="AY11" t="str">
            <v>12 - Sekretaris (Pemilik)</v>
          </cell>
          <cell r="AZ11" t="str">
            <v>Jakarta Cyber 2</v>
          </cell>
        </row>
        <row r="12">
          <cell r="A12" t="str">
            <v>PRK</v>
          </cell>
          <cell r="C12" t="str">
            <v>Piutang</v>
          </cell>
          <cell r="AD12">
            <v>11</v>
          </cell>
          <cell r="AF12" t="str">
            <v>70 - Piutang Istishna</v>
          </cell>
          <cell r="AG12" t="str">
            <v>0202 - Commanditer Venotschap</v>
          </cell>
          <cell r="AH12" t="str">
            <v>810 - Pemerintah Daerah (Pemda)</v>
          </cell>
          <cell r="AI12" t="str">
            <v>1143 - Perkebunan Kopi</v>
          </cell>
          <cell r="AJ12" t="str">
            <v>0260 - Perusahaan dimana pengurus dari perusahaan-perusahaan sebagaimana dimaksud pada angka 1 s.d. 5 (sandi 0110, 0120, 0130, 0140, dan 0150) bertindak sebagai pengendali</v>
          </cell>
          <cell r="AL12" t="str">
            <v>42 - Investasi - Kredit Investasi Kecil (KIK)</v>
          </cell>
          <cell r="AM12" t="str">
            <v>0115 - Ciamis, Kab.</v>
          </cell>
          <cell r="AN12" t="str">
            <v>AWG - Aruban Guilder</v>
          </cell>
          <cell r="AO12" t="str">
            <v>018 - BANK CENTRAL DAGANG</v>
          </cell>
          <cell r="AQ12" t="str">
            <v>38 - Kredit Beragun Rumah Tinggal - 70% &lt; LTV &lt;= 80%</v>
          </cell>
          <cell r="AU12" t="str">
            <v>002900 - Rumah Tangga untuk Pemilikan Kendaraan Bermotor Lainnya</v>
          </cell>
          <cell r="AV12" t="str">
            <v>8211 - Kab. Merauke</v>
          </cell>
          <cell r="AX12" t="str">
            <v>Aceh Utara, Kab. - 3203</v>
          </cell>
          <cell r="AY12" t="str">
            <v>13 - Bendahara (Pemilik)</v>
          </cell>
          <cell r="AZ12" t="str">
            <v>Jakarta Kebon Jeruk Intercon</v>
          </cell>
        </row>
        <row r="13">
          <cell r="A13" t="str">
            <v>PAB</v>
          </cell>
          <cell r="C13" t="str">
            <v>Persediaan Barang Dagangan</v>
          </cell>
          <cell r="AD13">
            <v>12</v>
          </cell>
          <cell r="AF13" t="str">
            <v>79 - Lainnya</v>
          </cell>
          <cell r="AG13" t="str">
            <v>0203 - Debitur Kelompok</v>
          </cell>
          <cell r="AH13" t="str">
            <v>811 - Pemerintah Propinsi</v>
          </cell>
          <cell r="AI13" t="str">
            <v>1144 - Perkebunan Tembakau</v>
          </cell>
          <cell r="AJ13" t="str">
            <v>0310 - Ketergantungan keuangan (financial interdependence)</v>
          </cell>
          <cell r="AL13" t="str">
            <v>45 - Investasi - PIR-BUN - Kredit Kebun Inti</v>
          </cell>
          <cell r="AM13" t="str">
            <v>0116 - Cirebon, Kab.</v>
          </cell>
          <cell r="AN13" t="str">
            <v>AZM - Azerbaijan Mant</v>
          </cell>
          <cell r="AO13" t="str">
            <v>019 - BANK PANIN  INDONESIA</v>
          </cell>
          <cell r="AQ13" t="str">
            <v>39 - Kredit Beragun Rumah Tinggal - 80% &lt; LTV &lt;= 95%</v>
          </cell>
          <cell r="AU13" t="str">
            <v>003100 - Rumah Tangga untuk Pemilikan Furnitur dan Peralatan Rumah Tangga</v>
          </cell>
          <cell r="AV13" t="str">
            <v>8212 - Kab. Paniai</v>
          </cell>
          <cell r="AX13" t="str">
            <v>Agam, Kab. - 3401</v>
          </cell>
          <cell r="AY13" t="str">
            <v>19 - Lainnya (Pemilik)</v>
          </cell>
          <cell r="AZ13" t="str">
            <v>Jakarta Kelapa Gading</v>
          </cell>
        </row>
        <row r="14">
          <cell r="A14" t="str">
            <v>PB</v>
          </cell>
          <cell r="AD14">
            <v>13</v>
          </cell>
          <cell r="AF14" t="str">
            <v>Tanpa perjanjian kredit</v>
          </cell>
          <cell r="AG14" t="str">
            <v>0204 - Ekspedisi Muatan Kapal Laut</v>
          </cell>
          <cell r="AH14" t="str">
            <v>812 - Pemerintah Kota</v>
          </cell>
          <cell r="AI14" t="str">
            <v>1145 - Perkebunan Kelapa Sawit</v>
          </cell>
          <cell r="AJ14" t="str">
            <v>0320 - KIK dimana pihak-pihak sebagaimana dimaksud pada angka 1 s.d 11 (sandi 0110, 0120, 0130, 0140, 0150, 0210, 0220, 0230, 0240, 0250, dan 0260) memiliki 10% atau lebih sahan pada manajer investasi kolektif tersebut</v>
          </cell>
          <cell r="AL14" t="str">
            <v>46 - Investasi - PIR-BUN - Kredit Kebun Plasma</v>
          </cell>
          <cell r="AM14" t="str">
            <v>0117 - Kuningan, Kab.</v>
          </cell>
          <cell r="AN14" t="str">
            <v>BAM - Bosnia-Herze Conv Marka</v>
          </cell>
          <cell r="AO14" t="str">
            <v>022 - BANK CIMB NIAGA</v>
          </cell>
          <cell r="AQ14" t="str">
            <v>40 - Kredit Pegawai atau Pensiunan</v>
          </cell>
          <cell r="AU14" t="str">
            <v>003200 - Rumah Tangga untuk Pemilikan Televisi, Radio, dan Alat Elektronik</v>
          </cell>
          <cell r="AV14" t="str">
            <v>8213 - Kab. Jayawijaya</v>
          </cell>
          <cell r="AX14" t="str">
            <v>Alor, Kab. - 7405</v>
          </cell>
          <cell r="AY14" t="str">
            <v>50 - Pengurus Bukan Pemilik</v>
          </cell>
          <cell r="AZ14" t="str">
            <v>Jakarta Mangga Dua</v>
          </cell>
        </row>
        <row r="15">
          <cell r="A15" t="str">
            <v>PRK 1</v>
          </cell>
          <cell r="AD15">
            <v>14</v>
          </cell>
          <cell r="AF15" t="str">
            <v>80 - Giro bersaldo debet</v>
          </cell>
          <cell r="AG15" t="str">
            <v>0205 - FIRMA</v>
          </cell>
          <cell r="AH15" t="str">
            <v>814 - Pemerintah Kabupaten</v>
          </cell>
          <cell r="AI15" t="str">
            <v>1146 - Perkebunan Lada</v>
          </cell>
          <cell r="AJ15" t="str">
            <v>0330 - Penjaminan</v>
          </cell>
          <cell r="AL15" t="str">
            <v>47 - Investasi - PIR-BUN - Kredit Pasca Konversi PIR-BUN</v>
          </cell>
          <cell r="AM15" t="str">
            <v>0118 - Indramayu, Kab.</v>
          </cell>
          <cell r="AN15" t="str">
            <v>BBD - Barbados Dollar</v>
          </cell>
          <cell r="AO15" t="str">
            <v>023 - BANK UOB BUANA TBK</v>
          </cell>
          <cell r="AQ15" t="str">
            <v>42 - Kredit Beragun Properti Komersial</v>
          </cell>
          <cell r="AU15" t="str">
            <v>003300 - Rumah Tangga untuk Pemilikan Komputer dan Alat Komunikasi</v>
          </cell>
          <cell r="AV15" t="str">
            <v>8214 - Kab. Nabire</v>
          </cell>
          <cell r="AX15" t="str">
            <v>Ambon, Kota. - 8191</v>
          </cell>
          <cell r="AY15" t="str">
            <v>51 - Direktur Utama / Pres. Dir (Bukan Pemilik)</v>
          </cell>
          <cell r="AZ15" t="str">
            <v>Jakarta Panglima Polim</v>
          </cell>
        </row>
        <row r="16">
          <cell r="A16" t="str">
            <v>PRK 2</v>
          </cell>
          <cell r="AF16" t="str">
            <v>85 - Tagihan atas transaksi perdagangan</v>
          </cell>
          <cell r="AG16" t="str">
            <v>0206 - Gabungan Koperasi</v>
          </cell>
          <cell r="AH16" t="str">
            <v>815 - Badan-badan dan Lembaga-lembaga Pemerintah Lainnya</v>
          </cell>
          <cell r="AI16" t="str">
            <v>1147 - Perkebunan Teh</v>
          </cell>
          <cell r="AJ16" t="str">
            <v>9900 - Tidak terkait dengan Bank</v>
          </cell>
          <cell r="AM16" t="str">
            <v>3216 - Kab. Simeuleu</v>
          </cell>
          <cell r="AN16" t="str">
            <v>BDT - Bangladesh Taka</v>
          </cell>
          <cell r="AO16" t="str">
            <v>024 - BANK PESONA KRIYADANA</v>
          </cell>
          <cell r="AU16" t="str">
            <v>003900 - Rumah Tangga untuk Pemilikan Peralatan Lainnya</v>
          </cell>
          <cell r="AV16" t="str">
            <v>7420 - Kab. Sabu Raijua</v>
          </cell>
          <cell r="AX16" t="str">
            <v>Anambas, Kab - 3805</v>
          </cell>
          <cell r="AY16" t="str">
            <v>52 - Direktur (Bukan Pemilik)</v>
          </cell>
          <cell r="AZ16" t="str">
            <v>Jakarta Pecenongan</v>
          </cell>
        </row>
        <row r="17">
          <cell r="A17" t="str">
            <v>PRK 3</v>
          </cell>
          <cell r="AD17">
            <v>15</v>
          </cell>
          <cell r="AG17" t="str">
            <v>0207 - Induk Koperasi</v>
          </cell>
          <cell r="AH17" t="str">
            <v>816 - Badan Urusan Logistik (Bulog)</v>
          </cell>
          <cell r="AI17" t="str">
            <v>1148 - Perkebunan Tebu</v>
          </cell>
          <cell r="AL17" t="str">
            <v>48 - Investasi - UPP - Kredit Peremajaan Rehabilitasi Perluasan Tanaman Ekspor (PRPTE)</v>
          </cell>
          <cell r="AM17" t="str">
            <v>0119 - Majalengka, Kab.</v>
          </cell>
          <cell r="AN17" t="str">
            <v>BEF - Belgian Franc</v>
          </cell>
          <cell r="AO17" t="str">
            <v>026 - BANK LIPPO</v>
          </cell>
          <cell r="AQ17" t="str">
            <v>60 - Tagihan Yang Telah Jatuh Tempo - Kredit Beragun Rumah Tinggal</v>
          </cell>
          <cell r="AU17" t="str">
            <v>004100 - Rumah Tangga untuk Keperluan Multiguna</v>
          </cell>
          <cell r="AV17" t="str">
            <v>8215 - Kab. Mimika</v>
          </cell>
          <cell r="AX17" t="str">
            <v>Angkola Sipirok, Kab - 3320</v>
          </cell>
          <cell r="AY17" t="str">
            <v>53 - Komisaris Utama / Pres. Kom (Bukan Pemilik)</v>
          </cell>
          <cell r="AZ17" t="str">
            <v>Jakarta Pluit</v>
          </cell>
        </row>
        <row r="18">
          <cell r="A18" t="str">
            <v>PRK 4</v>
          </cell>
          <cell r="AD18">
            <v>16</v>
          </cell>
          <cell r="AG18" t="str">
            <v>0208 - Koperasi</v>
          </cell>
          <cell r="AH18" t="str">
            <v>817 - Badan Penyehatan Perbankan Nasional</v>
          </cell>
          <cell r="AI18" t="str">
            <v>1149 - Perkebunan Kapas</v>
          </cell>
          <cell r="AL18" t="str">
            <v>49 - Investasi - UPP - Kredit Pasca Konversi PRPTE</v>
          </cell>
          <cell r="AM18" t="str">
            <v>0121 - Subang, Kab.</v>
          </cell>
          <cell r="AN18" t="str">
            <v>BEN - Bulgarian Lev</v>
          </cell>
          <cell r="AO18" t="str">
            <v>028 - BANK OCBC NISP</v>
          </cell>
          <cell r="AQ18" t="str">
            <v>62 - Tagihan Yang Telah Jatuh Tempo - Selain Kredit Beragun Rumah Tinggal</v>
          </cell>
          <cell r="AU18" t="str">
            <v xml:space="preserve">004900 - Rumah Tangga untuk Keperluan yang Tidak Diklasifikasikan di Tempat Lain </v>
          </cell>
          <cell r="AV18" t="str">
            <v>8216 - Kab. Puncak Jaya</v>
          </cell>
          <cell r="AX18" t="str">
            <v>Asahan, Kab. - 3306</v>
          </cell>
          <cell r="AY18" t="str">
            <v>54 - Komisaris (Bukan Pemilik)</v>
          </cell>
          <cell r="AZ18" t="str">
            <v>Jakarta Taman Palem</v>
          </cell>
        </row>
        <row r="19">
          <cell r="A19" t="str">
            <v>PRK 5</v>
          </cell>
          <cell r="AD19">
            <v>17</v>
          </cell>
          <cell r="AG19" t="str">
            <v>0209 - Koperasi Unit Desa</v>
          </cell>
          <cell r="AH19" t="str">
            <v>819 - Lainnya (Badan &amp; Lembaga Pemerintah Lainnya)</v>
          </cell>
          <cell r="AI19" t="str">
            <v>1150 - Perkebunan Cengkeh</v>
          </cell>
          <cell r="AL19" t="str">
            <v>50 - Investasi - UPP - Lainnya</v>
          </cell>
          <cell r="AM19" t="str">
            <v>0122 - Bandung Barat, Kab</v>
          </cell>
          <cell r="AN19" t="str">
            <v>BHD - Bahraini Dinar</v>
          </cell>
          <cell r="AO19" t="str">
            <v>029 - BANK SURYA</v>
          </cell>
          <cell r="AU19" t="str">
            <v>009000 - Bukan Lapangan Usaha Lainnya</v>
          </cell>
          <cell r="AV19" t="str">
            <v>8217 - Kab. Sarmi</v>
          </cell>
          <cell r="AX19" t="str">
            <v>Asmat, Kab. - 8228</v>
          </cell>
          <cell r="AY19" t="str">
            <v>55 - Kuasa Direksi (Bukan Pemilik)</v>
          </cell>
          <cell r="AZ19" t="str">
            <v>Jambi Talang Banjar</v>
          </cell>
        </row>
        <row r="20">
          <cell r="A20" t="str">
            <v>PB 1</v>
          </cell>
          <cell r="AD20">
            <v>18</v>
          </cell>
          <cell r="AG20" t="str">
            <v>0210 - Limited</v>
          </cell>
          <cell r="AH20" t="str">
            <v>820 - Badan Usaha  Milik Negara (BUMN) atau Pem. Campuran</v>
          </cell>
          <cell r="AI20" t="str">
            <v>1151 - Perkebunan Panili</v>
          </cell>
          <cell r="AL20" t="str">
            <v>51 - Investasi - PIR-TRANS - Kredit Kebun Inti</v>
          </cell>
          <cell r="AM20" t="str">
            <v>0180 - Banjar, Kota.</v>
          </cell>
          <cell r="AN20" t="str">
            <v>BIF - Burundi Franc</v>
          </cell>
          <cell r="AO20" t="str">
            <v>031 - CITIBANK</v>
          </cell>
          <cell r="AU20" t="str">
            <v xml:space="preserve">011110 - Pertanian Padi </v>
          </cell>
          <cell r="AV20" t="str">
            <v>8218 - Kab. Keerom</v>
          </cell>
          <cell r="AX20" t="str">
            <v>Badung, Kab. - 7204</v>
          </cell>
          <cell r="AY20" t="str">
            <v>57 - Ketua Umum (Bukan Pemilik)</v>
          </cell>
          <cell r="AZ20" t="str">
            <v>Kediri Katamso</v>
          </cell>
        </row>
        <row r="21">
          <cell r="A21" t="str">
            <v>PB 2</v>
          </cell>
          <cell r="AD21">
            <v>19</v>
          </cell>
          <cell r="AG21" t="str">
            <v>0211 - Maskapai Andil Indonesia</v>
          </cell>
          <cell r="AH21" t="str">
            <v>821 - Lembaga Keuangan Non Bank - BUMN / Pem. Campuran</v>
          </cell>
          <cell r="AI21" t="str">
            <v>1152 - Perkebunan Pala</v>
          </cell>
          <cell r="AL21" t="str">
            <v>52 - Investasi - PIR-TRANS - Kredit Kebun Plasma</v>
          </cell>
          <cell r="AM21" t="str">
            <v>0191 - Bandung, Kota.</v>
          </cell>
          <cell r="AN21" t="str">
            <v>BMD - Bermudian Dollar</v>
          </cell>
          <cell r="AO21" t="str">
            <v>032 - JP MORGAN CHASE BANK</v>
          </cell>
          <cell r="AU21" t="str">
            <v>011121 - Pertanian Palawija Jagung</v>
          </cell>
          <cell r="AV21" t="str">
            <v>8221 - Kab. Pegunungan Bintang</v>
          </cell>
          <cell r="AX21" t="str">
            <v>Balangan, Kab. - 5111</v>
          </cell>
          <cell r="AY21" t="str">
            <v>58 - Ketua (Bukan Pemilik)</v>
          </cell>
          <cell r="AZ21" t="str">
            <v>Kendari Madonga</v>
          </cell>
        </row>
        <row r="22">
          <cell r="A22" t="str">
            <v>PB 3</v>
          </cell>
          <cell r="AD22">
            <v>20</v>
          </cell>
          <cell r="AG22" t="str">
            <v>0212 - Namloose Venotschaap</v>
          </cell>
          <cell r="AH22" t="str">
            <v>822 - Jamsostek</v>
          </cell>
          <cell r="AI22" t="str">
            <v>1153 - Perkebunan Kakao/ Coklat</v>
          </cell>
          <cell r="AL22" t="str">
            <v>53 - Investasi - PIR-TRANS - Kredit Pasca Konversi</v>
          </cell>
          <cell r="AM22" t="str">
            <v>0192 - Bogor, Kota.</v>
          </cell>
          <cell r="AN22" t="str">
            <v>BND - Brunei Dollar</v>
          </cell>
          <cell r="AO22" t="str">
            <v>033 - BANK OF AMERICA NT &amp; SA</v>
          </cell>
          <cell r="AU22" t="str">
            <v>011122 - Pertanian Palawija Ketela pohon</v>
          </cell>
          <cell r="AV22" t="str">
            <v>8222 - Kab. Yahukimo</v>
          </cell>
          <cell r="AX22" t="str">
            <v>Balikpapan, Kota. - 5492</v>
          </cell>
          <cell r="AY22" t="str">
            <v>59 - Sekretaris (Bukan Pemilik)</v>
          </cell>
          <cell r="AZ22" t="str">
            <v>Kudus Sudirman</v>
          </cell>
        </row>
        <row r="23">
          <cell r="A23" t="str">
            <v>PB 4</v>
          </cell>
          <cell r="AD23">
            <v>21</v>
          </cell>
          <cell r="AG23" t="str">
            <v>0213 - Perusahaan Daerah</v>
          </cell>
          <cell r="AH23" t="str">
            <v>823 - Taspen</v>
          </cell>
          <cell r="AI23" t="str">
            <v>1159 - Perkebunan lainnya</v>
          </cell>
          <cell r="AL23" t="str">
            <v>54 - Investasi - Kredit Perkebunan Swasta Nasional (PSN)</v>
          </cell>
          <cell r="AM23" t="str">
            <v>0193 - Sukabumi, Kota.</v>
          </cell>
          <cell r="AN23" t="str">
            <v>BOB - Bolivian Boliviano</v>
          </cell>
          <cell r="AO23" t="str">
            <v>034 - BANK ING Indonesia Bank</v>
          </cell>
          <cell r="AU23" t="str">
            <v>011123 - Pertanian Palawija Ubi jalar</v>
          </cell>
          <cell r="AV23" t="str">
            <v>8223 - Kab. Tolikara</v>
          </cell>
          <cell r="AX23" t="str">
            <v>Banda Aceh, Kota. - 3291</v>
          </cell>
          <cell r="AY23" t="str">
            <v>60 - Bendahara (Bukan Pemilik)</v>
          </cell>
          <cell r="AZ23" t="str">
            <v>Lampung Wolter M</v>
          </cell>
        </row>
        <row r="24">
          <cell r="A24" t="str">
            <v>PB 5</v>
          </cell>
          <cell r="AD24">
            <v>22</v>
          </cell>
          <cell r="AG24" t="str">
            <v>0214 - Persero</v>
          </cell>
          <cell r="AH24" t="str">
            <v>824 - Jiwasraya</v>
          </cell>
          <cell r="AI24" t="str">
            <v>1161 - Perikanan Laut - Udang</v>
          </cell>
          <cell r="AL24" t="str">
            <v>55 - Investasi - Bantuan Proyek - Nilai lawan valuta asing</v>
          </cell>
          <cell r="AM24" t="str">
            <v>0194 - Cirebon, Kota.</v>
          </cell>
          <cell r="AN24" t="str">
            <v>BRL - Brazilian Real</v>
          </cell>
          <cell r="AO24" t="str">
            <v>036 - BANK WINDU KENTJANA INTERNATIONAL</v>
          </cell>
          <cell r="AU24" t="str">
            <v>011124 - Pertanian Palawija Umbi-umbian lainnya</v>
          </cell>
          <cell r="AV24" t="str">
            <v>8224 - Kab. Waropen</v>
          </cell>
          <cell r="AX24" t="str">
            <v>Bandar Lampung, Kota. - 3991</v>
          </cell>
          <cell r="AY24" t="str">
            <v>69 - Lainnya (Bukan Pemilik)</v>
          </cell>
          <cell r="AZ24" t="str">
            <v>Madiun Salak</v>
          </cell>
        </row>
        <row r="25">
          <cell r="A25" t="str">
            <v>PAB 1</v>
          </cell>
          <cell r="AD25">
            <v>23</v>
          </cell>
          <cell r="AG25" t="str">
            <v>0215 - Persekutuan Perdata</v>
          </cell>
          <cell r="AH25" t="str">
            <v>825 - Jasa Raharja</v>
          </cell>
          <cell r="AI25" t="str">
            <v>1163 - Perikanan Laut - Lainnya</v>
          </cell>
          <cell r="AL25" t="str">
            <v>56 - Investasi - Bantuan Proyek - Biaya lokal Rekening Dana Investasi (RDI)</v>
          </cell>
          <cell r="AM25" t="str">
            <v>0195 - Tasikmalaya, Kota.</v>
          </cell>
          <cell r="AN25" t="str">
            <v>BSD - Bahamas Dollar</v>
          </cell>
          <cell r="AO25" t="str">
            <v>037 - BANK ARTHA GRAHA INTERNASIONAL</v>
          </cell>
          <cell r="AU25" t="str">
            <v>011125 - Pertanian Palawija Kacang tanah</v>
          </cell>
          <cell r="AV25" t="str">
            <v>8226 - Kab. Boven Digoel</v>
          </cell>
          <cell r="AX25" t="str">
            <v>Bandung Barat, Kab - 0122</v>
          </cell>
          <cell r="AZ25" t="str">
            <v>Makassar Alaudin</v>
          </cell>
        </row>
        <row r="26">
          <cell r="A26" t="str">
            <v>PAB 2</v>
          </cell>
          <cell r="AD26">
            <v>24</v>
          </cell>
          <cell r="AG26" t="str">
            <v>0216 - Perusahaan Umum</v>
          </cell>
          <cell r="AH26" t="str">
            <v>826 - Jasindo</v>
          </cell>
          <cell r="AI26" t="str">
            <v>1164 - Perikanan Darat - Udang</v>
          </cell>
          <cell r="AL26" t="str">
            <v>57 - Investasi - Bantuan Proyek - Biaya lokal dana perbankan</v>
          </cell>
          <cell r="AM26" t="str">
            <v>0196 - Cimahi, Kota.</v>
          </cell>
          <cell r="AN26" t="str">
            <v>BTN - Bhutan Ngultrum</v>
          </cell>
          <cell r="AO26" t="str">
            <v>039 - BANK CREDIT AGRICOLE INDOSUEZ (dicabut izin usaha)</v>
          </cell>
          <cell r="AU26" t="str">
            <v>011126 - Pertanian Palawija Kedele</v>
          </cell>
          <cell r="AV26" t="str">
            <v>8227 - Kab. Mappi</v>
          </cell>
          <cell r="AX26" t="str">
            <v>Bandung, Kab. - 0111</v>
          </cell>
          <cell r="AZ26" t="str">
            <v>Makassar Bawakaraeng</v>
          </cell>
        </row>
        <row r="27">
          <cell r="A27" t="str">
            <v>PAB 3</v>
          </cell>
          <cell r="AD27">
            <v>25</v>
          </cell>
          <cell r="AG27" t="str">
            <v>0217 - Primer Koperasi</v>
          </cell>
          <cell r="AH27" t="str">
            <v>827 - ASABRI</v>
          </cell>
          <cell r="AI27" t="str">
            <v>1166 - Perikanan Darat - Lainnya</v>
          </cell>
          <cell r="AL27" t="str">
            <v>59 - Investasi - Kredit kelolaan di luar bantuan proyek</v>
          </cell>
          <cell r="AM27" t="str">
            <v>0197 - Depok, Kota.</v>
          </cell>
          <cell r="AN27" t="str">
            <v>BWP - Botswana Pula</v>
          </cell>
          <cell r="AO27" t="str">
            <v>040 - BANK BANGKOK BANK LTD</v>
          </cell>
          <cell r="AU27" t="str">
            <v>011129 - Pertanian Palawija Kacang-kacangan lainnya</v>
          </cell>
          <cell r="AV27" t="str">
            <v>8228 - Kab. Asmat</v>
          </cell>
          <cell r="AX27" t="str">
            <v>Bandung, Kota. - 0191</v>
          </cell>
          <cell r="AZ27" t="str">
            <v>Makassar Pabaeng Baeng</v>
          </cell>
        </row>
        <row r="28">
          <cell r="A28" t="str">
            <v>PAB 4</v>
          </cell>
          <cell r="AG28" t="str">
            <v>0218 - Perseroan Terbatas</v>
          </cell>
          <cell r="AH28" t="str">
            <v>828 - Perusahaan asuransi lainnya - BUMN/ Pem. Campuran</v>
          </cell>
          <cell r="AI28" t="str">
            <v>1167 - Perikanan Payau - Udang</v>
          </cell>
          <cell r="AL28" t="str">
            <v>60 - Investasi - Kredit Umum Pedesaan (Kupedes)</v>
          </cell>
          <cell r="AM28" t="str">
            <v>3323 - Padang Lawas Utara, Kab</v>
          </cell>
          <cell r="AN28" t="str">
            <v>BYR - Belarus Rouble</v>
          </cell>
          <cell r="AO28" t="str">
            <v>041 - THE HSBC</v>
          </cell>
          <cell r="AU28" t="str">
            <v xml:space="preserve">011130 - Perkebunan Tebu dan Tanaman Pemanis Lainnya </v>
          </cell>
          <cell r="AV28" t="str">
            <v>3902 - Kab. Lampung Tengah</v>
          </cell>
          <cell r="AX28" t="str">
            <v>Banggai Kepulauan, Kab - 6005</v>
          </cell>
          <cell r="AZ28" t="str">
            <v>Malang Sutoyo</v>
          </cell>
        </row>
        <row r="29">
          <cell r="A29" t="str">
            <v>PAB 5</v>
          </cell>
          <cell r="AD29">
            <v>26</v>
          </cell>
          <cell r="AG29" t="str">
            <v>0219 - Pusat Koperasi</v>
          </cell>
          <cell r="AH29" t="str">
            <v>830 - Dana Pensiun - BUMN/ Pemerintah Campuran</v>
          </cell>
          <cell r="AI29" t="str">
            <v>1169 - Perikanan Payau - Lainnya</v>
          </cell>
          <cell r="AL29" t="str">
            <v>62 - Investasi - Kredit Koperasi - Kredit kepada Koperasi Primer untuk Anggotanya</v>
          </cell>
          <cell r="AM29" t="str">
            <v>0198 - Bekasi, Kota.</v>
          </cell>
          <cell r="AN29" t="str">
            <v>BZD - Belize Dollar</v>
          </cell>
          <cell r="AO29" t="str">
            <v>042 - THE BANK OF TOKYO MITSUBISHI-UFJ LTD.</v>
          </cell>
          <cell r="AU29" t="str">
            <v xml:space="preserve">011140 - Perkebunan Tembakau </v>
          </cell>
          <cell r="AV29" t="str">
            <v>8231 - Kab. Supiori</v>
          </cell>
          <cell r="AX29" t="str">
            <v>Bangka Barat, Kab - 3703</v>
          </cell>
          <cell r="AZ29" t="str">
            <v>Manado Sam Ratulangi</v>
          </cell>
        </row>
        <row r="30">
          <cell r="A30" t="str">
            <v>PAB 6</v>
          </cell>
          <cell r="AG30" t="str">
            <v>0220 - Pusat Koperasi Unit Desa</v>
          </cell>
          <cell r="AH30" t="str">
            <v>831 - Modal Ventura - BUMN/ Pemerintah Campuran</v>
          </cell>
          <cell r="AI30" t="str">
            <v>1171 - Peternakan Unggas</v>
          </cell>
          <cell r="AL30" t="str">
            <v>63 - Investasi - Kredit Koperasi - Lainnya</v>
          </cell>
          <cell r="AM30" t="str">
            <v>3217 - Kab. Bener Meriah</v>
          </cell>
          <cell r="AN30" t="str">
            <v>CAD - Canadian Dollar</v>
          </cell>
          <cell r="AO30" t="str">
            <v>045 - BANK SUMITOMO MITSUI INDONESIA</v>
          </cell>
          <cell r="AU30" t="str">
            <v xml:space="preserve">011150 - Perkebunan Karet dan Penghasil Getah Lainnya </v>
          </cell>
          <cell r="AV30" t="str">
            <v>7491 - Kota Kupang</v>
          </cell>
          <cell r="AX30" t="str">
            <v>Bangka Belitung, Kab - 3707</v>
          </cell>
          <cell r="AZ30" t="str">
            <v>Mataram</v>
          </cell>
        </row>
        <row r="31">
          <cell r="A31" t="str">
            <v>PAB 7</v>
          </cell>
          <cell r="AD31">
            <v>27</v>
          </cell>
          <cell r="AG31" t="str">
            <v>0221 - Usaha Dagang</v>
          </cell>
          <cell r="AH31" t="str">
            <v>832 - Perusahaan Pembiayaan - BUMN/ Pem. Campuran</v>
          </cell>
          <cell r="AI31" t="str">
            <v>1172 - Peternakan Sapi</v>
          </cell>
          <cell r="AL31" t="str">
            <v>64 - Investasi - DLBS - Nilai lawan valuta asing</v>
          </cell>
          <cell r="AM31" t="str">
            <v>0201 - Lebak, Kab.</v>
          </cell>
          <cell r="AN31" t="str">
            <v>CDF - Democratic Rep.Congo Franc</v>
          </cell>
          <cell r="AO31" t="str">
            <v>046 - BANK DBS INDONESIA</v>
          </cell>
          <cell r="AU31" t="str">
            <v xml:space="preserve">011160 - Perkebunan Tanaman Bahan Baku Tekstil dan Sejenisnya </v>
          </cell>
          <cell r="AV31" t="str">
            <v>8232 - Kab. Mamberamo Raya</v>
          </cell>
          <cell r="AX31" t="str">
            <v>Bangka Selatan, Kab - 3704</v>
          </cell>
          <cell r="AZ31" t="str">
            <v>Medan Asia</v>
          </cell>
        </row>
        <row r="32">
          <cell r="A32" t="str">
            <v>PAB 8</v>
          </cell>
          <cell r="AG32" t="str">
            <v>0222 - Unit Dagang Kredit Pedesaan</v>
          </cell>
          <cell r="AH32" t="str">
            <v>833 - PT. Danareksa</v>
          </cell>
          <cell r="AI32" t="str">
            <v>1179 - Peternakan lainnya</v>
          </cell>
          <cell r="AL32" t="str">
            <v>67 - Investasi - DLBS - Kredit Rupiah</v>
          </cell>
          <cell r="AM32" t="str">
            <v>0202 - Pandeglang, Kab.</v>
          </cell>
          <cell r="AN32" t="str">
            <v>CDZ - New Zaire</v>
          </cell>
          <cell r="AO32" t="str">
            <v>047 - BANK RESONA PERDANIA</v>
          </cell>
          <cell r="AU32" t="str">
            <v xml:space="preserve">011170 - Perkebunan Tanaman Obat / Bahan Farmasi </v>
          </cell>
          <cell r="AV32" t="str">
            <v>8233 - Kab. Dogiyai</v>
          </cell>
          <cell r="AX32" t="str">
            <v>Bangka Tengah, Kab - 3705</v>
          </cell>
          <cell r="AZ32" t="str">
            <v>Medan Cirebon</v>
          </cell>
        </row>
        <row r="33">
          <cell r="A33" t="str">
            <v>PAB 9</v>
          </cell>
          <cell r="AH33" t="str">
            <v>834 - Perush. sekuritas yg tidak melakukan usaha Reksadana - BUMN</v>
          </cell>
          <cell r="AI33" t="str">
            <v>1180 - Kehutanan dan Pemotongan Kayu (logging)</v>
          </cell>
          <cell r="AL33" t="str">
            <v>74 - Investasi - Kredit Investasi sampai dengan Rp. 75 juta</v>
          </cell>
          <cell r="AM33" t="str">
            <v>0203 - Serang, Kab.</v>
          </cell>
          <cell r="AN33" t="str">
            <v>CHF - Swiss Franc</v>
          </cell>
          <cell r="AO33" t="str">
            <v>048 - BANK MIZUHO INDONESIA</v>
          </cell>
          <cell r="AU33" t="str">
            <v xml:space="preserve">011180 - Perkebunan Tanaman Minyak Atsiri </v>
          </cell>
          <cell r="AV33" t="str">
            <v>8234 - Kab. Lanny Jaya</v>
          </cell>
          <cell r="AX33" t="str">
            <v>Bangka, Kab. - 3701</v>
          </cell>
          <cell r="AZ33" t="str">
            <v>Medan Gatsu</v>
          </cell>
        </row>
        <row r="34">
          <cell r="A34" t="str">
            <v>PAB 10</v>
          </cell>
          <cell r="AH34" t="str">
            <v>835 - Perush. sekuritas yg melakukan usaha Reksadana - BUMN</v>
          </cell>
          <cell r="AI34" t="str">
            <v>1200 - Perburuan</v>
          </cell>
          <cell r="AL34" t="str">
            <v>75 - Investasi - Kredit Investasi Biasa</v>
          </cell>
          <cell r="AM34" t="str">
            <v>0204 - Tangerang, Kab.</v>
          </cell>
          <cell r="AN34" t="str">
            <v>CLF - Chilean Fomento</v>
          </cell>
          <cell r="AO34" t="str">
            <v>049 - BANK UFJ INDONESIA</v>
          </cell>
          <cell r="AU34" t="str">
            <v xml:space="preserve">011190 - Perkebunan Tanaman Lainnya yang Tidak Diklasifikasikan di Tempat Lain </v>
          </cell>
          <cell r="AV34" t="str">
            <v>8235 - Kab. Mamberamo Tengah</v>
          </cell>
          <cell r="AX34" t="str">
            <v>Bangkalan, Kab. - 1208</v>
          </cell>
          <cell r="AZ34" t="str">
            <v>Medan Putri Hijau 1</v>
          </cell>
        </row>
        <row r="35">
          <cell r="AH35" t="str">
            <v>836 - Perusahaan Reksadana - BUMN</v>
          </cell>
          <cell r="AI35" t="str">
            <v>1311 - Sarana Pertanian - Pompanisasi</v>
          </cell>
          <cell r="AL35" t="str">
            <v>76 - Investasi - Kredit Ekspor</v>
          </cell>
          <cell r="AM35" t="str">
            <v>0291 - Cilegon, Kota.</v>
          </cell>
          <cell r="AN35" t="str">
            <v>CLP - Chilean Peso</v>
          </cell>
          <cell r="AO35" t="str">
            <v>050 - STANDARD CHARTERED BANK</v>
          </cell>
          <cell r="AU35" t="str">
            <v>011211 - Pertanian Hortikultura Sayuran yang dipanen Sekali Bawang Merah</v>
          </cell>
          <cell r="AV35" t="str">
            <v>8236 - Kab. Nduga Tengah</v>
          </cell>
          <cell r="AX35" t="str">
            <v>Bangli, Kab. - 7207</v>
          </cell>
          <cell r="AZ35" t="str">
            <v>Medan Putri Hijau 2</v>
          </cell>
        </row>
        <row r="36">
          <cell r="AH36" t="str">
            <v>837 - Perum Pegadaian</v>
          </cell>
          <cell r="AI36" t="str">
            <v>1312 - Sarana Pertanian - Alat Penggarapan Tanah</v>
          </cell>
          <cell r="AL36" t="str">
            <v>79 - Investasi - Kredit Investasi Lainnya</v>
          </cell>
          <cell r="AM36" t="str">
            <v>0292 - Tangerang, Kota.</v>
          </cell>
          <cell r="AN36" t="str">
            <v>CNY - China Yuan Renminbi</v>
          </cell>
          <cell r="AO36" t="str">
            <v>052 - THE ROYAL BANK OF SCOTLAND N. V.</v>
          </cell>
          <cell r="AU36" t="str">
            <v>011219 - Pertanian Hortikultura Sayuran yang dipanen Sekali Lainnya</v>
          </cell>
          <cell r="AV36" t="str">
            <v>8237 - Kab. Yalimo</v>
          </cell>
          <cell r="AX36" t="str">
            <v>Banjar, Kab. - 5101</v>
          </cell>
          <cell r="AZ36" t="str">
            <v>Padang</v>
          </cell>
        </row>
        <row r="37">
          <cell r="AH37" t="str">
            <v>838 - PT. Pos Indonesia</v>
          </cell>
          <cell r="AI37" t="str">
            <v>1313 - Sarana Pertanian - Gudang/Lantai Jemuran</v>
          </cell>
          <cell r="AL37" t="str">
            <v>80 - KPR Sangat Sederhana (KPRSS) dan Kredit Pemilikan Kapling Siap Bangun (PKSB)</v>
          </cell>
          <cell r="AM37" t="str">
            <v>0293 - Serang. Kota.</v>
          </cell>
          <cell r="AN37" t="str">
            <v>COP - Colombian Peso</v>
          </cell>
          <cell r="AO37" t="str">
            <v>053 - BANK KEPPEL TATLEE BUANA(merger menjadi Bank OCBC)</v>
          </cell>
          <cell r="AU37" t="str">
            <v xml:space="preserve">011220 - Pertanian Hortikultura Sayuran yang dipanen Lebih dari Sekali </v>
          </cell>
          <cell r="AV37" t="str">
            <v>8238 - Kab. Puncak</v>
          </cell>
          <cell r="AX37" t="str">
            <v>Banjar, Kota. - 0180</v>
          </cell>
          <cell r="AZ37" t="str">
            <v>Palembang Cinde</v>
          </cell>
        </row>
        <row r="38">
          <cell r="AH38" t="str">
            <v>840 - Lainnya (Lembaga Keuangan Non Bank Lainnya - BUMN)</v>
          </cell>
          <cell r="AI38" t="str">
            <v>1314 - Sarana Pertanian - Pencetakan Sawah</v>
          </cell>
          <cell r="AL38" t="str">
            <v>81 - Pemilikan Rumah KPR Sederhana (KPRS) s.d. Tipe 21</v>
          </cell>
          <cell r="AM38" t="str">
            <v>0294 - Kota Tangerang Selatan</v>
          </cell>
          <cell r="AN38" t="str">
            <v>CRC - Costa Rican Colon</v>
          </cell>
          <cell r="AO38" t="str">
            <v>054 - BANK CAPITAL INDONESIA</v>
          </cell>
          <cell r="AU38" t="str">
            <v>011231 - Pertanian Hortikultura Bunga-bungaan Anggrek</v>
          </cell>
          <cell r="AV38" t="str">
            <v>8239 - Kab. Intan Jaya</v>
          </cell>
          <cell r="AX38" t="str">
            <v>Banjarbaru, Kota. - 5192</v>
          </cell>
          <cell r="AZ38" t="str">
            <v>Palembang Sudirman</v>
          </cell>
        </row>
        <row r="39">
          <cell r="AH39" t="str">
            <v>841 - Bukan Lembaga Keuangan - BUMN</v>
          </cell>
          <cell r="AI39" t="str">
            <v>1360 - Sarana Perikanan</v>
          </cell>
          <cell r="AL39" t="str">
            <v>82 - Pemilikan Rumah Di atas tipe 21 s.d tipe 70</v>
          </cell>
          <cell r="AM39" t="str">
            <v>0391 - Jakarta Pusat, Wil. Kota</v>
          </cell>
          <cell r="AN39" t="str">
            <v>CUP - Cuban Peso</v>
          </cell>
          <cell r="AO39" t="str">
            <v xml:space="preserve">055 - Bank Sakura Swadharma </v>
          </cell>
          <cell r="AU39" t="str">
            <v>011239 - Pertanian Hortikultura Bunga-bungaan Lainnya</v>
          </cell>
          <cell r="AV39" t="str">
            <v>8240 - Kab. Deiyai</v>
          </cell>
          <cell r="AX39" t="str">
            <v>Banjarmasin, Kota. - 5191</v>
          </cell>
          <cell r="AZ39" t="str">
            <v>Palu Masomba</v>
          </cell>
        </row>
        <row r="40">
          <cell r="AH40" t="str">
            <v>842 - PT. Kereta Api Indonesia (KAI)</v>
          </cell>
          <cell r="AI40" t="str">
            <v>1370 - Sarana Peternakan</v>
          </cell>
          <cell r="AL40" t="str">
            <v>83 - Pemilikan Rumah Di atas tipe 70</v>
          </cell>
          <cell r="AM40" t="str">
            <v>0392 - Jakarta Utara ., Wil. Kota</v>
          </cell>
          <cell r="AN40" t="str">
            <v>CVE - Cape Verde Escudo</v>
          </cell>
          <cell r="AO40" t="str">
            <v>057 - BANK BNP PARIBAS INDONESIA</v>
          </cell>
          <cell r="AU40" t="str">
            <v xml:space="preserve">011240 - Pertanian Tanaman Hias Lainnya </v>
          </cell>
          <cell r="AV40" t="str">
            <v>8291 - Kota Jayapura</v>
          </cell>
          <cell r="AX40" t="str">
            <v>Banjarnegara, Kab. - 0917</v>
          </cell>
          <cell r="AZ40" t="str">
            <v>Pekan Baru Riau 1</v>
          </cell>
        </row>
        <row r="41">
          <cell r="AH41" t="str">
            <v>843 - PT. Pelayaran Nasional Indonesia (PELNI)</v>
          </cell>
          <cell r="AI41" t="str">
            <v>1380 - Sarana Kehutanan</v>
          </cell>
          <cell r="AL41" t="str">
            <v>85 - Perbaikan/Pemugaran Rumah</v>
          </cell>
          <cell r="AM41" t="str">
            <v>0393 - Jakarta Barat, Wil. Kota</v>
          </cell>
          <cell r="AN41" t="str">
            <v>CYP - Cyprus Pound</v>
          </cell>
          <cell r="AO41" t="str">
            <v>058 - BANK UOB INDONESIA</v>
          </cell>
          <cell r="AU41" t="str">
            <v xml:space="preserve">011250 - Pembibitan dan Pembenihan Hortikultura Sayuran dan Bunga-bungaan </v>
          </cell>
          <cell r="AV41" t="str">
            <v>8302 - Kab. Halmahera Tengah</v>
          </cell>
          <cell r="AX41" t="str">
            <v>Bantaeng, Kab. - 6112</v>
          </cell>
          <cell r="AZ41" t="str">
            <v>Pekan Baru Riau 2</v>
          </cell>
        </row>
        <row r="42">
          <cell r="AH42" t="str">
            <v>844 - PT. Pelabuhan Laut Indonesia (PELINDO)</v>
          </cell>
          <cell r="AI42" t="str">
            <v>1390 - Sarana lainnya</v>
          </cell>
          <cell r="AL42" t="str">
            <v>86 - Kredit Kepada Guru untuk Pembelian Sepeda Motor (KPG)</v>
          </cell>
          <cell r="AM42" t="str">
            <v>0394 - Jakarta Selatan, Wil. Kota</v>
          </cell>
          <cell r="AN42" t="str">
            <v>CZK - Czech Koruna</v>
          </cell>
          <cell r="AO42" t="str">
            <v>059 - KOREA EXCHANGE BANK INDONESIA</v>
          </cell>
          <cell r="AU42" t="str">
            <v>011311 - Pertanian Buah-buahan Musiman Jeruk</v>
          </cell>
          <cell r="AV42" t="str">
            <v>8303 - Kab. Halmahera Utara</v>
          </cell>
          <cell r="AX42" t="str">
            <v>Bantul, Kab. - 0501</v>
          </cell>
          <cell r="AZ42" t="str">
            <v>Pematangsiantar Sutomo</v>
          </cell>
        </row>
        <row r="43">
          <cell r="AH43" t="str">
            <v>845 - PT. Angkutan Sungai, Danau dan Penyeberangan (ASDP)</v>
          </cell>
          <cell r="AI43" t="str">
            <v>2000 - Pertambangan</v>
          </cell>
          <cell r="AM43" t="str">
            <v>0395 - Jakarta Timur, Wil. Kota</v>
          </cell>
          <cell r="AN43" t="str">
            <v>DEM - Deutsche Mark</v>
          </cell>
          <cell r="AO43" t="str">
            <v>060 - RABO BANK INTERNATIONAL INDONESIA</v>
          </cell>
          <cell r="AU43" t="str">
            <v>011319 - Pertanian Buah-buahan Musiman Lainnya</v>
          </cell>
          <cell r="AV43" t="str">
            <v>8304 - Kab. Halmahera Timur</v>
          </cell>
          <cell r="AX43" t="str">
            <v>Banyuasin, Kab - 3613</v>
          </cell>
          <cell r="AZ43" t="str">
            <v>Pontianak</v>
          </cell>
        </row>
        <row r="44">
          <cell r="AH44" t="str">
            <v>846 - PT. Angkasa Pura</v>
          </cell>
          <cell r="AI44" t="str">
            <v>2100 - Pertambangan Minyak dan Gas Bumi</v>
          </cell>
          <cell r="AM44" t="str">
            <v>0396 - Kepulauan Seribu, Wilayah</v>
          </cell>
          <cell r="AN44" t="str">
            <v>DJF - Djibouti Franc</v>
          </cell>
          <cell r="AO44" t="str">
            <v>061 - BANK ANZ PANIN</v>
          </cell>
          <cell r="AU44" t="str">
            <v>011321 - Pertanian Buah-buahan Sepanjang Tahun Pisang</v>
          </cell>
          <cell r="AV44" t="str">
            <v>8305 - Kab. Halmahera Barat</v>
          </cell>
          <cell r="AX44" t="str">
            <v>Banyumas, Kab. - 0914</v>
          </cell>
          <cell r="AZ44" t="str">
            <v>Purwokerto Pasar Wage</v>
          </cell>
        </row>
        <row r="45">
          <cell r="AH45" t="str">
            <v>847 - PT. Perkebunan Nusantara</v>
          </cell>
          <cell r="AI45" t="str">
            <v>2210 - Pertambangan Biji Logam - Timah</v>
          </cell>
          <cell r="AM45" t="str">
            <v>0501 - Bantul, Kab.</v>
          </cell>
          <cell r="AN45" t="str">
            <v>DKK - Danish Krone</v>
          </cell>
          <cell r="AO45" t="str">
            <v>065 - BANK UPPINDO</v>
          </cell>
          <cell r="AU45" t="str">
            <v>011329 - Pertanian Buah-buahan Sepanjang Tahun Lainnya</v>
          </cell>
          <cell r="AV45" t="str">
            <v>8306 - Kab. Halmahera Selatan</v>
          </cell>
          <cell r="AX45" t="str">
            <v>Banyuwangi, Kab. - 1211</v>
          </cell>
          <cell r="AZ45" t="str">
            <v>Samarinda Pahlawan 1</v>
          </cell>
        </row>
        <row r="46">
          <cell r="AH46" t="str">
            <v>848 - PT. Pertamina</v>
          </cell>
          <cell r="AI46" t="str">
            <v>2220 - Pertambangan Biji Logam - Nikel</v>
          </cell>
          <cell r="AM46" t="str">
            <v>0502 - Sleman, Kab.</v>
          </cell>
          <cell r="AN46" t="str">
            <v>DOP - Dominican Republic Peso</v>
          </cell>
          <cell r="AO46" t="str">
            <v>066 - BANK INVESTMENT INTERNASIONAL</v>
          </cell>
          <cell r="AU46" t="str">
            <v xml:space="preserve">011330 - Perkebunan Kelapa </v>
          </cell>
          <cell r="AV46" t="str">
            <v>8307 - Kab. Kepulauan Sula</v>
          </cell>
          <cell r="AX46" t="str">
            <v>Barito Kuala, Kab. - 5107</v>
          </cell>
          <cell r="AZ46" t="str">
            <v>Samarinda Pahlawan 2</v>
          </cell>
        </row>
        <row r="47">
          <cell r="AH47" t="str">
            <v>849 - PT. Perusahaan Listrik  Negara (PLN)</v>
          </cell>
          <cell r="AI47" t="str">
            <v>2230 - Pertambangan Biji Logam - Bauksit</v>
          </cell>
          <cell r="AM47" t="str">
            <v>0503 - Gunung Kidul, Kab.</v>
          </cell>
          <cell r="AN47" t="str">
            <v>DZD - Algerian Dinar</v>
          </cell>
          <cell r="AO47" t="str">
            <v>067 - DEUTSCHE BANK AG.</v>
          </cell>
          <cell r="AU47" t="str">
            <v xml:space="preserve">011340 - Perkebunan Kelapa Sawit </v>
          </cell>
          <cell r="AV47" t="str">
            <v>8308 - Kab. Pulau Morotai</v>
          </cell>
          <cell r="AX47" t="str">
            <v>Barito Selatan, Kab. - 5806</v>
          </cell>
          <cell r="AZ47" t="str">
            <v>Semarang MT Haryono 1</v>
          </cell>
        </row>
        <row r="48">
          <cell r="AH48" t="str">
            <v>850 - PT. Krakatau Steel</v>
          </cell>
          <cell r="AI48" t="str">
            <v>2240 - Pertambangan Biji Logam - Tembaga</v>
          </cell>
          <cell r="AM48" t="str">
            <v>0504 - Kulon Progo, Kab.</v>
          </cell>
          <cell r="AN48" t="str">
            <v>ECS - Ecuadorean Sucre</v>
          </cell>
          <cell r="AO48" t="str">
            <v>068 - BANK WOORI INDONESIA</v>
          </cell>
          <cell r="AU48" t="str">
            <v>011351 - Perkebunan Tanaman Kopi</v>
          </cell>
          <cell r="AV48" t="str">
            <v>8390 - Kota Ternate</v>
          </cell>
          <cell r="AX48" t="str">
            <v>Barito Timur, Kab. - 5805</v>
          </cell>
          <cell r="AZ48" t="str">
            <v>Semarang MT Haryono 2</v>
          </cell>
        </row>
        <row r="49">
          <cell r="AH49" t="str">
            <v>851 - PT. Garuda Indonesia</v>
          </cell>
          <cell r="AI49" t="str">
            <v>2290 - Pertambangan Biji Logam - Lainnya</v>
          </cell>
          <cell r="AM49" t="str">
            <v>0591 - Yogyakarta, Kota.</v>
          </cell>
          <cell r="AN49" t="str">
            <v>EEK - Estonian Kroon</v>
          </cell>
          <cell r="AO49" t="str">
            <v>069 - BANK OF CHINA</v>
          </cell>
          <cell r="AU49" t="str">
            <v xml:space="preserve">011352 - Perkebunan Tanaman Teh </v>
          </cell>
          <cell r="AV49" t="str">
            <v>8391 - Kota Tidore Kepulauan</v>
          </cell>
          <cell r="AX49" t="str">
            <v>Barito Utara, Kab. - 5808</v>
          </cell>
          <cell r="AZ49" t="str">
            <v>Sinaya Jakarta Baru</v>
          </cell>
        </row>
        <row r="50">
          <cell r="AH50" t="str">
            <v>852 - PT. Telkom</v>
          </cell>
          <cell r="AI50" t="str">
            <v>2300 - Pertambangan Batubara</v>
          </cell>
          <cell r="AM50" t="str">
            <v>0901 - Semarang, Kab.</v>
          </cell>
          <cell r="AN50" t="str">
            <v>EGP - Egyptian Pound</v>
          </cell>
          <cell r="AO50" t="str">
            <v>071 - SEJAHTERA BANK UMUM</v>
          </cell>
          <cell r="AU50" t="str">
            <v>011353 - Perkebunan Tanaman Coklat (Kakao)</v>
          </cell>
          <cell r="AV50" t="str">
            <v>8401 - Kab. Sorong</v>
          </cell>
          <cell r="AX50" t="str">
            <v>Barru, Kab. - 6116</v>
          </cell>
          <cell r="AZ50" t="str">
            <v>Sinaya Jakarta Baru</v>
          </cell>
        </row>
        <row r="51">
          <cell r="AH51" t="str">
            <v>853 - PT. Indosat</v>
          </cell>
          <cell r="AI51" t="str">
            <v>2900 - Pertambangan Barang Tambang Lainnya</v>
          </cell>
          <cell r="AM51" t="str">
            <v>0902 - Kendal, Kab.</v>
          </cell>
          <cell r="AN51" t="str">
            <v>ERN - Eritreian Nakfa</v>
          </cell>
          <cell r="AO51" t="str">
            <v>074 - BANK ASIA PACIFIC (ASPAC BANK)</v>
          </cell>
          <cell r="AU51" t="str">
            <v xml:space="preserve">011360 - Perkebunan Jambu Mete </v>
          </cell>
          <cell r="AV51" t="str">
            <v>8402 - Kab. Fak-Fak</v>
          </cell>
          <cell r="AX51" t="str">
            <v>Batam, Kota - 3892</v>
          </cell>
          <cell r="AZ51" t="str">
            <v>Surabaya Bukit Darmo Golf</v>
          </cell>
        </row>
        <row r="52">
          <cell r="AH52" t="str">
            <v>854 - PT. Jasa Marga</v>
          </cell>
          <cell r="AI52" t="str">
            <v>3000 - Perindustrian</v>
          </cell>
          <cell r="AM52" t="str">
            <v>0903 - Demak, Kab.</v>
          </cell>
          <cell r="AN52" t="str">
            <v>ESB - Spanish Peseta</v>
          </cell>
          <cell r="AO52" t="str">
            <v>076 - BANK BUMI ARTA</v>
          </cell>
          <cell r="AU52" t="str">
            <v xml:space="preserve">011370 - Perkebunan Lada </v>
          </cell>
          <cell r="AV52" t="str">
            <v>8403 - Kab. Manokwari</v>
          </cell>
          <cell r="AX52" t="str">
            <v>Batang, Kab. - 0929</v>
          </cell>
          <cell r="AZ52" t="str">
            <v>Surabaya Indrapura</v>
          </cell>
        </row>
        <row r="53">
          <cell r="AH53" t="str">
            <v>855 - PT. Timah</v>
          </cell>
          <cell r="AI53" t="str">
            <v>3110 - Industri - Terigu</v>
          </cell>
          <cell r="AM53" t="str">
            <v>0904 - Grobogan, Kab.</v>
          </cell>
          <cell r="AN53" t="str">
            <v>ESP - Spanish Peseta</v>
          </cell>
          <cell r="AO53" t="str">
            <v>078 - BANK BAHARI</v>
          </cell>
          <cell r="AU53" t="str">
            <v xml:space="preserve">011380 - Perkebunan Cengkeh </v>
          </cell>
          <cell r="AV53" t="str">
            <v>8404 - Kab. Sorong Selatan</v>
          </cell>
          <cell r="AX53" t="str">
            <v>Batanghari, Kab. - 3101</v>
          </cell>
          <cell r="AZ53" t="str">
            <v>Surabaya Kedungdoro</v>
          </cell>
        </row>
        <row r="54">
          <cell r="AH54" t="str">
            <v>856 - PT. Aneka Tambang</v>
          </cell>
          <cell r="AI54" t="str">
            <v>3120 - Industri - Gula</v>
          </cell>
          <cell r="AM54" t="str">
            <v>0905 - Pekalongan, Kab.</v>
          </cell>
          <cell r="AN54" t="str">
            <v>ESS - Ecuadoran Sucre</v>
          </cell>
          <cell r="AO54" t="str">
            <v>081 - BANK PELITA</v>
          </cell>
          <cell r="AU54" t="str">
            <v>011391 - Perkebunan Tanaman Rempah Panili</v>
          </cell>
          <cell r="AV54" t="str">
            <v>8405 - Kab. Raja Ampat</v>
          </cell>
          <cell r="AX54" t="str">
            <v>Batu Bara, Kab - 3321</v>
          </cell>
          <cell r="AZ54" t="str">
            <v>Surabaya Kertajaya</v>
          </cell>
        </row>
        <row r="55">
          <cell r="AH55" t="str">
            <v>857 - Perusahaan Jasa Konstruksi - BUMN</v>
          </cell>
          <cell r="AI55" t="str">
            <v>3130 - Penggilingan Padi (huller)</v>
          </cell>
          <cell r="AM55" t="str">
            <v>0906 - Tegal, Kab.</v>
          </cell>
          <cell r="AN55" t="str">
            <v>ETB - Ethiopian Birr</v>
          </cell>
          <cell r="AO55" t="str">
            <v>082 - BANK SUBENTRA</v>
          </cell>
          <cell r="AU55" t="str">
            <v>011392 - Perkebunan Tanaman Rempah Pala</v>
          </cell>
          <cell r="AV55" t="str">
            <v>8406 - Kab. Kaimana</v>
          </cell>
          <cell r="AX55" t="str">
            <v>Batu, Kota. - 1271</v>
          </cell>
          <cell r="AZ55" t="str">
            <v>Surabaya Mulyosari</v>
          </cell>
        </row>
        <row r="56">
          <cell r="AH56" t="str">
            <v>859 - Lainnya (Bukan Lembaga Keuangan - BUMN)</v>
          </cell>
          <cell r="AI56" t="str">
            <v>3141 - Industri - Minyak Kelapa Sawit Mentah</v>
          </cell>
          <cell r="AM56" t="str">
            <v>0907 - Brebes, Kab.</v>
          </cell>
          <cell r="AN56" t="str">
            <v>EUR - Euro</v>
          </cell>
          <cell r="AO56" t="str">
            <v>083 - BANK MASHILL UTAMA</v>
          </cell>
          <cell r="AU56" t="str">
            <v>011399 - Perkebunan Tanaman Rempah yang Tidak Diklasifikasikan di Tempat Lain</v>
          </cell>
          <cell r="AV56" t="str">
            <v>8407 - Kab. Teluk Bintuni</v>
          </cell>
          <cell r="AX56" t="str">
            <v>Bau-Bau,Kota. - 6990</v>
          </cell>
          <cell r="AZ56" t="str">
            <v>Surakarta Slamet Riyadi</v>
          </cell>
        </row>
        <row r="57">
          <cell r="AH57" t="str">
            <v>860 - Badan Usaha Milik Daerah (BUMD)</v>
          </cell>
          <cell r="AI57" t="str">
            <v>3142 - Industri - Minyak Biji Kelapa Sawit</v>
          </cell>
          <cell r="AM57" t="str">
            <v>0908 - Pati, Kab.</v>
          </cell>
          <cell r="AN57" t="str">
            <v>FIM - Finnis Markka</v>
          </cell>
          <cell r="AO57" t="str">
            <v>084 - BANK MODERN</v>
          </cell>
          <cell r="AU57" t="str">
            <v xml:space="preserve">012110 - Pembibitan dan Budidaya Sapi Potong </v>
          </cell>
          <cell r="AV57" t="str">
            <v>8408 - Kab. Teluk Wondama</v>
          </cell>
          <cell r="AX57" t="str">
            <v>Bekasi, Kab. - 0102</v>
          </cell>
          <cell r="AZ57" t="str">
            <v>Tangerang Merdeka</v>
          </cell>
        </row>
        <row r="58">
          <cell r="AH58" t="str">
            <v>861 - Lembaga Keuangan Non Bank - BUMD</v>
          </cell>
          <cell r="AI58" t="str">
            <v>3149 - Industri - Minyak Tumbuhan Lainnya</v>
          </cell>
          <cell r="AM58" t="str">
            <v>0909 - Kudus, Kab.</v>
          </cell>
          <cell r="AN58" t="str">
            <v>FJD - Fiji Dollar</v>
          </cell>
          <cell r="AO58" t="str">
            <v xml:space="preserve">085 - </v>
          </cell>
          <cell r="AU58" t="str">
            <v xml:space="preserve">012191 - Pembibitan dan Budidaya Domba dan Kambing Potong </v>
          </cell>
          <cell r="AV58" t="str">
            <v>8409 - Kab. Tembrauw</v>
          </cell>
          <cell r="AX58" t="str">
            <v>Bekasi, Kota. - 0198</v>
          </cell>
          <cell r="AZ58" t="str">
            <v>Yogya Bintaran</v>
          </cell>
        </row>
        <row r="59">
          <cell r="AH59" t="str">
            <v>862 - Perusahaan Asuransi - BUMD</v>
          </cell>
          <cell r="AI59" t="str">
            <v>3150 - Industri - Garam</v>
          </cell>
          <cell r="AM59" t="str">
            <v>0910 - Pemalang, Kab.</v>
          </cell>
          <cell r="AN59" t="str">
            <v>FKP - Falkland Islands Pound</v>
          </cell>
          <cell r="AO59" t="str">
            <v>086 - BANK UMUM SERVITIA</v>
          </cell>
          <cell r="AU59" t="str">
            <v>012192 - Pembibitan dan Budidaya Ternak Perah</v>
          </cell>
          <cell r="AV59" t="str">
            <v>8410 - Kab. Maybrat</v>
          </cell>
          <cell r="AX59" t="str">
            <v>Belitung Timur, Kab - 3706</v>
          </cell>
        </row>
        <row r="60">
          <cell r="AH60" t="str">
            <v>863 - Dana Pensiun - BUMD</v>
          </cell>
          <cell r="AI60" t="str">
            <v>3160 - Industri - Minuman</v>
          </cell>
          <cell r="AM60" t="str">
            <v>0911 - Jepara, Kab.</v>
          </cell>
          <cell r="AN60" t="str">
            <v>FRF - French Franc</v>
          </cell>
          <cell r="AO60" t="str">
            <v>087 - BANK EKONOMI RAHARJA</v>
          </cell>
          <cell r="AU60" t="str">
            <v>012210 - Pembibitan dan Budidaya Babi</v>
          </cell>
          <cell r="AV60" t="str">
            <v>8491 - Kota Sorong</v>
          </cell>
          <cell r="AX60" t="str">
            <v>Belitung, Kab. - 3702</v>
          </cell>
        </row>
        <row r="61">
          <cell r="AH61" t="str">
            <v>864 - Perusahaan Pembiayaan - BUMD</v>
          </cell>
          <cell r="AI61" t="str">
            <v>3170 - Industri - Tembakau</v>
          </cell>
          <cell r="AM61" t="str">
            <v>0912 - Rembang, Kab.</v>
          </cell>
          <cell r="AN61" t="str">
            <v>GBP - Pound Sterling (United Kingdom Pound)</v>
          </cell>
          <cell r="AO61" t="str">
            <v>088 - BANK ANTAR DAERAH</v>
          </cell>
          <cell r="AU61" t="str">
            <v>012291 - Pembibitan dan Budidaya Unggas</v>
          </cell>
          <cell r="AV61" t="str">
            <v>9999 - DI LUAR INDONESIA</v>
          </cell>
          <cell r="AX61" t="str">
            <v>Belu, Kab. - 7404</v>
          </cell>
        </row>
        <row r="62">
          <cell r="AH62" t="str">
            <v>865 - Modal Ventura - BUMD</v>
          </cell>
          <cell r="AI62" t="str">
            <v>3180 - Industri - Rokok</v>
          </cell>
          <cell r="AM62" t="str">
            <v>3218 - Pide Jaya, Kab</v>
          </cell>
          <cell r="AN62" t="str">
            <v>GEK - Georgian Coupon</v>
          </cell>
          <cell r="AO62" t="str">
            <v>089 - RABOBANK INTERNATIONAL INDONESIA</v>
          </cell>
          <cell r="AU62" t="str">
            <v xml:space="preserve">013000 - Kombinasi Pertanian Atau Perkebunan Dengan Peternakan (Mixed Farming) </v>
          </cell>
          <cell r="AV62" t="str">
            <v>8101 - Kab. Maluku Tengah</v>
          </cell>
          <cell r="AX62" t="str">
            <v>Bener Meriah, Kab - 3217</v>
          </cell>
        </row>
        <row r="63">
          <cell r="AH63" t="str">
            <v>866 - Perush sekuritas yg tidak melakukan usaha Reksadana - BUMD</v>
          </cell>
          <cell r="AI63" t="str">
            <v>3190 - Industri - Makanan Lainnya</v>
          </cell>
          <cell r="AM63" t="str">
            <v>0913 - Blora, Kab.</v>
          </cell>
          <cell r="AN63" t="str">
            <v>GEL - Georgian Lari</v>
          </cell>
          <cell r="AO63" t="str">
            <v xml:space="preserve">092 - CORPORATION (FICORINVEST) </v>
          </cell>
          <cell r="AU63" t="str">
            <v xml:space="preserve">014000 - Jasa Pertanian, Perkebunan dan Peternakan </v>
          </cell>
          <cell r="AV63" t="str">
            <v>6105 - Kab. Bone</v>
          </cell>
          <cell r="AX63" t="str">
            <v>Bengkalis, Kab. - 3502</v>
          </cell>
        </row>
        <row r="64">
          <cell r="AH64" t="str">
            <v>867 - Perush sekuritas yg melakukan usaha Reksadana - BUMD</v>
          </cell>
          <cell r="AI64" t="str">
            <v>3200 - Industri - Makanan Ternak dan Ikan</v>
          </cell>
          <cell r="AM64" t="str">
            <v>0914 - Banyumas, Kab.</v>
          </cell>
          <cell r="AN64" t="str">
            <v>GHC - Ghana Cedi</v>
          </cell>
          <cell r="AO64" t="str">
            <v>093 - BANK IFI</v>
          </cell>
          <cell r="AU64" t="str">
            <v xml:space="preserve">015000 - Perburuan Penangkapan dan Penangkaran Satwa Liar </v>
          </cell>
          <cell r="AV64" t="str">
            <v>6106 - Kab. Tana Toraja</v>
          </cell>
          <cell r="AX64" t="str">
            <v>Bengkayang, Kab. - 5307</v>
          </cell>
        </row>
        <row r="65">
          <cell r="AH65" t="str">
            <v>868 - Perusahaan Reksadana - BUMD</v>
          </cell>
          <cell r="AI65" t="str">
            <v>3310 - Industri - Tekstil</v>
          </cell>
          <cell r="AM65" t="str">
            <v>0915 - Cilacap, Kab.</v>
          </cell>
          <cell r="AN65" t="str">
            <v>GIP - Gibraltar Pound</v>
          </cell>
          <cell r="AO65" t="str">
            <v>094 - BANK PAPAN SEJAHTERA</v>
          </cell>
          <cell r="AU65" t="str">
            <v xml:space="preserve">020100 - Pengusahaan Hutan Tanaman </v>
          </cell>
          <cell r="AV65" t="str">
            <v>6107 - Kab. Maros</v>
          </cell>
          <cell r="AX65" t="str">
            <v>Bengkulu Selatan, Kab. - 2301</v>
          </cell>
        </row>
        <row r="66">
          <cell r="AH66" t="str">
            <v>870 - Lainnya  (Lemb Keuangan Non Bank - BUMD)</v>
          </cell>
          <cell r="AI66" t="str">
            <v>3320 - Industri - Sandang</v>
          </cell>
          <cell r="AM66" t="str">
            <v>3219 - Subulussalam</v>
          </cell>
          <cell r="AN66" t="str">
            <v>GMD - Gambian Dalasi</v>
          </cell>
          <cell r="AO66" t="str">
            <v>095 - BANK MUTIARA, TBK.</v>
          </cell>
          <cell r="AU66" t="str">
            <v xml:space="preserve">020200 - Pengusahaan Hutan Alam </v>
          </cell>
          <cell r="AV66" t="str">
            <v>8102 - Kab. Maluku Tenggara</v>
          </cell>
          <cell r="AX66" t="str">
            <v>Bengkulu Tengah, Kab - 2309</v>
          </cell>
        </row>
        <row r="67">
          <cell r="AH67" t="str">
            <v>871 - Bukan Lembaga Keuangan - BUMD</v>
          </cell>
          <cell r="AI67" t="str">
            <v>3330 - Industri - Kulit</v>
          </cell>
          <cell r="AM67" t="str">
            <v>0916 - Purbalingga, Kab.</v>
          </cell>
          <cell r="AN67" t="str">
            <v>GNF - Guinea Franc</v>
          </cell>
          <cell r="AO67" t="str">
            <v>096 - BANK HARAPAN SANTOSA</v>
          </cell>
          <cell r="AU67" t="str">
            <v xml:space="preserve">020300 - Pengusahaan Hasil Hutan Selain Kayu </v>
          </cell>
          <cell r="AV67" t="str">
            <v>6109 - Kab. Luwu</v>
          </cell>
          <cell r="AX67" t="str">
            <v>Bengkulu Utara, Kab. - 2302</v>
          </cell>
        </row>
        <row r="68">
          <cell r="AH68" t="str">
            <v>872 - Perusahaan Daerah Air Minum (PDAM)</v>
          </cell>
          <cell r="AI68" t="str">
            <v>3410 - Industri - Bahan Kayu</v>
          </cell>
          <cell r="AM68" t="str">
            <v>0917 - Banjarnegara, Kab.</v>
          </cell>
          <cell r="AN68" t="str">
            <v>GNS - Guinea Franc/Guinea Syli</v>
          </cell>
          <cell r="AO68" t="str">
            <v>097 - BANK MAYAPADA INTERNATIONAL</v>
          </cell>
          <cell r="AU68" t="str">
            <v xml:space="preserve">020400 - Jasa Kehutanan </v>
          </cell>
          <cell r="AV68" t="str">
            <v>6110 - Kab. Sinjai</v>
          </cell>
          <cell r="AX68" t="str">
            <v>Bengkulu, Kota. - 2391</v>
          </cell>
        </row>
        <row r="69">
          <cell r="AH69" t="str">
            <v>873 - Perusahaan Daerah Pasar (PD. Pasar)</v>
          </cell>
          <cell r="AI69" t="str">
            <v>3420 - Industri - Perabot Kayu</v>
          </cell>
          <cell r="AM69" t="str">
            <v>0918 - Magelang, Kab.</v>
          </cell>
          <cell r="AN69" t="str">
            <v>GQE - ekwele</v>
          </cell>
          <cell r="AO69" t="str">
            <v>098 - BANK DHARMALA</v>
          </cell>
          <cell r="AU69" t="str">
            <v xml:space="preserve">020500 - Usaha Kehutanan Lainnya </v>
          </cell>
          <cell r="AV69" t="str">
            <v>6111 - Kab. Bulukumba</v>
          </cell>
          <cell r="AX69" t="str">
            <v>Berau, Kab. - 5402</v>
          </cell>
        </row>
        <row r="70">
          <cell r="AH70" t="str">
            <v>874 - Lainnya (Bukan Lembaga Keuangan - BUMD)</v>
          </cell>
          <cell r="AI70" t="str">
            <v>3490 - Industri - Kayu Lainnya</v>
          </cell>
          <cell r="AM70" t="str">
            <v>0919 - Temanggung, Kab.</v>
          </cell>
          <cell r="AN70" t="str">
            <v>GRD - Greek Drachma</v>
          </cell>
          <cell r="AO70" t="str">
            <v>099 - BANK INDONESIA RAYA</v>
          </cell>
          <cell r="AU70" t="str">
            <v>050111 - Penangkapan Ikan Tuna</v>
          </cell>
          <cell r="AV70" t="str">
            <v>6112 - Kab. Bantaeng</v>
          </cell>
          <cell r="AX70" t="str">
            <v>Biak Numfor, Kab. - 8202</v>
          </cell>
        </row>
        <row r="71">
          <cell r="AH71" t="str">
            <v>875 - Lembaga Keuangan Non Bank - Swasta</v>
          </cell>
          <cell r="AI71" t="str">
            <v>3510 - Industri - Kertas dan Hasil-hasil Kertas</v>
          </cell>
          <cell r="AM71" t="str">
            <v>0920 - Wonosobo, Kab.</v>
          </cell>
          <cell r="AN71" t="str">
            <v>GTQ - Guatemala Quetzal</v>
          </cell>
          <cell r="AO71" t="str">
            <v>110 - B.P.D. JAWA BARAT &amp; BANTEN</v>
          </cell>
          <cell r="AU71" t="str">
            <v>050119 - Penangkapan Ikan Lainnya</v>
          </cell>
          <cell r="AV71" t="str">
            <v>6113 - Kab. Jeneponto</v>
          </cell>
          <cell r="AX71" t="str">
            <v>Bima, Kab. - 7105</v>
          </cell>
        </row>
        <row r="72">
          <cell r="AH72" t="str">
            <v>876 - Perusahaan asuransi</v>
          </cell>
          <cell r="AI72" t="str">
            <v>3520 - Industri - Percetakan dan Penerbitan</v>
          </cell>
          <cell r="AM72" t="str">
            <v>0921 - Purworejo, Kab.</v>
          </cell>
          <cell r="AN72" t="str">
            <v>GWP - Guinea-Bissau Peso</v>
          </cell>
          <cell r="AO72" t="str">
            <v>111 - BPD DKI JAKARTA</v>
          </cell>
          <cell r="AU72" t="str">
            <v xml:space="preserve">050121 - Penangkapan Udang Laut </v>
          </cell>
          <cell r="AV72" t="str">
            <v>6114 - Kab. Selayar</v>
          </cell>
          <cell r="AX72" t="str">
            <v>Binjai, Kota. - 3392</v>
          </cell>
        </row>
        <row r="73">
          <cell r="AH73" t="str">
            <v>877 - Dana pensiun LKNB Swasta</v>
          </cell>
          <cell r="AI73" t="str">
            <v>3530 - Industri - Bahan Kertas (Pulp)</v>
          </cell>
          <cell r="AM73" t="str">
            <v>0922 - Kebumen, Kab.</v>
          </cell>
          <cell r="AN73" t="str">
            <v>GYD - Guyana Dollar</v>
          </cell>
          <cell r="AO73" t="str">
            <v>112 - B.P.D. YOGYAKARTA</v>
          </cell>
          <cell r="AU73" t="str">
            <v>050122 - Penangkapan Crustacea Lainnya di Laut</v>
          </cell>
          <cell r="AV73" t="str">
            <v>6115 - Kab. Takalar</v>
          </cell>
          <cell r="AX73" t="str">
            <v>Bintan, Kab (d/h Kab. Kepulauan Riau - 3804</v>
          </cell>
        </row>
        <row r="74">
          <cell r="AH74" t="str">
            <v>878 - Perusahaan Pembiayaan</v>
          </cell>
          <cell r="AI74" t="str">
            <v>3610 - Industri - Pupuk/Obat Hama</v>
          </cell>
          <cell r="AM74" t="str">
            <v>0923 - Klaten, Kab.</v>
          </cell>
          <cell r="AN74" t="str">
            <v>HKD - Hong Kong Dollar</v>
          </cell>
          <cell r="AO74" t="str">
            <v>113 - B.P.D. JAWA TENGAH</v>
          </cell>
          <cell r="AU74" t="str">
            <v>050190 - Lainnya</v>
          </cell>
          <cell r="AV74" t="str">
            <v>6116 - Kab. Barru</v>
          </cell>
          <cell r="AX74" t="str">
            <v>Bitung, Kota. - 6293</v>
          </cell>
        </row>
        <row r="75">
          <cell r="AH75" t="str">
            <v>879 - Modal Ventura</v>
          </cell>
          <cell r="AI75" t="str">
            <v>3620 - Industri - Farmasi</v>
          </cell>
          <cell r="AM75" t="str">
            <v>0924 - Boyolali, Kab.</v>
          </cell>
          <cell r="AN75" t="str">
            <v>HNL - Honduras Lempira</v>
          </cell>
          <cell r="AO75" t="str">
            <v>114 - B.P.D. JAWA TIMUR</v>
          </cell>
          <cell r="AU75" t="str">
            <v>050211 - Budidaya Biota Laut Udang</v>
          </cell>
          <cell r="AV75" t="str">
            <v>6117 - Kab. Sidenreng Rappang</v>
          </cell>
          <cell r="AX75" t="str">
            <v>Blitar, Kab. - 1221</v>
          </cell>
        </row>
        <row r="76">
          <cell r="AH76" t="str">
            <v>880 - Perush sekuritas yg tidak melakukan kegiatan  usaha Reksadana</v>
          </cell>
          <cell r="AI76" t="str">
            <v>3630 - Industri - Plastik</v>
          </cell>
          <cell r="AM76" t="str">
            <v>0925 - Sragen, Kab.</v>
          </cell>
          <cell r="AN76" t="str">
            <v>HRD - Croatian Dinar</v>
          </cell>
          <cell r="AO76" t="str">
            <v>115 - B.P.D. JAMBI</v>
          </cell>
          <cell r="AU76" t="str">
            <v>050212 - Budidaya Biota Laut Tuna</v>
          </cell>
          <cell r="AV76" t="str">
            <v>6118 - Kab. Pangkajene Kepulauan</v>
          </cell>
          <cell r="AX76" t="str">
            <v>Blitar, Kota. - 1296</v>
          </cell>
        </row>
        <row r="77">
          <cell r="AH77" t="str">
            <v>881 - Perush sekuritas yg melakukan kegiatan  usaha Reksadana</v>
          </cell>
          <cell r="AI77" t="str">
            <v>3640 - Industri - Hasil Kimia Lainnya</v>
          </cell>
          <cell r="AM77" t="str">
            <v>0926 - Sukoharjo, Kab.</v>
          </cell>
          <cell r="AN77" t="str">
            <v>HRK - Croatian Kuna</v>
          </cell>
          <cell r="AO77" t="str">
            <v>116 - B.P.D. ACEH</v>
          </cell>
          <cell r="AU77" t="str">
            <v>050213 - Budidaya Biota Laut Rumput Laut</v>
          </cell>
          <cell r="AV77" t="str">
            <v>6119 - Kab. Soppeng (d/h Watansoppeng)</v>
          </cell>
          <cell r="AX77" t="str">
            <v>Blora, Kab. - 0913</v>
          </cell>
        </row>
        <row r="78">
          <cell r="AH78" t="str">
            <v>882 - Perusahaan Reksadana</v>
          </cell>
          <cell r="AI78" t="str">
            <v>3650 - Remilling dan Rumah Asap</v>
          </cell>
          <cell r="AM78" t="str">
            <v>0927 - Karanganyar, Kab.</v>
          </cell>
          <cell r="AN78" t="str">
            <v>HTG - Haiti Gourde</v>
          </cell>
          <cell r="AO78" t="str">
            <v>117 - B.P.D. SUMATERA UTARA</v>
          </cell>
          <cell r="AU78" t="str">
            <v>050219 - Budidaya Biota Laut Lainnya</v>
          </cell>
          <cell r="AV78" t="str">
            <v>6121 - Kab. Enrekang</v>
          </cell>
          <cell r="AX78" t="str">
            <v>Bogor, Kab. - 0108</v>
          </cell>
        </row>
        <row r="79">
          <cell r="AH79" t="str">
            <v>883 - Dana Pensiun LKNB Swasta Lainnya</v>
          </cell>
          <cell r="AI79" t="str">
            <v>3660 - Industri - Crumb Rubber</v>
          </cell>
          <cell r="AM79" t="str">
            <v>0928 - Wonogiri, Kab.</v>
          </cell>
          <cell r="AN79" t="str">
            <v>HUF - Hungarian Forint</v>
          </cell>
          <cell r="AO79" t="str">
            <v>118 - B.P.D. SUMATERA BARAT</v>
          </cell>
          <cell r="AU79" t="str">
            <v xml:space="preserve">050220 - Pembenihan Biota Laut </v>
          </cell>
          <cell r="AV79" t="str">
            <v>6122 - Kab. Luwu Timur (d/h Luwu Selatan)</v>
          </cell>
          <cell r="AX79" t="str">
            <v>Bogor, Kota. - 0192</v>
          </cell>
        </row>
        <row r="80">
          <cell r="AH80" t="str">
            <v>884 - Baitul Maal Wa Tamwil (BMT)</v>
          </cell>
          <cell r="AI80" t="str">
            <v>3670 - Industri - Hasil Karet Lainnya</v>
          </cell>
          <cell r="AM80" t="str">
            <v>0929 - Batang, Kab.</v>
          </cell>
          <cell r="AN80" t="str">
            <v>IDR - Indonesian Rupiah</v>
          </cell>
          <cell r="AO80" t="str">
            <v>119 - B.P.D. RIAU</v>
          </cell>
          <cell r="AU80" t="str">
            <v xml:space="preserve">050310 - Penangkapan Ikan di Perairan Umum </v>
          </cell>
          <cell r="AV80" t="str">
            <v>6124 - Kab. Luwu Utara</v>
          </cell>
          <cell r="AX80" t="str">
            <v>Bojonegoro, Kab. - 1227</v>
          </cell>
        </row>
        <row r="81">
          <cell r="AH81" t="str">
            <v>885 - Koperasi Primer (Simpan Pinjam)</v>
          </cell>
          <cell r="AI81" t="str">
            <v>3680 - Industri - Minyak Atsiri</v>
          </cell>
          <cell r="AM81" t="str">
            <v>3291 - Banda Aceh, Kota.</v>
          </cell>
          <cell r="AN81" t="str">
            <v>IEP - Irish Punt</v>
          </cell>
          <cell r="AO81" t="str">
            <v>120 - B.P.D. SUMATERA SELATAN DAN BABEL</v>
          </cell>
          <cell r="AU81" t="str">
            <v xml:space="preserve">050320 - Penangkapan Crustacea, Mollusca, dan Biota Lainnya di Perairan Umum </v>
          </cell>
          <cell r="AV81" t="str">
            <v>8103 - Kab. Maluku Tenggara Barat</v>
          </cell>
          <cell r="AX81" t="str">
            <v>Bolaang Mongondow Selatan, Kab - 6212</v>
          </cell>
        </row>
        <row r="82">
          <cell r="AH82" t="str">
            <v>886 - Koperasi Lainnya (Simpan Pinjam)</v>
          </cell>
          <cell r="AI82" t="str">
            <v>3690 - Industri - Bahan Kimia/Hasil Minyak Bumi, Batu Bara Lainnya</v>
          </cell>
          <cell r="AM82" t="str">
            <v>3292 - Sabang, Kota.</v>
          </cell>
          <cell r="AN82" t="str">
            <v>ILS - Israeli Shekel</v>
          </cell>
          <cell r="AO82" t="str">
            <v>121 - B.P.D. LAMPUNG</v>
          </cell>
          <cell r="AU82" t="str">
            <v>050411 - Budidaya Biota Air Tawar Udang</v>
          </cell>
          <cell r="AV82" t="str">
            <v>8104 - Kab Buru</v>
          </cell>
          <cell r="AX82" t="str">
            <v>Bolaang Mongondow Timur, Kab - 6213</v>
          </cell>
        </row>
        <row r="83">
          <cell r="AH83" t="str">
            <v>887 - Ktr Perwk Lemb Asing di Indonesia (Lemb. Keu - Swasta)</v>
          </cell>
          <cell r="AI83" t="str">
            <v>3710 - Industri Pengolahan Hasil Tambang Bukan Logam, selain Hasil Minyak Bumi &amp; Batu Bara - Semen</v>
          </cell>
          <cell r="AM83" t="str">
            <v>0991 - Semarang, Kota.</v>
          </cell>
          <cell r="AN83" t="str">
            <v>INR - Indian Rupee</v>
          </cell>
          <cell r="AO83" t="str">
            <v>122 - PT. BPD KALIMANTAN SELATAN</v>
          </cell>
          <cell r="AU83" t="str">
            <v>050419 - Budidaya Biota Air Tawar Lainnya</v>
          </cell>
          <cell r="AV83" t="str">
            <v>6125 - Kab. Toraja Utara</v>
          </cell>
          <cell r="AX83" t="str">
            <v>Bolaang Mongondow, Kab. - 6203</v>
          </cell>
        </row>
        <row r="84">
          <cell r="AH84" t="str">
            <v>889 - Lainnya (Lembaga Keuangan non Bank Lainnya - Swasta)</v>
          </cell>
          <cell r="AI84" t="str">
            <v>3720 - Industri Pengolahan Hasil Tambang Bukan Logam, selain Hasil Minyak Bumi &amp; Batu Bara - Batu Bata/Genteng</v>
          </cell>
          <cell r="AM84" t="str">
            <v>0992 - Salatiga, Kota.</v>
          </cell>
          <cell r="AN84" t="str">
            <v>IQD - Iraqi Dinar</v>
          </cell>
          <cell r="AO84" t="str">
            <v>123 - B.P.D. KALIMANTAN BARAT</v>
          </cell>
          <cell r="AU84" t="str">
            <v>050421 - Budidaya Biota Air Payau Udang</v>
          </cell>
          <cell r="AV84" t="str">
            <v>6191 - Kota Makassar</v>
          </cell>
          <cell r="AX84" t="str">
            <v>Bolaang Mongoundow Utara, Kab. - 6210</v>
          </cell>
        </row>
        <row r="85">
          <cell r="AH85" t="str">
            <v>890 - Bukan Lembaga Keuangan - Swasta</v>
          </cell>
          <cell r="AI85" t="str">
            <v>3730 - Industri Pengolahan Hasil Tambang Bukan Logam, selain Hasil Minyak Bumi &amp; Batu Bara - Keramik</v>
          </cell>
          <cell r="AM85" t="str">
            <v>0993 - Pekalongan, Kota.</v>
          </cell>
          <cell r="AN85" t="str">
            <v>IRR - Iranian Rial</v>
          </cell>
          <cell r="AO85" t="str">
            <v>124 - B.P.D. KALIMANTAN TIMUR</v>
          </cell>
          <cell r="AU85" t="str">
            <v>050429 - Budidaya Biota Air Payau Lainnya</v>
          </cell>
          <cell r="AV85" t="str">
            <v>6192 - Kota Pare-Pare</v>
          </cell>
          <cell r="AX85" t="str">
            <v>Bombana, Kab. - 6908</v>
          </cell>
        </row>
        <row r="86">
          <cell r="AH86" t="str">
            <v>891 - Perusahaan Otomotif</v>
          </cell>
          <cell r="AI86" t="str">
            <v>3790 - Industri Pengolahan Hasil Tambang Bukan Logam, selain Hasil Minyak Bumi &amp; Batu Bara - Lainnya</v>
          </cell>
          <cell r="AM86" t="str">
            <v>0994 - Tegal, Kota.</v>
          </cell>
          <cell r="AN86" t="str">
            <v>ISK - Icelandic Krona</v>
          </cell>
          <cell r="AO86" t="str">
            <v>125 - B.P.D. KALIMANTAN TENGAH</v>
          </cell>
          <cell r="AU86" t="str">
            <v xml:space="preserve">050490 - Pembenihan Biota Air Tawar dan Air Payau </v>
          </cell>
          <cell r="AV86" t="str">
            <v>6193 - Kota Palopo</v>
          </cell>
          <cell r="AX86" t="str">
            <v>Bondowoso, Kab. - 1209</v>
          </cell>
        </row>
        <row r="87">
          <cell r="AH87" t="str">
            <v>892 - Perusahaan Perminyakan</v>
          </cell>
          <cell r="AI87" t="str">
            <v>3810 - Industri Logam Dasar - Besi Baja</v>
          </cell>
          <cell r="AM87" t="str">
            <v>0995 - Magelang, Kota.</v>
          </cell>
          <cell r="AN87" t="str">
            <v>ISS - Israeli Shekel</v>
          </cell>
          <cell r="AO87" t="str">
            <v>126 - B.P.D. SULAWESI SELATAN</v>
          </cell>
          <cell r="AU87" t="str">
            <v xml:space="preserve">050510 - Jasa Sarana Produksi Perikanan Laut </v>
          </cell>
          <cell r="AV87" t="str">
            <v>6202 - Kab. Minahasa</v>
          </cell>
          <cell r="AX87" t="str">
            <v>Bone, Kab. - 6105</v>
          </cell>
        </row>
        <row r="88">
          <cell r="AH88" t="str">
            <v>893 - Perusahaan Tekstil</v>
          </cell>
          <cell r="AI88" t="str">
            <v>3890 - Industri Logam Dasar - Lainnya</v>
          </cell>
          <cell r="AM88" t="str">
            <v>0996 - Surakarta, Kota.</v>
          </cell>
          <cell r="AN88" t="str">
            <v>ITL - Italian Lira</v>
          </cell>
          <cell r="AO88" t="str">
            <v>127 - B.P.D. SULAWESI UTARA</v>
          </cell>
          <cell r="AU88" t="str">
            <v xml:space="preserve">050580 - Jasa Sarana Produksi Perikanan Darat </v>
          </cell>
          <cell r="AV88" t="str">
            <v>6203 - Kab. Bolaang Mongondow</v>
          </cell>
          <cell r="AX88" t="str">
            <v>Bonebolango, Kab. - 6303</v>
          </cell>
        </row>
        <row r="89">
          <cell r="AH89" t="str">
            <v>894 - Perusahaan Perkayuan (HPH)</v>
          </cell>
          <cell r="AI89" t="str">
            <v>3911 - Perakitan Komponen Luar Negeri - Maritim</v>
          </cell>
          <cell r="AM89" t="str">
            <v>1201 - Gresik, Kab.</v>
          </cell>
          <cell r="AN89" t="str">
            <v>JMD - Jamaican Dollar</v>
          </cell>
          <cell r="AO89" t="str">
            <v>128 - B.P.D. NUSA TENGGARA BARAT</v>
          </cell>
          <cell r="AU89" t="str">
            <v>050590 - Jasa Perikanan Lainnya</v>
          </cell>
          <cell r="AV89" t="str">
            <v>6204 - Kab. Kepulauan Sangihe</v>
          </cell>
          <cell r="AX89" t="str">
            <v>Bontang, Kota. - 5494</v>
          </cell>
        </row>
        <row r="90">
          <cell r="AH90" t="str">
            <v>895 - Perusahaan Jasa Konstruksi</v>
          </cell>
          <cell r="AI90" t="str">
            <v>3912 - Perakitan Komponen Luar Negeri - Otomotif</v>
          </cell>
          <cell r="AM90" t="str">
            <v>1202 - Sidoarjo, Kab.</v>
          </cell>
          <cell r="AN90" t="str">
            <v>JOD - Jordanian Dinar</v>
          </cell>
          <cell r="AO90" t="str">
            <v>129 - B.P.D. BALI</v>
          </cell>
          <cell r="AU90" t="str">
            <v>101000 - Pertambangan Batubara, Penggalian Gambut, dan Gasifikasi Batubara</v>
          </cell>
          <cell r="AV90" t="str">
            <v>6205 - Kab. kepulauan Talaud</v>
          </cell>
          <cell r="AX90" t="str">
            <v>Boven Digoel, Kab. - 8226</v>
          </cell>
        </row>
        <row r="91">
          <cell r="AH91" t="str">
            <v>896 - Perusahaan Industri Rokok</v>
          </cell>
          <cell r="AI91" t="str">
            <v>3913 - Perakitan Komponen Luar Negeri - Elektronika</v>
          </cell>
          <cell r="AM91" t="str">
            <v>1203 - Mojokerto, Kab.</v>
          </cell>
          <cell r="AN91" t="str">
            <v>JPY - Japanese Yen</v>
          </cell>
          <cell r="AO91" t="str">
            <v>130 - B.P.D. NUSA TENGGARA TIMUR</v>
          </cell>
          <cell r="AU91" t="str">
            <v xml:space="preserve">102000 - Pembuatan Briket Batubara </v>
          </cell>
          <cell r="AV91" t="str">
            <v>6206 - Kab. Minahasa Selatan</v>
          </cell>
          <cell r="AX91" t="str">
            <v>Boyolali, Kab. - 0924</v>
          </cell>
        </row>
        <row r="92">
          <cell r="AH92" t="str">
            <v>897 - Perusahaan Industri Makanan</v>
          </cell>
          <cell r="AI92" t="str">
            <v>3914 - Perakitan Komponen Luar Negeri - Alat pertanian</v>
          </cell>
          <cell r="AM92" t="str">
            <v>1204 - Jombang, Kab.</v>
          </cell>
          <cell r="AN92" t="str">
            <v>KES - Kenyan Shilling</v>
          </cell>
          <cell r="AO92" t="str">
            <v>131 - B.P.D. MALUKU</v>
          </cell>
          <cell r="AU92" t="str">
            <v xml:space="preserve">111010 - Pertambangan Minyak dan Gas Bumi </v>
          </cell>
          <cell r="AV92" t="str">
            <v>6207 - Kab. Minahasa Utara</v>
          </cell>
          <cell r="AX92" t="str">
            <v>Brebes, Kab. - 0907</v>
          </cell>
        </row>
        <row r="93">
          <cell r="AH93" t="str">
            <v>898 - Perusahaan Agrobusiness</v>
          </cell>
          <cell r="AI93" t="str">
            <v>3919 - Perakitan Komponen Luar Negeri Lainnya</v>
          </cell>
          <cell r="AM93" t="str">
            <v>1205 - Sampang, Kab.</v>
          </cell>
          <cell r="AN93" t="str">
            <v>KGS - Kyrgyzstan Som</v>
          </cell>
          <cell r="AO93" t="str">
            <v>132 - B.P.D. PAPUA</v>
          </cell>
          <cell r="AU93" t="str">
            <v xml:space="preserve">111020 - Pengusahaan Tenaga Panas Bumi </v>
          </cell>
          <cell r="AV93" t="str">
            <v>6209 - Kab. Minahasa Tenggara</v>
          </cell>
          <cell r="AX93" t="str">
            <v>Bualemo, Kab. - 6302</v>
          </cell>
        </row>
        <row r="94">
          <cell r="AH94" t="str">
            <v>900 - Perusahaan lainnya - Swasta</v>
          </cell>
          <cell r="AI94" t="str">
            <v>3921 - Perakitan Komponen Dalam Negeri - Maritim</v>
          </cell>
          <cell r="AM94" t="str">
            <v>1206 - Pamekasan, Kab.</v>
          </cell>
          <cell r="AN94" t="str">
            <v>KHR - Cambodia Riel</v>
          </cell>
          <cell r="AO94" t="str">
            <v>133 - B.P.D. BENGKULU</v>
          </cell>
          <cell r="AU94" t="str">
            <v xml:space="preserve">112000 - Jasa Pertambangan Minyak dan Gas Bumi </v>
          </cell>
          <cell r="AV94" t="str">
            <v>6210 - Kab. Bolaang Mongondow Utara</v>
          </cell>
          <cell r="AX94" t="str">
            <v>Bukittinggi, Kota. - 3491</v>
          </cell>
        </row>
        <row r="95">
          <cell r="AH95" t="str">
            <v>901 - Koperasi Primer (Bukan Simpan Pinjam)</v>
          </cell>
          <cell r="AI95" t="str">
            <v>3922 - Perakitan Komponen Dalam Negeri - Otomotif</v>
          </cell>
          <cell r="AM95" t="str">
            <v>1207 - Sumenep, Kab.</v>
          </cell>
          <cell r="AN95" t="str">
            <v>KMF - Comoros Franc</v>
          </cell>
          <cell r="AO95" t="str">
            <v>134 - B.P.D. SULAWESI TENGAH</v>
          </cell>
          <cell r="AU95" t="str">
            <v xml:space="preserve">120000 - Pertambangan Bijih Uranium dan Thorium </v>
          </cell>
          <cell r="AV95" t="str">
            <v>6211 - Kab. Kepulauan Sitaro</v>
          </cell>
          <cell r="AX95" t="str">
            <v>Buleleng, Kab. - 7201</v>
          </cell>
        </row>
        <row r="96">
          <cell r="AH96" t="str">
            <v>902 - Koperasi Lainnya (Bukan Simpan Pinjam)</v>
          </cell>
          <cell r="AI96" t="str">
            <v>3923 - Perakitan Komponen Dalam Negeri - Elektronika</v>
          </cell>
          <cell r="AM96" t="str">
            <v>1208 - Bangkalan, Kab.</v>
          </cell>
          <cell r="AN96" t="str">
            <v>KPW - North Korean Won</v>
          </cell>
          <cell r="AO96" t="str">
            <v>135 - B.P.D. SULAWESI TENGGARA</v>
          </cell>
          <cell r="AU96" t="str">
            <v xml:space="preserve">131000 - Pertambangan Pasir Besi dan Bijih Besi </v>
          </cell>
          <cell r="AV96" t="str">
            <v>6212 - Kab. Bolaang Mongondow Selatan</v>
          </cell>
          <cell r="AX96" t="str">
            <v>Bulukumba, Kab. - 6111</v>
          </cell>
        </row>
        <row r="97">
          <cell r="AH97" t="str">
            <v>903 - Badan Amil Zakat Infaq dan Shadaqah (BAZIS)</v>
          </cell>
          <cell r="AI97" t="str">
            <v>3924 - Perakitan Komponen Dalam Negeri - Alat pertanian</v>
          </cell>
          <cell r="AM97" t="str">
            <v>1209 - Bondowoso, Kab.</v>
          </cell>
          <cell r="AN97" t="str">
            <v>KRW - Korean Won</v>
          </cell>
          <cell r="AO97" t="str">
            <v>136 - BPD TIMOR TIMUR</v>
          </cell>
          <cell r="AU97" t="str">
            <v xml:space="preserve">132010 - Pertambangan Bijih Timah </v>
          </cell>
          <cell r="AV97" t="str">
            <v>6213 - Kab. Bolaang Mongondow Timur</v>
          </cell>
          <cell r="AX97" t="str">
            <v>Bulungan, Kab. - 5404</v>
          </cell>
        </row>
        <row r="98">
          <cell r="AH98" t="str">
            <v>904 - Lembaga Pendidikan</v>
          </cell>
          <cell r="AI98" t="str">
            <v>3929 - Perakitan Komponen Dalam Negeri Lainnya</v>
          </cell>
          <cell r="AM98" t="str">
            <v>1211 - Banyuwangi, Kab.</v>
          </cell>
          <cell r="AN98" t="str">
            <v>KTS - Kazakhstan Tenge</v>
          </cell>
          <cell r="AO98" t="str">
            <v>140 - BANK CITRA MAKMUR ASIA</v>
          </cell>
          <cell r="AU98" t="str">
            <v xml:space="preserve">132020 - Pertambangan Bijih Bauksit </v>
          </cell>
          <cell r="AV98" t="str">
            <v>6291 - Kota Menado</v>
          </cell>
          <cell r="AX98" t="str">
            <v>Bungo, Kab - 3112</v>
          </cell>
        </row>
        <row r="99">
          <cell r="AH99" t="str">
            <v>906 - Lainnya (Yayasan, Badan Sosial dan Ormas)</v>
          </cell>
          <cell r="AI99" t="str">
            <v>3931 - Pembuatan Komponen - Maritim</v>
          </cell>
          <cell r="AM99" t="str">
            <v>1212 - Jember, Kab.</v>
          </cell>
          <cell r="AN99" t="str">
            <v>KWD - Kuwaiti Dinar</v>
          </cell>
          <cell r="AO99" t="str">
            <v>141 - BANK LAUTAN BERLIAN</v>
          </cell>
          <cell r="AU99" t="str">
            <v xml:space="preserve">132030 - Pertambangan Bijih Tembaga </v>
          </cell>
          <cell r="AV99" t="str">
            <v>6292 - Kota Kotamobagu</v>
          </cell>
          <cell r="AX99" t="str">
            <v>Buol, Kab. - 6007</v>
          </cell>
        </row>
        <row r="100">
          <cell r="AH100" t="str">
            <v>907 - PENDUDUK - Perorangan</v>
          </cell>
          <cell r="AI100" t="str">
            <v>3932 - Pembuatan Komponen - Otomotif</v>
          </cell>
          <cell r="AM100" t="str">
            <v>3293 - Lhokseumawe, Kota.</v>
          </cell>
          <cell r="AN100" t="str">
            <v>KYD - Cayman Islands Dollar</v>
          </cell>
          <cell r="AO100" t="str">
            <v>142 - BANK KHARISMA</v>
          </cell>
          <cell r="AU100" t="str">
            <v xml:space="preserve">132040 - Pertambangan Bijih Nikel </v>
          </cell>
          <cell r="AV100" t="str">
            <v>3615 - Kab. Ogan Komeing Ulu Timur</v>
          </cell>
          <cell r="AX100" t="str">
            <v>Buru Selatan, Kab - 8109</v>
          </cell>
        </row>
        <row r="101">
          <cell r="AH101" t="str">
            <v>908 - Kantor Perwk Lemb Asing di Indonesia (Bukan Lemb Keu - Swasta)</v>
          </cell>
          <cell r="AI101" t="str">
            <v>3933 - Pembuatan Komponen - Elektronika</v>
          </cell>
          <cell r="AM101" t="str">
            <v>3215 - Nagan Raya, Kab.</v>
          </cell>
          <cell r="AN101" t="str">
            <v>KYS - Kyrgyzstan Som</v>
          </cell>
          <cell r="AO101" t="str">
            <v>143 - BANK NAMURA INTERNUSA</v>
          </cell>
          <cell r="AU101" t="str">
            <v>132061 - Pertambangan Emas</v>
          </cell>
          <cell r="AV101" t="str">
            <v>7419 - Kab. Nagekeo</v>
          </cell>
          <cell r="AX101" t="str">
            <v>Buru, Kab - 8104</v>
          </cell>
        </row>
        <row r="102">
          <cell r="AH102" t="str">
            <v>910 - Lainnya (Bukan Lembaga Keuangan - Swasta)</v>
          </cell>
          <cell r="AI102" t="str">
            <v>3934 - Pembuatan Komponen - Alat pertanian</v>
          </cell>
          <cell r="AM102" t="str">
            <v>1213 - Malang, Kab.</v>
          </cell>
          <cell r="AN102" t="str">
            <v>KZT - Kazakhstan Tenge</v>
          </cell>
          <cell r="AO102" t="str">
            <v>144 - BANK ANDROMEDA</v>
          </cell>
          <cell r="AU102" t="str">
            <v xml:space="preserve">132062 - Pertambangan Perak </v>
          </cell>
          <cell r="AV102" t="str">
            <v>6293 - Kota Bitung</v>
          </cell>
          <cell r="AX102" t="str">
            <v>Buton Utara, Kab. - 6910</v>
          </cell>
        </row>
        <row r="103">
          <cell r="AH103" t="str">
            <v>911 - Pemerintah Pusat di Luar Negeri</v>
          </cell>
          <cell r="AI103" t="str">
            <v>3939 - Pembuatan Komponen Lainnya</v>
          </cell>
          <cell r="AM103" t="str">
            <v>1214 - Pasuruan, Kab.</v>
          </cell>
          <cell r="AN103" t="str">
            <v>LAK - Laos New Kip</v>
          </cell>
          <cell r="AO103" t="str">
            <v>145 - BANK NUSANTARA PARAHYANGAN</v>
          </cell>
          <cell r="AU103" t="str">
            <v xml:space="preserve">132090 - Bahan Galian Lainnya yang Tidak Mengandung Bijih Besi </v>
          </cell>
          <cell r="AV103" t="str">
            <v>6294 - Kota. Tomohon</v>
          </cell>
          <cell r="AX103" t="str">
            <v>Buton, Kab. - 6901</v>
          </cell>
        </row>
        <row r="104">
          <cell r="AI104" t="str">
            <v>3990 - Industri - Lainnya</v>
          </cell>
          <cell r="AM104" t="str">
            <v>1215 - Probolinggo, Kab.</v>
          </cell>
          <cell r="AN104" t="str">
            <v>LBP - Lebanese Pound</v>
          </cell>
          <cell r="AO104" t="str">
            <v>146 - PT. BANK OF INDIA INDONESIA, TBK</v>
          </cell>
          <cell r="AU104" t="str">
            <v>141000 - Penggalian Batu-batuan, Tanah Liat dan Pasir</v>
          </cell>
          <cell r="AV104" t="str">
            <v>6301 - Kab. Gorontalo</v>
          </cell>
          <cell r="AX104" t="str">
            <v>Ciamis, Kab. - 0115</v>
          </cell>
        </row>
        <row r="105">
          <cell r="AI105" t="str">
            <v>4000 - Listrik, Gas, dan Air</v>
          </cell>
          <cell r="AM105" t="str">
            <v>1216 - Lumajang, Kab.</v>
          </cell>
          <cell r="AN105" t="str">
            <v>LKR - Sri Langka Rupee</v>
          </cell>
          <cell r="AO105" t="str">
            <v>147 - BANK MUAMALAT INDONESIA</v>
          </cell>
          <cell r="AU105" t="str">
            <v xml:space="preserve">142100 - Pertambangan Mineral, Bahan Kimia dan Bahan Pupuk </v>
          </cell>
          <cell r="AV105" t="str">
            <v>6302 - Kab. Bualemo</v>
          </cell>
          <cell r="AX105" t="str">
            <v>Cianjur, Kab. - 0110</v>
          </cell>
        </row>
        <row r="106">
          <cell r="AI106" t="str">
            <v>4110 - Listrik Pedesaan</v>
          </cell>
          <cell r="AM106" t="str">
            <v>1217 - Kediri, Kab.</v>
          </cell>
          <cell r="AN106" t="str">
            <v>LRD - Liberian Dollar</v>
          </cell>
          <cell r="AO106" t="str">
            <v>148 - BANK DAGANG DAN INDUSTRI</v>
          </cell>
          <cell r="AU106" t="str">
            <v xml:space="preserve">142200 - Ekstraksi Garam </v>
          </cell>
          <cell r="AV106" t="str">
            <v>6303 - Kab. Bonebolango</v>
          </cell>
          <cell r="AX106" t="str">
            <v>Cilacap, Kab. - 0915</v>
          </cell>
        </row>
        <row r="107">
          <cell r="AI107" t="str">
            <v>4190 - Listrik Lainnya</v>
          </cell>
          <cell r="AM107" t="str">
            <v>1218 - Nganjuk, Kab.</v>
          </cell>
          <cell r="AN107" t="str">
            <v>LSL - Loti Lesotho</v>
          </cell>
          <cell r="AO107" t="str">
            <v>149 - BANK HASTIN INTERNASIONAL</v>
          </cell>
          <cell r="AU107" t="str">
            <v>142900 - Pertambangan dan Penggalian Lainnya</v>
          </cell>
          <cell r="AV107" t="str">
            <v>6304 - Kab. Pohuwato</v>
          </cell>
          <cell r="AX107" t="str">
            <v>Cilegon, Kota. - 0291</v>
          </cell>
        </row>
        <row r="108">
          <cell r="AI108" t="str">
            <v>4200 - Gas</v>
          </cell>
          <cell r="AM108" t="str">
            <v>1219 - Tulungagung, Kab.</v>
          </cell>
          <cell r="AN108" t="str">
            <v>LSM - Lesotho Maloti</v>
          </cell>
          <cell r="AO108" t="str">
            <v>150 - BANK SAHID GAJAH PERKASA</v>
          </cell>
          <cell r="AU108" t="str">
            <v xml:space="preserve">151110 - Industri Pemotongan Hewan </v>
          </cell>
          <cell r="AV108" t="str">
            <v>6305 - Kab. Gorontalo Utara</v>
          </cell>
          <cell r="AX108" t="str">
            <v>Cimahi, Kota. - 0196</v>
          </cell>
        </row>
        <row r="109">
          <cell r="AI109" t="str">
            <v>4300 - Air</v>
          </cell>
          <cell r="AM109" t="str">
            <v>1220 - Trenggalek, Kab.</v>
          </cell>
          <cell r="AN109" t="str">
            <v>LTL - Lithuanian Litas</v>
          </cell>
          <cell r="AO109" t="str">
            <v>151 - BANK MESTIKA DHARMA</v>
          </cell>
          <cell r="AU109" t="str">
            <v xml:space="preserve">151120 - Industri Pengolahan dan Pengawetan Daging </v>
          </cell>
          <cell r="AV109" t="str">
            <v>6391 - Kota Gorontalo</v>
          </cell>
          <cell r="AX109" t="str">
            <v>Cirebon, Kab. - 0116</v>
          </cell>
        </row>
        <row r="110">
          <cell r="AI110" t="str">
            <v>5000 - Konstruksi</v>
          </cell>
          <cell r="AM110" t="str">
            <v>1221 - Blitar, Kab.</v>
          </cell>
          <cell r="AN110" t="str">
            <v>LTT - Litas</v>
          </cell>
          <cell r="AO110" t="str">
            <v>152 - BANK METRO EKSPRES</v>
          </cell>
          <cell r="AU110" t="str">
            <v xml:space="preserve">151200 - Industri Pengolahan dan Pengawetan Ikan dan Biota Perairan Lainnya </v>
          </cell>
          <cell r="AV110" t="str">
            <v>6401 - Kab. Polewali Mandar</v>
          </cell>
          <cell r="AX110" t="str">
            <v>Cirebon, Kota. - 0194</v>
          </cell>
        </row>
        <row r="111">
          <cell r="AI111" t="str">
            <v>5110 - Konstruksi - Perumahan Sederhana BTN</v>
          </cell>
          <cell r="AM111" t="str">
            <v>1222 - Madiun, Kab.</v>
          </cell>
          <cell r="AN111" t="str">
            <v>LUF - Luxembourg Franc</v>
          </cell>
          <cell r="AO111" t="str">
            <v>153 - BANK SINARMAS</v>
          </cell>
          <cell r="AU111" t="str">
            <v xml:space="preserve">151300 - Industri Pengolahan, Pengawetan Buah-buahan dan Sayuran </v>
          </cell>
          <cell r="AV111" t="str">
            <v>6402 - Kab. Majene</v>
          </cell>
          <cell r="AX111" t="str">
            <v>Dairi, Kab. - 3307</v>
          </cell>
        </row>
        <row r="112">
          <cell r="AI112" t="str">
            <v>5120 - Konstruksi - Perumahan Sederhana PERUMNAS</v>
          </cell>
          <cell r="AM112" t="str">
            <v>3294 - Langsa, Kota.</v>
          </cell>
          <cell r="AN112" t="str">
            <v>LVL - Latvian Lats</v>
          </cell>
          <cell r="AO112" t="str">
            <v>154 - BANK TATA INTERNATIONAL</v>
          </cell>
          <cell r="AU112" t="str">
            <v xml:space="preserve">151410 - Industri Minyak Mentah (Minyak Makan) dari Nabati dan Hewani </v>
          </cell>
          <cell r="AV112" t="str">
            <v>3616 - Kab. Ogan Ilir</v>
          </cell>
          <cell r="AX112" t="str">
            <v>Deiyai, Kab - 8240</v>
          </cell>
        </row>
        <row r="113">
          <cell r="AI113" t="str">
            <v>5190 - Konstruksi - Perumahan Sederhana lainnya</v>
          </cell>
          <cell r="AM113" t="str">
            <v>1223 - Ngawi, Kab.</v>
          </cell>
          <cell r="AN113" t="str">
            <v>LVR - Latvian Rouble</v>
          </cell>
          <cell r="AO113" t="str">
            <v>155 - BANK GUNA INTERNASIONAL</v>
          </cell>
          <cell r="AU113" t="str">
            <v xml:space="preserve">151430 - lndustri Minyak Goreng dari Kelapa </v>
          </cell>
          <cell r="AV113" t="str">
            <v>6403 - Kab. Mamasa</v>
          </cell>
          <cell r="AX113" t="str">
            <v>Deli Serdang, Kab. - 3301</v>
          </cell>
        </row>
        <row r="114">
          <cell r="AI114" t="str">
            <v>5200 - Konstruksi - Pasar Inpres</v>
          </cell>
          <cell r="AM114" t="str">
            <v>1224 - Magetan, Kab.</v>
          </cell>
          <cell r="AN114" t="str">
            <v>LYD - Libyan Dinar</v>
          </cell>
          <cell r="AO114" t="str">
            <v>157 - BANK MASPION INDONESIA</v>
          </cell>
          <cell r="AU114" t="str">
            <v>151440 - Industri Minyak Goreng dari Kelapa Sawit Mentah</v>
          </cell>
          <cell r="AV114" t="str">
            <v>6404 - Kab. Mamuju Utara</v>
          </cell>
          <cell r="AX114" t="str">
            <v>Demak, Kab. - 0903</v>
          </cell>
        </row>
        <row r="115">
          <cell r="AI115" t="str">
            <v>5300 - Konstruksi - Penyiapan Tanah Pemukiman Transmigrasi</v>
          </cell>
          <cell r="AM115" t="str">
            <v>1225 - Ponorogo, Kab.</v>
          </cell>
          <cell r="AN115" t="str">
            <v>MAD - Morrocoan Dirham</v>
          </cell>
          <cell r="AO115" t="str">
            <v>159 - BANK HAGAKITA</v>
          </cell>
          <cell r="AU115" t="str">
            <v xml:space="preserve">151450 - Industri Minyak Goreng dari Biji Kelapa Sawit </v>
          </cell>
          <cell r="AV115" t="str">
            <v>6491 - Kota Mamuju</v>
          </cell>
          <cell r="AX115" t="str">
            <v>Denpasar, Kota. - 7291</v>
          </cell>
        </row>
        <row r="116">
          <cell r="AI116" t="str">
            <v>5400 - Konstruksi - Pencetakan Sawah</v>
          </cell>
          <cell r="AM116" t="str">
            <v>1226 - Pacitan, Kab.</v>
          </cell>
          <cell r="AN116" t="str">
            <v>MDL - Moldova Lei</v>
          </cell>
          <cell r="AO116" t="str">
            <v>160 - BANK INDUSTRI</v>
          </cell>
          <cell r="AU116" t="str">
            <v xml:space="preserve">152000 - Industri Susu dan Makanan dari Susu </v>
          </cell>
          <cell r="AV116" t="str">
            <v>6901 - Kab. Buton</v>
          </cell>
          <cell r="AX116" t="str">
            <v>Depok, Kota. - 0197</v>
          </cell>
        </row>
        <row r="117">
          <cell r="AI117" t="str">
            <v>5500 - Konstruksi - Jalan Raya dan Jembatan</v>
          </cell>
          <cell r="AM117" t="str">
            <v>1227 - Bojonegoro, Kab.</v>
          </cell>
          <cell r="AN117" t="str">
            <v>MGF - Madagascar Franc</v>
          </cell>
          <cell r="AO117" t="str">
            <v>161 - BANK GANESHA</v>
          </cell>
          <cell r="AU117" t="str">
            <v xml:space="preserve">153110 - Industri Penggilingan Padi dan Penyosohan Beras </v>
          </cell>
          <cell r="AV117" t="str">
            <v>6903 - Kab. Muna</v>
          </cell>
          <cell r="AX117" t="str">
            <v>Dharmasraya, Kab. - 3411</v>
          </cell>
        </row>
        <row r="118">
          <cell r="AI118" t="str">
            <v>5600 - Konstruksi - Pelabuhan</v>
          </cell>
          <cell r="AM118" t="str">
            <v>1228 - Tuban, Kab.</v>
          </cell>
          <cell r="AN118" t="str">
            <v>MKD - Macedonian Denar</v>
          </cell>
          <cell r="AO118" t="str">
            <v>163 - BANK PUTERA SURYA PERKASA</v>
          </cell>
          <cell r="AU118" t="str">
            <v xml:space="preserve">153180 - lndustri Kopra </v>
          </cell>
          <cell r="AV118" t="str">
            <v>6904 - Kab. Kolaka</v>
          </cell>
          <cell r="AX118" t="str">
            <v>DI  LUAR  INDONESIA - 9999</v>
          </cell>
        </row>
        <row r="119">
          <cell r="AI119" t="str">
            <v>5700 - Konstruksi - Irigasi</v>
          </cell>
          <cell r="AM119" t="str">
            <v>1229 - Lamongan, Kab.</v>
          </cell>
          <cell r="AN119" t="str">
            <v>MLF - Malian Franc</v>
          </cell>
          <cell r="AO119" t="str">
            <v>164 - BANK ICBC INDONESIA</v>
          </cell>
          <cell r="AU119" t="str">
            <v>153190 - Industri Penggilingan Lainnya</v>
          </cell>
          <cell r="AV119" t="str">
            <v>6905 - Kab. Wakatobi</v>
          </cell>
          <cell r="AX119" t="str">
            <v>Dogiyai, Kab. - 8233</v>
          </cell>
        </row>
        <row r="120">
          <cell r="AI120" t="str">
            <v>5810 - Konstruksi - Listrik Pedesaan</v>
          </cell>
          <cell r="AM120" t="str">
            <v>1230 - Situbondo, Kab.</v>
          </cell>
          <cell r="AN120" t="str">
            <v>MMK - Myanmar Kyat</v>
          </cell>
          <cell r="AO120" t="str">
            <v>165 - BANK BAJA INTERNASIONAL</v>
          </cell>
          <cell r="AU120" t="str">
            <v xml:space="preserve">153200 - Industri Tepung dan Pati </v>
          </cell>
          <cell r="AV120" t="str">
            <v>6906 - Kab. Konawe</v>
          </cell>
          <cell r="AX120" t="str">
            <v>Dompu, Kab. - 7106</v>
          </cell>
        </row>
        <row r="121">
          <cell r="AI121" t="str">
            <v>5890 - Konstruksi - Listrik lainnya</v>
          </cell>
          <cell r="AM121" t="str">
            <v>1271 - Batu, Kota.</v>
          </cell>
          <cell r="AN121" t="str">
            <v>MNT - Mongolia Tugrik</v>
          </cell>
          <cell r="AO121" t="str">
            <v>166 - BANK HARMONI INTERNATIONAL</v>
          </cell>
          <cell r="AU121" t="str">
            <v xml:space="preserve">153300 - Industri Pakan Ternak </v>
          </cell>
          <cell r="AV121" t="str">
            <v>6907 - Kab. Konawe Selatan</v>
          </cell>
          <cell r="AX121" t="str">
            <v>Donggala, Kab. - 6001</v>
          </cell>
        </row>
        <row r="122">
          <cell r="AI122" t="str">
            <v>5900 - Konstruksi - Proyek yg dibiayai dgn pinjaman dari/untuk pembayaran di luar negeri</v>
          </cell>
          <cell r="AM122" t="str">
            <v>1291 - Surabaya, Kota.</v>
          </cell>
          <cell r="AN122" t="str">
            <v>MOP - Macau Pataca</v>
          </cell>
          <cell r="AO122" t="str">
            <v>167 - PT. BANK QNB KESAWAN, Tbk</v>
          </cell>
          <cell r="AU122" t="str">
            <v xml:space="preserve">154100 - Industri Roti dan Sejenisnya </v>
          </cell>
          <cell r="AV122" t="str">
            <v>6908 - Kab. Bombana</v>
          </cell>
          <cell r="AX122" t="str">
            <v>Dumai, Kota. - 3592</v>
          </cell>
        </row>
        <row r="123">
          <cell r="AI123" t="str">
            <v>5990 - Konstruksi - Lainnya</v>
          </cell>
          <cell r="AM123" t="str">
            <v>1292 - Mojokerto, Kota.</v>
          </cell>
          <cell r="AN123" t="str">
            <v>MRO - Mauritania Ouguiya</v>
          </cell>
          <cell r="AO123" t="str">
            <v>168 - BANK PIKKO (merger menjadi Bank Century - 095)</v>
          </cell>
          <cell r="AU123" t="str">
            <v xml:space="preserve">154200 - Industri Gula dan Pengolahan Gula </v>
          </cell>
          <cell r="AV123" t="str">
            <v>6909 - Kab. Kolaka Utara</v>
          </cell>
          <cell r="AX123" t="str">
            <v>Empat Lawang - 3617</v>
          </cell>
        </row>
        <row r="124">
          <cell r="AI124" t="str">
            <v>6000 - Perdagangan, Restoran, dan Hotel</v>
          </cell>
          <cell r="AM124" t="str">
            <v>1293 - Malang, Kota.</v>
          </cell>
          <cell r="AN124" t="str">
            <v>MTL - Maltese Lira</v>
          </cell>
          <cell r="AO124" t="str">
            <v>200 - BANK TABUNGAN NEGARA</v>
          </cell>
          <cell r="AU124" t="str">
            <v xml:space="preserve">154300 - Industri Coklat dan Kernbang Gula </v>
          </cell>
          <cell r="AV124" t="str">
            <v>6910 - Kab. Buton Utara</v>
          </cell>
          <cell r="AX124" t="str">
            <v>Ende, Kab. - 7408</v>
          </cell>
        </row>
        <row r="125">
          <cell r="AI125" t="str">
            <v>6111 - Ekspor Bahan Baku Biji Kelapa Sawit</v>
          </cell>
          <cell r="AM125" t="str">
            <v>1294 - Pasuruan, Kota.</v>
          </cell>
          <cell r="AN125" t="str">
            <v>MUR - Maurutius Rupee</v>
          </cell>
          <cell r="AO125" t="str">
            <v>212 - BANK HS 1906</v>
          </cell>
          <cell r="AU125" t="str">
            <v xml:space="preserve">154400 - Industri Makaroni, Mie, Spagheti, Bihun, So'un dan Sejenisnya </v>
          </cell>
          <cell r="AV125" t="str">
            <v>6911 - Kab. Konawe Utara</v>
          </cell>
          <cell r="AX125" t="str">
            <v>Enrekang, Kab. - 6121</v>
          </cell>
        </row>
        <row r="126">
          <cell r="AI126" t="str">
            <v>6112 - Ekspor Bahan Baku Kayu</v>
          </cell>
          <cell r="AM126" t="str">
            <v>1295 - Probolinggo, Kota.</v>
          </cell>
          <cell r="AN126" t="str">
            <v>MVR - Maldives Rufiyaa</v>
          </cell>
          <cell r="AO126" t="str">
            <v>213 - BANK TABUNGAN PENSIUNAN NASIONAL</v>
          </cell>
          <cell r="AU126" t="str">
            <v xml:space="preserve">154911 - Industri Pengolahan Teh </v>
          </cell>
          <cell r="AV126" t="str">
            <v>6990 - Kota Bau-Bau</v>
          </cell>
          <cell r="AX126" t="str">
            <v>Fak-Fak, Kab. - 8402</v>
          </cell>
        </row>
        <row r="127">
          <cell r="AI127" t="str">
            <v>6113 - Ekspor Bahan Baku Rotan</v>
          </cell>
          <cell r="AM127" t="str">
            <v>1296 - Blitar, Kota.</v>
          </cell>
          <cell r="AN127" t="str">
            <v>MVS - Moldova Leu</v>
          </cell>
          <cell r="AO127" t="str">
            <v>310 - BANK ANRICO</v>
          </cell>
          <cell r="AU127" t="str">
            <v xml:space="preserve">154912 - Industri Pengolahan Kopi </v>
          </cell>
          <cell r="AV127" t="str">
            <v>6991 - Kota Kendari</v>
          </cell>
          <cell r="AX127" t="str">
            <v>Flores Timur, Kab. - 7406</v>
          </cell>
        </row>
        <row r="128">
          <cell r="AI128" t="str">
            <v>6114 - Ekspor Bahan Baku Hutan selain kayu dan rotan</v>
          </cell>
          <cell r="AM128" t="str">
            <v>1297 - Kediri, Kota.</v>
          </cell>
          <cell r="AN128" t="str">
            <v>MWK - Malawi Kwacha</v>
          </cell>
          <cell r="AO128" t="str">
            <v>329 - BANK DEWA RUTJI</v>
          </cell>
          <cell r="AU128" t="str">
            <v xml:space="preserve">154930 - lndustri Kecap </v>
          </cell>
          <cell r="AV128" t="str">
            <v>7101 - Kab. Lombok Barat</v>
          </cell>
          <cell r="AX128" t="str">
            <v>Garut, Kab. - 0114</v>
          </cell>
        </row>
        <row r="129">
          <cell r="AI129" t="str">
            <v>6115 - Ekspor Bahan Baku Hasil Tanaman Pangan &amp; Perkebunan</v>
          </cell>
          <cell r="AM129" t="str">
            <v>1298 - Madiun, Kota.</v>
          </cell>
          <cell r="AN129" t="str">
            <v>MXN - Mexican New Peso</v>
          </cell>
          <cell r="AO129" t="str">
            <v>332 - BANK JAKARTA</v>
          </cell>
          <cell r="AU129" t="str">
            <v xml:space="preserve">154940 - lndustri Tempe dan Tahu </v>
          </cell>
          <cell r="AV129" t="str">
            <v>7102 - Kab. Lombok Tengah</v>
          </cell>
          <cell r="AX129" t="str">
            <v>Gayo Luwes, Kab. - 3212</v>
          </cell>
        </row>
        <row r="130">
          <cell r="AI130" t="str">
            <v>6116 - Ekspor Bahan Baku Hewan Hidup &amp; Hasilnya</v>
          </cell>
          <cell r="AM130" t="str">
            <v>2301 - Bengkulu Selatan, Kab.</v>
          </cell>
          <cell r="AN130" t="str">
            <v>MYR - Malaysian Ringgit</v>
          </cell>
          <cell r="AO130" t="str">
            <v>367 - BANK INTAN</v>
          </cell>
          <cell r="AU130" t="str">
            <v>154990 - lndustri Makanan yang Tidak Diklasifikasikan di Tempat Lain</v>
          </cell>
          <cell r="AV130" t="str">
            <v>7103 - Kab. Lombok Timur</v>
          </cell>
          <cell r="AX130" t="str">
            <v>Gianyar, Kab. - 7205</v>
          </cell>
        </row>
        <row r="131">
          <cell r="AI131" t="str">
            <v>6117 - Ekspor Bahan Baku Bijih Timah</v>
          </cell>
          <cell r="AM131" t="str">
            <v>2302 - Bengkulu Utara, Kab.</v>
          </cell>
          <cell r="AN131" t="str">
            <v>MZM - Mozambique Metical</v>
          </cell>
          <cell r="AO131" t="str">
            <v>388 - BANK ARYA PANDUARTA</v>
          </cell>
          <cell r="AU131" t="str">
            <v xml:space="preserve">155000 - Industri Minuman </v>
          </cell>
          <cell r="AV131" t="str">
            <v>7104 - Kab. Sumbawa</v>
          </cell>
          <cell r="AX131" t="str">
            <v>Gorontalo Utara, Kab. - 6305</v>
          </cell>
        </row>
        <row r="132">
          <cell r="AI132" t="str">
            <v>6118 - Ekspor Bahan Baku Bijih Logam selain Timah</v>
          </cell>
          <cell r="AM132" t="str">
            <v>2303 - Rejang Lebong, Kab.</v>
          </cell>
          <cell r="AN132" t="str">
            <v>N11 - Lainnya atau sandi yang telah ditentukan</v>
          </cell>
          <cell r="AO132" t="str">
            <v>399 - SOUTH EAST ASIA BANK</v>
          </cell>
          <cell r="AU132" t="str">
            <v xml:space="preserve">160010 - lndustri Pengeringan dan Pengolahan Tembakau </v>
          </cell>
          <cell r="AV132" t="str">
            <v>7105 - Kab. Bima</v>
          </cell>
          <cell r="AX132" t="str">
            <v>Gorontalo, Kab. - 6301</v>
          </cell>
        </row>
        <row r="133">
          <cell r="AI133" t="str">
            <v>6119 - Ekspor Bahan Baku Batubara</v>
          </cell>
          <cell r="AM133" t="str">
            <v>2304 - Lebong, Kab</v>
          </cell>
          <cell r="AN133" t="str">
            <v>NAD - Namibia Dollar</v>
          </cell>
          <cell r="AO133" t="str">
            <v>405 - BANK VICTORIA SYARIAH</v>
          </cell>
          <cell r="AU133" t="str">
            <v>160050 - Industri Rokok</v>
          </cell>
          <cell r="AV133" t="str">
            <v>7106 - Kab. Dompu</v>
          </cell>
          <cell r="AX133" t="str">
            <v>Gorontalo, Kota. - 6391</v>
          </cell>
        </row>
        <row r="134">
          <cell r="AI134" t="str">
            <v>6129 - Ekspor Bahan Baku lainnya</v>
          </cell>
          <cell r="AM134" t="str">
            <v>2305 - Kepahiang, Kab</v>
          </cell>
          <cell r="AN134" t="str">
            <v>NGN - Nigeria Naira</v>
          </cell>
          <cell r="AO134" t="str">
            <v>413 - BANK UMUM MAJAPAHIT JAYA</v>
          </cell>
          <cell r="AU134" t="str">
            <v xml:space="preserve">160090 - Industri Bumbu Rokok Serta Kelengkapan Rokok Lainnya </v>
          </cell>
          <cell r="AV134" t="str">
            <v>7107 - Kab. Sumbawa Barat</v>
          </cell>
          <cell r="AX134" t="str">
            <v>Gowa, Kab. - 6102</v>
          </cell>
        </row>
        <row r="135">
          <cell r="AI135" t="str">
            <v>6131 - Ekspor Barang Setengah Jadi Kayu Gergajian</v>
          </cell>
          <cell r="AM135" t="str">
            <v>2306 - Mukomuko, Kab</v>
          </cell>
          <cell r="AN135" t="str">
            <v>NIC - Nicaragua Cordoba</v>
          </cell>
          <cell r="AO135" t="str">
            <v>422 - BANK SYARIAH BRI</v>
          </cell>
          <cell r="AU135" t="str">
            <v xml:space="preserve">171000 - Industri Pemintalan, Pertenunan, Pengolahan Akhir Tekstil </v>
          </cell>
          <cell r="AV135" t="str">
            <v>7108 - Kab. Lombok Utara</v>
          </cell>
          <cell r="AX135" t="str">
            <v>Gresik, Kab. - 1201</v>
          </cell>
        </row>
        <row r="136">
          <cell r="AI136" t="str">
            <v>6132 - Ekspor Barang Setengah Jadi Kopi Biji</v>
          </cell>
          <cell r="AM136" t="str">
            <v>2307 - Seluma, Kab</v>
          </cell>
          <cell r="AN136" t="str">
            <v>NIO - Nicaragua Cordoba Oro</v>
          </cell>
          <cell r="AO136" t="str">
            <v>425 - PT BANK JABAR BANTEN SYARIAH</v>
          </cell>
          <cell r="AU136" t="str">
            <v xml:space="preserve">172000 - Industri Barang Jadi Tekstil dan Permadani </v>
          </cell>
          <cell r="AV136" t="str">
            <v>7191 - Kota Mataram</v>
          </cell>
          <cell r="AX136" t="str">
            <v>Grobogan, Kab. - 0904</v>
          </cell>
        </row>
        <row r="137">
          <cell r="AI137" t="str">
            <v>6133 - Ekspor Barang Setengah Jadi Tembakau</v>
          </cell>
          <cell r="AM137" t="str">
            <v>2308 - Kaur, Kab</v>
          </cell>
          <cell r="AN137" t="str">
            <v>NLG - Netherlands Guilder/ Gulden/Florin</v>
          </cell>
          <cell r="AO137" t="str">
            <v>426 - BANK MEGA TBK</v>
          </cell>
          <cell r="AU137" t="str">
            <v xml:space="preserve">173000 - Industri Perajutan Industri Perajutan </v>
          </cell>
          <cell r="AV137" t="str">
            <v>7192 - Kota. Bima</v>
          </cell>
          <cell r="AX137" t="str">
            <v>Gunung Kidul, Kab. - 0503</v>
          </cell>
        </row>
        <row r="138">
          <cell r="AI138" t="str">
            <v>6134 - Ekspor Barang Setengah Jadi Karet</v>
          </cell>
          <cell r="AM138" t="str">
            <v>2309 - Kab. Bengkulu Tengah</v>
          </cell>
          <cell r="AN138" t="str">
            <v>NOK - Norwegian Krone</v>
          </cell>
          <cell r="AO138" t="str">
            <v>427 - BANK BNI SYARIAH</v>
          </cell>
          <cell r="AU138" t="str">
            <v xml:space="preserve">174000 - Industri Kapuk </v>
          </cell>
          <cell r="AV138" t="str">
            <v>7201 - Kab. Buleleng</v>
          </cell>
          <cell r="AX138" t="str">
            <v>Gunung Mas, Kab. - 5807</v>
          </cell>
        </row>
        <row r="139">
          <cell r="AI139" t="str">
            <v>6135 - Ekspor Barang Setengah Jadi Lada</v>
          </cell>
          <cell r="AM139" t="str">
            <v>2391 - Bengkulu, Kota.</v>
          </cell>
          <cell r="AN139" t="str">
            <v>NPR - Nepalese Rupee</v>
          </cell>
          <cell r="AO139" t="str">
            <v>441 - BANK BUKOPIN</v>
          </cell>
          <cell r="AU139" t="str">
            <v xml:space="preserve">181000 - Industri Pakaian Jadi dan perlengkapannya, Kecuali Pakaian Jadi Berbulu </v>
          </cell>
          <cell r="AV139" t="str">
            <v>7202 - Kab. Jembrana</v>
          </cell>
          <cell r="AX139" t="str">
            <v>Halmahera Barat, Kab. - 8305</v>
          </cell>
        </row>
        <row r="140">
          <cell r="AI140" t="str">
            <v>6136 - Ekspor Barang Setengah Jadi Minyak Kelapa Sawit Mentah</v>
          </cell>
          <cell r="AM140" t="str">
            <v>3101 - Batanghari, Kab.</v>
          </cell>
          <cell r="AN140" t="str">
            <v>NZD - New Zealand Dollar</v>
          </cell>
          <cell r="AO140" t="str">
            <v>451 - BANK SYARIAH MANDIRI</v>
          </cell>
          <cell r="AU140" t="str">
            <v xml:space="preserve">182000 - Industri Pakaian Jadi Barang Jadi dari Kulit Berbulu dan Pencelupan Bulu </v>
          </cell>
          <cell r="AV140" t="str">
            <v>7203 - Kab. Tabanan</v>
          </cell>
          <cell r="AX140" t="str">
            <v>Halmahera Selatan, Kab. - 8306</v>
          </cell>
        </row>
        <row r="141">
          <cell r="AI141" t="str">
            <v>6137 - Ekspor Barang Setengah Jadi Biji Kelapa Sawit</v>
          </cell>
          <cell r="AM141" t="str">
            <v>3104 - Sarolangun, Kab.</v>
          </cell>
          <cell r="AN141" t="str">
            <v>OMR - Omani Rial</v>
          </cell>
          <cell r="AO141" t="str">
            <v>455 - BANK DANA ASIA</v>
          </cell>
          <cell r="AU141" t="str">
            <v>191000 - Industri Kulit dan Barang dari Kulit (Termasuk Kulit Buatan)</v>
          </cell>
          <cell r="AV141" t="str">
            <v>7204 - Kab. Badung</v>
          </cell>
          <cell r="AX141" t="str">
            <v>Halmahera Tengah, Kab. - 8302</v>
          </cell>
        </row>
        <row r="142">
          <cell r="AI142" t="str">
            <v>6138 - Ekspor Barang Setengah Jadi Bungkil Kopra</v>
          </cell>
          <cell r="AM142" t="str">
            <v>3105 - Kerinci, Kab.</v>
          </cell>
          <cell r="AN142" t="str">
            <v>PAB - Panamanian Balboa</v>
          </cell>
          <cell r="AO142" t="str">
            <v>459 - BANK BISNIS INTERNASIONAL</v>
          </cell>
          <cell r="AU142" t="str">
            <v xml:space="preserve">192000 - Industri Alas Kaki </v>
          </cell>
          <cell r="AV142" t="str">
            <v>7205 - Kab. Gianyar</v>
          </cell>
          <cell r="AX142" t="str">
            <v>Halmahera Timur, Kab. - 8304</v>
          </cell>
        </row>
        <row r="143">
          <cell r="AI143" t="str">
            <v>6139 - Ekspor Barang Setengah Jadi Hasil Tnm.Pangan &amp; Perkebunan Lainnya</v>
          </cell>
          <cell r="AM143" t="str">
            <v>3106 - Muaro Jambi, Kab.</v>
          </cell>
          <cell r="AN143" t="str">
            <v>PEI - Inti</v>
          </cell>
          <cell r="AO143" t="str">
            <v>466 - BANK ANDARA (SRI PARTHA)</v>
          </cell>
          <cell r="AU143" t="str">
            <v xml:space="preserve">201000 - Industri Penggergajian dan Pengawetan Kayu, Rotan, Bambu, dan Sejenisnya </v>
          </cell>
          <cell r="AV143" t="str">
            <v>7206 - Kab. Klungkung</v>
          </cell>
          <cell r="AX143" t="str">
            <v>Halmahera Utara, Kab. - 8303</v>
          </cell>
        </row>
        <row r="144">
          <cell r="AI144" t="str">
            <v>6140 - Ekspor Barang Setengah Jadi Hewan yg Sudah Diolah</v>
          </cell>
          <cell r="AM144" t="str">
            <v>3107 - Tanjung Jabung Barat, Kab.</v>
          </cell>
          <cell r="AN144" t="str">
            <v>PEN - Peruvian Nuevo Sol</v>
          </cell>
          <cell r="AO144" t="str">
            <v>472 - BANK JASA JAKARTA</v>
          </cell>
          <cell r="AU144" t="str">
            <v xml:space="preserve">202100 - Industri Kayu Lapis, Veneer, dan Sejenisnya </v>
          </cell>
          <cell r="AV144" t="str">
            <v>7207 - Kab. Bangli</v>
          </cell>
          <cell r="AX144" t="str">
            <v>Hulu Sungai Selatan, Kab. - 5104</v>
          </cell>
        </row>
        <row r="145">
          <cell r="AI145" t="str">
            <v>6141 - Ekspor Barang Setengah Jadi Bahan Makanan Lainnya</v>
          </cell>
          <cell r="AM145" t="str">
            <v>3108 - Tanjung Jabung Timur, Kab.</v>
          </cell>
          <cell r="AN145" t="str">
            <v>PGK - Papua New Guinea Kina</v>
          </cell>
          <cell r="AO145" t="str">
            <v>476 - BANK AKEN</v>
          </cell>
          <cell r="AU145" t="str">
            <v>202900 - Industri Anyam-anyaman, Kerajinan, Ukiran dari Kayu, dan Industri Barang Lain dari Kayu</v>
          </cell>
          <cell r="AV145" t="str">
            <v>7208 - Kab. Karangasem</v>
          </cell>
          <cell r="AX145" t="str">
            <v>Hulu Sungai Tengah, Kab. - 5105</v>
          </cell>
        </row>
        <row r="146">
          <cell r="AI146" t="str">
            <v>6142 - Ekspor Barang Setengah Jadi Hasil Tambang</v>
          </cell>
          <cell r="AM146" t="str">
            <v>3109 - Tebo, Kab.</v>
          </cell>
          <cell r="AN146" t="str">
            <v>PHP - Philippines Peso</v>
          </cell>
          <cell r="AO146" t="str">
            <v>484 - BANK HANA</v>
          </cell>
          <cell r="AU146" t="str">
            <v>210100 - Industri Bubur Kertas (Pulp), Kertas dan Karton / Paper Board</v>
          </cell>
          <cell r="AV146" t="str">
            <v>7291 - Kota Denpasar</v>
          </cell>
          <cell r="AX146" t="str">
            <v>Hulu Sungai Utara, Kab. - 5106</v>
          </cell>
        </row>
        <row r="147">
          <cell r="AI147" t="str">
            <v>6159 - Ekspor Barang Setengah Jadi lainnya</v>
          </cell>
          <cell r="AM147" t="str">
            <v>3111 - Merangin, Kab.</v>
          </cell>
          <cell r="AN147" t="str">
            <v>PKR - Pakistan Rupee</v>
          </cell>
          <cell r="AO147" t="str">
            <v>485 - BANK ICB BUMIPUTERA</v>
          </cell>
          <cell r="AU147" t="str">
            <v xml:space="preserve">210200 - Industri Kemasan dan Kotak dari Kertas dan Karton </v>
          </cell>
          <cell r="AV147" t="str">
            <v>7401 - Kab. Kupang</v>
          </cell>
          <cell r="AX147" t="str">
            <v>Humbang Hasundutan, Kab - 3316</v>
          </cell>
        </row>
        <row r="148">
          <cell r="AI148" t="str">
            <v>6161 - Ekspor Barang Jadi Kayu Lapis &amp; Sejenisnya</v>
          </cell>
          <cell r="AM148" t="str">
            <v>3112 - Bungo, Kab</v>
          </cell>
          <cell r="AN148" t="str">
            <v>PLN - Polish Zloty/New Zloty</v>
          </cell>
          <cell r="AO148" t="str">
            <v>486 - BANK SINO</v>
          </cell>
          <cell r="AU148" t="str">
            <v xml:space="preserve">210900 - Industri Barang dari Kertas dan Kartan yang Tidak Diklasifikasikan di Tempat Lain </v>
          </cell>
          <cell r="AV148" t="str">
            <v>7402 - Kab. Timor-Tengah Selatan</v>
          </cell>
          <cell r="AX148" t="str">
            <v>Indragiri Hilir, Kab. - 3505</v>
          </cell>
        </row>
        <row r="149">
          <cell r="AI149" t="str">
            <v>6162 - Ekspor Barang Jadi Teh</v>
          </cell>
          <cell r="AM149" t="str">
            <v>3191 - Jambi, Kota.</v>
          </cell>
          <cell r="AN149" t="str">
            <v>PLZ - Zloty</v>
          </cell>
          <cell r="AO149" t="str">
            <v>490 - BANK YUDHA BHAKTI</v>
          </cell>
          <cell r="AU149" t="str">
            <v xml:space="preserve">221000 - Industri Penerbitan </v>
          </cell>
          <cell r="AV149" t="str">
            <v>7403 - Kab. Timor-Tengah Utara</v>
          </cell>
          <cell r="AX149" t="str">
            <v>Indragiri Hulu, Kab. - 3504</v>
          </cell>
        </row>
        <row r="150">
          <cell r="AI150" t="str">
            <v>6163 - Ekspor Barang Jadi Kopi Bubuk</v>
          </cell>
          <cell r="AM150" t="str">
            <v>3192 - Kota Sungai Penuh</v>
          </cell>
          <cell r="AN150" t="str">
            <v>PSS - Peruvian New Sol</v>
          </cell>
          <cell r="AO150" t="str">
            <v>491 - BANK MITRANIAGA</v>
          </cell>
          <cell r="AU150" t="str">
            <v xml:space="preserve">222000 - Industri Percetakan dan Kegiatan yang Berkaitan Dengan Pencetakan Termasuk Reproduksi / Cetak Ulang) </v>
          </cell>
          <cell r="AV150" t="str">
            <v>7404 - Kab. Belu</v>
          </cell>
          <cell r="AX150" t="str">
            <v>Indramayu, Kab. - 0118</v>
          </cell>
        </row>
        <row r="151">
          <cell r="AI151" t="str">
            <v>6164 - Ekspor Barang Jadi Hasil Tanaman Pangan &amp; Perkebunan Lainnya</v>
          </cell>
          <cell r="AM151" t="str">
            <v>3301 - Deli Serdang, Kab.</v>
          </cell>
          <cell r="AN151" t="str">
            <v>PTE - Portuguese Escudo</v>
          </cell>
          <cell r="AO151" t="str">
            <v>494 - PT. BANK RAKYAT INDONESIA AGRONIAGA, TBK</v>
          </cell>
          <cell r="AU151" t="str">
            <v xml:space="preserve">223000 - Reproduksi Media Rekaman, Film, dan Video </v>
          </cell>
          <cell r="AV151" t="str">
            <v>3617 - Kab. Empat Lawang</v>
          </cell>
          <cell r="AX151" t="str">
            <v>Intan Jaya, Kab - 8239</v>
          </cell>
        </row>
        <row r="152">
          <cell r="AI152" t="str">
            <v>6165 - Ekspor Barang Jadi Udang</v>
          </cell>
          <cell r="AM152" t="str">
            <v>3201 - Aceh Besar, Kab.</v>
          </cell>
          <cell r="AN152" t="str">
            <v>PYG - Paraguayan Guarani</v>
          </cell>
          <cell r="AO152" t="str">
            <v>498 - BANK SBI INDONESIA</v>
          </cell>
          <cell r="AU152" t="str">
            <v xml:space="preserve">231000 - Industri Barang-barang dari Batubara </v>
          </cell>
          <cell r="AV152" t="str">
            <v>7405 - Kab. Alor</v>
          </cell>
          <cell r="AX152" t="str">
            <v>Jakarta Barat, Wil. Kota - 0393</v>
          </cell>
        </row>
        <row r="153">
          <cell r="AI153" t="str">
            <v>6166 - Ekspor Barang Jadi Hasil Hewan Selain Udang</v>
          </cell>
          <cell r="AM153" t="str">
            <v>3202 - Pidie, Kab.</v>
          </cell>
          <cell r="AN153" t="str">
            <v>QAR - Qatari Rial</v>
          </cell>
          <cell r="AO153" t="str">
            <v>500 - BANK DANA HUTAMA</v>
          </cell>
          <cell r="AU153" t="str">
            <v xml:space="preserve">232000 - Industri Pengilangan Minyak Bumi, Pengolahan Gas Bumi, dan Industri Barang-barang dari Hasil Pengilangan Minyak Bumi </v>
          </cell>
          <cell r="AV153" t="str">
            <v>7406 - Kab. Flores Timur</v>
          </cell>
          <cell r="AX153" t="str">
            <v>Jakarta Pusat, Wil. Kota - 0391</v>
          </cell>
        </row>
        <row r="154">
          <cell r="AI154" t="str">
            <v>6167 - Ekspor Barang Jadi Kerajinan dari Kayu dan Rotan</v>
          </cell>
          <cell r="AM154" t="str">
            <v>3203 - Aceh Utara, Kab.</v>
          </cell>
          <cell r="AN154" t="str">
            <v>ROL - Romanian Leu</v>
          </cell>
          <cell r="AO154" t="str">
            <v>501 - BANK ROYAL INDONESIA</v>
          </cell>
          <cell r="AU154" t="str">
            <v xml:space="preserve">233000 - Pengolahan Bahan Bakar Nuklir (Nuclear Fuel) </v>
          </cell>
          <cell r="AV154" t="str">
            <v>7407 - Kab. Sikka</v>
          </cell>
          <cell r="AX154" t="str">
            <v>Jakarta Selatan, Wil. Kota - 0394</v>
          </cell>
        </row>
        <row r="155">
          <cell r="AI155" t="str">
            <v>6168 - Ekspor Barang Jadi Kerajinan Selain Kayu dan Rotan</v>
          </cell>
          <cell r="AM155" t="str">
            <v>3204 - Aceh Timur, Kab.</v>
          </cell>
          <cell r="AN155" t="str">
            <v>RUR - Russian Rouble</v>
          </cell>
          <cell r="AO155" t="str">
            <v>503 - BANK NATIONALNOBU</v>
          </cell>
          <cell r="AU155" t="str">
            <v xml:space="preserve">241100 - Industri Kimia Dasar, Kecuali Pupuk </v>
          </cell>
          <cell r="AV155" t="str">
            <v>7408 - Kab. Ende</v>
          </cell>
          <cell r="AX155" t="str">
            <v>Jakarta Timur, Wil. Kota - 0395</v>
          </cell>
        </row>
        <row r="156">
          <cell r="AI156" t="str">
            <v>6169 - Ekspor Barang Jadi Tekstil</v>
          </cell>
          <cell r="AM156" t="str">
            <v>3205 - Aceh Selatan, Kab.</v>
          </cell>
          <cell r="AN156" t="str">
            <v>RWF - Rwanda Franc</v>
          </cell>
          <cell r="AO156" t="str">
            <v>505 - BANK HOKINDO</v>
          </cell>
          <cell r="AU156" t="str">
            <v xml:space="preserve">241200 - Industri Pupuk </v>
          </cell>
          <cell r="AV156" t="str">
            <v>7409 - Kab. Ngada</v>
          </cell>
          <cell r="AX156" t="str">
            <v>Jakarta Utara ., Wil. Kota - 0392</v>
          </cell>
        </row>
        <row r="157">
          <cell r="AI157" t="str">
            <v>6170 - Ekspor Barang Jadi Sandang Selain Tekstil</v>
          </cell>
          <cell r="AM157" t="str">
            <v>3206 - Aceh Barat, Kab.</v>
          </cell>
          <cell r="AN157" t="str">
            <v>SAR - Saudi Riyal</v>
          </cell>
          <cell r="AO157" t="str">
            <v>506 - BANK SYARIAH MEGA INDONESIA</v>
          </cell>
          <cell r="AU157" t="str">
            <v>241300 - Industri Plastik dan Karet Buatan</v>
          </cell>
          <cell r="AV157" t="str">
            <v>7410 - Kab. Manggarai</v>
          </cell>
          <cell r="AX157" t="str">
            <v>Jambi, Kota. - 3191</v>
          </cell>
        </row>
        <row r="158">
          <cell r="AI158" t="str">
            <v>6179 - Ekspor Barang Jadi lainnya</v>
          </cell>
          <cell r="AM158" t="str">
            <v>3207 - Aceh Tengah, Kab.</v>
          </cell>
          <cell r="AN158" t="str">
            <v>SBD - Solomon Islands Dollar</v>
          </cell>
          <cell r="AO158" t="str">
            <v>510 - BANK ALFA</v>
          </cell>
          <cell r="AU158" t="str">
            <v xml:space="preserve">242100 - Industri Bahan Baku Pemberantas Hama dan Pemberantas Hama Termasuk Zat Pengatur Tumbuh </v>
          </cell>
          <cell r="AV158" t="str">
            <v>7411 - Kab. Sumba Timur</v>
          </cell>
          <cell r="AX158" t="str">
            <v>Jayapura, Kab. - 8201</v>
          </cell>
        </row>
        <row r="159">
          <cell r="AI159" t="str">
            <v>6180 - Ekspor Jasa-jasa - Konstruksi</v>
          </cell>
          <cell r="AM159" t="str">
            <v>3208 - Aceh Tenggara, Kab.</v>
          </cell>
          <cell r="AN159" t="str">
            <v>SCR - Seychelles Rupee</v>
          </cell>
          <cell r="AO159" t="str">
            <v>513 - BANK INA PERDANA</v>
          </cell>
          <cell r="AU159" t="str">
            <v xml:space="preserve">242200 - Industri Cat, Pernis dan Lak </v>
          </cell>
          <cell r="AV159" t="str">
            <v>7412 - Kab. Sumba Barat</v>
          </cell>
          <cell r="AX159" t="str">
            <v>Jayapura, Kota. - 8291</v>
          </cell>
        </row>
        <row r="160">
          <cell r="AI160" t="str">
            <v>6190 - Ekspor Jasa-jasa - Lainnya</v>
          </cell>
          <cell r="AM160" t="str">
            <v>3209 - Aceh Singkil, Kab.</v>
          </cell>
          <cell r="AN160" t="str">
            <v>SDD - Sudanese Dinar</v>
          </cell>
          <cell r="AO160" t="str">
            <v>514 - BANK SEWU INTERNASIONAL</v>
          </cell>
          <cell r="AU160" t="str">
            <v xml:space="preserve">242300 - Industri Farmasi dan Jamu </v>
          </cell>
          <cell r="AV160" t="str">
            <v>7413 - Kab. Lembata</v>
          </cell>
          <cell r="AX160" t="str">
            <v>Jayawijaya, Kab. - 8213</v>
          </cell>
        </row>
        <row r="161">
          <cell r="AI161" t="str">
            <v>6211 - Impor dlm.rangka Bantuan Luar Negeri - Biji Gandum</v>
          </cell>
          <cell r="AM161" t="str">
            <v>3210 - Aceh Jeumpa/Bireuen, Kab.</v>
          </cell>
          <cell r="AN161" t="str">
            <v>SDP - Sudanese Pound</v>
          </cell>
          <cell r="AO161" t="str">
            <v>517 - BANK PANIN SYARIAH</v>
          </cell>
          <cell r="AU161" t="str">
            <v xml:space="preserve">242400 - Industri Sabun dan Bahan Pembersih Keperluan Rumah Tangga, Kosmetik dan Sejenisnya </v>
          </cell>
          <cell r="AV161" t="str">
            <v>7414 - Kab. Rote</v>
          </cell>
          <cell r="AX161" t="str">
            <v>Jember, Kab. - 1212</v>
          </cell>
        </row>
        <row r="162">
          <cell r="AI162" t="str">
            <v>6212 - Impor dlm.rangka Bantuan Luar Negeri - Beras</v>
          </cell>
          <cell r="AM162" t="str">
            <v>3211 - Aceh Tamiang, Kab.</v>
          </cell>
          <cell r="AN162" t="str">
            <v>SEK - Swedish Krone</v>
          </cell>
          <cell r="AO162" t="str">
            <v>519 - BANK DWIPA SEMESTA</v>
          </cell>
          <cell r="AU162" t="str">
            <v xml:space="preserve">242940 - Industri Minyak Atsiri </v>
          </cell>
          <cell r="AV162" t="str">
            <v>7415 - Kab. Manggarai Barat</v>
          </cell>
          <cell r="AX162" t="str">
            <v>Jembrana, Kab. - 7202</v>
          </cell>
        </row>
        <row r="163">
          <cell r="AI163" t="str">
            <v>6213 - Impor dlm.rangka Bantuan Luar Negeri - Kapas</v>
          </cell>
          <cell r="AM163" t="str">
            <v>3212 - Gayo Luwes, Kab.</v>
          </cell>
          <cell r="AN163" t="str">
            <v>SGD - Singapore Dollar</v>
          </cell>
          <cell r="AO163" t="str">
            <v>520 - BANK PRIMA MASTER</v>
          </cell>
          <cell r="AU163" t="str">
            <v xml:space="preserve">242990 - Industri Bahan Kimia dan Barang Kimia Lainnya </v>
          </cell>
          <cell r="AV163" t="str">
            <v>7416 - Kab. Sumba Tengah</v>
          </cell>
          <cell r="AX163" t="str">
            <v>Jeneponto, Kab. - 6113</v>
          </cell>
        </row>
        <row r="164">
          <cell r="AI164" t="str">
            <v>6214 - Impor dlm.rangka Bantuan Luar Negeri - Benang Tenun</v>
          </cell>
          <cell r="AM164" t="str">
            <v>3213 - Aceh Barat Daya, Kab.</v>
          </cell>
          <cell r="AN164" t="str">
            <v>SHP - St. Helena Pound</v>
          </cell>
          <cell r="AO164" t="str">
            <v>521 - BANK SYARIAH BUKOPIN</v>
          </cell>
          <cell r="AU164" t="str">
            <v xml:space="preserve">243000 - Industri Serat Buatan </v>
          </cell>
          <cell r="AV164" t="str">
            <v>7417 - Kab. Sumba Barat Daya</v>
          </cell>
          <cell r="AX164" t="str">
            <v>Jepara, Kab. - 0911</v>
          </cell>
        </row>
        <row r="165">
          <cell r="AI165" t="str">
            <v>6219 - Impor dlm.rangka Bantuan Luar Negeri - Lainnya</v>
          </cell>
          <cell r="AM165" t="str">
            <v>3214 - Aceh Jaya, Kab.</v>
          </cell>
          <cell r="AN165" t="str">
            <v>SIT - Slovenia Tolar</v>
          </cell>
          <cell r="AO165" t="str">
            <v>522 - BANK KREDIT ASIA (ISTIMARAT)</v>
          </cell>
          <cell r="AU165" t="str">
            <v xml:space="preserve">251210 - Industri Pengasapan Karet </v>
          </cell>
          <cell r="AV165" t="str">
            <v>7418 - Kab. Manggarai Timur</v>
          </cell>
          <cell r="AX165" t="str">
            <v>Jombang, Kab. - 1204</v>
          </cell>
        </row>
        <row r="166">
          <cell r="AI166" t="str">
            <v>6221 - Impor Bukan dlm.rangka Bantuan Luar Negeri - Pupuk dan Obat Hama</v>
          </cell>
          <cell r="AM166" t="str">
            <v>3324 - Kab. Labuanbatu Selatan</v>
          </cell>
          <cell r="AN166" t="str">
            <v>SKK - Slovakia Koruna</v>
          </cell>
          <cell r="AO166" t="str">
            <v>523 - BANK DIPO INTERNATIONAL</v>
          </cell>
          <cell r="AU166" t="str">
            <v xml:space="preserve">251220 - Industri Remilling Karet </v>
          </cell>
          <cell r="AV166" t="str">
            <v>3903 - Kab. Lampung Utara</v>
          </cell>
          <cell r="AX166" t="str">
            <v>Kaimana, Kab. - 8406</v>
          </cell>
        </row>
        <row r="167">
          <cell r="AI167" t="str">
            <v>6222 - Impor Bukan dlm.rangka Bantuan Luar Negeri - Besi Beton</v>
          </cell>
          <cell r="AM167" t="str">
            <v>3325 - Kab. Labuanbatu Utara</v>
          </cell>
          <cell r="AN167" t="str">
            <v>SLL - Sierra Leone Leone</v>
          </cell>
          <cell r="AO167" t="str">
            <v>525 - BANK BARCLAYS INDONESIA</v>
          </cell>
          <cell r="AU167" t="str">
            <v xml:space="preserve">251230 - Industri Karet Remah (Crumb Rubber) </v>
          </cell>
          <cell r="AV167" t="str">
            <v>3904 - Kab. Lampung Barat</v>
          </cell>
          <cell r="AX167" t="str">
            <v>Kampar, Kab. - 3501</v>
          </cell>
        </row>
        <row r="168">
          <cell r="AI168" t="str">
            <v>6223 - Impor Bukan dlm.rangka Bantuan Luar Negeri - Kertas Koran</v>
          </cell>
          <cell r="AM168" t="str">
            <v>3326 - Kab. Nias Barat</v>
          </cell>
          <cell r="AN168" t="str">
            <v>SOS - Somalia Schilling</v>
          </cell>
          <cell r="AO168" t="str">
            <v>526 - PT. BANK DINAR INDONESIA</v>
          </cell>
          <cell r="AU168" t="str">
            <v xml:space="preserve">251900 - Industri Barang-barang lain dari Karet </v>
          </cell>
          <cell r="AV168" t="str">
            <v>3905 - Kab. Tulang Bawang</v>
          </cell>
          <cell r="AX168" t="str">
            <v>Kapuas Hulu, Kab. - 5306</v>
          </cell>
        </row>
        <row r="169">
          <cell r="AI169" t="str">
            <v>6224 - Impor Bukan dlm.rangka Bantuan Luar Negeri - Cengkeh</v>
          </cell>
          <cell r="AM169" t="str">
            <v>3327 - Kab. Nias Utara</v>
          </cell>
          <cell r="AN169" t="str">
            <v>SRD - Surinam Dollar</v>
          </cell>
          <cell r="AO169" t="str">
            <v>528 - BANK DEKA</v>
          </cell>
          <cell r="AU169" t="str">
            <v xml:space="preserve">252000 - Industri Barang dari Plastik </v>
          </cell>
          <cell r="AV169" t="str">
            <v>3906 - Kab. Tanggamus</v>
          </cell>
          <cell r="AX169" t="str">
            <v>Kapuas, Kab. - 5801</v>
          </cell>
        </row>
        <row r="170">
          <cell r="AI170" t="str">
            <v>6225 - Impor Bukan dlm.rangka Bantuan Luar Negeri - Beras</v>
          </cell>
          <cell r="AM170" t="str">
            <v>3391 - Tebing Tinggi, Kota.</v>
          </cell>
          <cell r="AN170" t="str">
            <v>SRG - Surinam Guilder</v>
          </cell>
          <cell r="AO170" t="str">
            <v>531 - BANK ANGLOMAS INTERNASIONAL</v>
          </cell>
          <cell r="AU170" t="str">
            <v xml:space="preserve">261000 - Industri Gelas dan Barang dari Gelas </v>
          </cell>
          <cell r="AV170" t="str">
            <v>3907 - Kab. Lampung Timur</v>
          </cell>
          <cell r="AX170" t="str">
            <v>Karanganyar, Kab. - 0927</v>
          </cell>
        </row>
        <row r="171">
          <cell r="AI171" t="str">
            <v>6226 - Impor Bukan dlm.rangka Bantuan Luar Negeri - Gula</v>
          </cell>
          <cell r="AM171" t="str">
            <v>3392 - Binjai, Kota.</v>
          </cell>
          <cell r="AN171" t="str">
            <v>STD - Sao Tome Dobra</v>
          </cell>
          <cell r="AO171" t="str">
            <v>533 - BANK DANPAC (merger menjadi Bank Century - 095)</v>
          </cell>
          <cell r="AU171" t="str">
            <v xml:space="preserve">262000 - Industri Barang-barang dari Porselin </v>
          </cell>
          <cell r="AV171" t="str">
            <v>3908 - Kab. Way Kanan</v>
          </cell>
          <cell r="AX171" t="str">
            <v>Karangasem, Kab. - 7208</v>
          </cell>
        </row>
        <row r="172">
          <cell r="AI172" t="str">
            <v>6227 - Impor Bukan dlm.rangka Bantuan Luar Negeri - Biji Gandum</v>
          </cell>
          <cell r="AM172" t="str">
            <v>3393 - Pematang Siantar, Kota.</v>
          </cell>
          <cell r="AN172" t="str">
            <v>SUR - USSR Rouble</v>
          </cell>
          <cell r="AO172" t="str">
            <v>535 - BANK KESEJAHTERAAN EKONOMI</v>
          </cell>
          <cell r="AU172" t="str">
            <v xml:space="preserve">263000 - Industri Pengolahan Tanah Liat / Keramik </v>
          </cell>
          <cell r="AV172" t="str">
            <v>3909 - Kab. Pesawaran</v>
          </cell>
          <cell r="AX172" t="str">
            <v>Karawang, Kab. - 0106</v>
          </cell>
        </row>
        <row r="173">
          <cell r="AI173" t="str">
            <v>6228 - Impor Bukan dlm.rangka Bantuan Luar Negeri - Jagung</v>
          </cell>
          <cell r="AM173" t="str">
            <v>3394 - Tanjung Balai, Kota.</v>
          </cell>
          <cell r="AN173" t="str">
            <v>SVC - El Salvador Colon</v>
          </cell>
          <cell r="AO173" t="str">
            <v>536 - BANK BCA SYARIAH</v>
          </cell>
          <cell r="AU173" t="str">
            <v xml:space="preserve">264000 - Industri Semen, Kapur dan Gips, Serta Barang-barang dari Semen, dan Kapur </v>
          </cell>
          <cell r="AV173" t="str">
            <v>3910 - Kab. Pringsewu</v>
          </cell>
          <cell r="AX173" t="str">
            <v>Karimun, Kab - 3801</v>
          </cell>
        </row>
        <row r="174">
          <cell r="AI174" t="str">
            <v>6229 - Impor Bukan dlm.rangka Bantuan Luar Negeri - Kacang Kedele</v>
          </cell>
          <cell r="AM174" t="str">
            <v>3395 - Sibolga, Kota.</v>
          </cell>
          <cell r="AN174" t="str">
            <v>SYP - Syrian Pound</v>
          </cell>
          <cell r="AO174" t="str">
            <v>538 - BANK ASTRIA RAYA</v>
          </cell>
          <cell r="AU174" t="str">
            <v xml:space="preserve">265000 - Industri Barang-barang dari Batu </v>
          </cell>
          <cell r="AV174" t="str">
            <v>3911 - Kab. Tulang Bawang Barat</v>
          </cell>
          <cell r="AX174" t="str">
            <v>Karo, Kab. - 3303</v>
          </cell>
        </row>
        <row r="175">
          <cell r="AI175" t="str">
            <v>6230 - Impor Bukan dlm.rangka Bantuan Luar Negeri - Farmasi</v>
          </cell>
          <cell r="AM175" t="str">
            <v>3396 - Medan, Kota.</v>
          </cell>
          <cell r="AN175" t="str">
            <v>SZL - Swaziland Lilangeni</v>
          </cell>
          <cell r="AO175" t="str">
            <v>542 - BANK ARTOS INDONESIA</v>
          </cell>
          <cell r="AU175" t="str">
            <v xml:space="preserve">266000 - Industri Barang-barang dari Asbes </v>
          </cell>
          <cell r="AV175" t="str">
            <v>3912 - Kab. Mesuji</v>
          </cell>
          <cell r="AX175" t="str">
            <v>Katingan, Kab. - 5811</v>
          </cell>
        </row>
        <row r="176">
          <cell r="AI176" t="str">
            <v>6231 - Impor Bukan dlm.rangka Bantuan Luar Negeri - Suku Cadang Kend.Bermotor</v>
          </cell>
          <cell r="AM176" t="str">
            <v>3397 - Kota Gunung Sitoli</v>
          </cell>
          <cell r="AN176" t="str">
            <v>THB - Thai Bath</v>
          </cell>
          <cell r="AO176" t="str">
            <v>543 - BANK PUTERA MULTIKARSA</v>
          </cell>
          <cell r="AU176" t="str">
            <v>269000 - Industri Barang-barang Galian Bukan Logam Lainnya</v>
          </cell>
          <cell r="AV176" t="str">
            <v>3991 - Kota Bandar Lampung</v>
          </cell>
          <cell r="AX176" t="str">
            <v>Kaur, Kab - 2308</v>
          </cell>
        </row>
        <row r="177">
          <cell r="AI177" t="str">
            <v>6232 - Impor Bukan dlm.rangka Bantuan Luar Negeri - Suku Cadang Industri</v>
          </cell>
          <cell r="AM177" t="str">
            <v>3399 - Padang Sidempuan, Kota.</v>
          </cell>
          <cell r="AN177" t="str">
            <v>TJR - Tajik Ruble</v>
          </cell>
          <cell r="AO177" t="str">
            <v>544 - BANK METROPOLITAN RAYA</v>
          </cell>
          <cell r="AU177" t="str">
            <v xml:space="preserve">271000 - Industri Logam Dasar Besi dan Baja </v>
          </cell>
          <cell r="AV177" t="str">
            <v>3992 - Kota Metro</v>
          </cell>
          <cell r="AX177" t="str">
            <v>Kayong Utara, Kab. - 5311</v>
          </cell>
        </row>
        <row r="178">
          <cell r="AI178" t="str">
            <v>6239 - Impor Bukan dlm.rangka Bantuan Luar Negeri - Lainnya</v>
          </cell>
          <cell r="AM178" t="str">
            <v>3401 - Agam, Kab.</v>
          </cell>
          <cell r="AN178" t="str">
            <v>TJS - Tajikistan Somoni</v>
          </cell>
          <cell r="AO178" t="str">
            <v>545 - BANK MATARAM DHANARTA</v>
          </cell>
          <cell r="AU178" t="str">
            <v xml:space="preserve">272000 - Industri Logam Dasar Bukan Besi </v>
          </cell>
          <cell r="AV178" t="str">
            <v>5101 - Kab. Banjar</v>
          </cell>
          <cell r="AX178" t="str">
            <v>Kebumen, Kab. - 0922</v>
          </cell>
        </row>
        <row r="179">
          <cell r="AI179" t="str">
            <v>6311 - Pembelian &amp; Pengumpulan Brg. Dagangan Dlm.Neg. : Beras</v>
          </cell>
          <cell r="AM179" t="str">
            <v>3402 - Pasaman, Kab.</v>
          </cell>
          <cell r="AN179" t="str">
            <v>TMM - Turkmenistan Manat</v>
          </cell>
          <cell r="AO179" t="str">
            <v>546 - GLOBAL INTERNATIONAL BANK (dicabut izin usaha)</v>
          </cell>
          <cell r="AU179" t="str">
            <v>273100 - Industri Pengecoran Besi dan Baja</v>
          </cell>
          <cell r="AV179" t="str">
            <v>5102 - Kab. Tanah Laut</v>
          </cell>
          <cell r="AX179" t="str">
            <v>Kediri, Kab. - 1217</v>
          </cell>
        </row>
        <row r="180">
          <cell r="AI180" t="str">
            <v>6312 - Pembelian &amp; Pengumpulan Brg. Dagangan Dlm.Neg. : Jagung</v>
          </cell>
          <cell r="AM180" t="str">
            <v>3403 - Limapuluh Koto, Kab.</v>
          </cell>
          <cell r="AN180" t="str">
            <v>TND - Tunisian Dinar</v>
          </cell>
          <cell r="AO180" t="str">
            <v>547 - BANK SAHABAT PURBA DANARTA</v>
          </cell>
          <cell r="AU180" t="str">
            <v xml:space="preserve">273200 - Industri pengecoran Logam Bukan Besi dan Baja </v>
          </cell>
          <cell r="AV180" t="str">
            <v>5103 - Kab. Tapin</v>
          </cell>
          <cell r="AX180" t="str">
            <v>Kediri, Kota. - 1297</v>
          </cell>
        </row>
        <row r="181">
          <cell r="AI181" t="str">
            <v>6313 - Pembelian &amp; Pengumpulan Brg. Dagangan Dlm.Neg. : Garam</v>
          </cell>
          <cell r="AM181" t="str">
            <v>3404 - Solok Selatan, Kab.</v>
          </cell>
          <cell r="AN181" t="str">
            <v>TOP - Tonga Paanga</v>
          </cell>
          <cell r="AO181" t="str">
            <v>548 - BANK MULTI ARTA SENTOSA</v>
          </cell>
          <cell r="AU181" t="str">
            <v xml:space="preserve">281000 - Industri Barang-barang Logam Siap Pasang Untuk Bangunan, Pembuatan Tangki, dan Generator Uap </v>
          </cell>
          <cell r="AV181" t="str">
            <v>5104 - Kab. Hulu Sungai Selatan</v>
          </cell>
          <cell r="AX181" t="str">
            <v>Keerom, Kab. - 8218</v>
          </cell>
        </row>
        <row r="182">
          <cell r="AI182" t="str">
            <v>6314 - Pembelian &amp; Pengumpulan Brg. Dagangan Dlm.Neg. : Stok Gula</v>
          </cell>
          <cell r="AM182" t="str">
            <v>3405 - Padang Pariaman, Kab.</v>
          </cell>
          <cell r="AN182" t="str">
            <v>TRL - Turkish Lira</v>
          </cell>
          <cell r="AO182" t="str">
            <v>549 - BANK CIPUTRA</v>
          </cell>
          <cell r="AU182" t="str">
            <v xml:space="preserve">289300 - Industri Alat-alat Pertanian, Pertukangan, Pemotong, dan Peralatan lainnya dari Logam </v>
          </cell>
          <cell r="AV182" t="str">
            <v>5105 - Kab. Hulu Sungai Tengah</v>
          </cell>
          <cell r="AX182" t="str">
            <v>Kendal, Kab. - 0902</v>
          </cell>
        </row>
        <row r="183">
          <cell r="AI183" t="str">
            <v>6315 - Pembelian &amp; Pengumpulan Brg. Dagangan Dlm.Neg. : Kayu</v>
          </cell>
          <cell r="AM183" t="str">
            <v>3406 - Pesisir Selatan, Kab.</v>
          </cell>
          <cell r="AN183" t="str">
            <v>TTD - Trinidad &amp; Tobago Dollar</v>
          </cell>
          <cell r="AO183" t="str">
            <v>550 - BANK BEPEDE INDONESIA</v>
          </cell>
          <cell r="AU183" t="str">
            <v xml:space="preserve">289900 - Industri Barang Logam yang Tidak Diklasifikasikan di Tempat Lain </v>
          </cell>
          <cell r="AV183" t="str">
            <v>5106 - Kab. Hulu Sungai Utara</v>
          </cell>
          <cell r="AX183" t="str">
            <v>Kendari, Kota. - 6991</v>
          </cell>
        </row>
        <row r="184">
          <cell r="AI184" t="str">
            <v>6316 - Pembelian &amp; Pengumpulan Brg. Dagangan Dlm.Neg. : Karet</v>
          </cell>
          <cell r="AM184" t="str">
            <v>3407 - Tanah Datar, Kab.</v>
          </cell>
          <cell r="AN184" t="str">
            <v>TWD - Taiwan Dollar</v>
          </cell>
          <cell r="AO184" t="str">
            <v>551 - BANK CENTRIS INTERNASIONAL</v>
          </cell>
          <cell r="AU184" t="str">
            <v xml:space="preserve">291000 - Industri Mesin-mesin Umum </v>
          </cell>
          <cell r="AV184" t="str">
            <v>5107 - Kab. Barito Kuala</v>
          </cell>
          <cell r="AX184" t="str">
            <v>Kepahiang, Kab - 2305</v>
          </cell>
        </row>
        <row r="185">
          <cell r="AI185" t="str">
            <v>6317 - Pembelian &amp; Pengumpulan Brg. Dagangan Dlm.Neg. : Kelapa Sawit</v>
          </cell>
          <cell r="AM185" t="str">
            <v>3408 - Kab. Sijunjung</v>
          </cell>
          <cell r="AN185" t="str">
            <v>TZS - Tanzanian Shilling</v>
          </cell>
          <cell r="AO185" t="str">
            <v>552 - Bank Ratu</v>
          </cell>
          <cell r="AU185" t="str">
            <v xml:space="preserve">292100 - Industri Mesin Pertanian dan Kehutanan, Serta Jasa Penunjang Pemeliharaan dan Perbaikannya </v>
          </cell>
          <cell r="AV185" t="str">
            <v>5108 - Kab. Kota Baru</v>
          </cell>
          <cell r="AX185" t="str">
            <v>Kepulauan Aru, Kota. - 8107</v>
          </cell>
        </row>
        <row r="186">
          <cell r="AI186" t="str">
            <v>6318 - Pembelian &amp; Pengumpulan Brg. Dagangan Dlm.Neg. : Kapas</v>
          </cell>
          <cell r="AM186" t="str">
            <v>3409 - Kepulauan Mentawai, Kab.</v>
          </cell>
          <cell r="AN186" t="str">
            <v>UAH - Ukraine Hryvna</v>
          </cell>
          <cell r="AO186" t="str">
            <v>553 - BANK MAYORA</v>
          </cell>
          <cell r="AU186" t="str">
            <v xml:space="preserve">292400 - Industri Mesin-mesin Untuk Pertambangan, Penggalian dan Konstruksi </v>
          </cell>
          <cell r="AV186" t="str">
            <v>5109 - Kab. Tabalong</v>
          </cell>
          <cell r="AX186" t="str">
            <v>Kepulauan Mentawai, Kab. - 3409</v>
          </cell>
        </row>
        <row r="187">
          <cell r="AI187" t="str">
            <v>6319 - Pembelian &amp; Pengumpulan Brg. Dagangan Dlm.Neg. : Kopra</v>
          </cell>
          <cell r="AM187" t="str">
            <v>3302 - Langkat, Kab.</v>
          </cell>
          <cell r="AN187" t="str">
            <v>UAK - Ukraine Karbovanet</v>
          </cell>
          <cell r="AO187" t="str">
            <v>555 - BANK INDEX SELINDO</v>
          </cell>
          <cell r="AU187" t="str">
            <v xml:space="preserve">292500 - lndustri Mesin Untuk Pengolahan Makanan, Minuman dan Tembakau </v>
          </cell>
          <cell r="AV187" t="str">
            <v>3691 - Kota Palembang</v>
          </cell>
          <cell r="AX187" t="str">
            <v>Kepulauan Meranti, Kab - 3513</v>
          </cell>
        </row>
        <row r="188">
          <cell r="AI188" t="str">
            <v>6320 - Pembelian &amp; Pengumpulan Brg. Dagangan Dlm.Neg. : Cengkeh</v>
          </cell>
          <cell r="AM188" t="str">
            <v>3410 - Pasaman Barat, Kab</v>
          </cell>
          <cell r="AN188" t="str">
            <v>UGS - Ugandan Shilling</v>
          </cell>
          <cell r="AO188" t="str">
            <v>556 - BANK BUMI RAYA UTAMA</v>
          </cell>
          <cell r="AU188" t="str">
            <v xml:space="preserve">292600 - Industri Mesin-mesin Tekstil, Produk Tekstil, dan Barang-barang dari Kulit </v>
          </cell>
          <cell r="AV188" t="str">
            <v>5110 - Kab.Tanah Bumbu</v>
          </cell>
          <cell r="AX188" t="str">
            <v>Kepulauan Seribu, Wilayah - 0396</v>
          </cell>
        </row>
        <row r="189">
          <cell r="AI189" t="str">
            <v>6321 - Pembelian &amp; Pengumpulan Brg. Dagangan Dlm.Neg. : Lada</v>
          </cell>
          <cell r="AM189" t="str">
            <v>3411 - Dharmasraya, Kab.</v>
          </cell>
          <cell r="AN189" t="str">
            <v>UGX - Ugandan Shilling</v>
          </cell>
          <cell r="AO189" t="str">
            <v>557 - BANK SEMBADA ARTANUGROHO</v>
          </cell>
          <cell r="AU189" t="str">
            <v>292900 - Industri Mesin-mesin Khusus Lainnya</v>
          </cell>
          <cell r="AV189" t="str">
            <v>5111 - Kab. Balangan</v>
          </cell>
          <cell r="AX189" t="str">
            <v>Kepulauan Sitaro, Kab. - 6211</v>
          </cell>
        </row>
        <row r="190">
          <cell r="AI190" t="str">
            <v>6322 - Pembelian &amp; Pengumpulan Brg. Dagangan Dlm.Neg. : Tembakau</v>
          </cell>
          <cell r="AM190" t="str">
            <v>3412 - Solok, Kab</v>
          </cell>
          <cell r="AN190" t="str">
            <v>USD - US Dollar</v>
          </cell>
          <cell r="AO190" t="str">
            <v>558 - BANK PUNDI INDONESIA</v>
          </cell>
          <cell r="AU190" t="str">
            <v xml:space="preserve">293000 - Industri Peralatan Rumah Tangga yang Tidak Diklasifikasikan di Tempat Lain </v>
          </cell>
          <cell r="AV190" t="str">
            <v>5191 - Kota Banjarmasin</v>
          </cell>
          <cell r="AX190" t="str">
            <v>Kepulauan Sula, Kab. - 8307</v>
          </cell>
        </row>
        <row r="191">
          <cell r="AI191" t="str">
            <v>6323 - Pembelian &amp; Pengumpulan Brg. Dagangan Dlm.Neg. : Kopi</v>
          </cell>
          <cell r="AM191" t="str">
            <v>3491 - Bukittinggi, Kota.</v>
          </cell>
          <cell r="AN191" t="str">
            <v>USP - US Dollar</v>
          </cell>
          <cell r="AO191" t="str">
            <v>559 - BANK CENTRATAMA NASIONAL</v>
          </cell>
          <cell r="AU191" t="str">
            <v>300000 - Industri Mesin dan Peralatan Kantor, Akuntansi, dan Pengolahan Data</v>
          </cell>
          <cell r="AV191" t="str">
            <v>5192 - Kota Banjarbaru</v>
          </cell>
          <cell r="AX191" t="str">
            <v>kepulauan Talaud, Kab. - 6205</v>
          </cell>
        </row>
        <row r="192">
          <cell r="AI192" t="str">
            <v>6324 - Pembelian &amp; Pengumpulan Brg. Dagangan Dlm.Neg. : Teh</v>
          </cell>
          <cell r="AM192" t="str">
            <v>3492 - Padang, Kota.</v>
          </cell>
          <cell r="AN192" t="str">
            <v>UYP - Uruguay Peso</v>
          </cell>
          <cell r="AO192" t="str">
            <v>560 - BANK INDOMITRA DEVELOPMENT</v>
          </cell>
          <cell r="AU192" t="str">
            <v xml:space="preserve">311000 - Industri Motor Listrik, Generator, dan Transformator </v>
          </cell>
          <cell r="AV192" t="str">
            <v>5301 - Kab. Pontianak</v>
          </cell>
          <cell r="AX192" t="str">
            <v>Kerinci, Kab. - 3105</v>
          </cell>
        </row>
        <row r="193">
          <cell r="AI193" t="str">
            <v>6325 - Pembelian &amp; Pengumpulan Brg. Dagangan Dlm.Neg. : Hewan hidup &amp; Hasilnya</v>
          </cell>
          <cell r="AM193" t="str">
            <v>3493 - Sawahlunto, Kota.</v>
          </cell>
          <cell r="AN193" t="str">
            <v>UYU - Uruguay Peso</v>
          </cell>
          <cell r="AO193" t="str">
            <v>561 - BANK BUDI INTERNASIONAL</v>
          </cell>
          <cell r="AU193" t="str">
            <v>312000 - Industri Peralatan Pengontrol dan Pendistribusian Listrik</v>
          </cell>
          <cell r="AV193" t="str">
            <v>5302 - Kab. Sambas</v>
          </cell>
          <cell r="AX193" t="str">
            <v>Ketapang, Kab. - 5303</v>
          </cell>
        </row>
        <row r="194">
          <cell r="AI194" t="str">
            <v>6390 - Pembelian &amp; Pengumpulan Brg. Dagangan Dlm.Neg. : Lainnya</v>
          </cell>
          <cell r="AM194" t="str">
            <v>3494 - Padang Panjang, Kota.</v>
          </cell>
          <cell r="AN194" t="str">
            <v>UZS - Uzbekistan Sum</v>
          </cell>
          <cell r="AO194" t="str">
            <v>562 - BANK FAMA INTERNASIONAL</v>
          </cell>
          <cell r="AU194" t="str">
            <v xml:space="preserve">313000 - Industri Kabel Listrik dan Telepon </v>
          </cell>
          <cell r="AV194" t="str">
            <v>5303 - Kab. Ketapang</v>
          </cell>
          <cell r="AX194" t="str">
            <v>Klaten, Kab. - 0923</v>
          </cell>
        </row>
        <row r="195">
          <cell r="AI195" t="str">
            <v>6411 - Distribusi Semen</v>
          </cell>
          <cell r="AM195" t="str">
            <v>3495 - Solok, Kota.</v>
          </cell>
          <cell r="AN195" t="str">
            <v>VEB - Venezuelan Bolivar</v>
          </cell>
          <cell r="AO195" t="str">
            <v>563 - BANK CITRAHASTA DHANAMANUNGGAL</v>
          </cell>
          <cell r="AU195" t="str">
            <v xml:space="preserve">314000 - Industri Akumulator Listrik dan Batu Baterai </v>
          </cell>
          <cell r="AV195" t="str">
            <v>5304 - Kab. Sanggau</v>
          </cell>
          <cell r="AX195" t="str">
            <v>Klungkung, Kab. - 7206</v>
          </cell>
        </row>
        <row r="196">
          <cell r="AI196" t="str">
            <v>6412 - Distribusi Pupuk/Obat Hama</v>
          </cell>
          <cell r="AM196" t="str">
            <v>3496 - Payakumbuh, Kota.</v>
          </cell>
          <cell r="AN196" t="str">
            <v>VND - Vietnam Dong</v>
          </cell>
          <cell r="AO196" t="str">
            <v>564 - BANK SINAR HARAPAN BALI</v>
          </cell>
          <cell r="AU196" t="str">
            <v>315000 - Industri Bola Lampu Pijar dan Lampu Penerangan</v>
          </cell>
          <cell r="AV196" t="str">
            <v>5305 - Kab. Sintang</v>
          </cell>
          <cell r="AX196" t="str">
            <v>Kolaka Utara, Kab. - 6909</v>
          </cell>
        </row>
        <row r="197">
          <cell r="AI197" t="str">
            <v>6413 - Distribusi Kapas Kasar</v>
          </cell>
          <cell r="AM197" t="str">
            <v>3497 - Pariaman, Kota.</v>
          </cell>
          <cell r="AN197" t="str">
            <v>VUV - Vanuatu Vatu</v>
          </cell>
          <cell r="AO197" t="str">
            <v>565 - BANK ORIENT</v>
          </cell>
          <cell r="AU197" t="str">
            <v xml:space="preserve">319000 - Industri Peralatan Listrik yang Tidak Diklasifikasikan di Tempat lain </v>
          </cell>
          <cell r="AV197" t="str">
            <v>5306 - Kab. Kapuas Hulu</v>
          </cell>
          <cell r="AX197" t="str">
            <v>Kolaka, Kab. - 6904</v>
          </cell>
        </row>
        <row r="198">
          <cell r="AI198" t="str">
            <v>6414 - Distribusi Besi Beton</v>
          </cell>
          <cell r="AM198" t="str">
            <v>3501 - Kampar, Kab.</v>
          </cell>
          <cell r="AN198" t="str">
            <v>WST - Samoan (West) Tala</v>
          </cell>
          <cell r="AO198" t="str">
            <v>566 - BANK VICTORIA INTERNATIONAL</v>
          </cell>
          <cell r="AU198" t="str">
            <v xml:space="preserve">321000 - Industri Tabung dan Katup Elektronik Serta Komponen Elektronik lainnya </v>
          </cell>
          <cell r="AV198" t="str">
            <v>5307 - Kab. Bengkayang</v>
          </cell>
          <cell r="AX198" t="str">
            <v>Konawe Selatan, Kab. - 6907</v>
          </cell>
        </row>
        <row r="199">
          <cell r="AI199" t="str">
            <v>6415 - Distribusi Kertas Koran</v>
          </cell>
          <cell r="AM199" t="str">
            <v>3502 - Bengkalis, Kab.</v>
          </cell>
          <cell r="AN199" t="str">
            <v>XAF - Franc de la Communaute financiere Africaine</v>
          </cell>
          <cell r="AO199" t="str">
            <v>567 - BANK HARDA INTERNASIONAL</v>
          </cell>
          <cell r="AU199" t="str">
            <v>322000 - Industri Alat Transmisi Komunikasi</v>
          </cell>
          <cell r="AV199" t="str">
            <v>5308 - Kab. Landak</v>
          </cell>
          <cell r="AX199" t="str">
            <v>Konawe Utara, Kab. - 6911</v>
          </cell>
        </row>
        <row r="200">
          <cell r="AI200" t="str">
            <v>6416 - Distribusi Beras</v>
          </cell>
          <cell r="AM200" t="str">
            <v>3504 - Indragiri Hulu, Kab.</v>
          </cell>
          <cell r="AN200" t="str">
            <v>XAG - Silver</v>
          </cell>
          <cell r="AO200" t="str">
            <v>600 - BPR KONVENSIONAL</v>
          </cell>
          <cell r="AU200" t="str">
            <v xml:space="preserve">323000 - Industri Radio, Televisi, Alat-alat Rekaman Suara dan Gambar, dan Sejenisnya </v>
          </cell>
          <cell r="AV200" t="str">
            <v>5309 - Kab. Sekadau</v>
          </cell>
          <cell r="AX200" t="str">
            <v>Konawe, Kab. - 6906</v>
          </cell>
        </row>
        <row r="201">
          <cell r="AI201" t="str">
            <v>6417 - Distribusi Gula</v>
          </cell>
          <cell r="AM201" t="str">
            <v>3505 - Indragiri Hilir, Kab.</v>
          </cell>
          <cell r="AN201" t="str">
            <v>XAU - Gold</v>
          </cell>
          <cell r="AO201" t="str">
            <v>601 - BPR SYARIAH</v>
          </cell>
          <cell r="AU201" t="str">
            <v xml:space="preserve">331000 - Industri Peralatan Kedokteran, dan Peralatan Untuk Mengukur, Memeriksa, Menguji, dan Bagian Lainnya, Kecuali Alat-alat Optik </v>
          </cell>
          <cell r="AV201" t="str">
            <v>5310 - Kab. Melawi</v>
          </cell>
          <cell r="AX201" t="str">
            <v>Kota Baru, Kab. - 5108</v>
          </cell>
        </row>
        <row r="202">
          <cell r="AI202" t="str">
            <v>6418 - Distribusi Tepung Terigu</v>
          </cell>
          <cell r="AM202" t="str">
            <v>3508 - Rokan Hulu, Kab.</v>
          </cell>
          <cell r="AN202" t="str">
            <v>XCD - East Caribbean Dollar</v>
          </cell>
          <cell r="AO202" t="str">
            <v>700 - BRI NEW YORK</v>
          </cell>
          <cell r="AU202" t="str">
            <v xml:space="preserve">332000 - Industri Instrumen Optik dan Peralatan Fotografi </v>
          </cell>
          <cell r="AV202" t="str">
            <v>5311 - Kab. Kayong Utara</v>
          </cell>
          <cell r="AX202" t="str">
            <v>Kota Gunung Sitoli - 3397</v>
          </cell>
        </row>
        <row r="203">
          <cell r="AI203" t="str">
            <v>6419 - Distribusi Garam</v>
          </cell>
          <cell r="AM203" t="str">
            <v>3509 - Rokan Hilir, Kab.</v>
          </cell>
          <cell r="AN203" t="str">
            <v>XDR - Special Drawing Right</v>
          </cell>
          <cell r="AO203" t="str">
            <v>701 - BRI CAYMAN ISLAND</v>
          </cell>
          <cell r="AU203" t="str">
            <v>333000 - Industri Jam, Lonceng, dan Sejenisnya</v>
          </cell>
          <cell r="AV203" t="str">
            <v>5312 - Kab. Kubu Raya</v>
          </cell>
          <cell r="AX203" t="str">
            <v>Kota Sungai Penuh - 3192</v>
          </cell>
        </row>
        <row r="204">
          <cell r="AI204" t="str">
            <v>6420 - Distribusi Bahan Bakar Minyak</v>
          </cell>
          <cell r="AM204" t="str">
            <v>3510 - Pelalawan, Kab.</v>
          </cell>
          <cell r="AN204" t="str">
            <v>XOF - CFA Franc BCEAO</v>
          </cell>
          <cell r="AO204" t="str">
            <v>706 - BANK MANDIRI TOKYO</v>
          </cell>
          <cell r="AU204" t="str">
            <v>341000 - Industri Kendaraan Bermotor Roda Empat Atau Lebih</v>
          </cell>
          <cell r="AV204" t="str">
            <v>5391 - Kota Pontianak</v>
          </cell>
          <cell r="AX204" t="str">
            <v>Kota Tangerang Selatan - 0294</v>
          </cell>
        </row>
        <row r="205">
          <cell r="AI205" t="str">
            <v>6490 - Distribusi lainnya</v>
          </cell>
          <cell r="AM205" t="str">
            <v>3511 - Siak, Kab.</v>
          </cell>
          <cell r="AN205" t="str">
            <v>XPF - Franc Pacific Is.Fran</v>
          </cell>
          <cell r="AO205" t="str">
            <v>707 - BANK MANDIRI CAYMAN ISLAND</v>
          </cell>
          <cell r="AU205" t="str">
            <v>342000 - Industri Karoseri Kendaraan Bermotor Roda Empat Atau Lebih</v>
          </cell>
          <cell r="AV205" t="str">
            <v>5392 - Kota Singkawang</v>
          </cell>
          <cell r="AX205" t="str">
            <v>Kota. Bima - 7192</v>
          </cell>
        </row>
        <row r="206">
          <cell r="AI206" t="str">
            <v>6500 - Perdagangan Eceran</v>
          </cell>
          <cell r="AM206" t="str">
            <v>3512 - Kuantan Singingi, Kab.</v>
          </cell>
          <cell r="AN206" t="str">
            <v>YER - Yemeni Rial</v>
          </cell>
          <cell r="AO206" t="str">
            <v>708 - BANK MANDIRI SINGAPORE</v>
          </cell>
          <cell r="AU206" t="str">
            <v>343000 - Industri Perlengkapan dan Komponen Kendaraan Bermotor Roda Empat Atau Lebih</v>
          </cell>
          <cell r="AV206" t="str">
            <v>5401 - Kab. Kutai Kartanegara</v>
          </cell>
          <cell r="AX206" t="str">
            <v>Kota. Tomohon - 6294</v>
          </cell>
        </row>
        <row r="207">
          <cell r="AI207" t="str">
            <v>6610 - Restoran</v>
          </cell>
          <cell r="AM207" t="str">
            <v>3513 - Kab. Kepulauan Meranti</v>
          </cell>
          <cell r="AN207" t="str">
            <v>YUD - New Dinar</v>
          </cell>
          <cell r="AO207" t="str">
            <v>709 - BANK MANDIRI HONGKONG</v>
          </cell>
          <cell r="AU207" t="str">
            <v>351000 - Industri Pembuatan dan Perbaikan Kapal dan Perahu</v>
          </cell>
          <cell r="AV207" t="str">
            <v>5402 - Kab. Berau</v>
          </cell>
          <cell r="AX207" t="str">
            <v>Kotamobagu, Kota. - 6292</v>
          </cell>
        </row>
        <row r="208">
          <cell r="AI208" t="str">
            <v>6620 - Hotel</v>
          </cell>
          <cell r="AM208" t="str">
            <v>3591 - Pekanbaru, Kota.</v>
          </cell>
          <cell r="AN208" t="str">
            <v>YUN - New Yugoslavian</v>
          </cell>
          <cell r="AO208" t="str">
            <v>710 - BANK MANDIRI COOK ISLAND</v>
          </cell>
          <cell r="AU208" t="str">
            <v xml:space="preserve">352000 - Industri Kereta Api, Bagian-bagian dan Perlengkapannya, Serta Perbaikan Kereta Api </v>
          </cell>
          <cell r="AV208" t="str">
            <v>5403 - Kab. Pasir</v>
          </cell>
          <cell r="AX208" t="str">
            <v>Kotawaringin Barat, Kab. - 5802</v>
          </cell>
        </row>
        <row r="209">
          <cell r="AI209" t="str">
            <v>7000 - Pengangkutan, Pergudangan, Komunikasi</v>
          </cell>
          <cell r="AM209" t="str">
            <v>3592 - Dumai, Kota.</v>
          </cell>
          <cell r="AN209" t="str">
            <v>ZAL - Rand (South African Rand)</v>
          </cell>
          <cell r="AO209" t="str">
            <v>711 - MANDIRI - TIMOR TIMUR</v>
          </cell>
          <cell r="AU209" t="str">
            <v xml:space="preserve">353000 - Industri Pesawat Terbang dan Perlengkapannya Serta Perbaikan Pesawat Terbang </v>
          </cell>
          <cell r="AV209" t="str">
            <v>5404 - Kab. Bulungan</v>
          </cell>
          <cell r="AX209" t="str">
            <v>Kotawaringin Timur, Kab. - 5803</v>
          </cell>
        </row>
        <row r="210">
          <cell r="AI210" t="str">
            <v>7110 - Pengangkutan Umum Darat</v>
          </cell>
          <cell r="AM210" t="str">
            <v>3606 - Musi Banyuasin, Kab.</v>
          </cell>
          <cell r="AN210" t="str">
            <v>ZAR - Rand (South African Rand)</v>
          </cell>
          <cell r="AO210" t="str">
            <v>712 - BANK MANDIRI SHANGHAI</v>
          </cell>
          <cell r="AU210" t="str">
            <v xml:space="preserve">359100 - Industri Kendaraan Bermotor Roda Dua dan Tiga Serta Komponen dan Perlengkapannya </v>
          </cell>
          <cell r="AV210" t="str">
            <v>5405 - Kab. Kutai Barat</v>
          </cell>
          <cell r="AX210" t="str">
            <v>Kuantan Singingi, Kab. - 3512</v>
          </cell>
        </row>
        <row r="211">
          <cell r="AI211" t="str">
            <v>7120 - Pengangkutan Umum Sungai</v>
          </cell>
          <cell r="AM211" t="str">
            <v>3607 - Ogan Komering Ulu, Kab.</v>
          </cell>
          <cell r="AN211" t="str">
            <v>ZMK - Zambian Kwacha</v>
          </cell>
          <cell r="AO211" t="str">
            <v>729 - BNI NEW YORK</v>
          </cell>
          <cell r="AU211" t="str">
            <v xml:space="preserve">359900 - Industri Alat Angkut yang Tidak Diklasifikasikan di Tempat Lain </v>
          </cell>
          <cell r="AV211" t="str">
            <v>5406 - Kab. Kutai Timur</v>
          </cell>
          <cell r="AX211" t="str">
            <v>Kubu Raya, Kab. - 5312</v>
          </cell>
        </row>
        <row r="212">
          <cell r="AI212" t="str">
            <v>7130 - Pengangkutan Umum Laut</v>
          </cell>
          <cell r="AM212" t="str">
            <v>3608 - Lematang Ilir Ogan Tengah (Muara Enim), Kab.</v>
          </cell>
          <cell r="AN212" t="str">
            <v>ZWD - Zimbabwe Dollar</v>
          </cell>
          <cell r="AO212" t="str">
            <v>730 - BNI CAYMAN ISLAND</v>
          </cell>
          <cell r="AU212" t="str">
            <v xml:space="preserve">361000 - Industri Furnitur </v>
          </cell>
          <cell r="AV212" t="str">
            <v>5409 - Kab. Nunukan</v>
          </cell>
          <cell r="AX212" t="str">
            <v>Kudus, Kab. - 0909</v>
          </cell>
        </row>
        <row r="213">
          <cell r="AI213" t="str">
            <v>7140 - Pengangkutan Umum Udara</v>
          </cell>
          <cell r="AM213" t="str">
            <v>3609 - Lahat, Kab.</v>
          </cell>
          <cell r="AO213" t="str">
            <v>731 - BNI LONDON</v>
          </cell>
          <cell r="AU213" t="str">
            <v>369000 - Industri Pengolahan Lainnya</v>
          </cell>
          <cell r="AV213" t="str">
            <v>5410 - Kab. Malinau</v>
          </cell>
          <cell r="AX213" t="str">
            <v>Kulon Progo, Kab. - 0504</v>
          </cell>
        </row>
        <row r="214">
          <cell r="AI214" t="str">
            <v>7200 - Biro Perjalanan</v>
          </cell>
          <cell r="AM214" t="str">
            <v>3610 - Musi Rawas, Kab.</v>
          </cell>
          <cell r="AO214" t="str">
            <v>732 - BNI TOKYO</v>
          </cell>
          <cell r="AU214" t="str">
            <v xml:space="preserve">371000 - Daur Ulang Barang-barang Logam </v>
          </cell>
          <cell r="AV214" t="str">
            <v>5411 - Kab. Penajam Paser Utara</v>
          </cell>
          <cell r="AX214" t="str">
            <v>Kuningan, Kab. - 0117</v>
          </cell>
        </row>
        <row r="215">
          <cell r="AI215" t="str">
            <v>7300 - Pergudangan</v>
          </cell>
          <cell r="AM215" t="str">
            <v>3611 - Ogan Komering Ilir, Kab.</v>
          </cell>
          <cell r="AO215" t="str">
            <v>733 - BNI HONGKONG</v>
          </cell>
          <cell r="AU215" t="str">
            <v xml:space="preserve">372000 - Daur Ulang Barang-barang Bukan logam </v>
          </cell>
          <cell r="AV215" t="str">
            <v>5412 - Kab. Tana Tidung</v>
          </cell>
          <cell r="AX215" t="str">
            <v>Kupang, Kab. - 7401</v>
          </cell>
        </row>
        <row r="216">
          <cell r="AI216" t="str">
            <v>7400 - Komunikasi</v>
          </cell>
          <cell r="AM216" t="str">
            <v>3613 - Banyuasin, Kab</v>
          </cell>
          <cell r="AO216" t="str">
            <v>734 - BNI SINGAPORE</v>
          </cell>
          <cell r="AU216" t="str">
            <v>401001 - Ketenagalistrikan Pedesaan</v>
          </cell>
          <cell r="AV216" t="str">
            <v>5491 - Kota Samarinda</v>
          </cell>
          <cell r="AX216" t="str">
            <v>Kupang, Kota. - 7491</v>
          </cell>
        </row>
        <row r="217">
          <cell r="AI217" t="str">
            <v>8000 - Jasa-jasa Dunia Usaha</v>
          </cell>
          <cell r="AM217" t="str">
            <v>3614 - Ogan Komering Ulu Selatan, Kab</v>
          </cell>
          <cell r="AO217" t="str">
            <v>745 - BANK DANAMON INDONESIA CAYMAN ISLAND</v>
          </cell>
          <cell r="AU217" t="str">
            <v>401002 - Ketenagalistrikan Lainnya</v>
          </cell>
          <cell r="AV217" t="str">
            <v>5492 - Kota Balikpapan</v>
          </cell>
          <cell r="AX217" t="str">
            <v>Kutai Barat, Kab. - 5405</v>
          </cell>
        </row>
        <row r="218">
          <cell r="AI218" t="str">
            <v>8111 - Jasa-jasa Dunia Usaha - Perumahan Sederhana PERUMNAS</v>
          </cell>
          <cell r="AM218" t="str">
            <v>3615 - Ogan Komering Ulu Timur, Kab</v>
          </cell>
          <cell r="AO218" t="str">
            <v>748 - BANK PERMATA CAYMAN ISLAND</v>
          </cell>
          <cell r="AU218" t="str">
            <v xml:space="preserve">402000 - Gas </v>
          </cell>
          <cell r="AV218" t="str">
            <v>5493 - Kota Tarakan</v>
          </cell>
          <cell r="AX218" t="str">
            <v>Kutai Kartanegara, Kab. - 5401</v>
          </cell>
        </row>
        <row r="219">
          <cell r="AI219" t="str">
            <v>8119 - Jasa-jasa Dunia Usaha - Perumahan Sederhana selain PERUMNAS</v>
          </cell>
          <cell r="AM219" t="str">
            <v>3616 - Ogan Ilir, Kab</v>
          </cell>
          <cell r="AO219" t="str">
            <v>749 - BANK PERMATA LOS ANGELES</v>
          </cell>
          <cell r="AU219" t="str">
            <v xml:space="preserve">403000 - Uap dan Air Panas </v>
          </cell>
          <cell r="AV219" t="str">
            <v>5494 - Kota Bontang</v>
          </cell>
          <cell r="AX219" t="str">
            <v>Kutai Timur, Kab. - 5406</v>
          </cell>
        </row>
        <row r="220">
          <cell r="AI220" t="str">
            <v>8120 - Jasa-jasa Dunia Usaha - Real Estate - Pasar Inpres</v>
          </cell>
          <cell r="AM220" t="str">
            <v>3303 - Karo, Kab.</v>
          </cell>
          <cell r="AO220" t="str">
            <v>752 - BCA NEW YORK</v>
          </cell>
          <cell r="AU220" t="str">
            <v xml:space="preserve">410000 - Pengadaan dan Penyaluran Air Bersih </v>
          </cell>
          <cell r="AV220" t="str">
            <v>3693 - Kota Lubuklinggau</v>
          </cell>
          <cell r="AX220" t="str">
            <v>Labuanbatu Selatan, Kab - 3324</v>
          </cell>
        </row>
        <row r="221">
          <cell r="AI221" t="str">
            <v>8190 - Jasa-jasa Dunia Usaha - Real Estate Lainnya</v>
          </cell>
          <cell r="AM221" t="str">
            <v>3304 - Simalungun, Kab.</v>
          </cell>
          <cell r="AO221" t="str">
            <v>753 - BCA BAHAMA</v>
          </cell>
          <cell r="AU221" t="str">
            <v>451001 - Penyiapan Tanah Pemukiman Transmigrasi (PTPT)</v>
          </cell>
          <cell r="AV221" t="str">
            <v>3694 - Kota Prabumulih</v>
          </cell>
          <cell r="AX221" t="str">
            <v>Labuanbatu Utara, Kab - 3325</v>
          </cell>
        </row>
        <row r="222">
          <cell r="AI222" t="str">
            <v>8200 - Jasa-jasa Dunia Usaha - Profesi selain Dokter</v>
          </cell>
          <cell r="AM222" t="str">
            <v>3617 - Empat Lawang</v>
          </cell>
          <cell r="AO222" t="str">
            <v>754 - BANK LIPPO - CAYMAN ISLAND</v>
          </cell>
          <cell r="AU222" t="str">
            <v>451002 - Pencetakan Lahan Sawah</v>
          </cell>
          <cell r="AV222" t="str">
            <v>5801 - Kab. Kapuas</v>
          </cell>
          <cell r="AX222" t="str">
            <v>Labuhan Batu, Kab. - 3305</v>
          </cell>
        </row>
        <row r="223">
          <cell r="AI223" t="str">
            <v>8300 - Jasa-jasa Dunia Usaha - Leasing</v>
          </cell>
          <cell r="AM223" t="str">
            <v>3691 - Palembang, Kota.</v>
          </cell>
          <cell r="AO223" t="str">
            <v>758 - BII CAYMAN ISLAND</v>
          </cell>
          <cell r="AU223" t="str">
            <v>451009 - Penyiapan Lahan Lainnya</v>
          </cell>
          <cell r="AV223" t="str">
            <v>5802 - Kab. Kotawaringin Barat</v>
          </cell>
          <cell r="AX223" t="str">
            <v>Lahat, Kab. - 3609</v>
          </cell>
        </row>
        <row r="224">
          <cell r="AI224" t="str">
            <v>8900 - Jasa-jasa Dunia Usaha - Lainnya</v>
          </cell>
          <cell r="AM224" t="str">
            <v>3693 - Lubuklinggau, Kota.</v>
          </cell>
          <cell r="AO224" t="str">
            <v>759 - BII COOK ISLAND</v>
          </cell>
          <cell r="AU224" t="str">
            <v>452111 - Konstruksi Perumahan Sederhana - Bank Tabungan Negara</v>
          </cell>
          <cell r="AV224" t="str">
            <v>5803 - Kab. Kotawaringin Timur</v>
          </cell>
          <cell r="AX224" t="str">
            <v>Lamandau, Kab. - 5813</v>
          </cell>
        </row>
        <row r="225">
          <cell r="AI225" t="str">
            <v>9000 - Jasa-jasa sosial/masyarakat</v>
          </cell>
          <cell r="AM225" t="str">
            <v>3694 - Prabumulih, Kota.</v>
          </cell>
          <cell r="AO225" t="str">
            <v>760 - BII BOMBAY (INDIA)</v>
          </cell>
          <cell r="AU225" t="str">
            <v>452112 - Konstruksi Perumahan Sederhana - Perumnas</v>
          </cell>
          <cell r="AV225" t="str">
            <v>5806 - Kab. Barito Selatan</v>
          </cell>
          <cell r="AX225" t="str">
            <v>Lamongan, Kab. - 1229</v>
          </cell>
        </row>
        <row r="226">
          <cell r="AI226" t="str">
            <v>9100 - Jasa-jasa sosial/masyarakat - Hiburan dan Kebudayaan</v>
          </cell>
          <cell r="AM226" t="str">
            <v>3697 - Pagar Alam, Kota.</v>
          </cell>
          <cell r="AO226" t="str">
            <v>761 - BII PORT LOUIS (REP.MAURITIUS)</v>
          </cell>
          <cell r="AU226" t="str">
            <v>452113 - Konstruksi Perumahan Sederhana - Lainnya Tipe s.d. 21</v>
          </cell>
          <cell r="AV226" t="str">
            <v>5808 - Kab. Barito Utara</v>
          </cell>
          <cell r="AX226" t="str">
            <v>Lampung Barat, Kab. - 3904</v>
          </cell>
        </row>
        <row r="227">
          <cell r="AI227" t="str">
            <v>9210 - Jasa-jasa sosial/masyarakat - Kesehatan - Profesi</v>
          </cell>
          <cell r="AM227" t="str">
            <v>3701 - Bangka, Kab.</v>
          </cell>
          <cell r="AO227" t="str">
            <v>766 - BANK PANIN CAYMAN ISLAND</v>
          </cell>
          <cell r="AU227" t="str">
            <v>452114 - Konstruksi Perumahan Sederhana - Lainnya Tipe 22 s.d. 70</v>
          </cell>
          <cell r="AV227" t="str">
            <v>5804 - Kab. Murung Raya</v>
          </cell>
          <cell r="AX227" t="str">
            <v>Lampung Selatan, Kab. - 3901</v>
          </cell>
        </row>
        <row r="228">
          <cell r="AI228" t="str">
            <v>9220 - Jasa-jasa sosial/masyarakat - Kesehatan - Tempat Perawatan/Pengobatan</v>
          </cell>
          <cell r="AM228" t="str">
            <v>3702 - Belitung, Kab.</v>
          </cell>
          <cell r="AO228" t="str">
            <v>767 - BANK PANIN COOK ISLAND</v>
          </cell>
          <cell r="AU228" t="str">
            <v>452115 - Konstruksi Perumahan Menengah, Besar, Mewah (Tipe Diatas 70)</v>
          </cell>
          <cell r="AV228" t="str">
            <v>5805 - Kab. Barito Timur</v>
          </cell>
          <cell r="AX228" t="str">
            <v>Lampung Tengah, Kab. - 3902</v>
          </cell>
        </row>
        <row r="229">
          <cell r="AI229" t="str">
            <v>9310 - Jasa-jasa sosial/masyarakat - Pendidikan - Perguruan Tinggi</v>
          </cell>
          <cell r="AM229" t="str">
            <v>3703 - Bangka Barat, Kab</v>
          </cell>
          <cell r="AO229" t="str">
            <v>770 - BANK NIAGA CAYMAN ISLAND</v>
          </cell>
          <cell r="AU229" t="str">
            <v xml:space="preserve">452120 - Konstruksi Gedung Perkantoran </v>
          </cell>
          <cell r="AV229" t="str">
            <v>5807 - Kab. Gunung Mas</v>
          </cell>
          <cell r="AX229" t="str">
            <v>Lampung Timur, Kab. - 3907</v>
          </cell>
        </row>
        <row r="230">
          <cell r="AI230" t="str">
            <v>9390 - Jasa-jasa sosial/masyarakat - Pendidikan Lainnya</v>
          </cell>
          <cell r="AM230" t="str">
            <v>3704 - Bangka Selatan, Kab</v>
          </cell>
          <cell r="AO230" t="str">
            <v>771 - BANK NIAGA LOS ANGELES</v>
          </cell>
          <cell r="AU230" t="str">
            <v xml:space="preserve">452130 - Konstruksi Gedung Industri </v>
          </cell>
          <cell r="AV230" t="str">
            <v>5809 - Kab. Pulang Pisau</v>
          </cell>
          <cell r="AX230" t="str">
            <v>Lampung Utara, Kab. - 3903</v>
          </cell>
        </row>
        <row r="231">
          <cell r="AI231" t="str">
            <v>9900 - Jasa-jasa sosial/masyarakat -  Lainnya</v>
          </cell>
          <cell r="AM231" t="str">
            <v>3705 - Bangka Tengah, Kab</v>
          </cell>
          <cell r="AO231" t="str">
            <v>793 - BANK SENTRAL NEGARA ASING</v>
          </cell>
          <cell r="AU231" t="str">
            <v>452141 - Konstruksi Gedung Perbelanjaan Pasar Inpres</v>
          </cell>
          <cell r="AV231" t="str">
            <v>5810 - Kab. Seruyan</v>
          </cell>
          <cell r="AX231" t="str">
            <v>Landak, Kab. - 5308</v>
          </cell>
        </row>
        <row r="232">
          <cell r="AI232" t="str">
            <v>9950 - Lain-lain - Perumahan</v>
          </cell>
          <cell r="AM232" t="str">
            <v>3706 - Belitung Timur, Kab</v>
          </cell>
          <cell r="AO232" t="str">
            <v>794 - PRIME BANK (LN) - TERKAIT DENGAN BANK</v>
          </cell>
          <cell r="AU232" t="str">
            <v>452149 - Konstruksi Gedung Perbelanjaan Lainnya</v>
          </cell>
          <cell r="AV232" t="str">
            <v>5811 - Kab. Katingan</v>
          </cell>
          <cell r="AX232" t="str">
            <v>Langkat, Kab. - 3302</v>
          </cell>
        </row>
        <row r="233">
          <cell r="AI233" t="str">
            <v>9960 - Lain-lain - Kendaraan</v>
          </cell>
          <cell r="AM233" t="str">
            <v>3707 - Kab. Bangka Belitung</v>
          </cell>
          <cell r="AO233" t="str">
            <v>795 - PRIME BANK (LN) - TIDAK TERKAIT DENGAN BANK</v>
          </cell>
          <cell r="AU233" t="str">
            <v xml:space="preserve">452190 - Konstruksi Gedung Lainnya </v>
          </cell>
          <cell r="AV233" t="str">
            <v>5812 - Kab. Sukamara</v>
          </cell>
          <cell r="AX233" t="str">
            <v>Langsa, Kota. - 3294</v>
          </cell>
        </row>
        <row r="234">
          <cell r="AI234" t="str">
            <v>9961 - Kendaraan Bermotor Roda &gt; 4</v>
          </cell>
          <cell r="AM234" t="str">
            <v>3791 - Pangkal Pinang, Kota.</v>
          </cell>
          <cell r="AO234" t="str">
            <v>796 - NON PRIME BANK (LN) - TERKAIT DENGAN BANK</v>
          </cell>
          <cell r="AU234" t="str">
            <v>452211 - Bangunan Jalan Raya</v>
          </cell>
          <cell r="AV234" t="str">
            <v>5813 - Kab. Lamandau</v>
          </cell>
          <cell r="AX234" t="str">
            <v>Lanny Jaya, Kab. - 8234</v>
          </cell>
        </row>
        <row r="235">
          <cell r="AI235" t="str">
            <v>9962 - Kendaraan Bermotor Roda 4</v>
          </cell>
          <cell r="AM235" t="str">
            <v>3801 - Karimun, Kab</v>
          </cell>
          <cell r="AO235" t="str">
            <v>797 - NON PRIME BANK (LN) - TIDAK TERKAIT DENGAN BANK</v>
          </cell>
          <cell r="AU235" t="str">
            <v>452212 - Bangunan Jalan Tol</v>
          </cell>
          <cell r="AV235" t="str">
            <v>5892 - Kota Palangkaraya</v>
          </cell>
          <cell r="AX235" t="str">
            <v>Lebak, Kab. - 0201</v>
          </cell>
        </row>
        <row r="236">
          <cell r="AI236" t="str">
            <v>9963 - Kendaraan Bermotor Roda 2</v>
          </cell>
          <cell r="AM236" t="str">
            <v>3802 - Lingga, Kab</v>
          </cell>
          <cell r="AO236" t="str">
            <v>918 - LEMBAGA PEMBIAYAAN EKSPOR IMPOR INDONESIA</v>
          </cell>
          <cell r="AU236" t="str">
            <v>452213 - Bangunan Jalan Jembatan dan Landasan</v>
          </cell>
          <cell r="AV236" t="str">
            <v>6001 - Kab. Donggala</v>
          </cell>
          <cell r="AX236" t="str">
            <v>Lebong, Kab - 2304</v>
          </cell>
        </row>
        <row r="237">
          <cell r="AI237" t="str">
            <v>9970 - Lain-lain - Alat Rumah Tangga</v>
          </cell>
          <cell r="AM237" t="str">
            <v>3803 - Natuna, Kab</v>
          </cell>
          <cell r="AO237" t="str">
            <v>945 - BANK FINCONESIA</v>
          </cell>
          <cell r="AU237" t="str">
            <v xml:space="preserve">452220 - Bangunan Jalan dan Jembatan Kereta Api </v>
          </cell>
          <cell r="AV237" t="str">
            <v>6002 - Kab. Poso</v>
          </cell>
          <cell r="AX237" t="str">
            <v>Lematang Ilir Ogan Tengah (Muara Enim), Kab. - 3608</v>
          </cell>
        </row>
        <row r="238">
          <cell r="AI238" t="str">
            <v>9990 - Lain-lain, Lainnya</v>
          </cell>
          <cell r="AM238" t="str">
            <v>3804 - Bintan, Kab (d/h Kab. Kepulauan Riau</v>
          </cell>
          <cell r="AO238" t="str">
            <v>946 - BANK MERINCORP (dicabut izin usaha)</v>
          </cell>
          <cell r="AU238" t="str">
            <v>452240 - Bangunan Pengairan (Irigasi)</v>
          </cell>
          <cell r="AV238" t="str">
            <v>6003 - Kab. Parimo/Banggai</v>
          </cell>
          <cell r="AX238" t="str">
            <v>Lembata, Kab. - 7413</v>
          </cell>
        </row>
        <row r="239">
          <cell r="AM239" t="str">
            <v>3805 - Kab. Anambas</v>
          </cell>
          <cell r="AO239" t="str">
            <v>947 - MAYBANK INDOCORP</v>
          </cell>
          <cell r="AU239" t="str">
            <v>452270 - Bangunan Dermaga (Pelabuhan)</v>
          </cell>
          <cell r="AV239" t="str">
            <v>6004 - Kab. Toli-Toli</v>
          </cell>
          <cell r="AX239" t="str">
            <v>Lhokseumawe, Kota. - 3293</v>
          </cell>
        </row>
        <row r="240">
          <cell r="AM240" t="str">
            <v>3891 - Tanjungpinang, Kota</v>
          </cell>
          <cell r="AO240" t="str">
            <v>948 - BANK OCBC INDONESIA</v>
          </cell>
          <cell r="AU240" t="str">
            <v xml:space="preserve">452290 - Bangunan Sipil Lainnya </v>
          </cell>
          <cell r="AV240" t="str">
            <v>6005 - Kab.Banggai Kepulauan</v>
          </cell>
          <cell r="AX240" t="str">
            <v>Limapuluh Koto, Kab. - 3403</v>
          </cell>
        </row>
        <row r="241">
          <cell r="AM241" t="str">
            <v>3892 - Batam, Kota</v>
          </cell>
          <cell r="AO241" t="str">
            <v>949 - BANK CHINATRUST INDONESIA</v>
          </cell>
          <cell r="AU241" t="str">
            <v>452301 - Konstruksi Bangunan Listrik Pedesaan</v>
          </cell>
          <cell r="AV241" t="str">
            <v>6006 - Kab. Morowali</v>
          </cell>
          <cell r="AX241" t="str">
            <v>Lingga, Kab - 3802</v>
          </cell>
        </row>
        <row r="242">
          <cell r="AM242" t="str">
            <v>3901 - Lampung Selatan, Kab.</v>
          </cell>
          <cell r="AO242" t="str">
            <v>950 - BANK COMMONWEALTH</v>
          </cell>
          <cell r="AU242" t="str">
            <v>452309 - Konstruksi Bangunan Elektrikal dan Komunikasi Lainnya</v>
          </cell>
          <cell r="AV242" t="str">
            <v>6007 - Kab. Buol</v>
          </cell>
          <cell r="AX242" t="str">
            <v>Lombok Barat, Kab. - 7101</v>
          </cell>
        </row>
        <row r="243">
          <cell r="AM243" t="str">
            <v>3902 - Lampung Tengah, Kab.</v>
          </cell>
          <cell r="AO243" t="str">
            <v>0010 - Penduduk - Sektor Pemerintah - Pemerintah Pusat - Kantor Perbendaharaan dan Kas Negara (KPKN)</v>
          </cell>
          <cell r="AU243" t="str">
            <v xml:space="preserve">452400 - Konstruksi Khusus </v>
          </cell>
          <cell r="AV243" t="str">
            <v>6008 - Kab. Tojo Una-Una</v>
          </cell>
          <cell r="AX243" t="str">
            <v>Lombok Tengah, Kab. - 7102</v>
          </cell>
        </row>
        <row r="244">
          <cell r="AM244" t="str">
            <v>3903 - Lampung Utara, Kab.</v>
          </cell>
          <cell r="AO244" t="str">
            <v>0020 - Penduduk - Sektor Pemerintah - Pemerintah Pusat - Departemen Keuangan</v>
          </cell>
          <cell r="AU244" t="str">
            <v xml:space="preserve">453100 - Instalasi Gedung </v>
          </cell>
          <cell r="AV244" t="str">
            <v>6009 - Kab. Parigi Moutong</v>
          </cell>
          <cell r="AX244" t="str">
            <v>Lombok Timur, Kab. - 7103</v>
          </cell>
        </row>
        <row r="245">
          <cell r="AM245" t="str">
            <v>3305 - Labuhan Batu, Kab.</v>
          </cell>
          <cell r="AO245" t="str">
            <v>0030 - Penduduk - Sektor Pemerintah - Pemerintah Pusat - Departemen Pertahanan</v>
          </cell>
          <cell r="AU245" t="str">
            <v xml:space="preserve">453200 - Instalasi Bangunan Sipil </v>
          </cell>
          <cell r="AV245" t="str">
            <v>3697 - Kota Pagar Alam</v>
          </cell>
          <cell r="AX245" t="str">
            <v>Lombok Utara, Kab - 7108</v>
          </cell>
        </row>
        <row r="246">
          <cell r="AM246" t="str">
            <v>3904 - Lampung Barat, Kab.</v>
          </cell>
          <cell r="AO246" t="str">
            <v>0040 - Penduduk - Sektor Pemerintah - Pemerintah Pusat - Departemen Kehutanan</v>
          </cell>
          <cell r="AU246" t="str">
            <v xml:space="preserve">454000 - Penyelesaian Konstruksi Gedung </v>
          </cell>
          <cell r="AV246" t="str">
            <v>6010 - Kab. Sigi</v>
          </cell>
          <cell r="AX246" t="str">
            <v>Lubuklinggau, Kota. - 3693</v>
          </cell>
        </row>
        <row r="247">
          <cell r="AM247" t="str">
            <v>3905 - Tulang Bawang, Kab.</v>
          </cell>
          <cell r="AO247" t="str">
            <v>0050 - Penduduk - Sektor Pemerintah - Pemerintah Pusat - Departemen Pertanian</v>
          </cell>
          <cell r="AU247" t="str">
            <v xml:space="preserve">455000 - Penghancur Bangunan Dengan Operatornya </v>
          </cell>
          <cell r="AV247" t="str">
            <v>6091 - Kota Palu</v>
          </cell>
          <cell r="AX247" t="str">
            <v>Lumajang, Kab. - 1216</v>
          </cell>
        </row>
        <row r="248">
          <cell r="AM248" t="str">
            <v>3306 - Asahan, Kab.</v>
          </cell>
          <cell r="AO248" t="str">
            <v>0060 - Penduduk - Sektor Pemerintah - Pemerintah Pusat - Departemen Pertambangan dan Energi</v>
          </cell>
          <cell r="AU248" t="str">
            <v>501000 - Penjualan Mobil</v>
          </cell>
          <cell r="AV248" t="str">
            <v>3701 - Kab. Bangka</v>
          </cell>
          <cell r="AX248" t="str">
            <v>Luwu Timur, Kab (d/h Luwu Selatan) - 6122</v>
          </cell>
        </row>
        <row r="249">
          <cell r="AM249" t="str">
            <v>3906 - Tanggamus, Kab.</v>
          </cell>
          <cell r="AO249" t="str">
            <v>0070 - Penduduk - Sektor Pemerintah - Pemerintah Pusat - Departemen Agama</v>
          </cell>
          <cell r="AU249" t="str">
            <v xml:space="preserve">502000 - Penjualan Suku Cadang dan Aksesoris Mobil </v>
          </cell>
          <cell r="AV249" t="str">
            <v>6101 - Kab. Pinrang</v>
          </cell>
          <cell r="AX249" t="str">
            <v>Luwu Utara, Kab. - 6124</v>
          </cell>
        </row>
        <row r="250">
          <cell r="AM250" t="str">
            <v>3907 - Lampung Timur, Kab.</v>
          </cell>
          <cell r="AO250" t="str">
            <v xml:space="preserve">0080 - Penduduk - Sektor Pemerintah - Pemerintah Pusat - Kementrian Negara BUMN </v>
          </cell>
          <cell r="AU250" t="str">
            <v>503001 - Penjualan Sepeda Motor</v>
          </cell>
          <cell r="AV250" t="str">
            <v>6102 - Kab. Gowa</v>
          </cell>
          <cell r="AX250" t="str">
            <v>Luwu, Kab. - 6109</v>
          </cell>
        </row>
        <row r="251">
          <cell r="AM251" t="str">
            <v>3908 - Way Kanan, Kab.</v>
          </cell>
          <cell r="AO251" t="str">
            <v>0999 - Penduduk - Sektor Pemerintah - Pemerintah Pusat - Departemen lainnya</v>
          </cell>
          <cell r="AU251" t="str">
            <v>503002 - Penjualan Suku Cadang dan Aksesoris Sepeda Motor</v>
          </cell>
          <cell r="AV251" t="str">
            <v>6103 - Kab. Wajo</v>
          </cell>
          <cell r="AX251" t="str">
            <v>Madiun, Kab. - 1222</v>
          </cell>
        </row>
        <row r="252">
          <cell r="AM252" t="str">
            <v>3909 - Pesawaran, Kab</v>
          </cell>
          <cell r="AO252" t="str">
            <v>1010 - Penduduk - Sektor Pemerintah - Pemerintah Daerah (Pemda) - Provinsi</v>
          </cell>
          <cell r="AU252" t="str">
            <v xml:space="preserve">504000 - Perdagangan Eceran Bahan Bakar Kendaraan </v>
          </cell>
          <cell r="AV252" t="str">
            <v>2391 - Kota Bengkulu</v>
          </cell>
          <cell r="AX252" t="str">
            <v>Madiun, Kota. - 1298</v>
          </cell>
        </row>
        <row r="253">
          <cell r="AM253" t="str">
            <v>3910 - Kab. Pringsewu</v>
          </cell>
          <cell r="AO253" t="str">
            <v xml:space="preserve">1020 - Penduduk - Sektor Pemerintah - Pemerintah Daerah (Pemda) - Pemerintah Kota </v>
          </cell>
          <cell r="AU253" t="str">
            <v xml:space="preserve">511000 - Perdagangan Besar Berdasarkan Balas Jasa (Fee) Atau Kontrak </v>
          </cell>
          <cell r="AV253" t="str">
            <v>3101 - Kab. Batanghari</v>
          </cell>
          <cell r="AX253" t="str">
            <v>Magelang, Kab. - 0918</v>
          </cell>
        </row>
        <row r="254">
          <cell r="AM254" t="str">
            <v>3911 - Kab. Tulang Bawang Barat</v>
          </cell>
          <cell r="AO254" t="str">
            <v xml:space="preserve">1030 - Penduduk - Sektor Pemerintah - Pemerintah Daerah (Pemda) - Pemerintah Kabupaten </v>
          </cell>
          <cell r="AU254" t="str">
            <v>512111 - Perdagangan Jagung</v>
          </cell>
          <cell r="AV254" t="str">
            <v>3104 - Kab. Sarolangun</v>
          </cell>
          <cell r="AX254" t="str">
            <v>Magelang, Kota. - 0995</v>
          </cell>
        </row>
        <row r="255">
          <cell r="AM255" t="str">
            <v>3912 - Kab. Mesuji</v>
          </cell>
          <cell r="AO255" t="str">
            <v>2010 - Penduduk - Sektor Pemerintah - Badan dan lembaga pemerintah - Badan Urusan Logistik (BULOG)</v>
          </cell>
          <cell r="AU255" t="str">
            <v>512112 - Perdagangan Tembakau</v>
          </cell>
          <cell r="AV255" t="str">
            <v>3105 - Kab. Kerinci</v>
          </cell>
          <cell r="AX255" t="str">
            <v>Magetan, Kab. - 1224</v>
          </cell>
        </row>
        <row r="256">
          <cell r="AM256" t="str">
            <v>3991 - Bandar Lampung, Kota.</v>
          </cell>
          <cell r="AO256" t="str">
            <v>2020 - Penduduk - Sektor Pemerintah - Badan dan lembaga pemerintah - Lembaga Penjamin Simpanan (LPS)</v>
          </cell>
          <cell r="AU256" t="str">
            <v xml:space="preserve">512113 - Perdagangan Karet </v>
          </cell>
          <cell r="AV256" t="str">
            <v>3106 - Kab. Muaro Jambi</v>
          </cell>
          <cell r="AX256" t="str">
            <v>Majalengka, Kab. - 0119</v>
          </cell>
        </row>
        <row r="257">
          <cell r="AM257" t="str">
            <v>3992 - Metro, Kota.</v>
          </cell>
          <cell r="AO257" t="str">
            <v>2090 - Penduduk - Sektor Pemerintah - Badan dan lembaga pemerintah - Lainnya</v>
          </cell>
          <cell r="AU257" t="str">
            <v>512114 - Perdagangan Cengkeh</v>
          </cell>
          <cell r="AV257" t="str">
            <v>3107 - Kab. Tanjung Jabung Barat</v>
          </cell>
          <cell r="AX257" t="str">
            <v>Majene, Kab. - 6402</v>
          </cell>
        </row>
        <row r="258">
          <cell r="AM258" t="str">
            <v>5101 - Banjar, Kab.</v>
          </cell>
          <cell r="AO258" t="str">
            <v>4111 - Penduduk - Sektor Pemerintah - Badan Usaha Milik Negara (BUMN) atau Pemerintah Campuran - Lembaga Keuangan Non Bank - Perusahaan Asuransi dan Dana Pensiun - Asuransi - Jamsostek</v>
          </cell>
          <cell r="AU258" t="str">
            <v>512115 - Perdagangan Lada</v>
          </cell>
          <cell r="AV258" t="str">
            <v>3108 - Kab. Tanjung Jabung Timur</v>
          </cell>
          <cell r="AX258" t="str">
            <v>Makassar, Kota. - 6191</v>
          </cell>
        </row>
        <row r="259">
          <cell r="AM259" t="str">
            <v>5102 - Tanah Laut, Kab.</v>
          </cell>
          <cell r="AO259" t="str">
            <v>4112 - Penduduk - Sektor Pemerintah - Badan Usaha Milik Negara (BUMN) atau Pemerintah Campuran - Lembaga Keuangan Non Bank - Perusahaan Asuransi dan Dana Pensiun - Asuransi - Taspen</v>
          </cell>
          <cell r="AU259" t="str">
            <v>512116 - Perdagangan Kelapa dan Kelapa Sawit</v>
          </cell>
          <cell r="AV259" t="str">
            <v>3109 - Kab. Tebo</v>
          </cell>
          <cell r="AX259" t="str">
            <v>Malang, Kab. - 1213</v>
          </cell>
        </row>
        <row r="260">
          <cell r="AM260" t="str">
            <v>5103 - Tapin, Kab.</v>
          </cell>
          <cell r="AO260" t="str">
            <v>4113 - Penduduk - Sektor Pemerintah - Badan Usaha Milik Negara (BUMN) atau Pemerintah Campuran - Lembaga Keuangan Non Bank - Perusahaan Asuransi dan Dana Pensiun - Asuransi - Jiwasraya</v>
          </cell>
          <cell r="AU260" t="str">
            <v>512117 - Perdagangan Kapas</v>
          </cell>
          <cell r="AV260" t="str">
            <v>3111 - Kab. Merangin</v>
          </cell>
          <cell r="AX260" t="str">
            <v>Malang, Kota. - 1293</v>
          </cell>
        </row>
        <row r="261">
          <cell r="AM261" t="str">
            <v>5104 - Hulu Sungai Selatan, Kab.</v>
          </cell>
          <cell r="AO261" t="str">
            <v>4114 - Penduduk - Sektor Pemerintah - Badan Usaha Milik Negara (BUMN) atau Pemerintah Campuran - Lembaga Keuangan Non Bank - Perusahaan Asuransi dan Dana Pensiun - Asuransi - Jasa Raharja</v>
          </cell>
          <cell r="AU261" t="str">
            <v>512119 - Perdagangan Besar Dalam Negeri Hasil Pertanian Lainnya</v>
          </cell>
          <cell r="AV261" t="str">
            <v>3112 - Kab. Bungo</v>
          </cell>
          <cell r="AX261" t="str">
            <v>Malinau, Kab. - 5410</v>
          </cell>
        </row>
        <row r="262">
          <cell r="AM262" t="str">
            <v>3307 - Dairi, Kab.</v>
          </cell>
          <cell r="AO262" t="str">
            <v>4115 - Penduduk - Sektor Pemerintah - Badan Usaha Milik Negara (BUMN) atau Pemerintah Campuran - Lembaga Keuangan Non Bank - Perusahaan Asuransi dan Dana Pensiun - Asuransi - Jasindo</v>
          </cell>
          <cell r="AU262" t="str">
            <v>512120 - Perdagangan Besar Dalam Negeri Binatang Hidup</v>
          </cell>
          <cell r="AV262" t="str">
            <v>3702 - Kab. Belitung</v>
          </cell>
          <cell r="AX262" t="str">
            <v>Maluku Barat Daya, Kab - 8108</v>
          </cell>
        </row>
        <row r="263">
          <cell r="AM263" t="str">
            <v>5105 - Hulu Sungai Tengah, Kab.</v>
          </cell>
          <cell r="AO263" t="str">
            <v>4116 - Penduduk - Sektor Pemerintah - Badan Usaha Milik Negara (BUMN) atau Pemerintah Campuran - Lembaga Keuangan Non Bank - Perusahaan Asuransi dan Dana Pensiun - Asuransi - ASABRI</v>
          </cell>
          <cell r="AU263" t="str">
            <v>512130 - Perdagangan Besar Dalam Negeri Hasil Perikanan</v>
          </cell>
          <cell r="AV263" t="str">
            <v>3191 - Kota Jambi</v>
          </cell>
          <cell r="AX263" t="str">
            <v>Maluku Tengah, Kab. - 8101</v>
          </cell>
        </row>
        <row r="264">
          <cell r="AM264" t="str">
            <v>5106 - Hulu Sungai Utara, Kab.</v>
          </cell>
          <cell r="AO264" t="str">
            <v>4119 - Penduduk - Sektor Pemerintah - Badan Usaha Milik Negara (BUMN) atau Pemerintah Campuran - Lembaga Keuangan Non Bank - Perusahaan Asuransi dan Dana Pensiun - Asuransi - Perusahaan asuransi lainnya</v>
          </cell>
          <cell r="AU264" t="str">
            <v>512141 - Perdagangan Kayu</v>
          </cell>
          <cell r="AV264" t="str">
            <v>3192 - Kota Sungai Penuh</v>
          </cell>
          <cell r="AX264" t="str">
            <v>Maluku Tenggara Barat, Kab. - 8103</v>
          </cell>
        </row>
        <row r="265">
          <cell r="AM265" t="str">
            <v>5107 - Barito Kuala, Kab.</v>
          </cell>
          <cell r="AO265" t="str">
            <v>4120 - Penduduk - Sektor Pemerintah - Badan Usaha Milik Negara (BUMN) atau Pemerintah Campuran - Lembaga Keuangan Non Bank - Perusahaan Asuransi dan Dana Pensiun - Dana Pensiun</v>
          </cell>
          <cell r="AU265" t="str">
            <v>512149 - Perdagangan Besar Dalam Negeri Hasil Kehutanan dan Perburuan Lainnya</v>
          </cell>
          <cell r="AV265" t="str">
            <v>3201 - Kab. Aceh Besar</v>
          </cell>
          <cell r="AX265" t="str">
            <v>Maluku Tenggara, Kab. - 8102</v>
          </cell>
        </row>
        <row r="266">
          <cell r="AM266" t="str">
            <v>5108 - Kota Baru, Kab.</v>
          </cell>
          <cell r="AO266" t="str">
            <v>4130 - Penduduk - Sektor Pemerintah - Badan Usaha Milik Negara (BUMN) atau Pemerintah Campuran - Lembaga Keuangan Non Bank - Modal Ventura</v>
          </cell>
          <cell r="AU266" t="str">
            <v>512201 - Perdagangan Dalam Negeri Beras</v>
          </cell>
          <cell r="AV266" t="str">
            <v>3202 - Kab. Pidie</v>
          </cell>
          <cell r="AX266" t="str">
            <v>Mamasa, Kab. - 6403</v>
          </cell>
        </row>
        <row r="267">
          <cell r="AM267" t="str">
            <v>5109 - Tabalong, Kab.</v>
          </cell>
          <cell r="AO267" t="str">
            <v>4140 - Penduduk - Sektor Pemerintah - Badan Usaha Milik Negara (BUMN) atau Pemerintah Campuran - Lembaga Keuangan Non Bank - Perusahaan Pembiayaan</v>
          </cell>
          <cell r="AU267" t="str">
            <v>512202 - Perdagangan Dalam Negeri Gula</v>
          </cell>
          <cell r="AV267" t="str">
            <v>3203 - Kab. Aceh Utara</v>
          </cell>
          <cell r="AX267" t="str">
            <v>Mamberamo Raya, Kab. - 8232</v>
          </cell>
        </row>
        <row r="268">
          <cell r="AM268" t="str">
            <v>5110 - Tanah Bumbu, Kab.</v>
          </cell>
          <cell r="AO268" t="str">
            <v>4151 - Penduduk - Sektor Pemerintah - Badan Usaha Milik Negara (BUMN) atau Pemerintah Campuran - Lembaga Keuangan Non Bank - Perusahaan Sekuritas dan Reksadana - Perusahaan sekuritas yang tidak melakukan kegiatan usaha Reksadana</v>
          </cell>
          <cell r="AU268" t="str">
            <v>512203 - Perdagangan Dalam Negeri Kopi</v>
          </cell>
          <cell r="AV268" t="str">
            <v>3204 - Kab. Aceh Timur</v>
          </cell>
          <cell r="AX268" t="str">
            <v>Mamberamo Tengah, Kab. - 8235</v>
          </cell>
        </row>
        <row r="269">
          <cell r="AM269" t="str">
            <v>5111 - Balangan, Kab.</v>
          </cell>
          <cell r="AO269" t="str">
            <v>4152 - Penduduk - Sektor Pemerintah - Badan Usaha Milik Negara (BUMN) atau Pemerintah Campuran - Lembaga Keuangan Non Bank - Perusahaan Sekuritas dan Reksadana - Perusahaan sekuritas yang melakukan kegiatan usaha Reksadana</v>
          </cell>
          <cell r="AU269" t="str">
            <v>512204 - Perdagangan Dalam Negeri Teh</v>
          </cell>
          <cell r="AV269" t="str">
            <v>3205 - Kab. Aceh Selatan</v>
          </cell>
          <cell r="AX269" t="str">
            <v>Mamuju Utara, Kab. - 6404</v>
          </cell>
        </row>
        <row r="270">
          <cell r="AM270" t="str">
            <v>5191 - Banjarmasin, Kota.</v>
          </cell>
          <cell r="AO270" t="str">
            <v>4153 - Penduduk - Sektor Pemerintah - Badan Usaha Milik Negara (BUMN) atau Pemerintah Campuran - Lembaga Keuangan Non Bank - Perusahaan Sekuritas dan Reksadana - Perusahaan Reksadana</v>
          </cell>
          <cell r="AU270" t="str">
            <v>512205 - Perdagangan Dalam Negeri Garam</v>
          </cell>
          <cell r="AV270" t="str">
            <v>3206 - Kab. Aceh Barat</v>
          </cell>
          <cell r="AX270" t="str">
            <v>Mamuju, Kota. - 6491</v>
          </cell>
        </row>
        <row r="271">
          <cell r="AM271" t="str">
            <v>5192 - Banjarbaru, Kota.</v>
          </cell>
          <cell r="AO271" t="str">
            <v>4154 - Penduduk - Sektor Pemerintah - Badan Usaha Milik Negara (BUMN) atau Pemerintah Campuran - Lembaga Keuangan Non Bank - Perusahaan Sekuritas dan Reksadana - Manager Investasi</v>
          </cell>
          <cell r="AU271" t="str">
            <v>512206 - Perdagangan Dalam Negeri Minyak Kelapa Sawit</v>
          </cell>
          <cell r="AV271" t="str">
            <v>3207 - Kab. Aceh Tengah</v>
          </cell>
          <cell r="AX271" t="str">
            <v>Mandailing Natal, Kab. - 3314</v>
          </cell>
        </row>
        <row r="272">
          <cell r="AM272" t="str">
            <v>5301 - Pontianak, Kab.</v>
          </cell>
          <cell r="AO272" t="str">
            <v>4155 - Penduduk - Sektor Pemerintah - Badan Usaha Milik Negara (BUMN) atau Pemerintah Campuran - Lembaga Keuangan Non Bank - Perusahaan Sekuritas dan Reksadana - PT Danareksa</v>
          </cell>
          <cell r="AU272" t="str">
            <v>512207 - Perdagangan Dalam Negeri Kopra</v>
          </cell>
          <cell r="AV272" t="str">
            <v>3208 - Kab. Aceh Tenggara</v>
          </cell>
          <cell r="AX272" t="str">
            <v>Manggarai Barat, Kab. - 7415</v>
          </cell>
        </row>
        <row r="273">
          <cell r="AM273" t="str">
            <v>5302 - Sambas, Kab.</v>
          </cell>
          <cell r="AO273" t="str">
            <v>4159 - Penduduk - Sektor Pemerintah - Badan Usaha Milik Negara (BUMN) atau Pemerintah Campuran - Lembaga Keuangan Non Bank - Perusahaan Sekuritas dan Reksadana - Lainnya</v>
          </cell>
          <cell r="AU273" t="str">
            <v>512208 - Perdagangan Dalam Negeri Rokok</v>
          </cell>
          <cell r="AV273" t="str">
            <v>3209 - Kab. Aceh Singkil</v>
          </cell>
          <cell r="AX273" t="str">
            <v>Manggarai Timur, Kab. - 7418</v>
          </cell>
        </row>
        <row r="274">
          <cell r="AM274" t="str">
            <v>5303 - Ketapang, Kab.</v>
          </cell>
          <cell r="AO274" t="str">
            <v>4171 - Penduduk - Sektor Pemerintah - Badan Usaha Milik Negara (BUMN) atau Pemerintah Campuran - Lembaga Keuangan Non Bank - Lainnya - Perum Pegadaian</v>
          </cell>
          <cell r="AU274" t="str">
            <v>512209 - Perdagangan Dalam Negeri Makanan, Minuman dan Tembakau Lainnya</v>
          </cell>
          <cell r="AV274" t="str">
            <v>3210 - Kab. Aceh Jeumpa/Bireuen</v>
          </cell>
          <cell r="AX274" t="str">
            <v>Manggarai, Kab. - 7410</v>
          </cell>
        </row>
        <row r="275">
          <cell r="AM275" t="str">
            <v>5304 - Sanggau, Kab.</v>
          </cell>
          <cell r="AO275" t="str">
            <v>4172 - Penduduk - Sektor Pemerintah - Badan Usaha Milik Negara (BUMN) atau Pemerintah Campuran - Lembaga Keuangan Non Bank - Lainnya - PT Pos Indonesia</v>
          </cell>
          <cell r="AU275" t="str">
            <v xml:space="preserve">513100 - Perdagangan Besar Tekstil, Pakaian Jadi, dan Kulit </v>
          </cell>
          <cell r="AV275" t="str">
            <v>3211 - Kab. Aceh Tamiang</v>
          </cell>
          <cell r="AX275" t="str">
            <v>Manokwari, Kab. - 8403</v>
          </cell>
        </row>
        <row r="276">
          <cell r="AM276" t="str">
            <v>5305 - Sintang, Kab.</v>
          </cell>
          <cell r="AO276" t="str">
            <v>4173 - Penduduk - Sektor Pemerintah - Badan Usaha Milik Negara (BUMN) atau Pemerintah Campuran - Lembaga Keuangan Non Bank - Lainnya - Lembaga Pembiayaan Ekspor Indonesia</v>
          </cell>
          <cell r="AU276" t="str">
            <v xml:space="preserve">513900 - Perdagangan Besar Barang-barang Keperluan Rumah Tangga lainnya </v>
          </cell>
          <cell r="AV276" t="str">
            <v>3212 - Kab. Gayo Luwes</v>
          </cell>
          <cell r="AX276" t="str">
            <v>Mappi, Kab. - 8227</v>
          </cell>
        </row>
        <row r="277">
          <cell r="AM277" t="str">
            <v>5306 - Kapuas Hulu, Kab.</v>
          </cell>
          <cell r="AO277" t="str">
            <v>4179 - Penduduk - Sektor Pemerintah - Badan Usaha Milik Negara (BUMN) atau Pemerintah Campuran - Lembaga Keuangan Non Bank - Lainnya - Lainnya</v>
          </cell>
          <cell r="AU277" t="str">
            <v xml:space="preserve">514100 - Perdagangan Besar Bahan Bakar Gas, Cair, dan Padat, Serta Produk Sejenis </v>
          </cell>
          <cell r="AV277" t="str">
            <v>3213 - Kab. Aceh Barat Daya</v>
          </cell>
          <cell r="AX277" t="str">
            <v>Maros, Kab. - 6107</v>
          </cell>
        </row>
        <row r="278">
          <cell r="AM278" t="str">
            <v>5307 - Bengkayang, Kab.</v>
          </cell>
          <cell r="AO278" t="str">
            <v>4501 - Penduduk - Sektor Pemerintah - Badan Usaha Milik Negara (BUMN) atau Pemerintah Campuran - Bukan Lembaga Keuangan - PT Kereta Api Indonesia (KAI)</v>
          </cell>
          <cell r="AU278" t="str">
            <v xml:space="preserve">514200 - Perdagangan Besar Logam dan Bijih Logam </v>
          </cell>
          <cell r="AV278" t="str">
            <v>3214 - Kab. Aceh Jaya</v>
          </cell>
          <cell r="AX278" t="str">
            <v>Mataram, Kota. - 7191</v>
          </cell>
        </row>
        <row r="279">
          <cell r="AM279" t="str">
            <v>3308 - Tapanuli Utara, Kab.</v>
          </cell>
          <cell r="AO279" t="str">
            <v>4502 - Penduduk - Sektor Pemerintah - Badan Usaha Milik Negara (BUMN) atau Pemerintah Campuran - Bukan Lembaga Keuangan - PT Pelayaran Nasional Indonesia (PELNI)</v>
          </cell>
          <cell r="AU279" t="str">
            <v>514301 - Perdagangan Dalam Negeri Semen</v>
          </cell>
          <cell r="AV279" t="str">
            <v>3703 - Kab. Bangka Barat</v>
          </cell>
          <cell r="AX279" t="str">
            <v>Maybrat, Kab - 8410</v>
          </cell>
        </row>
        <row r="280">
          <cell r="AM280" t="str">
            <v>5308 - Landak, Kab.</v>
          </cell>
          <cell r="AO280" t="str">
            <v>4503 - Penduduk - Sektor Pemerintah - Badan Usaha Milik Negara (BUMN) atau Pemerintah Campuran - Bukan Lembaga Keuangan - PT Pelabuhan Laut Indonesia (PELINDO)</v>
          </cell>
          <cell r="AU280" t="str">
            <v>514302 - Perdagangan Dalam Negeri Besi Beton</v>
          </cell>
          <cell r="AV280" t="str">
            <v>3215 - Kab. Nagan Raya</v>
          </cell>
          <cell r="AX280" t="str">
            <v>Medan, Kota. - 3396</v>
          </cell>
        </row>
        <row r="281">
          <cell r="AM281" t="str">
            <v>5309 - Sekadau, Kab.</v>
          </cell>
          <cell r="AO281" t="str">
            <v>4504 - Penduduk - Sektor Pemerintah - Badan Usaha Milik Negara (BUMN) atau Pemerintah Campuran - Bukan Lembaga Keuangan - PT Angkutan Sungai, Danau dan Penyeberangan (ASDP)</v>
          </cell>
          <cell r="AU281" t="str">
            <v>514309 - Perdagangan Dalam Negeri Bahan-bahan Konstruksi Lainnya</v>
          </cell>
          <cell r="AV281" t="str">
            <v>3216 - Kab. Aceh Simeuleu</v>
          </cell>
          <cell r="AX281" t="str">
            <v>Melawi, Kab.. - 5310</v>
          </cell>
        </row>
        <row r="282">
          <cell r="AM282" t="str">
            <v>5310 - Melawi, Kab..</v>
          </cell>
          <cell r="AO282" t="str">
            <v>4505 - Penduduk - Sektor Pemerintah - Badan Usaha Milik Negara (BUMN) atau Pemerintah Campuran - Bukan Lembaga Keuangan - PT Angkasa Pura</v>
          </cell>
          <cell r="AU282" t="str">
            <v>514901 - Perdagangan Dalam Negeri Pupuk dan Obat Hama</v>
          </cell>
          <cell r="AV282" t="str">
            <v>3217 - Kab. Bener Meriah</v>
          </cell>
          <cell r="AX282" t="str">
            <v>Menado, Kota. - 6291</v>
          </cell>
        </row>
        <row r="283">
          <cell r="AM283" t="str">
            <v>5311 - Kayong Utara, Kab.</v>
          </cell>
          <cell r="AO283" t="str">
            <v>4506 - Penduduk - Sektor Pemerintah - Badan Usaha Milik Negara (BUMN) atau Pemerintah Campuran - Bukan Lembaga Keuangan - PT Perkebunan Nusantara</v>
          </cell>
          <cell r="AU283" t="str">
            <v>514909 - Perdagangan Dalam Negeri Barang Antara Lainnya</v>
          </cell>
          <cell r="AV283" t="str">
            <v>3218 - Kab. Pidie Jaya</v>
          </cell>
          <cell r="AX283" t="str">
            <v>Merangin, Kab. - 3111</v>
          </cell>
        </row>
        <row r="284">
          <cell r="AM284" t="str">
            <v>5312 - Kubu Raya, Kab.</v>
          </cell>
          <cell r="AO284" t="str">
            <v>4507 - Penduduk - Sektor Pemerintah - Badan Usaha Milik Negara (BUMN) atau Pemerintah Campuran - Bukan Lembaga Keuangan - PT Pertamina</v>
          </cell>
          <cell r="AU284" t="str">
            <v xml:space="preserve">515000 - Perdagangan Besar Mesin-mesin, Suku Cadang dan Perlengkapannya </v>
          </cell>
          <cell r="AV284" t="str">
            <v>3219 - Kab. Subulussalam</v>
          </cell>
          <cell r="AX284" t="str">
            <v>Merauke, Kab. - 8211</v>
          </cell>
        </row>
        <row r="285">
          <cell r="AM285" t="str">
            <v>3309 - Tapanuli Tengah, Kab.</v>
          </cell>
          <cell r="AO285" t="str">
            <v>4508 - Penduduk - Sektor Pemerintah - Badan Usaha Milik Negara (BUMN) atau Pemerintah Campuran - Bukan Lembaga Keuangan - PT Perusahaan Listrik Negara (PLN)</v>
          </cell>
          <cell r="AU285" t="str">
            <v>519001 - Perdagangan Dalam Negeri Kertas Koran</v>
          </cell>
          <cell r="AV285" t="str">
            <v>3704 - Kab. Bangka Selatan</v>
          </cell>
          <cell r="AX285" t="str">
            <v>Mesuji, Kab - 3912</v>
          </cell>
        </row>
        <row r="286">
          <cell r="AM286" t="str">
            <v>5391 - Pontianak, Kota.</v>
          </cell>
          <cell r="AO286" t="str">
            <v>4509 - Penduduk - Sektor Pemerintah - Badan Usaha Milik Negara (BUMN) atau Pemerintah Campuran - Bukan Lembaga Keuangan - PT Krakatau Steel</v>
          </cell>
          <cell r="AU286" t="str">
            <v xml:space="preserve">519009 - Perdagangan Dalam Negeri yang Tidak Diklasifikasikan di Tempat Lain </v>
          </cell>
          <cell r="AV286" t="str">
            <v>3291 - Kota Banda Aceh</v>
          </cell>
          <cell r="AX286" t="str">
            <v>Metro, Kota. - 3992</v>
          </cell>
        </row>
        <row r="287">
          <cell r="AM287" t="str">
            <v>5392 - Singkawang, Kota.</v>
          </cell>
          <cell r="AO287" t="str">
            <v>4510 - Penduduk - Sektor Pemerintah - Badan Usaha Milik Negara (BUMN) atau Pemerintah Campuran - Bukan Lembaga Keuangan - PT Garuda Indonesia</v>
          </cell>
          <cell r="AU287" t="str">
            <v xml:space="preserve">521100 - Perdagangan Eceran Berbagai Macam Barang yang Didominasi Makanan, Minuman dan Tembakau </v>
          </cell>
          <cell r="AV287" t="str">
            <v>3292 - Kota Sabang</v>
          </cell>
          <cell r="AX287" t="str">
            <v>Mimika, Kab. - 8215</v>
          </cell>
        </row>
        <row r="288">
          <cell r="AM288" t="str">
            <v>5401 - Kutai Kartanegara, Kab.</v>
          </cell>
          <cell r="AO288" t="str">
            <v>4511 - Penduduk - Sektor Pemerintah - Badan Usaha Milik Negara (BUMN) atau Pemerintah Campuran - Bukan Lembaga Keuangan - PT Telkom</v>
          </cell>
          <cell r="AU288" t="str">
            <v xml:space="preserve">521900 - Perdagangan Eceran Berbagai Macam Barang yang Didominasi Oleh Barang Bukan Makanan, Minuman dan Tembakau </v>
          </cell>
          <cell r="AV288" t="str">
            <v>3293 - Kota Lhokseumawe</v>
          </cell>
          <cell r="AX288" t="str">
            <v>Minahasa Selatan, Kab. - 6206</v>
          </cell>
        </row>
        <row r="289">
          <cell r="AM289" t="str">
            <v>5402 - Berau, Kab.</v>
          </cell>
          <cell r="AO289" t="str">
            <v>4512 - Penduduk - Sektor Pemerintah - Badan Usaha Milik Negara (BUMN) atau Pemerintah Campuran - Bukan Lembaga Keuangan - PT Indosat</v>
          </cell>
          <cell r="AU289" t="str">
            <v>522100 - Perdagangan Eceran Komoditi Makanan dari Hasil Pertanian</v>
          </cell>
          <cell r="AV289" t="str">
            <v>3294 - Kota Langsa</v>
          </cell>
          <cell r="AX289" t="str">
            <v>Minahasa Tenggara, Kab. - 6209</v>
          </cell>
        </row>
        <row r="290">
          <cell r="AM290" t="str">
            <v>5403 - Pasir, Kab.</v>
          </cell>
          <cell r="AO290" t="str">
            <v>4513 - Penduduk - Sektor Pemerintah - Badan Usaha Milik Negara (BUMN) atau Pemerintah Campuran - Bukan Lembaga Keuangan - PT Jasa Marga</v>
          </cell>
          <cell r="AU290" t="str">
            <v xml:space="preserve">522200 - Perdagangan Eceran Komoditi Makanan, Minuman, Atau Tembakau Hasil Industri Pengolahan </v>
          </cell>
          <cell r="AV290" t="str">
            <v>3301 - Kab. Deli Serdang</v>
          </cell>
          <cell r="AX290" t="str">
            <v>Minahasa Utara, Kab. - 6207</v>
          </cell>
        </row>
        <row r="291">
          <cell r="AM291" t="str">
            <v>5404 - Bulungan, Kab.</v>
          </cell>
          <cell r="AO291" t="str">
            <v>4514 - Penduduk - Sektor Pemerintah - Badan Usaha Milik Negara (BUMN) atau Pemerintah Campuran - Bukan Lembaga Keuangan - PT Timah</v>
          </cell>
          <cell r="AU291" t="str">
            <v xml:space="preserve">523100 - Perdagangan Eceran Bahan Kimia, Farmasi, Kosmetik, dan Alat Laboratorium </v>
          </cell>
          <cell r="AV291" t="str">
            <v>3302 - Kab. Langkat</v>
          </cell>
          <cell r="AX291" t="str">
            <v>Minahasa, Kab. - 6202</v>
          </cell>
        </row>
        <row r="292">
          <cell r="AM292" t="str">
            <v>5405 - Kutai Barat, Kab.</v>
          </cell>
          <cell r="AO292" t="str">
            <v>4515 - Penduduk - Sektor Pemerintah - Badan Usaha Milik Negara (BUMN) atau Pemerintah Campuran - Bukan Lembaga Keuangan - PT Aneka Tambang</v>
          </cell>
          <cell r="AU292" t="str">
            <v xml:space="preserve">523200 - Perdagangan Eceran Tekstil, Pakaian Jadi, Alas Kaki, dan Barang Keperluan Pribadi </v>
          </cell>
          <cell r="AV292" t="str">
            <v>3303 - Kab. Karo</v>
          </cell>
          <cell r="AX292" t="str">
            <v>Mojokerto, Kab. - 1203</v>
          </cell>
        </row>
        <row r="293">
          <cell r="AM293" t="str">
            <v>5406 - Kutai Timur, Kab.</v>
          </cell>
          <cell r="AO293" t="str">
            <v>4516 - Penduduk - Sektor Pemerintah - Badan Usaha Milik Negara (BUMN) atau Pemerintah Campuran - Bukan Lembaga Keuangan - Perusahaan Jasa Konstruksi</v>
          </cell>
          <cell r="AU293" t="str">
            <v xml:space="preserve">523300 - Perdagangan Eceran Perlengkapan Rumah Tangga dan Perlengkapan Dapur </v>
          </cell>
          <cell r="AV293" t="str">
            <v>3304 - Kab. Simalungun</v>
          </cell>
          <cell r="AX293" t="str">
            <v>Mojokerto, Kota. - 1292</v>
          </cell>
        </row>
        <row r="294">
          <cell r="AM294" t="str">
            <v>5409 - Nunukan, Kab.</v>
          </cell>
          <cell r="AO294" t="str">
            <v>4599 - Penduduk - Sektor Pemerintah - Badan Usaha Milik Negara (BUMN) atau Pemerintah Campuran - Bukan Lembaga Keuangan - Lainnya</v>
          </cell>
          <cell r="AU294" t="str">
            <v xml:space="preserve">523400 - Perdagangan Eceran Bahan Konstruksi </v>
          </cell>
          <cell r="AV294" t="str">
            <v>3305 - Kab. Labuhan Batu</v>
          </cell>
          <cell r="AX294" t="str">
            <v>Morowali, Kab. - 6006</v>
          </cell>
        </row>
        <row r="295">
          <cell r="AM295" t="str">
            <v>5410 - Malinau, Kab.</v>
          </cell>
          <cell r="AO295" t="str">
            <v>5110 - Penduduk - Sektor Pemerintah - Badan Usaha Milik Daerah (BUMD) - Lembaga Keuangan Non Bank - Perusahaan Asuransi dan Dana Pensiun - Perusahaan Asuransi</v>
          </cell>
          <cell r="AU295" t="str">
            <v xml:space="preserve">523500 - Perdagangan Eceran Bahan Bakar dan Minyak Pelumas </v>
          </cell>
          <cell r="AV295" t="str">
            <v>3306 - Kab. Asahan</v>
          </cell>
          <cell r="AX295" t="str">
            <v>Muaro Jambi, Kab. - 3106</v>
          </cell>
        </row>
        <row r="296">
          <cell r="AM296" t="str">
            <v>5411 - Penajam Paser Utara, Kab.</v>
          </cell>
          <cell r="AO296" t="str">
            <v>5120 - Penduduk - Sektor Pemerintah - Badan Usaha Milik Daerah (BUMD) - Lembaga Keuangan Non Bank - Perusahaan Asuransi dan Dana Pensiun - Dana Asuransi</v>
          </cell>
          <cell r="AU296" t="str">
            <v xml:space="preserve">523600 - Perdagangan Eceran Kertas, Barang-barang dari Kertas, Alat Tulis, Barang Cetakan, Alat Olahraga, Alat Musik, Alat Fotografi, Komputer </v>
          </cell>
          <cell r="AV296" t="str">
            <v>3307 - Kab. Dairi</v>
          </cell>
          <cell r="AX296" t="str">
            <v>Mukomuko, Kab - 2306</v>
          </cell>
        </row>
        <row r="297">
          <cell r="AM297" t="str">
            <v>5412 - Tana Tidung, Kab.</v>
          </cell>
          <cell r="AO297" t="str">
            <v>5130 - Penduduk - Sektor Pemerintah - Badan Usaha Milik Daerah (BUMD) - Lembaga Keuangan Non Bank - Modal Ventura</v>
          </cell>
          <cell r="AU297" t="str">
            <v xml:space="preserve">523700 - Perdagangan Eceran Mesin-mesin (Kecuali Mobil dan Sepeda Motor) dan Suku Cadang (Onderdil), Termasuk Alat-alat Transportasi </v>
          </cell>
          <cell r="AV297" t="str">
            <v>3308 - Kab. Tapanuli Utara</v>
          </cell>
          <cell r="AX297" t="str">
            <v>Muna, Kab. - 6903</v>
          </cell>
        </row>
        <row r="298">
          <cell r="AM298" t="str">
            <v>5491 - Samarinda, Kota.</v>
          </cell>
          <cell r="AO298" t="str">
            <v>5140 - Penduduk - Sektor Pemerintah - Badan Usaha Milik Daerah (BUMD) - Lembaga Keuangan Non Bank - Perusahaan Pembiayaan</v>
          </cell>
          <cell r="AU298" t="str">
            <v xml:space="preserve">523800 - Perdagangan Eceran Barang-barang Kerajinan, Mainan Anak-anak, dan Lukisan </v>
          </cell>
          <cell r="AV298" t="str">
            <v>3309 - Kab. Tapanuli Tengah</v>
          </cell>
          <cell r="AX298" t="str">
            <v>Murung Raya, Kab. - 5804</v>
          </cell>
        </row>
        <row r="299">
          <cell r="AM299" t="str">
            <v>5492 - Balikpapan, Kota.</v>
          </cell>
          <cell r="AO299" t="str">
            <v>5151 - Penduduk - Sektor Pemerintah - Badan Usaha Milik Daerah (BUMD) - Lembaga Keuangan Non Bank - Perusahaan Sekuritas dan Reksadana - Perusahaan sekuritas yang tidak melakukan kegiatan usaha reksadana</v>
          </cell>
          <cell r="AU299" t="str">
            <v xml:space="preserve">523900 - Perdagangan Eceran Komoditi Lainnya (Bukan Makanan, Minuman, Atau Tembakau) </v>
          </cell>
          <cell r="AV299" t="str">
            <v>3310 - Kab. Tapanuli Selatan</v>
          </cell>
          <cell r="AX299" t="str">
            <v>Musi Banyuasin, Kab. - 3606</v>
          </cell>
        </row>
        <row r="300">
          <cell r="AM300" t="str">
            <v>5493 - Tarakan, Kota.</v>
          </cell>
          <cell r="AO300" t="str">
            <v>5152 - Penduduk - Sektor Pemerintah - Badan Usaha Milik Daerah (BUMD) - Lembaga Keuangan Non Bank - Perusahaan Sekuritas dan Reksadana - Perusahaan sekuritas yang melakukan kegiatan usaha reksadana</v>
          </cell>
          <cell r="AU300" t="str">
            <v xml:space="preserve">525100 - Perdagangan Eceran Kaki Lima Komoditi dari Hasil Pertanian </v>
          </cell>
          <cell r="AV300" t="str">
            <v>3311 - Kab. Nias</v>
          </cell>
          <cell r="AX300" t="str">
            <v>Musi Rawas, Kab. - 3610</v>
          </cell>
        </row>
        <row r="301">
          <cell r="AM301" t="str">
            <v>5494 - Bontang, Kota.</v>
          </cell>
          <cell r="AO301" t="str">
            <v>5153 - Penduduk - Sektor Pemerintah - Badan Usaha Milik Daerah (BUMD) - Lembaga Keuangan Non Bank - Perusahaan Sekuritas dan Reksadana - Perusahaan Reksadana</v>
          </cell>
          <cell r="AU301" t="str">
            <v xml:space="preserve">525200 - Perdagangan Eceran Kaki Lima Komoditi Makanan, Minuman Hasil Industri Pengolahan </v>
          </cell>
          <cell r="AV301" t="str">
            <v>3313 - Kab. Toba Samosir</v>
          </cell>
          <cell r="AX301" t="str">
            <v>Nabire, Kab. - 8214</v>
          </cell>
        </row>
        <row r="302">
          <cell r="AM302" t="str">
            <v>5801 - Kapuas, Kab.</v>
          </cell>
          <cell r="AO302" t="str">
            <v>5154 - Penduduk - Sektor Pemerintah - Badan Usaha Milik Daerah (BUMD) - Lembaga Keuangan Non Bank - Perusahaan Sekuritas dan Reksadana - Manajer Investasi</v>
          </cell>
          <cell r="AU302" t="str">
            <v xml:space="preserve">525300 - Perdagangan Eceran Kaki Lima Bahan Kimia, Frmasi, Kosmetik, dan Alat Laboratorium </v>
          </cell>
          <cell r="AV302" t="str">
            <v>3314 - Kab. Mandailing Natal</v>
          </cell>
          <cell r="AX302" t="str">
            <v>Nagan Raya, Kab. - 3215</v>
          </cell>
        </row>
        <row r="303">
          <cell r="AM303" t="str">
            <v>5802 - Kotawaringin Barat, Kab.</v>
          </cell>
          <cell r="AO303" t="str">
            <v>5159 - Penduduk - Sektor Pemerintah - Badan Usaha Milik Daerah (BUMD) - Lembaga Keuangan Non Bank - Perusahaan Sekuritas dan Reksadana - Lainnya</v>
          </cell>
          <cell r="AU303" t="str">
            <v xml:space="preserve">525400 - Perdagangan Eceran Kaki Lima Tekstil, Pakaian Jadi, Alas Kaki, dan Barang Keperluan Pribadi </v>
          </cell>
          <cell r="AV303" t="str">
            <v>3315 - Kab. Nias Selatan</v>
          </cell>
          <cell r="AX303" t="str">
            <v>Nagekeo, Kab. - 7419</v>
          </cell>
        </row>
        <row r="304">
          <cell r="AM304" t="str">
            <v>5803 - Kotawaringin Timur, Kab.</v>
          </cell>
          <cell r="AO304" t="str">
            <v>5199 - Penduduk - Sektor Pemerintah - Badan Usaha Milik Daerah (BUMD) - Lembaga Keuangan Non Bank - Lainnya</v>
          </cell>
          <cell r="AU304" t="str">
            <v xml:space="preserve">525500 - Perdagangan Eceran Kaki Lima Perlengkapan Rumah Tangga dan Perlengkapan Dapur </v>
          </cell>
          <cell r="AV304" t="str">
            <v>3316 - Kab. Humbang Hasundutan</v>
          </cell>
          <cell r="AX304" t="str">
            <v>Natuna, Kab - 3803</v>
          </cell>
        </row>
        <row r="305">
          <cell r="AM305" t="str">
            <v>5804 - Murung Raya, Kab.</v>
          </cell>
          <cell r="AO305" t="str">
            <v>5501 - Penduduk - Sektor Pemerintah - Badan Usaha Milik Daerah (BUMD) - Bukan Lembaga Keuangan - Perusahaan Daerah Air Minum (PDAM)</v>
          </cell>
          <cell r="AU305" t="str">
            <v>525600 - Perdagangan Eceran Kaki Lima Bahan Bakar dan Pelumas</v>
          </cell>
          <cell r="AV305" t="str">
            <v>3317 - Kab. Pakpak Bharat</v>
          </cell>
          <cell r="AX305" t="str">
            <v>Nduga Tengah, Kab. - 8236</v>
          </cell>
        </row>
        <row r="306">
          <cell r="AM306" t="str">
            <v>5805 - Barito Timur, Kab.</v>
          </cell>
          <cell r="AO306" t="str">
            <v>5502 - Penduduk - Sektor Pemerintah - Badan Usaha Milik Daerah (BUMD) - Bukan Lembaga Keuangan - Perusahaan Daerah Pasar (PD Pasar)</v>
          </cell>
          <cell r="AU306" t="str">
            <v xml:space="preserve">525700 - Perdagangan Eceran Kaki Lirna Kertas, Barang-Barang dari Kertas, Alat Tulis, Barang Cetakan, Alat Olah Raga, Alat Musik, Alat Fotografi, dan Komputer </v>
          </cell>
          <cell r="AV306" t="str">
            <v>3318 - Kab. Samosir</v>
          </cell>
          <cell r="AX306" t="str">
            <v>Ngada, Kab. - 7409</v>
          </cell>
        </row>
        <row r="307">
          <cell r="AM307" t="str">
            <v>5806 - Barito Selatan, Kab.</v>
          </cell>
          <cell r="AO307" t="str">
            <v>5599 - Penduduk - Sektor Pemerintah - Badan Usaha Milik Daerah (BUMD) - Bukan Lembaga Keuangan - Lainnya</v>
          </cell>
          <cell r="AU307" t="str">
            <v xml:space="preserve">525800 - Perdagangan Eceran Kaki Lima barang-barang kerajinan, mainan anak-anak, dan ILlkisan </v>
          </cell>
          <cell r="AV307" t="str">
            <v>3319 - Kab. Serdang Bedagai</v>
          </cell>
          <cell r="AX307" t="str">
            <v>Nganjuk, Kab. - 1218</v>
          </cell>
        </row>
        <row r="308">
          <cell r="AM308" t="str">
            <v>5807 - Gunung Mas, Kab.</v>
          </cell>
          <cell r="AO308" t="str">
            <v>7110 - Penduduk - Sektor Swasta - Lembaga Keuangan Non Bank - Swasta Nasional - Perusahaan Asuransi dan Dana Pensiun - Perusahaan Asuransi</v>
          </cell>
          <cell r="AU308" t="str">
            <v xml:space="preserve">525900 - Perdagangan Eceran Kaki Lima Barang-Barang Bekas </v>
          </cell>
          <cell r="AV308" t="str">
            <v>3320 - Kab. Angkola Sipirok</v>
          </cell>
          <cell r="AX308" t="str">
            <v>Ngawi, Kab. - 1223</v>
          </cell>
        </row>
        <row r="309">
          <cell r="AM309" t="str">
            <v>3310 - Tapanuli Selatan, Kab.</v>
          </cell>
          <cell r="AO309" t="str">
            <v>7120 - Penduduk - Sektor Swasta - Lembaga Keuangan Non Bank - Swasta Nasional - Perusahaan Asuransi dan Dana Pensiun - Dana Pensiun</v>
          </cell>
          <cell r="AU309" t="str">
            <v xml:space="preserve">526000 - Perdagangan Eceran Kaki Lima Lainnya </v>
          </cell>
          <cell r="AV309" t="str">
            <v>3705 - Kab. Bangka Tengah</v>
          </cell>
          <cell r="AX309" t="str">
            <v>Nias Barat, Kab - 3326</v>
          </cell>
        </row>
        <row r="310">
          <cell r="AM310" t="str">
            <v>5808 - Barito Utara, Kab.</v>
          </cell>
          <cell r="AO310" t="str">
            <v>7130 - Penduduk - Sektor Swasta - Lembaga Keuangan Non Bank - Swasta Nasional - Modal Ventura</v>
          </cell>
          <cell r="AU310" t="str">
            <v xml:space="preserve">527100 - Perdagangan Eceran Melalui Media </v>
          </cell>
          <cell r="AV310" t="str">
            <v>3321 - Kab. Batu Bara</v>
          </cell>
          <cell r="AX310" t="str">
            <v>Nias Selatan, Kab - 3315</v>
          </cell>
        </row>
        <row r="311">
          <cell r="AM311" t="str">
            <v>3311 - Nias, Kab.</v>
          </cell>
          <cell r="AO311" t="str">
            <v>7140 - Penduduk - Sektor Swasta - Lembaga Keuangan Non Bank - Swasta Nasional - Perusahaan Pembiayaan</v>
          </cell>
          <cell r="AU311" t="str">
            <v xml:space="preserve">527200 - Perdagangan Eceran Keliling </v>
          </cell>
          <cell r="AV311" t="str">
            <v>3706 - Kab. Belitung Timur</v>
          </cell>
          <cell r="AX311" t="str">
            <v>Nias Utara, Kab - 3327</v>
          </cell>
        </row>
        <row r="312">
          <cell r="AM312" t="str">
            <v>5809 - Pulang Pisau, Kab.</v>
          </cell>
          <cell r="AO312" t="str">
            <v>7151 - Penduduk - Sektor Swasta - Lembaga Keuangan Non Bank - Swasta Nasional - Perusahaan Sekuritas dan Reksadana - Perusahaan sekuritas yang tidak melakukan kegiatan usaha Reksadana</v>
          </cell>
          <cell r="AU312" t="str">
            <v xml:space="preserve">531000 - Perdagangan Ekspor Berdasarkan Balas Jasa (Fee) Atau Kontrak </v>
          </cell>
          <cell r="AV312" t="str">
            <v>3322 - Kab. Padang Lawas</v>
          </cell>
          <cell r="AX312" t="str">
            <v>Nias, Kab. - 3311</v>
          </cell>
        </row>
        <row r="313">
          <cell r="AM313" t="str">
            <v>5810 - Seruyan, Kab.</v>
          </cell>
          <cell r="AO313" t="str">
            <v>7152 - Penduduk - Sektor Swasta - Lembaga Keuangan Non Bank - Swasta Nasional - Perusahaan Sekuritas dan Reksadana - Perusahaan sekuritas yang melakukan kegiatan usaha Reksadana</v>
          </cell>
          <cell r="AU313" t="str">
            <v>532111 - Perdagangan Ekspor Biji Kelapa Sawit</v>
          </cell>
          <cell r="AV313" t="str">
            <v>3323 - Kab. Padang Lawas Utara</v>
          </cell>
          <cell r="AX313" t="str">
            <v>Nunukan, Kab. - 5409</v>
          </cell>
        </row>
        <row r="314">
          <cell r="AM314" t="str">
            <v>5811 - Katingan, Kab.</v>
          </cell>
          <cell r="AO314" t="str">
            <v>7153 - Penduduk - Sektor Swasta - Lembaga Keuangan Non Bank - Swasta Nasional - Perusahaan Sekuritas dan Reksadana - Perusahaan Reksadana</v>
          </cell>
          <cell r="AU314" t="str">
            <v>532112 - Perdagangan Ekspor Hasil Tanaman Pangan dan Perkebunan</v>
          </cell>
          <cell r="AV314" t="str">
            <v>3324 - Kab. Labuhanbatu Selatan</v>
          </cell>
          <cell r="AX314" t="str">
            <v>Ogan Ilir, Kab - 3616</v>
          </cell>
        </row>
        <row r="315">
          <cell r="AM315" t="str">
            <v>5812 - Sukamara, Kab.</v>
          </cell>
          <cell r="AO315" t="str">
            <v>7154 - Penduduk - Sektor Swasta - Lembaga Keuangan Non Bank - Swasta Nasional - Perusahaan Sekuritas dan Reksadana - Manajer Investasi</v>
          </cell>
          <cell r="AU315" t="str">
            <v>532119 - Perdagangan Ekspor Bahan Baku Hasil Pertanian Lainnya</v>
          </cell>
          <cell r="AV315" t="str">
            <v>3325 - Kab. Labuhanbatu Utara</v>
          </cell>
          <cell r="AX315" t="str">
            <v>Ogan Komering Ilir, Kab. - 3611</v>
          </cell>
        </row>
        <row r="316">
          <cell r="AM316" t="str">
            <v>5813 - Lamandau, Kab.</v>
          </cell>
          <cell r="AO316" t="str">
            <v>7159 - Penduduk - Sektor Swasta - Lembaga Keuangan Non Bank - Swasta Nasional - Perusahaan Sekuritas dan Reksadana - Lainnya</v>
          </cell>
          <cell r="AU316" t="str">
            <v>532120 - Perdagangan Ekspor Binatang Hidup</v>
          </cell>
          <cell r="AV316" t="str">
            <v>3326 - Kab. Nias Barat</v>
          </cell>
          <cell r="AX316" t="str">
            <v>Ogan Komering Ulu Selatan, Kab - 3614</v>
          </cell>
        </row>
        <row r="317">
          <cell r="AM317" t="str">
            <v>5892 - Palangkaraya, Kota.</v>
          </cell>
          <cell r="AO317" t="str">
            <v>7172 - Penduduk - Sektor Swasta - Lembaga Keuangan Non Bank - Swasta Nasional - Lembaga Keuangan Non Bank Lainnya - Baitul Maal Wa Tamwil (BMT)</v>
          </cell>
          <cell r="AU317" t="str">
            <v>532130 - Perdagangan Ekspor Hasil Perikanan</v>
          </cell>
          <cell r="AV317" t="str">
            <v>3327 - Kab. Nias Utara</v>
          </cell>
          <cell r="AX317" t="str">
            <v>Ogan Komering Ulu Timur, Kab - 3615</v>
          </cell>
        </row>
        <row r="318">
          <cell r="AM318" t="str">
            <v>6001 - Donggala, Kab.</v>
          </cell>
          <cell r="AO318" t="str">
            <v>7173 - Penduduk - Sektor Swasta - Lembaga Keuangan Non Bank - Swasta Nasional - Lembaga Keuangan Non Bank Lainnya - Koperasi Simpan Pinjam - Koperasi Primer</v>
          </cell>
          <cell r="AU318" t="str">
            <v>532141 - Perdagangan Ekspor Kayu</v>
          </cell>
          <cell r="AV318" t="str">
            <v>3391 - Kota Tebing Tinggi</v>
          </cell>
          <cell r="AX318" t="str">
            <v>Ogan Komering Ulu, Kab. - 3607</v>
          </cell>
        </row>
        <row r="319">
          <cell r="AM319" t="str">
            <v>6002 - Poso, Kab.</v>
          </cell>
          <cell r="AO319" t="str">
            <v>7174 - Penduduk - Sektor Swasta - Lembaga Keuangan Non Bank - Swasta Nasional - Lembaga Keuangan Non Bank Lainnya - Koperasi Simpan Pinjam - Koperasi Lainnya</v>
          </cell>
          <cell r="AU319" t="str">
            <v>532142 - Perdagangan Ekspor Rotan</v>
          </cell>
          <cell r="AV319" t="str">
            <v>3392 - Kota Binjai</v>
          </cell>
          <cell r="AX319" t="str">
            <v>Pacitan, Kab. - 1226</v>
          </cell>
        </row>
        <row r="320">
          <cell r="AM320" t="str">
            <v>6003 - Parimo/Banggai, Kab.</v>
          </cell>
          <cell r="AO320" t="str">
            <v>7190 - Penduduk - Sektor Swasta - Lembaga Keuangan Non Bank - Swasta Nasional - Lembaga Keuangan Non Bank Lainnya - Lainnya</v>
          </cell>
          <cell r="AU320" t="str">
            <v>532149 - Perdagangan Ekspor Hasil Hutan Selain Kayu dan Rotan</v>
          </cell>
          <cell r="AV320" t="str">
            <v>3393 - Kota Pematang Siantar</v>
          </cell>
          <cell r="AX320" t="str">
            <v>Padang Lawas Utara, Kab - 3323</v>
          </cell>
        </row>
        <row r="321">
          <cell r="AM321" t="str">
            <v>6004 - Toli-Toli, Kab.</v>
          </cell>
          <cell r="AO321" t="str">
            <v>7210 - Penduduk - Sektor Swasta - Lembaga Keuangan Non Bank - Campuran - Perusahaan Asuransi dan Dana Pensiun - Perusahaan Asuransi</v>
          </cell>
          <cell r="AU321" t="str">
            <v>532201 - Perdagangan Ekspor Udang Olahan</v>
          </cell>
          <cell r="AV321" t="str">
            <v>3394 - Kota Tanjung Balai</v>
          </cell>
          <cell r="AX321" t="str">
            <v>Padang Lawas, Kab - 3322</v>
          </cell>
        </row>
        <row r="322">
          <cell r="AM322" t="str">
            <v>6005 - Kab.Banggai Kepulauan</v>
          </cell>
          <cell r="AO322" t="str">
            <v>7220 - Penduduk - Sektor Swasta - Lembaga Keuangan Non Bank - Campuran - Perusahaan Asuransi dan Dana Pensiun - Dana Pensiun</v>
          </cell>
          <cell r="AU322" t="str">
            <v>532202 - Perdagangan Ekspor Teh</v>
          </cell>
          <cell r="AV322" t="str">
            <v>3395 - Kota Sibolga</v>
          </cell>
          <cell r="AX322" t="str">
            <v>Padang Panjang, Kota. - 3494</v>
          </cell>
        </row>
        <row r="323">
          <cell r="AM323" t="str">
            <v>6006 - Morowali, Kab.</v>
          </cell>
          <cell r="AO323" t="str">
            <v>7230 - Penduduk - Sektor Swasta - Lembaga Keuangan Non Bank - Campuran - Modal Ventura</v>
          </cell>
          <cell r="AU323" t="str">
            <v>532203 - Perdagangan Ekspor Kopi Bubuk</v>
          </cell>
          <cell r="AV323" t="str">
            <v>3396 - Kota Medan</v>
          </cell>
          <cell r="AX323" t="str">
            <v>Padang Pariaman, Kab. - 3405</v>
          </cell>
        </row>
        <row r="324">
          <cell r="AM324" t="str">
            <v>6007 - Buol, Kab.</v>
          </cell>
          <cell r="AO324" t="str">
            <v>7240 - Penduduk - Sektor Swasta - Lembaga Keuangan Non Bank - Campuran - Perusahaan Pembiayaan</v>
          </cell>
          <cell r="AU324" t="str">
            <v>532204 - Perdagangan Ekspor Tembakau</v>
          </cell>
          <cell r="AV324" t="str">
            <v>3397 - Kota Gunung Sitoli</v>
          </cell>
          <cell r="AX324" t="str">
            <v>Padang Sidempuan, Kota. - 3399</v>
          </cell>
        </row>
        <row r="325">
          <cell r="AM325" t="str">
            <v>6008 - Tojo Una-Una, Kab.</v>
          </cell>
          <cell r="AO325" t="str">
            <v>7251 - Penduduk - Sektor Swasta - Lembaga Keuangan Non Bank - Campuran - Perusahaan Sekuritas dan Reksadana - Perusahaan sekuritas yang tidak melakukan kegiatan usaha Reksadana</v>
          </cell>
          <cell r="AU325" t="str">
            <v>532209 - Perdagangan Ekspor Makanan dan Minuman Lainnya</v>
          </cell>
          <cell r="AV325" t="str">
            <v>3399 - Kota Padang Sidempuan</v>
          </cell>
          <cell r="AX325" t="str">
            <v>Padang, Kota. - 3492</v>
          </cell>
        </row>
        <row r="326">
          <cell r="AM326" t="str">
            <v>6009 - Parigi Moutong, Kab.</v>
          </cell>
          <cell r="AO326" t="str">
            <v>7252 - Penduduk - Sektor Swasta - Lembaga Keuangan Non Bank - Campuran - Perusahaan Sekuritas dan Reksadana - Perusahaan sekuritas yang melakukan kegiatan usaha Reksadana</v>
          </cell>
          <cell r="AU326" t="str">
            <v>533101 - Perdagangan Ekspor Tekstil</v>
          </cell>
          <cell r="AV326" t="str">
            <v>3401 - Kab. Agam</v>
          </cell>
          <cell r="AX326" t="str">
            <v>Pagar Alam, Kota. - 3697</v>
          </cell>
        </row>
        <row r="327">
          <cell r="AM327" t="str">
            <v>6010 - Kab. Sigi</v>
          </cell>
          <cell r="AO327" t="str">
            <v>7253 - Penduduk - Sektor Swasta - Lembaga Keuangan Non Bank - Campuran - Perusahaan Sekuritas dan Reksadana - Perusahaan Reksadana</v>
          </cell>
          <cell r="AU327" t="str">
            <v>533102 - Perdagangan Ekspor Pakaian Jadi</v>
          </cell>
          <cell r="AV327" t="str">
            <v>3402 - Kab. Pasaman</v>
          </cell>
          <cell r="AX327" t="str">
            <v>Pakpak Barat, Kab - 3317</v>
          </cell>
        </row>
        <row r="328">
          <cell r="AM328" t="str">
            <v>6091 - Palu, Kota.</v>
          </cell>
          <cell r="AO328" t="str">
            <v>7254 - Penduduk - Sektor Swasta - Lembaga Keuangan Non Bank - Campuran - Perusahaan Sekuritas dan Reksadana - Manajer Investasi</v>
          </cell>
          <cell r="AU328" t="str">
            <v>533103 - Perdagangan Ekspor Kulit</v>
          </cell>
          <cell r="AV328" t="str">
            <v>3403 - Kab. Limapuluh Koto</v>
          </cell>
          <cell r="AX328" t="str">
            <v>Palangkaraya, Kota. - 5892</v>
          </cell>
        </row>
        <row r="329">
          <cell r="AM329" t="str">
            <v>6101 - Pinrang, Kab.</v>
          </cell>
          <cell r="AO329" t="str">
            <v>7259 - Penduduk - Sektor Swasta - Lembaga Keuangan Non Bank - Campuran - Perusahaan Sekuritas dan Reksadana - Lainnya</v>
          </cell>
          <cell r="AU329" t="str">
            <v xml:space="preserve">533900 - Perdagangan Ekspor Barang-barang Keperluan Rumah Tangga Lainnya </v>
          </cell>
          <cell r="AV329" t="str">
            <v>3404 - Kab. Solok Selatan</v>
          </cell>
          <cell r="AX329" t="str">
            <v>Palembang, Kota. - 3691</v>
          </cell>
        </row>
        <row r="330">
          <cell r="AM330" t="str">
            <v>6102 - Gowa, Kab.</v>
          </cell>
          <cell r="AO330" t="str">
            <v>7272 - Penduduk - Sektor Swasta - Lembaga Keuangan Non Bank - Campuran - Lembaga Keuangan Non Bank Lainnya - Baitul Maal Wa Tamwil (BMT)</v>
          </cell>
          <cell r="AU330" t="str">
            <v xml:space="preserve">534100 - Perdagangan Ekspor Bahan Bakar Gas, Cair, dan Padat Serta Produk Sejenis </v>
          </cell>
          <cell r="AV330" t="str">
            <v>3405 - Kab. Padang Pariaman</v>
          </cell>
          <cell r="AX330" t="str">
            <v>Palopo, Kota. - 6193</v>
          </cell>
        </row>
        <row r="331">
          <cell r="AM331" t="str">
            <v>6103 - Wajo, Kab.</v>
          </cell>
          <cell r="AO331" t="str">
            <v>7273 - Penduduk - Sektor Swasta - Lembaga Keuangan Non Bank - Campuran - Lembaga Keuangan Non Bank Lainnya - Kantor Perwakilan Lembaga Milik Asing di Indonesia Lainnya</v>
          </cell>
          <cell r="AU331" t="str">
            <v>534201 - Perdagangan Ekspor Bijih Timah</v>
          </cell>
          <cell r="AV331" t="str">
            <v>3406 - Kab. Pesisir Selatan</v>
          </cell>
          <cell r="AX331" t="str">
            <v>Palu, Kota. - 6091</v>
          </cell>
        </row>
        <row r="332">
          <cell r="AM332" t="str">
            <v>6105 - Bone, Kab.</v>
          </cell>
          <cell r="AO332" t="str">
            <v>7290 - Penduduk - Sektor Swasta - Lembaga Keuangan Non Bank - Campuran - Lembaga Keuangan Non Bank Lainnya - Lainnya</v>
          </cell>
          <cell r="AU332" t="str">
            <v>534202 - Perdagangan Ekspor Bijih Logam Selain Timah</v>
          </cell>
          <cell r="AV332" t="str">
            <v>3407 - Kab. Tanah Datar</v>
          </cell>
          <cell r="AX332" t="str">
            <v>Pamekasan, Kab. - 1206</v>
          </cell>
        </row>
        <row r="333">
          <cell r="AM333" t="str">
            <v>6106 - Tana Toraja, Kab.</v>
          </cell>
          <cell r="AO333" t="str">
            <v>7310 - Penduduk - Sektor Swasta - Lembaga Keuangan Non Bank - Asing - Perusahaan Asuransi dan Dana Pensiun - Perusahaan Asuransi</v>
          </cell>
          <cell r="AU333" t="str">
            <v>534203 - Perdagangan Ekspor Batu Bara</v>
          </cell>
          <cell r="AV333" t="str">
            <v>3408 - Kab. Sawahlunto/Sijunjung</v>
          </cell>
          <cell r="AX333" t="str">
            <v>Pandeglang, Kab. - 0202</v>
          </cell>
        </row>
        <row r="334">
          <cell r="AM334" t="str">
            <v>6107 - Maros, Kab.</v>
          </cell>
          <cell r="AO334" t="str">
            <v>7320 - Penduduk - Sektor Swasta - Lembaga Keuangan Non Bank - Asing - Perusahaan Asuransi dan Dana Pensiun - Dana Pensiun</v>
          </cell>
          <cell r="AU334" t="str">
            <v>534209 - Perdagangan Ekspor Logam dan Bijih Logam (hasil Pertambangan dan Penggalian) Lainnya</v>
          </cell>
          <cell r="AV334" t="str">
            <v>3409 - Kab. Kepulauan Mentawai</v>
          </cell>
          <cell r="AX334" t="str">
            <v>Pangkajene Kepulauan, Kab. - 6118</v>
          </cell>
        </row>
        <row r="335">
          <cell r="AM335" t="str">
            <v>6109 - Luwu, Kab.</v>
          </cell>
          <cell r="AO335" t="str">
            <v>7330 - Penduduk - Sektor Swasta - Lembaga Keuangan Non Bank - Asing - Modal Ventura</v>
          </cell>
          <cell r="AU335" t="str">
            <v>534301 - Perdagangan Ekspor Kayu Lapis</v>
          </cell>
          <cell r="AV335" t="str">
            <v>3410 - Kab. Pasaman Barat</v>
          </cell>
          <cell r="AX335" t="str">
            <v>Pangkal Pinang, Kota. - 3791</v>
          </cell>
        </row>
        <row r="336">
          <cell r="AM336" t="str">
            <v>6110 - Sinjai, Kab.</v>
          </cell>
          <cell r="AO336" t="str">
            <v>7340 - Penduduk - Sektor Swasta - Lembaga Keuangan Non Bank - Asing - Perusahaan Pembiayaan</v>
          </cell>
          <cell r="AU336" t="str">
            <v>534309 - Perdagangan Ekspor Bahan-bahan Konstruksi (kecuali Bahan Hasil Penggalian) Lainnya</v>
          </cell>
          <cell r="AV336" t="str">
            <v>3411 - Kab. Dharmasraya</v>
          </cell>
          <cell r="AX336" t="str">
            <v>Paniai, Kab. - 8212</v>
          </cell>
        </row>
        <row r="337">
          <cell r="AM337" t="str">
            <v>6111 - Bulukumba, Kab.</v>
          </cell>
          <cell r="AO337" t="str">
            <v>7351 - Penduduk - Sektor Swasta - Lembaga Keuangan Non Bank - Asing - Perusahaan Sekuritas dan Reksadana - Perusahaan sekuritas yang tidak melakukan kegiatan usaha Reksadana</v>
          </cell>
          <cell r="AU337" t="str">
            <v xml:space="preserve">534900 - Perdagangan Ekspor Produk Antara (Intermediate Products), Barang-barang Bekas dan Sisa-sisa Tak Terpakai (Scrap) </v>
          </cell>
          <cell r="AV337" t="str">
            <v>3412 - Kab. Solok</v>
          </cell>
          <cell r="AX337" t="str">
            <v>Pare-Pare, Kota. - 6192</v>
          </cell>
        </row>
        <row r="338">
          <cell r="AM338" t="str">
            <v>6112 - Bantaeng, Kab.</v>
          </cell>
          <cell r="AO338" t="str">
            <v>7352 - Penduduk - Sektor Swasta - Lembaga Keuangan Non Bank - Asing - Perusahaan Sekuritas dan Reksadana - Perusahaan sekuritas yang melakukan kegiatan usaha Reksadana</v>
          </cell>
          <cell r="AU338" t="str">
            <v xml:space="preserve">535000 - Perdagangan Ekspor Mesin-mesin, Suku Cadang dan Perlengkapannya </v>
          </cell>
          <cell r="AV338" t="str">
            <v>3491 - Kota Bukittinggi</v>
          </cell>
          <cell r="AX338" t="str">
            <v>Pariaman, Kota. - 3497</v>
          </cell>
        </row>
        <row r="339">
          <cell r="AM339" t="str">
            <v>6113 - Jeneponto, Kab.</v>
          </cell>
          <cell r="AO339" t="str">
            <v>7353 - Penduduk - Sektor Swasta - Lembaga Keuangan Non Bank - Asing - Perusahaan Sekuritas dan Reksadana - Perusahaan Reksadana</v>
          </cell>
          <cell r="AU339" t="str">
            <v>539011 - Perdagangan Ekspor Kayu Gergajian</v>
          </cell>
          <cell r="AV339" t="str">
            <v>3492 - Kota Padang</v>
          </cell>
          <cell r="AX339" t="str">
            <v>Parigi Moutong, Kab. - 6009</v>
          </cell>
        </row>
        <row r="340">
          <cell r="AM340" t="str">
            <v>6114 - Selayar, Kab.</v>
          </cell>
          <cell r="AO340" t="str">
            <v>7354 - Penduduk - Sektor Swasta - Lembaga Keuangan Non Bank - Asing - Perusahaan Sekuritas dan Reksadana - Manajer Investasi</v>
          </cell>
          <cell r="AU340" t="str">
            <v>539012 - Perdagangan Ekspor Kopi Bijian</v>
          </cell>
          <cell r="AV340" t="str">
            <v>3493 - Kota Sawahlunto</v>
          </cell>
          <cell r="AX340" t="str">
            <v>Parimo/Banggai, Kab. - 6003</v>
          </cell>
        </row>
        <row r="341">
          <cell r="AM341" t="str">
            <v>6115 - Takalar, Kab.</v>
          </cell>
          <cell r="AO341" t="str">
            <v>7359 - Penduduk - Sektor Swasta - Lembaga Keuangan Non Bank - Asing - Perusahaan Sekuritas dan Reksadana - Lainnya</v>
          </cell>
          <cell r="AU341" t="str">
            <v>539013 - Perdagangan Ekspor Tembakau</v>
          </cell>
          <cell r="AV341" t="str">
            <v>3494 - Kota Padang Panjang</v>
          </cell>
          <cell r="AX341" t="str">
            <v>Pasaman Barat, Kab - 3410</v>
          </cell>
        </row>
        <row r="342">
          <cell r="AM342" t="str">
            <v>6116 - Barru, Kab.</v>
          </cell>
          <cell r="AO342" t="str">
            <v>7372 - Penduduk - Sektor Swasta - Lembaga Keuangan Non Bank - Asing - Lembaga Keuangan Non Bank Lainnya - Baitul Maal Wa Tamwil (BMT)</v>
          </cell>
          <cell r="AU342" t="str">
            <v>539014 - Perdagangan Ekspor Karet</v>
          </cell>
          <cell r="AV342" t="str">
            <v>3495 - Kota Solok</v>
          </cell>
          <cell r="AX342" t="str">
            <v>Pasaman, Kab. - 3402</v>
          </cell>
        </row>
        <row r="343">
          <cell r="AM343" t="str">
            <v>6117 - Sidenreng Rappang, Kab.</v>
          </cell>
          <cell r="AO343" t="str">
            <v>7379 - Penduduk - Sektor Swasta - Lembaga Keuangan Non Bank - Asing - Lembaga Keuangan Non Bank Lainnya - Kantor Perwakilan Lembaga Milik Asing di Indonesia Lainnya</v>
          </cell>
          <cell r="AU343" t="str">
            <v>539015 - Perdagangan Ekspor Lada</v>
          </cell>
          <cell r="AV343" t="str">
            <v>3496 - Kota Payakumbuh</v>
          </cell>
          <cell r="AX343" t="str">
            <v>Pasir, Kab. - 5403</v>
          </cell>
        </row>
        <row r="344">
          <cell r="AM344" t="str">
            <v>6118 - Pangkajene Kepulauan, Kab.</v>
          </cell>
          <cell r="AO344" t="str">
            <v>7390 - Penduduk - Sektor Swasta - Lembaga Keuangan Non Bank - Asing - Lembaga Keuangan Non Bank Lainnya - Lainnya</v>
          </cell>
          <cell r="AU344" t="str">
            <v>539016 - Perdagangan Ekspor Minyak Kelapa Sawit Mentah</v>
          </cell>
          <cell r="AV344" t="str">
            <v>3497 - Kota Pariaman</v>
          </cell>
          <cell r="AX344" t="str">
            <v>Pasuruan, Kab. - 1214</v>
          </cell>
        </row>
        <row r="345">
          <cell r="AM345" t="str">
            <v>6119 - Kab. Soppeng (d/h Watansoppeng)</v>
          </cell>
          <cell r="AO345" t="str">
            <v>8111 - Penduduk - Sektor Swasta - Bukan Lembaga Keuangan - Swasta Nasional - Perusahaan Lainnya - Perusahaan Otomotif</v>
          </cell>
          <cell r="AU345" t="str">
            <v>539017 - Perdagangan Ekspor Minyak Biji Kelapa Sawit</v>
          </cell>
          <cell r="AV345" t="str">
            <v>3501 - Kab. Kampar</v>
          </cell>
          <cell r="AX345" t="str">
            <v>Pasuruan, Kota. - 1294</v>
          </cell>
        </row>
        <row r="346">
          <cell r="AM346" t="str">
            <v>6121 - Enrekang, Kab.</v>
          </cell>
          <cell r="AO346" t="str">
            <v>8112 - Penduduk - Sektor Swasta - Bukan Lembaga Keuangan - Swasta Nasional - Perusahaan Lainnya - Perusahaan Perminyakan</v>
          </cell>
          <cell r="AU346" t="str">
            <v>539018 - Perdagangan Ekspor Bungkil Kopra</v>
          </cell>
          <cell r="AV346" t="str">
            <v>3502 - Kab. Bengkalis</v>
          </cell>
          <cell r="AX346" t="str">
            <v>Pati, Kab. - 0908</v>
          </cell>
        </row>
        <row r="347">
          <cell r="AM347" t="str">
            <v>6122 - Kab. Luwu Timur (d/h Luwu Selatan)</v>
          </cell>
          <cell r="AO347" t="str">
            <v>8113 - Penduduk - Sektor Swasta - Bukan Lembaga Keuangan - Swasta Nasional - Perusahaan Lainnya - Perusahaan Tekstil</v>
          </cell>
          <cell r="AU347" t="str">
            <v>539019 - Perdagangan Ekspor Hasil Pertanian, Perkebunan, dan Kehutanan Lainnya</v>
          </cell>
          <cell r="AV347" t="str">
            <v>3504 - Kab. Indragiri Hulu</v>
          </cell>
          <cell r="AX347" t="str">
            <v>Payakumbuh, Kota. - 3496</v>
          </cell>
        </row>
        <row r="348">
          <cell r="AM348" t="str">
            <v>6124 - Luwu Utara, Kab.</v>
          </cell>
          <cell r="AO348" t="str">
            <v>8114 - Penduduk - Sektor Swasta - Bukan Lembaga Keuangan - Swasta Nasional - Perusahaan Lainnya - Perusahaan Perkayuan (HPH)</v>
          </cell>
          <cell r="AU348" t="str">
            <v>539021 - Perdagangan Ekspor Hewan yang Sudah Diolah</v>
          </cell>
          <cell r="AV348" t="str">
            <v>3505 - Kab. Indragiri Hilir</v>
          </cell>
          <cell r="AX348" t="str">
            <v>Pegunungan Bintang, Kab. - 8221</v>
          </cell>
        </row>
        <row r="349">
          <cell r="AM349" t="str">
            <v>6125 - Kab. Toraja Utara</v>
          </cell>
          <cell r="AO349" t="str">
            <v>8115 - Penduduk - Sektor Swasta - Bukan Lembaga Keuangan - Swasta Nasional - Perusahaan Lainnya - Perusahaan Jasa Konstruksi</v>
          </cell>
          <cell r="AU349" t="str">
            <v>539022 - Perdagangan Ekspor Bahan Makanan Lainnya</v>
          </cell>
          <cell r="AV349" t="str">
            <v>3508 - Kab. Rokan Hulu</v>
          </cell>
          <cell r="AX349" t="str">
            <v>Pekalongan, Kab. - 0905</v>
          </cell>
        </row>
        <row r="350">
          <cell r="AM350" t="str">
            <v>6191 - Makassar, Kota.</v>
          </cell>
          <cell r="AO350" t="str">
            <v>8116 - Penduduk - Sektor Swasta - Bukan Lembaga Keuangan - Swasta Nasional - Perusahaan Lainnya - Perusahaan Industri Rokok</v>
          </cell>
          <cell r="AU350" t="str">
            <v>539023 - Perdagangan Ekspor Hasil Tambang Setengah Jadi</v>
          </cell>
          <cell r="AV350" t="str">
            <v>3509 - Kab. Rokan Hilir</v>
          </cell>
          <cell r="AX350" t="str">
            <v>Pekalongan, Kota. - 0993</v>
          </cell>
        </row>
        <row r="351">
          <cell r="AM351" t="str">
            <v>6192 - Pare-Pare, Kota.</v>
          </cell>
          <cell r="AO351" t="str">
            <v>8117 - Penduduk - Sektor Swasta - Bukan Lembaga Keuangan - Swasta Nasional - Perusahaan Lainnya - Perusahaan Industri Makanan</v>
          </cell>
          <cell r="AU351" t="str">
            <v>539029 - Perdagangan Ekspor Barang Setengah Jadi Lainnya</v>
          </cell>
          <cell r="AV351" t="str">
            <v>3510 - Kab. Pelalawan</v>
          </cell>
          <cell r="AX351" t="str">
            <v>Pekanbaru, Kota. - 3591</v>
          </cell>
        </row>
        <row r="352">
          <cell r="AM352" t="str">
            <v>6193 - Palopo, Kota.</v>
          </cell>
          <cell r="AO352" t="str">
            <v>8118 - Penduduk - Sektor Swasta - Bukan Lembaga Keuangan - Swasta Nasional - Perusahaan Lainnya - Perusahaan Agrobisnis</v>
          </cell>
          <cell r="AU352" t="str">
            <v>539031 - Perdagangan Ekspor Barang Kerajinan dari Kayu dan Rotan</v>
          </cell>
          <cell r="AV352" t="str">
            <v>3511 - Kab. Siak</v>
          </cell>
          <cell r="AX352" t="str">
            <v>Pelalawan, Kab. - 3510</v>
          </cell>
        </row>
        <row r="353">
          <cell r="AM353" t="str">
            <v>6202 - Minahasa, Kab.</v>
          </cell>
          <cell r="AO353" t="str">
            <v>8139 - Penduduk - Sektor Swasta - Bukan Lembaga Keuangan - Swasta Nasional - Perusahaan Lainnya - Perusahaan Lainnya</v>
          </cell>
          <cell r="AU353" t="str">
            <v>539032 - Perdagangan Ekspor Barang Kerajinan selain dari Kayu dan Rotan</v>
          </cell>
          <cell r="AV353" t="str">
            <v>3512 - Kab. Kuantan Singingi</v>
          </cell>
          <cell r="AX353" t="str">
            <v>Pemalang, Kab. - 0910</v>
          </cell>
        </row>
        <row r="354">
          <cell r="AM354" t="str">
            <v>6203 - Bolaang Mongondow, Kab.</v>
          </cell>
          <cell r="AO354" t="str">
            <v>8141 - Penduduk - Sektor Swasta - Bukan Lembaga Keuangan - Swasta Nasional - Koperasi Bukan Simpan Pinjam - Koperasi Primer</v>
          </cell>
          <cell r="AU354" t="str">
            <v>539034 - Perdagangan Ekspor Jasa Konstruksi</v>
          </cell>
          <cell r="AV354" t="str">
            <v>3513 - Kab. Kepulauan Meranti</v>
          </cell>
          <cell r="AX354" t="str">
            <v>Pematang Siantar, Kota. - 3393</v>
          </cell>
        </row>
        <row r="355">
          <cell r="AM355" t="str">
            <v>6204 - Sangihe, Kab.</v>
          </cell>
          <cell r="AO355" t="str">
            <v>8149 - Penduduk - Sektor Swasta - Bukan Lembaga Keuangan - Swasta Nasional - Koperasi Bukan Simpan Pinjam - Koperasi Lainnya</v>
          </cell>
          <cell r="AU355" t="str">
            <v xml:space="preserve">539039 - Perdagangan Ekspor yang Tidak Diklasifikasikan di Tempat Lain </v>
          </cell>
          <cell r="AV355" t="str">
            <v>3591 - Kota Pekanbaru</v>
          </cell>
          <cell r="AX355" t="str">
            <v>Penajam Paser Utara, Kab. - 5411</v>
          </cell>
        </row>
        <row r="356">
          <cell r="AM356" t="str">
            <v>6205 - kepulauan Talaud, Kab.</v>
          </cell>
          <cell r="AO356" t="str">
            <v>8151 - Penduduk - Sektor Swasta - Bukan Lembaga Keuangan - Swasta Nasional - Yayasan, Badan Sosial dan Organisasi Kemasyarakatan - Badan Amil Zakat Infaq dan Shadaqah (BAZIS)</v>
          </cell>
          <cell r="AU356" t="str">
            <v xml:space="preserve">541000 - Perdagangan Impor Berdasarkan Balas Jasa (Fee) Atau Kontrak </v>
          </cell>
          <cell r="AV356" t="str">
            <v>3592 - Kota Dumai</v>
          </cell>
          <cell r="AX356" t="str">
            <v>Pesawaran, Kab - 3909</v>
          </cell>
        </row>
        <row r="357">
          <cell r="AM357" t="str">
            <v>6206 - Minahasa Selatan, Kab.</v>
          </cell>
          <cell r="AO357" t="str">
            <v>8152 - Penduduk - Sektor Swasta - Bukan Lembaga Keuangan - Swasta Nasional - Yayasan, Badan Sosial dan Organisasi Kemasyarakatan - Lembaga Pendidikan</v>
          </cell>
          <cell r="AU357" t="str">
            <v>542101 - Perdagangan Impor Cengkeh</v>
          </cell>
          <cell r="AV357" t="str">
            <v>3606 - Kab. Musi Banyuasin</v>
          </cell>
          <cell r="AX357" t="str">
            <v>Pesisir Selatan, Kab. - 3406</v>
          </cell>
        </row>
        <row r="358">
          <cell r="AM358" t="str">
            <v>6207 - Minahasa Utara, Kab.</v>
          </cell>
          <cell r="AO358" t="str">
            <v>8159 - Penduduk - Sektor Swasta - Bukan Lembaga Keuangan - Swasta Nasional - Yayasan, Badan Sosial dan Organisasi Kemasyarakatan - Lainnya</v>
          </cell>
          <cell r="AU358" t="str">
            <v>542102 - Perdagangan Impor Biji Gandum</v>
          </cell>
          <cell r="AV358" t="str">
            <v>3607 - Kab. Ogan Komering Ulu</v>
          </cell>
          <cell r="AX358" t="str">
            <v>Pide Jaya, Kab - 3218</v>
          </cell>
        </row>
        <row r="359">
          <cell r="AM359" t="str">
            <v>6209 - Minahasa Tenggara, Kab.</v>
          </cell>
          <cell r="AO359" t="str">
            <v>8411 - Penduduk - Sektor Swasta - Bukan Lembaga Keuangan - Campuran - Perusahaan Lainnya - Perusahaan Otomotif</v>
          </cell>
          <cell r="AU359" t="str">
            <v>542103 - Perdagangan Impor Jagung</v>
          </cell>
          <cell r="AV359" t="str">
            <v>3608 - Kab. Lematang Ilir Ogan Tengah (Muara Enim)</v>
          </cell>
          <cell r="AX359" t="str">
            <v>Pidie, Kab. - 3202</v>
          </cell>
        </row>
        <row r="360">
          <cell r="AM360" t="str">
            <v>6210 - Bolaang Mongoundow Utara, Kab.</v>
          </cell>
          <cell r="AO360" t="str">
            <v>8412 - Penduduk - Sektor Swasta - Bukan Lembaga Keuangan - Campuran - Perusahaan Lainnya - Perusahaan Perminyakan</v>
          </cell>
          <cell r="AU360" t="str">
            <v>542104 - Perdagangan Impor Kacang Kedelai</v>
          </cell>
          <cell r="AV360" t="str">
            <v>3609 - Kab. Lahat</v>
          </cell>
          <cell r="AX360" t="str">
            <v>Pinrang, Kab. - 6101</v>
          </cell>
        </row>
        <row r="361">
          <cell r="AM361" t="str">
            <v>6211 - Kepulauan Sitaro, Kab.</v>
          </cell>
          <cell r="AO361" t="str">
            <v>8413 - Penduduk - Sektor Swasta - Bukan Lembaga Keuangan - Campuran - Perusahaan Lainnya - Perusahaan Tekstil</v>
          </cell>
          <cell r="AU361" t="str">
            <v>542109 - Perdagangan Impor Bahan Baku Hasil Pertanian, dan Binatang Hidup Lainnya</v>
          </cell>
          <cell r="AV361" t="str">
            <v>3610 - Kab. Musi Rawas</v>
          </cell>
          <cell r="AX361" t="str">
            <v>Pohuwato, Kab. - 6304</v>
          </cell>
        </row>
        <row r="362">
          <cell r="AM362" t="str">
            <v>6212 - Kab. Bolaang Mongondow Selatan</v>
          </cell>
          <cell r="AO362" t="str">
            <v>8414 - Penduduk - Sektor Swasta - Bukan Lembaga Keuangan - Campuran - Perusahaan Lainnya - Perusahaan Perkayuan (HPH)</v>
          </cell>
          <cell r="AU362" t="str">
            <v>542201 - Perdagangan Impor Beras</v>
          </cell>
          <cell r="AV362" t="str">
            <v>3611 - Kab. Ogan Komering Ilir</v>
          </cell>
          <cell r="AX362" t="str">
            <v>Polewali Mandar, Kab. - 6401</v>
          </cell>
        </row>
        <row r="363">
          <cell r="AM363" t="str">
            <v>6213 - Kab. Bolaang Mongondow Timur</v>
          </cell>
          <cell r="AO363" t="str">
            <v>8415 - Penduduk - Sektor Swasta - Bukan Lembaga Keuangan - Campuran - Perusahaan Lainnya - Perusahaan Jasa Konstruksi</v>
          </cell>
          <cell r="AU363" t="str">
            <v>542202 - Perdagangan Impor Gula</v>
          </cell>
          <cell r="AV363" t="str">
            <v>3613 - Kab. Banyuasin</v>
          </cell>
          <cell r="AX363" t="str">
            <v>Ponorogo, Kab. - 1225</v>
          </cell>
        </row>
        <row r="364">
          <cell r="AM364" t="str">
            <v>6291 - Menado, Kota.</v>
          </cell>
          <cell r="AO364" t="str">
            <v>8416 - Penduduk - Sektor Swasta - Bukan Lembaga Keuangan - Campuran - Perusahaan Lainnya - Perusahaan Industri Rokok</v>
          </cell>
          <cell r="AU364" t="str">
            <v>542209 - Perdagangan Impor Makanan, Minuman, dan Tembakau Lainnya</v>
          </cell>
          <cell r="AV364" t="str">
            <v>3614 - Kab. Ogan Komeing Ulu Selatan</v>
          </cell>
          <cell r="AX364" t="str">
            <v>Pontianak, Kab. - 5301</v>
          </cell>
        </row>
        <row r="365">
          <cell r="AM365" t="str">
            <v>6292 - Kotamobagu, Kota.</v>
          </cell>
          <cell r="AO365" t="str">
            <v>8417 - Penduduk - Sektor Swasta - Bukan Lembaga Keuangan - Campuran - Perusahaan Lainnya - Perusahaan Industri Makanan</v>
          </cell>
          <cell r="AU365" t="str">
            <v xml:space="preserve">543100 - Perdagangan Impor Tekstil, Pakaian Jadi, dan Kulit </v>
          </cell>
          <cell r="AV365" t="str">
            <v>0102 - Kab. Bekasi</v>
          </cell>
          <cell r="AX365" t="str">
            <v>Pontianak, Kota. - 5391</v>
          </cell>
        </row>
        <row r="366">
          <cell r="AM366" t="str">
            <v>6293 - Bitung, Kota.</v>
          </cell>
          <cell r="AO366" t="str">
            <v>8418 - Penduduk - Sektor Swasta - Bukan Lembaga Keuangan - Campuran - Perusahaan Lainnya - Perusahaan Agrobisnis</v>
          </cell>
          <cell r="AU366" t="str">
            <v xml:space="preserve">543900 - Perdagangan Impor Barang-barang Keperluan Rumah Tangga lainnya </v>
          </cell>
          <cell r="AV366" t="str">
            <v>0103 - Kab. Purwakarta</v>
          </cell>
          <cell r="AX366" t="str">
            <v>Poso, Kab. - 6002</v>
          </cell>
        </row>
        <row r="367">
          <cell r="AM367" t="str">
            <v>6294 - Kota. Tomohon</v>
          </cell>
          <cell r="AO367" t="str">
            <v>8449 - Penduduk - Sektor Swasta - Bukan Lembaga Keuangan - Campuran - Perusahaan Lainnya - Perusahaan Lainnya</v>
          </cell>
          <cell r="AU367" t="str">
            <v xml:space="preserve">544100 - Perdagangan Impor Bahan Bakar Gas, Cair, dan Padat Serta Produk Sejenis </v>
          </cell>
          <cell r="AV367" t="str">
            <v>0106 - Kab. Karawang</v>
          </cell>
          <cell r="AX367" t="str">
            <v>Prabumulih, Kota. - 3694</v>
          </cell>
        </row>
        <row r="368">
          <cell r="AM368" t="str">
            <v>3313 - Toba Samosir, Kab.</v>
          </cell>
          <cell r="AO368" t="str">
            <v>8451 - Penduduk - Sektor Swasta - Bukan Lembaga Keuangan - Campuran - Yayasan, Badan Sosial dan Organisasi Kemasyarakatan - Badan Amil Zakat Infaq dan Shadaqah (BAZIS)</v>
          </cell>
          <cell r="AU368" t="str">
            <v xml:space="preserve">544200 - Perdagangan Impor Logam dan Bijih Logam </v>
          </cell>
          <cell r="AV368" t="str">
            <v>3707 - Kab. Bangka Belitung</v>
          </cell>
          <cell r="AX368" t="str">
            <v>Pringsewu, Kab - 3910</v>
          </cell>
        </row>
        <row r="369">
          <cell r="AM369" t="str">
            <v>6301 - Gorontalo, Kab.</v>
          </cell>
          <cell r="AO369" t="str">
            <v>8452 - Penduduk - Sektor Swasta - Bukan Lembaga Keuangan - Campuran - Yayasan, Badan Sosial dan Organisasi Kemasyarakatan - Lembaga Pendidikan</v>
          </cell>
          <cell r="AU369" t="str">
            <v>544301 - Perdagangan Impor Besi Beton</v>
          </cell>
          <cell r="AV369" t="str">
            <v>0108 - Kab. Bogor</v>
          </cell>
          <cell r="AX369" t="str">
            <v>Probolinggo, Kab. - 1215</v>
          </cell>
        </row>
        <row r="370">
          <cell r="AM370" t="str">
            <v>6302 - Bualemo, Kab.</v>
          </cell>
          <cell r="AO370" t="str">
            <v>8469 - Penduduk - Sektor Swasta - Bukan Lembaga Keuangan - Campuran - Yayasan, Badan Sosial dan Organisasi Kemasyarakatan - Lainnya</v>
          </cell>
          <cell r="AU370" t="str">
            <v>544309 - Perdagangan Impor Bahan-bahan Konstruksi Lainnya</v>
          </cell>
          <cell r="AV370" t="str">
            <v>0109 - Kab. Sukabumi</v>
          </cell>
          <cell r="AX370" t="str">
            <v>Probolinggo, Kota. - 1295</v>
          </cell>
        </row>
        <row r="371">
          <cell r="AM371" t="str">
            <v>6303 - Bonebolango, Kab.</v>
          </cell>
          <cell r="AO371" t="str">
            <v>8480 - Penduduk - Sektor Swasta - Bukan Lembaga Keuangan - Campuran - Kantor Perwakilan Lembaga Milik Asing di Indonesia</v>
          </cell>
          <cell r="AU371" t="str">
            <v>544901 - Perdagangan Impor Pupuk dan Obat Hama</v>
          </cell>
          <cell r="AV371" t="str">
            <v>0110 - Kab. Cianjur</v>
          </cell>
          <cell r="AX371" t="str">
            <v>Pulang Pisau, Kab. - 5809</v>
          </cell>
        </row>
        <row r="372">
          <cell r="AM372" t="str">
            <v>3314 - Mandailing Natal, Kab.</v>
          </cell>
          <cell r="AO372" t="str">
            <v>8611 - Penduduk - Sektor Swasta - Bukan Lembaga Keuangan - Asing - Perusahaan Lainnya - Perusahaan Otomotif</v>
          </cell>
          <cell r="AU372" t="str">
            <v>544902 - Perdagangan Impor Farmasi</v>
          </cell>
          <cell r="AV372" t="str">
            <v>3791 - Kota Pangkal Pinang</v>
          </cell>
          <cell r="AX372" t="str">
            <v>Pulau Morotai, Kab - 8308</v>
          </cell>
        </row>
        <row r="373">
          <cell r="AM373" t="str">
            <v>6304 - Pohuwato, Kab.</v>
          </cell>
          <cell r="AO373" t="str">
            <v>8612 - Penduduk - Sektor Swasta - Bukan Lembaga Keuangan - Asing - Perusahaan Lainnya - Perusahaan Perminyakan</v>
          </cell>
          <cell r="AU373" t="str">
            <v>544909 - Perdagangan Impor Barang Antara Lainnya</v>
          </cell>
          <cell r="AV373" t="str">
            <v>0111 - Kab. Bandung</v>
          </cell>
          <cell r="AX373" t="str">
            <v>Puncak Jaya, Kab. - 8216</v>
          </cell>
        </row>
        <row r="374">
          <cell r="AM374" t="str">
            <v>6305 - Gorontalo Utara, Kab.</v>
          </cell>
          <cell r="AO374" t="str">
            <v>8613 - Penduduk - Sektor Swasta - Bukan Lembaga Keuangan - Asing - Perusahaan Lainnya - Perusahaan Tekstil</v>
          </cell>
          <cell r="AU374" t="str">
            <v>545001 - Perdagangan Impor Suku Cadang Industri</v>
          </cell>
          <cell r="AV374" t="str">
            <v>0112 - Kab. Sumedang</v>
          </cell>
          <cell r="AX374" t="str">
            <v>Puncak, Kab. - 8238</v>
          </cell>
        </row>
        <row r="375">
          <cell r="AM375" t="str">
            <v>6391 - Gorontalo, Kota.</v>
          </cell>
          <cell r="AO375" t="str">
            <v>8614 - Penduduk - Sektor Swasta - Bukan Lembaga Keuangan - Asing - Perusahaan Lainnya - Perusahaan Perkayuan (HPH)</v>
          </cell>
          <cell r="AU375" t="str">
            <v>545009 - Perdagangan Impor Suku Cadang Mesin-mesin, Suku Cadang dan Perlengkapannya Lainnya</v>
          </cell>
          <cell r="AV375" t="str">
            <v>0113 - Kab. Tasikmalaya</v>
          </cell>
          <cell r="AX375" t="str">
            <v>Purbalingga, Kab. - 0916</v>
          </cell>
        </row>
        <row r="376">
          <cell r="AM376" t="str">
            <v>6401 - Polewali Mandar, Kab.</v>
          </cell>
          <cell r="AO376" t="str">
            <v>8615 - Penduduk - Sektor Swasta - Bukan Lembaga Keuangan - Asing - Perusahaan Lainnya - Perusahaan Jasa Konstruksi</v>
          </cell>
          <cell r="AU376" t="str">
            <v xml:space="preserve">549000 - Perdagangan Impor Lainnya </v>
          </cell>
          <cell r="AV376" t="str">
            <v>0114 - Kab. Garut</v>
          </cell>
          <cell r="AX376" t="str">
            <v>Purwakarta, Kab. - 0103</v>
          </cell>
        </row>
        <row r="377">
          <cell r="AM377" t="str">
            <v>6402 - Majene, Kab.</v>
          </cell>
          <cell r="AO377" t="str">
            <v>8616 - Penduduk - Sektor Swasta - Bukan Lembaga Keuangan - Asing - Perusahaan Lainnya - Perusahaan Industri Rokok</v>
          </cell>
          <cell r="AU377" t="str">
            <v xml:space="preserve">551100 - Hotel Bintang </v>
          </cell>
          <cell r="AV377" t="str">
            <v>0115 - Kab. Ciamis</v>
          </cell>
          <cell r="AX377" t="str">
            <v>Purworejo, Kab. - 0921</v>
          </cell>
        </row>
        <row r="378">
          <cell r="AM378" t="str">
            <v>6403 - Mamasa, Kab.</v>
          </cell>
          <cell r="AO378" t="str">
            <v>8617 - Penduduk - Sektor Swasta - Bukan Lembaga Keuangan - Asing - Perusahaan Lainnya - Perusahaan Industri Makanan</v>
          </cell>
          <cell r="AU378" t="str">
            <v xml:space="preserve">551200 - Hotel Melati </v>
          </cell>
          <cell r="AV378" t="str">
            <v>0116 - Kab. Cirebon</v>
          </cell>
          <cell r="AX378" t="str">
            <v>Raja Ampat, Kab. - 8405</v>
          </cell>
        </row>
        <row r="379">
          <cell r="AM379" t="str">
            <v>6404 - Mamuju Utara, Kab.</v>
          </cell>
          <cell r="AO379" t="str">
            <v>8618 - Penduduk - Sektor Swasta - Bukan Lembaga Keuangan - Asing - Perusahaan Lainnya - Perusahaan Agrobisnis</v>
          </cell>
          <cell r="AU379" t="str">
            <v xml:space="preserve">551900 - Jasa Akomodasi Lainnya </v>
          </cell>
          <cell r="AV379" t="str">
            <v>0117 - Kab. Kuningan</v>
          </cell>
          <cell r="AX379" t="str">
            <v>Rejang Lebong, Kab. - 2303</v>
          </cell>
        </row>
        <row r="380">
          <cell r="AM380" t="str">
            <v>6491 - Mamuju, Kota.</v>
          </cell>
          <cell r="AO380" t="str">
            <v>8619 - Penduduk - Sektor Swasta - Bukan Lembaga Keuangan - Asing - Perusahaan Lainnya - Perusahaan Lainnya</v>
          </cell>
          <cell r="AU380" t="str">
            <v>552009 - Penyediaan Makan Minum Lainnya</v>
          </cell>
          <cell r="AV380" t="str">
            <v>0118 - Kab. Indramayu</v>
          </cell>
          <cell r="AX380" t="str">
            <v>Rembang, Kab. - 0912</v>
          </cell>
        </row>
        <row r="381">
          <cell r="AM381" t="str">
            <v>6901 - Buton, Kab.</v>
          </cell>
          <cell r="AO381" t="str">
            <v>8651 - Penduduk - Sektor Swasta - Bukan Lembaga Keuangan - Asing - Yayasan, Badan Sosial dan Organisasi Kemasyarakatan - Badan Amil Zakat Infaq dan Shadaqah (BAZIS)</v>
          </cell>
          <cell r="AU381" t="str">
            <v xml:space="preserve">552100 - Restoran / Rumah Makan </v>
          </cell>
          <cell r="AV381" t="str">
            <v>0119 - Kab. Majalengka</v>
          </cell>
          <cell r="AX381" t="str">
            <v>Rokan Hilir, Kab. - 3509</v>
          </cell>
        </row>
        <row r="382">
          <cell r="AM382" t="str">
            <v>6903 - Muna, Kab.</v>
          </cell>
          <cell r="AO382" t="str">
            <v>8652 - Penduduk - Sektor Swasta - Bukan Lembaga Keuangan - Asing - Yayasan, Badan Sosial dan Organisasi Kemasyarakatan - Lembaga Pendidikan</v>
          </cell>
          <cell r="AU382" t="str">
            <v xml:space="preserve">601000 - Angkutan Jalan Rel </v>
          </cell>
          <cell r="AV382" t="str">
            <v>0121 - Kab. Subang</v>
          </cell>
          <cell r="AX382" t="str">
            <v>Rokan Hulu, Kab. - 3508</v>
          </cell>
        </row>
        <row r="383">
          <cell r="AM383" t="str">
            <v>6904 - Kolaka, Kab.</v>
          </cell>
          <cell r="AO383" t="str">
            <v>8659 - Penduduk - Sektor Swasta - Bukan Lembaga Keuangan - Asing - Yayasan, Badan Sosial dan Organisasi Kemasyarakatan - Lainnya</v>
          </cell>
          <cell r="AU383" t="str">
            <v>602100 - Angkutan Jalan Dalam Trayek Untuk Penumpang</v>
          </cell>
          <cell r="AV383" t="str">
            <v>0122 - Kab. Bandung Barat</v>
          </cell>
          <cell r="AX383" t="str">
            <v>Rote, Kab. - 7414</v>
          </cell>
        </row>
        <row r="384">
          <cell r="AM384" t="str">
            <v>6905 - Wakatobi, Kab.</v>
          </cell>
          <cell r="AO384" t="str">
            <v>8670 - Penduduk - Sektor Swasta - Bukan Lembaga Keuangan - Asing - Kantor Perwakilan Lembaga Milik Asing di Indonesia</v>
          </cell>
          <cell r="AU384" t="str">
            <v xml:space="preserve">602200 - Angkutan Jalan Tidak Dalam Trayek Untuk Penumpang </v>
          </cell>
          <cell r="AV384" t="str">
            <v>0191 - Kota Bandung</v>
          </cell>
          <cell r="AX384" t="str">
            <v>Sabang, Kota. - 3292</v>
          </cell>
        </row>
        <row r="385">
          <cell r="AM385" t="str">
            <v>3315 - Nias Selatan, Kab</v>
          </cell>
          <cell r="AO385" t="str">
            <v xml:space="preserve">9000 - Penduduk - Sektor Swasta - Bukan Lembaga Keuangan - Perseorangan </v>
          </cell>
          <cell r="AU385" t="str">
            <v xml:space="preserve">602300 - Angkutan Jalan Untuk Barang </v>
          </cell>
          <cell r="AV385" t="str">
            <v>3801 - Kab. Karimun</v>
          </cell>
          <cell r="AX385" t="str">
            <v>Sabu Raijua, Kab - 7420</v>
          </cell>
        </row>
        <row r="386">
          <cell r="AM386" t="str">
            <v>6906 - Konawe, Kab.</v>
          </cell>
          <cell r="AO386" t="str">
            <v>9100 - Bukan Penduduk - Pemerintah Pusat</v>
          </cell>
          <cell r="AU386" t="str">
            <v xml:space="preserve">603000 - Angkutan Dengan Saluran Pipa </v>
          </cell>
          <cell r="AV386" t="str">
            <v>0192 - Kota Bogor</v>
          </cell>
          <cell r="AX386" t="str">
            <v>Salatiga, Kota. - 0992</v>
          </cell>
        </row>
        <row r="387">
          <cell r="AM387" t="str">
            <v>6907 - Konawe Selatan, Kab.</v>
          </cell>
          <cell r="AO387" t="str">
            <v>9200 - Bukan Penduduk - Perwakilan negara-negara asing dan stafnya</v>
          </cell>
          <cell r="AU387" t="str">
            <v xml:space="preserve">611100 - Angkutan Laut Domestik </v>
          </cell>
          <cell r="AV387" t="str">
            <v>0193 - Kota Sukabumi</v>
          </cell>
          <cell r="AX387" t="str">
            <v>Samarinda, Kota. - 5491</v>
          </cell>
        </row>
        <row r="388">
          <cell r="AM388" t="str">
            <v>6908 - Bombana, Kab.</v>
          </cell>
          <cell r="AO388" t="str">
            <v>9300 - Bukan Penduduk - BUMN milik negara asing</v>
          </cell>
          <cell r="AU388" t="str">
            <v xml:space="preserve">611200 - Angkutan Laut Internasional </v>
          </cell>
          <cell r="AV388" t="str">
            <v>0194 - Kota Cirebon</v>
          </cell>
          <cell r="AX388" t="str">
            <v>Sambas, Kab. - 5302</v>
          </cell>
        </row>
        <row r="389">
          <cell r="AM389" t="str">
            <v>6909 - Kolaka Utara, Kab.</v>
          </cell>
          <cell r="AO389" t="str">
            <v>9400 - Bukan Penduduk - Lembaga-lembaga Keuangan Bukan Bank yang Beroperasi di Luar Indonesia</v>
          </cell>
          <cell r="AU389" t="str">
            <v xml:space="preserve">612100 - Angkutan Sungai dan Danau </v>
          </cell>
          <cell r="AV389" t="str">
            <v>0195 - Kota Tasikmalaya</v>
          </cell>
          <cell r="AX389" t="str">
            <v>Samosir, Kab - 3318</v>
          </cell>
        </row>
        <row r="390">
          <cell r="AM390" t="str">
            <v>6910 - Buton Utara, Kab.</v>
          </cell>
          <cell r="AO390" t="str">
            <v>9501 - Bukan Penduduk - Swasta Lainnya - Swasta Patungan Indonesia dan Negara Asing</v>
          </cell>
          <cell r="AU390" t="str">
            <v xml:space="preserve">612200 - Angkutan Penyeberangan Domestik </v>
          </cell>
          <cell r="AV390" t="str">
            <v>0196 - Kota Cimahi</v>
          </cell>
          <cell r="AX390" t="str">
            <v>Sampang, Kab. - 1205</v>
          </cell>
        </row>
        <row r="391">
          <cell r="AM391" t="str">
            <v>6911 - Konawe Utara, Kab.</v>
          </cell>
          <cell r="AO391" t="str">
            <v>9502 - Bukan Penduduk - Swasta Lainnya - Swasta Milik Indonesia</v>
          </cell>
          <cell r="AU391" t="str">
            <v xml:space="preserve">621000 - Angkutan Udara Berjadwal </v>
          </cell>
          <cell r="AV391" t="str">
            <v>0197 - Kota Depok</v>
          </cell>
          <cell r="AX391" t="str">
            <v>Sanggau, Kab. - 5304</v>
          </cell>
        </row>
        <row r="392">
          <cell r="AM392" t="str">
            <v>6990 - Bau-Bau,Kota.</v>
          </cell>
          <cell r="AO392" t="str">
            <v>9519 - Bukan Penduduk - Swasta Lainnya - Lainnya</v>
          </cell>
          <cell r="AU392" t="str">
            <v xml:space="preserve">622000 - Angkutan Udara Tidak Berjadwal </v>
          </cell>
          <cell r="AV392" t="str">
            <v>0198 - Kota Bekasi</v>
          </cell>
          <cell r="AX392" t="str">
            <v>Sangihe, Kab. - 6204</v>
          </cell>
        </row>
        <row r="393">
          <cell r="AM393" t="str">
            <v>6991 - Kendari, Kota.</v>
          </cell>
          <cell r="AO393" t="str">
            <v>9611 - Bukan Penduduk - Lembaga-lembaga International - Bank Pembangunan Multilateral - Islamic Development Bank (IDB)</v>
          </cell>
          <cell r="AU393" t="str">
            <v xml:space="preserve">623000 - Angkutan Udara Khusus </v>
          </cell>
          <cell r="AV393" t="str">
            <v>0180 - Kota Banjar</v>
          </cell>
          <cell r="AX393" t="str">
            <v>Sarmi, Kab. - 8217</v>
          </cell>
        </row>
        <row r="394">
          <cell r="AM394" t="str">
            <v>7101 - Lombok Barat, Kab.</v>
          </cell>
          <cell r="AO394" t="str">
            <v>9612 - Bukan Penduduk - Lembaga-lembaga International - Bank Pembangunan Multilateral - Asian Development Bank (ADB)</v>
          </cell>
          <cell r="AU394" t="str">
            <v xml:space="preserve">631000 - Jasa Pelayanan Bongkar Muat Barang </v>
          </cell>
          <cell r="AV394" t="str">
            <v>0201 - Kab. Lebak</v>
          </cell>
          <cell r="AX394" t="str">
            <v>Sarolangun, Kab. - 3104</v>
          </cell>
        </row>
        <row r="395">
          <cell r="AM395" t="str">
            <v>7102 - Lombok Tengah, Kab.</v>
          </cell>
          <cell r="AO395" t="str">
            <v>9613 - Bukan Penduduk - Lembaga-lembaga International - Bank Pembangunan Multilateral - World Bank</v>
          </cell>
          <cell r="AU395" t="str">
            <v xml:space="preserve">632000 - Pergudangan, Jasa Cold Storage, dan Jasa Wilayah Berikat </v>
          </cell>
          <cell r="AV395" t="str">
            <v>0202 - Kab. Pandeglang</v>
          </cell>
          <cell r="AX395" t="str">
            <v>Sawahlunto, Kota. - 3493</v>
          </cell>
        </row>
        <row r="396">
          <cell r="AM396" t="str">
            <v>7103 - Lombok Timur, Kab.</v>
          </cell>
          <cell r="AO396" t="str">
            <v>9629 - Bukan Penduduk - Lembaga-lembaga International - Bank Pembangunan Multilateral - Lainnya</v>
          </cell>
          <cell r="AU396" t="str">
            <v xml:space="preserve">633000 - Jasa Penunjang Angkutan Kecuali Jasa Bongkar Muat dan Pergudangan </v>
          </cell>
          <cell r="AV396" t="str">
            <v>0203 - Kab. Serang</v>
          </cell>
          <cell r="AX396" t="str">
            <v>Sekadau, Kab. - 5309</v>
          </cell>
        </row>
        <row r="397">
          <cell r="AM397" t="str">
            <v>7104 - Sumbawa, Kab.</v>
          </cell>
          <cell r="AO397" t="str">
            <v>9690 - Bukan Penduduk - Lembaga-lembaga International - Lainnya</v>
          </cell>
          <cell r="AU397" t="str">
            <v xml:space="preserve">634000 - Jasa Perjalanan Wisata </v>
          </cell>
          <cell r="AV397" t="str">
            <v>0204 - Kab. Tangerang</v>
          </cell>
          <cell r="AX397" t="str">
            <v>Selayar, Kab. - 6114</v>
          </cell>
        </row>
        <row r="398">
          <cell r="AM398" t="str">
            <v>7105 - Bima, Kab.</v>
          </cell>
          <cell r="AO398" t="str">
            <v>9700 - Bukan Penduduk - Perorangan</v>
          </cell>
          <cell r="AU398" t="str">
            <v xml:space="preserve">635000 - Jasa Pengiriman dan Pengepakan </v>
          </cell>
          <cell r="AV398" t="str">
            <v>0291 - Kota Cilegon</v>
          </cell>
          <cell r="AX398" t="str">
            <v>Seluma, Kab - 2307</v>
          </cell>
        </row>
        <row r="399">
          <cell r="AM399" t="str">
            <v>7106 - Dompu, Kab.</v>
          </cell>
          <cell r="AO399" t="str">
            <v>9999 - Lainnya</v>
          </cell>
          <cell r="AU399" t="str">
            <v>641000 - Pos Nasional, Unit Pelayanan Pos dan Jasa Kurir</v>
          </cell>
          <cell r="AV399" t="str">
            <v>0292 - Kota Tangerang</v>
          </cell>
          <cell r="AX399" t="str">
            <v>Semarang, Kab. - 0901</v>
          </cell>
        </row>
        <row r="400">
          <cell r="AM400" t="str">
            <v>7107 - Sumbawa Barat, Kab.</v>
          </cell>
          <cell r="AU400" t="str">
            <v xml:space="preserve">642000 - Jaringan Telekomunikasi </v>
          </cell>
          <cell r="AV400" t="str">
            <v>0293 - Kota Serang</v>
          </cell>
          <cell r="AX400" t="str">
            <v>Semarang, Kota. - 0991</v>
          </cell>
        </row>
        <row r="401">
          <cell r="AM401" t="str">
            <v>7108 - Kab. Lombok Utara</v>
          </cell>
          <cell r="AU401" t="str">
            <v xml:space="preserve">643000 - Jasa Telekomunikasi </v>
          </cell>
          <cell r="AV401" t="str">
            <v>0294 - Kota Tangerang Selatan</v>
          </cell>
          <cell r="AX401" t="str">
            <v>Seram Bagian Barat, Kota. - 8105</v>
          </cell>
        </row>
        <row r="402">
          <cell r="AM402" t="str">
            <v>7191 - Mataram, Kota.</v>
          </cell>
          <cell r="AU402" t="str">
            <v>644000 - Telekomunikasi Khusus</v>
          </cell>
          <cell r="AV402" t="str">
            <v>0391 - Wil. Kota Jakarta Pusat</v>
          </cell>
          <cell r="AX402" t="str">
            <v>Seram Bagian Timur, Kota. - 8106</v>
          </cell>
        </row>
        <row r="403">
          <cell r="AM403" t="str">
            <v>7192 - Kota. Bima</v>
          </cell>
          <cell r="AU403" t="str">
            <v>651000 - Perantara Moneter (Bank)</v>
          </cell>
          <cell r="AV403" t="str">
            <v>0392 - Wil. Kota Jakarta Utara</v>
          </cell>
          <cell r="AX403" t="str">
            <v>Serang, Kab. - 0203</v>
          </cell>
        </row>
        <row r="404">
          <cell r="AM404" t="str">
            <v>7201 - Buleleng, Kab.</v>
          </cell>
          <cell r="AU404" t="str">
            <v>659001 - Perantara Keuangan Lainnya (Non Bank) Leasing</v>
          </cell>
          <cell r="AV404" t="str">
            <v>0393 - Wil. Kota Jakarta Barat</v>
          </cell>
          <cell r="AX404" t="str">
            <v>Serang. Kota. - 0293</v>
          </cell>
        </row>
        <row r="405">
          <cell r="AM405" t="str">
            <v>7202 - Jembrana, Kab.</v>
          </cell>
          <cell r="AU405" t="str">
            <v>659009 - Perantara Keuangan Lainnya (Non Bank) Selain Leasing</v>
          </cell>
          <cell r="AV405" t="str">
            <v>0394 - Wil. Kota Jakarta Selatan</v>
          </cell>
          <cell r="AX405" t="str">
            <v>Serdang Bedagai, Kab - 3319</v>
          </cell>
        </row>
        <row r="406">
          <cell r="AM406" t="str">
            <v>7203 - Tabanan, Kab.</v>
          </cell>
          <cell r="AU406" t="str">
            <v xml:space="preserve">660000 - Asuransi dan Dana Pensiun </v>
          </cell>
          <cell r="AV406" t="str">
            <v>0395 - Wil. Kota Jakarta Timur</v>
          </cell>
          <cell r="AX406" t="str">
            <v>Seruyan, Kab. - 5810</v>
          </cell>
        </row>
        <row r="407">
          <cell r="AM407" t="str">
            <v>7204 - Badung, Kab.</v>
          </cell>
          <cell r="AU407" t="str">
            <v xml:space="preserve">671000 - Jasa Penunjang Perantara Keuangan Kecuali Asuransi dan Dana Pensiun </v>
          </cell>
          <cell r="AV407" t="str">
            <v>0396 - Wil. Kepulauan Seribu</v>
          </cell>
          <cell r="AX407" t="str">
            <v>Siak, Kab. - 3511</v>
          </cell>
        </row>
        <row r="408">
          <cell r="AM408" t="str">
            <v>7205 - Gianyar, Kab.</v>
          </cell>
          <cell r="AU408" t="str">
            <v xml:space="preserve">672000 - Jasa Penunjang Asuransi dan dana Pensiun </v>
          </cell>
          <cell r="AV408" t="str">
            <v>0501 - Kab. Bantul</v>
          </cell>
          <cell r="AX408" t="str">
            <v>Sibolga, Kota. - 3395</v>
          </cell>
        </row>
        <row r="409">
          <cell r="AM409" t="str">
            <v>7206 - Klungkung, Kab.</v>
          </cell>
          <cell r="AU409" t="str">
            <v>701001 - Real Estate Perumahan Sederhana - Perumnas</v>
          </cell>
          <cell r="AV409" t="str">
            <v>0502 - Kab. Sleman</v>
          </cell>
          <cell r="AX409" t="str">
            <v>Sidenreng Rappang, Kab. - 6117</v>
          </cell>
        </row>
        <row r="410">
          <cell r="AM410" t="str">
            <v>7207 - Bangli, Kab.</v>
          </cell>
          <cell r="AU410" t="str">
            <v>701002 - Real Estate Perumahan Sederhana - Selain Perumnas s.d. Tipe 21</v>
          </cell>
          <cell r="AV410" t="str">
            <v>0503 - Kab. Gunung Kidul</v>
          </cell>
          <cell r="AX410" t="str">
            <v>Sidoarjo, Kab. - 1202</v>
          </cell>
        </row>
        <row r="411">
          <cell r="AM411" t="str">
            <v>3316 - Humbang Hasundutan, Kab</v>
          </cell>
          <cell r="AU411" t="str">
            <v>701003 - Real Estate Perumahan Sederhana - Selain Perumnas s.d. Tipe 22 s.d. 70</v>
          </cell>
          <cell r="AV411" t="str">
            <v>3802 - Kab. Lingga</v>
          </cell>
          <cell r="AX411" t="str">
            <v>Sigi, Kab - 6010</v>
          </cell>
        </row>
        <row r="412">
          <cell r="AM412" t="str">
            <v>3317 - Pakpak Barat, Kab</v>
          </cell>
          <cell r="AU412" t="str">
            <v>701004 - Real Estate Perumahan Menengah, Besar Atau Mewah (Tipe Diatas 70)</v>
          </cell>
          <cell r="AV412" t="str">
            <v>3803 - Kab. Natuna</v>
          </cell>
          <cell r="AX412" t="str">
            <v>Sijunjung, Kab - 3408</v>
          </cell>
        </row>
        <row r="413">
          <cell r="AM413" t="str">
            <v>7208 - Karangasem, Kab.</v>
          </cell>
          <cell r="AU413" t="str">
            <v>701005 - Real Estate Perumahan Flat / Apartemen</v>
          </cell>
          <cell r="AV413" t="str">
            <v>0504 - Kab. Kulon Progo</v>
          </cell>
          <cell r="AX413" t="str">
            <v>Sikka, Kab. - 7407</v>
          </cell>
        </row>
        <row r="414">
          <cell r="AM414" t="str">
            <v>7291 - Denpasar, Kota.</v>
          </cell>
          <cell r="AU414" t="str">
            <v>701006 - Real Estate Gedung Perbelanjaan (Mal, Plaza)</v>
          </cell>
          <cell r="AV414" t="str">
            <v>0591 - Kota Yogyakarta</v>
          </cell>
          <cell r="AX414" t="str">
            <v>Simalungun, Kab. - 3304</v>
          </cell>
        </row>
        <row r="415">
          <cell r="AM415" t="str">
            <v>3318 - Samosir, Kab</v>
          </cell>
          <cell r="AU415" t="str">
            <v>701007 - Real Estate Gedung Perkantoran</v>
          </cell>
          <cell r="AV415" t="str">
            <v>3804 - Kab. Bintan (d/h Kabupaten Kepulauan Riau)</v>
          </cell>
          <cell r="AX415" t="str">
            <v>Simeuleu, Kab - 3216</v>
          </cell>
        </row>
        <row r="416">
          <cell r="AM416" t="str">
            <v>7401 - Kupang, Kab.</v>
          </cell>
          <cell r="AU416" t="str">
            <v>701008 - Real Estate Gedung Rumah Toko (Ruko) atau Rumah Kantor (Rukan)</v>
          </cell>
          <cell r="AV416" t="str">
            <v>0901 - Kab. Semarang</v>
          </cell>
          <cell r="AX416" t="str">
            <v>Singkawang, Kota. - 5392</v>
          </cell>
        </row>
        <row r="417">
          <cell r="AM417" t="str">
            <v>7402 - Timor-Tengah Selatan, Kab.</v>
          </cell>
          <cell r="AU417" t="str">
            <v>701009 - Real Estate Lainnya</v>
          </cell>
          <cell r="AV417" t="str">
            <v>0902 - Kab. Kendal</v>
          </cell>
          <cell r="AX417" t="str">
            <v>Sinjai, Kab. - 6110</v>
          </cell>
        </row>
        <row r="418">
          <cell r="AM418" t="str">
            <v>7403 - Timor-Tengah Utara, Kab.</v>
          </cell>
          <cell r="AU418" t="str">
            <v xml:space="preserve">702000 - Real Estate Atas Dasar Balas Jasa (Fee) Atau Kontrak </v>
          </cell>
          <cell r="AV418" t="str">
            <v>0903 - Kab. Demak</v>
          </cell>
          <cell r="AX418" t="str">
            <v>Sintang, Kab. - 5305</v>
          </cell>
        </row>
        <row r="419">
          <cell r="AM419" t="str">
            <v>7404 - Belu, Kab.</v>
          </cell>
          <cell r="AU419" t="str">
            <v xml:space="preserve">703000 - Kawasan Pariwisata dan Penyediaan Sarana Wisata Tirta Kawasan Pariwisata </v>
          </cell>
          <cell r="AV419" t="str">
            <v>0904 - Kab. Grobogan</v>
          </cell>
          <cell r="AX419" t="str">
            <v>Situbondo, Kab. - 1230</v>
          </cell>
        </row>
        <row r="420">
          <cell r="AM420" t="str">
            <v>7405 - Alor, Kab.</v>
          </cell>
          <cell r="AU420" t="str">
            <v xml:space="preserve">711100 - Persewaan Alat Transportasi Darat </v>
          </cell>
          <cell r="AV420" t="str">
            <v>0905 - Kab. Pekalongan</v>
          </cell>
          <cell r="AX420" t="str">
            <v>Sleman, Kab. - 0502</v>
          </cell>
        </row>
        <row r="421">
          <cell r="AM421" t="str">
            <v>7406 - Flores Timur, Kab.</v>
          </cell>
          <cell r="AU421" t="str">
            <v>711200 - Persewaan Alat Transportasi Air</v>
          </cell>
          <cell r="AV421" t="str">
            <v>0906 - Kab. Tegal</v>
          </cell>
          <cell r="AX421" t="str">
            <v>Solok Selatan, Kab. - 3404</v>
          </cell>
        </row>
        <row r="422">
          <cell r="AM422" t="str">
            <v>7407 - Sikka, Kab.</v>
          </cell>
          <cell r="AU422" t="str">
            <v xml:space="preserve">711300 - Persewaan Alat Transportasi Udara </v>
          </cell>
          <cell r="AV422" t="str">
            <v>0907 - Kab. Brebes</v>
          </cell>
          <cell r="AX422" t="str">
            <v>Solok, Kab - 3412</v>
          </cell>
        </row>
        <row r="423">
          <cell r="AM423" t="str">
            <v>7408 - Ende, Kab.</v>
          </cell>
          <cell r="AU423" t="str">
            <v xml:space="preserve">712100 - Persewaan Mesin Pertanian dan Peralatannya </v>
          </cell>
          <cell r="AV423" t="str">
            <v>0908 - Kab. Pati</v>
          </cell>
          <cell r="AX423" t="str">
            <v>Solok, Kota. - 3495</v>
          </cell>
        </row>
        <row r="424">
          <cell r="AM424" t="str">
            <v>3319 - Serdang Bedagai, Kab</v>
          </cell>
          <cell r="AU424" t="str">
            <v>712200 - Persewaan Mesin Konstruksi dan Teknik Sipil dan Peralatannya</v>
          </cell>
          <cell r="AV424" t="str">
            <v>3805 - Kab. Anambas</v>
          </cell>
          <cell r="AX424" t="str">
            <v>Soppeng, Kab (d/h Watansoppeng) - 6119</v>
          </cell>
        </row>
        <row r="425">
          <cell r="AM425" t="str">
            <v>7409 - Ngada, Kab.</v>
          </cell>
          <cell r="AU425" t="str">
            <v>712300 - Persewaan Mesin Kantor dan Peralatannya (Termasuk Komputer)</v>
          </cell>
          <cell r="AV425" t="str">
            <v>0909 - Kab. Kudus</v>
          </cell>
          <cell r="AX425" t="str">
            <v>Sorong selatan, Kab. - 8404</v>
          </cell>
        </row>
        <row r="426">
          <cell r="AM426" t="str">
            <v>7410 - Manggarai, Kab.</v>
          </cell>
          <cell r="AU426" t="str">
            <v>712900 - Persewaan Mesin Lainnya dan Peralatannya yang Tidak Diklasifikasikan di Tempat Lain</v>
          </cell>
          <cell r="AV426" t="str">
            <v>0910 - Kab. Pemalang</v>
          </cell>
          <cell r="AX426" t="str">
            <v>Sorong, Kab. - 8401</v>
          </cell>
        </row>
        <row r="427">
          <cell r="AM427" t="str">
            <v>7411 - Sumba Timur, Kab.</v>
          </cell>
          <cell r="AU427" t="str">
            <v>713000 - Persewaan Barang-barang Keperluan Rumah Tangga dan Pribadi yang Tidak Diklasifikasikan di Tempat Lain</v>
          </cell>
          <cell r="AV427" t="str">
            <v>0911 - Kab. Jepara</v>
          </cell>
          <cell r="AX427" t="str">
            <v>Sorong, Kota. - 8491</v>
          </cell>
        </row>
        <row r="428">
          <cell r="AM428" t="str">
            <v>7412 - Sumba Barat, Kab.</v>
          </cell>
          <cell r="AU428" t="str">
            <v xml:space="preserve">721000 - Jasa Konsultasi Piranti Keras (Hardware Consulting) </v>
          </cell>
          <cell r="AV428" t="str">
            <v>0912 - Kab. Rembang</v>
          </cell>
          <cell r="AX428" t="str">
            <v>Sragen, Kab. - 0925</v>
          </cell>
        </row>
        <row r="429">
          <cell r="AM429" t="str">
            <v>7413 - Lembata, Kab.</v>
          </cell>
          <cell r="AU429" t="str">
            <v xml:space="preserve">722000 - Jasa Konsultasi Piranti Lunak (Software Consulting) </v>
          </cell>
          <cell r="AV429" t="str">
            <v>0913 - Kab. Blora</v>
          </cell>
          <cell r="AX429" t="str">
            <v>Subang, Kab. - 0121</v>
          </cell>
        </row>
        <row r="430">
          <cell r="AM430" t="str">
            <v>7414 - Rote, Kab.</v>
          </cell>
          <cell r="AU430" t="str">
            <v xml:space="preserve">723000 - Pengolahan Data </v>
          </cell>
          <cell r="AV430" t="str">
            <v>0914 - Kab. Banyumas</v>
          </cell>
          <cell r="AX430" t="str">
            <v>Subulussalam - 3219</v>
          </cell>
        </row>
        <row r="431">
          <cell r="AM431" t="str">
            <v>7415 - Manggarai Barat, Kab.</v>
          </cell>
          <cell r="AU431" t="str">
            <v xml:space="preserve">724000 - Jasa Kegiatan Data Base </v>
          </cell>
          <cell r="AV431" t="str">
            <v>0915 - Kab. Cilacap</v>
          </cell>
          <cell r="AX431" t="str">
            <v>Sukabumi, Kab. - 0109</v>
          </cell>
        </row>
        <row r="432">
          <cell r="AM432" t="str">
            <v>7416 - Sumba Tengah, Kab.</v>
          </cell>
          <cell r="AU432" t="str">
            <v xml:space="preserve">725000 - Perawatan dan Reparasi Mesin-mesin Kantor, Akuntansi, dan Komputer </v>
          </cell>
          <cell r="AV432" t="str">
            <v>0916 - Kab. Purbalingga</v>
          </cell>
          <cell r="AX432" t="str">
            <v>Sukabumi, Kota. - 0193</v>
          </cell>
        </row>
        <row r="433">
          <cell r="AM433" t="str">
            <v>7417 - Sumba Barat Daya, Kab.</v>
          </cell>
          <cell r="AU433" t="str">
            <v xml:space="preserve">729000 - Kegiatan Lain yang Berkaitan Dengan Komputer </v>
          </cell>
          <cell r="AV433" t="str">
            <v>0917 - Kab. Banjarnegara</v>
          </cell>
          <cell r="AX433" t="str">
            <v>Sukamara, Kab. - 5812</v>
          </cell>
        </row>
        <row r="434">
          <cell r="AM434" t="str">
            <v>7418 - Manggarai Timur, Kab.</v>
          </cell>
          <cell r="AU434" t="str">
            <v xml:space="preserve">731000 - Penelitian dan Pengembangan Ilmu Pengetahuan Alam dan Teknologi </v>
          </cell>
          <cell r="AV434" t="str">
            <v>0918 - Kab. Magelang</v>
          </cell>
          <cell r="AX434" t="str">
            <v>Sukoharjo, Kab. - 0926</v>
          </cell>
        </row>
        <row r="435">
          <cell r="AM435" t="str">
            <v>7419 - Nagekeo, Kab.</v>
          </cell>
          <cell r="AU435" t="str">
            <v xml:space="preserve">732000 - Penelitian dan Pengembangan Ilmu Pengetahuan Sosial dan Humaniora </v>
          </cell>
          <cell r="AV435" t="str">
            <v>0919 - Kab. Temanggung</v>
          </cell>
          <cell r="AX435" t="str">
            <v>Sumba Barat Daya, Kab. - 7417</v>
          </cell>
        </row>
        <row r="436">
          <cell r="AM436" t="str">
            <v>7420 - Kab. Sabu Raijua</v>
          </cell>
          <cell r="AU436" t="str">
            <v xml:space="preserve">741000 - Jasa Hukum, Akuntansi dan Pembukuan, Konsultasi Pajak, Penelitian Pasar, dan Konsultasi Bisnis dan Manajemen </v>
          </cell>
          <cell r="AV436" t="str">
            <v>0920 - Kab. Wonosobo</v>
          </cell>
          <cell r="AX436" t="str">
            <v>Sumba Barat, Kab. - 7412</v>
          </cell>
        </row>
        <row r="437">
          <cell r="AM437" t="str">
            <v>7491 - Kupang, Kota.</v>
          </cell>
          <cell r="AU437" t="str">
            <v xml:space="preserve">742000 - Jasa Konsultasi Arsitek, Kegiatan Teknik dan Rekayasa, Serta Analisis dan Testing </v>
          </cell>
          <cell r="AV437" t="str">
            <v>0921 - Kab. Purworejo</v>
          </cell>
          <cell r="AX437" t="str">
            <v>Sumba Tengah, Kab. - 7416</v>
          </cell>
        </row>
        <row r="438">
          <cell r="AM438" t="str">
            <v>8101 - Maluku Tengah, Kab.</v>
          </cell>
          <cell r="AU438" t="str">
            <v xml:space="preserve">743000 - Jasa Periklanan </v>
          </cell>
          <cell r="AV438" t="str">
            <v>0922 - Kab. Kebumen</v>
          </cell>
          <cell r="AX438" t="str">
            <v>Sumba Timur, Kab. - 7411</v>
          </cell>
        </row>
        <row r="439">
          <cell r="AM439" t="str">
            <v>8102 - Maluku Tenggara, Kab.</v>
          </cell>
          <cell r="AU439" t="str">
            <v>749001 - Pedagang Valuta Asing</v>
          </cell>
          <cell r="AV439" t="str">
            <v>0923 - Kab. Klaten</v>
          </cell>
          <cell r="AX439" t="str">
            <v>Sumbawa Barat, Kab. - 7107</v>
          </cell>
        </row>
        <row r="440">
          <cell r="AM440" t="str">
            <v>8103 - Maluku Tenggara Barat, Kab.</v>
          </cell>
          <cell r="AU440" t="str">
            <v>749009 - Jasa Perusahaan Lainnya</v>
          </cell>
          <cell r="AV440" t="str">
            <v>0924 - Kab. Boyolali</v>
          </cell>
          <cell r="AX440" t="str">
            <v>Sumbawa, Kab. - 7104</v>
          </cell>
        </row>
        <row r="441">
          <cell r="AM441" t="str">
            <v>8104 - Kab Buru</v>
          </cell>
          <cell r="AU441" t="str">
            <v xml:space="preserve">751000 - Administrasi Pemerintahan, dan Kebijaksanaan Ekonomi dan Sosial </v>
          </cell>
          <cell r="AV441" t="str">
            <v>0925 - Kab. Sragen</v>
          </cell>
          <cell r="AX441" t="str">
            <v>Sumedang, Kab. - 0112</v>
          </cell>
        </row>
        <row r="442">
          <cell r="AM442" t="str">
            <v>8105 - Seram Bagian Barat, Kota.</v>
          </cell>
          <cell r="AU442" t="str">
            <v>752000 - Hubungan Luar Negeri, Pertahanan, dan Keamanan</v>
          </cell>
          <cell r="AV442" t="str">
            <v>0926 - Kab. Sukoharjo</v>
          </cell>
          <cell r="AX442" t="str">
            <v>Sumenep, Kab. - 1207</v>
          </cell>
        </row>
        <row r="443">
          <cell r="AM443" t="str">
            <v>8106 - Seram Bagian Timur, Kota.</v>
          </cell>
          <cell r="AU443" t="str">
            <v xml:space="preserve">753000 - Jaminan Sosial Wajib </v>
          </cell>
          <cell r="AV443" t="str">
            <v>0927 - Kab. Karanganyar</v>
          </cell>
          <cell r="AX443" t="str">
            <v>Supiori,Kab. - 8231</v>
          </cell>
        </row>
        <row r="444">
          <cell r="AM444" t="str">
            <v>8107 - Kepulauan Aru, Kota.</v>
          </cell>
          <cell r="AU444" t="str">
            <v xml:space="preserve">801000 - Jasa Pendidikan Dasar </v>
          </cell>
          <cell r="AV444" t="str">
            <v>0928 - Kab. Wonogiri</v>
          </cell>
          <cell r="AX444" t="str">
            <v>Surabaya, Kota. - 1291</v>
          </cell>
        </row>
        <row r="445">
          <cell r="AM445" t="str">
            <v>8108 - Kab. Maluku Barat Daya</v>
          </cell>
          <cell r="AU445" t="str">
            <v xml:space="preserve">802000 - Jasa Pendidikan Menengah </v>
          </cell>
          <cell r="AV445" t="str">
            <v>0929 - Kab. Batang</v>
          </cell>
          <cell r="AX445" t="str">
            <v>Surakarta, Kota. - 0996</v>
          </cell>
        </row>
        <row r="446">
          <cell r="AM446" t="str">
            <v>8109 - Kab. Buru Selatan</v>
          </cell>
          <cell r="AU446" t="str">
            <v xml:space="preserve">803000 - Jasa Pendidikan Tinggi </v>
          </cell>
          <cell r="AV446" t="str">
            <v>0991 - Kota Semarang</v>
          </cell>
          <cell r="AX446" t="str">
            <v>Tabalong, Kab. - 5109</v>
          </cell>
        </row>
        <row r="447">
          <cell r="AM447" t="str">
            <v>8191 - Ambon, Kota.</v>
          </cell>
          <cell r="AU447" t="str">
            <v xml:space="preserve">804000 - Jasa Pendidikan Lainnya </v>
          </cell>
          <cell r="AV447" t="str">
            <v>0992 - Kota Salatiga</v>
          </cell>
          <cell r="AX447" t="str">
            <v>Tabanan, Kab. - 7203</v>
          </cell>
        </row>
        <row r="448">
          <cell r="AM448" t="str">
            <v>8192 - Tual, Kota.</v>
          </cell>
          <cell r="AU448" t="str">
            <v>851001 - Jasa Kesehatan Manusia - Rumah sakit</v>
          </cell>
          <cell r="AV448" t="str">
            <v>0993 - Kota Pekalongan</v>
          </cell>
          <cell r="AX448" t="str">
            <v>Takalar, Kab. - 6115</v>
          </cell>
        </row>
        <row r="449">
          <cell r="AM449" t="str">
            <v>8201 - Jayapura, Kab.</v>
          </cell>
          <cell r="AU449" t="str">
            <v>851002 - Jasa Kesehatan Manusia - Poliklinik / Rumah Bersalin</v>
          </cell>
          <cell r="AV449" t="str">
            <v>0994 - Kota Tegal</v>
          </cell>
          <cell r="AX449" t="str">
            <v>Tana Tidung, Kab. - 5412</v>
          </cell>
        </row>
        <row r="450">
          <cell r="AM450" t="str">
            <v>8202 - Biak Numfor, Kab.</v>
          </cell>
          <cell r="AU450" t="str">
            <v>851003 - Jasa Kesehatan Manusia - Tempat Perawatan / Pengobatan</v>
          </cell>
          <cell r="AV450" t="str">
            <v>0995 - Kota Magelang</v>
          </cell>
          <cell r="AX450" t="str">
            <v>Tana Toraja, Kab. - 6106</v>
          </cell>
        </row>
        <row r="451">
          <cell r="AM451" t="str">
            <v>8210 - Yapen-Waropen, Kab.</v>
          </cell>
          <cell r="AU451" t="str">
            <v>851004 - Jasa Kesehatan Manusia - Profesi Dokter</v>
          </cell>
          <cell r="AV451" t="str">
            <v>0996 - Kota Surakarta/Solo</v>
          </cell>
          <cell r="AX451" t="str">
            <v>Tanah Bumbu, Kab. - 5110</v>
          </cell>
        </row>
        <row r="452">
          <cell r="AM452" t="str">
            <v>8211 - Merauke, Kab.</v>
          </cell>
          <cell r="AU452" t="str">
            <v xml:space="preserve">852000 - Jasa Kesehatan Hewan </v>
          </cell>
          <cell r="AV452" t="str">
            <v>1201 - Kab. Gresik</v>
          </cell>
          <cell r="AX452" t="str">
            <v>Tanah Datar, Kab. - 3407</v>
          </cell>
        </row>
        <row r="453">
          <cell r="AM453" t="str">
            <v>8212 - Paniai, Kab.</v>
          </cell>
          <cell r="AU453" t="str">
            <v xml:space="preserve">853000 - Jasa Kegiatan Sosial </v>
          </cell>
          <cell r="AV453" t="str">
            <v>1202 - Kab. Sidoarjo</v>
          </cell>
          <cell r="AX453" t="str">
            <v>Tanah Laut, Kab. - 5102</v>
          </cell>
        </row>
        <row r="454">
          <cell r="AM454" t="str">
            <v>8213 - Jayawijaya, Kab.</v>
          </cell>
          <cell r="AU454" t="str">
            <v xml:space="preserve">900000 - Jasa Kebersihan </v>
          </cell>
          <cell r="AV454" t="str">
            <v>1203 - Kab. Mojokerto</v>
          </cell>
          <cell r="AX454" t="str">
            <v>Tangerang, Kab. - 0204</v>
          </cell>
        </row>
        <row r="455">
          <cell r="AM455" t="str">
            <v>8214 - Nabire, Kab.</v>
          </cell>
          <cell r="AU455" t="str">
            <v xml:space="preserve">910000 - Organisasi Bisnis, Pengusaha dan Profesional </v>
          </cell>
          <cell r="AV455" t="str">
            <v>1204 - Kab. Jombang</v>
          </cell>
          <cell r="AX455" t="str">
            <v>Tangerang, Kota. - 0292</v>
          </cell>
        </row>
        <row r="456">
          <cell r="AM456" t="str">
            <v>8215 - Mimika, Kab.</v>
          </cell>
          <cell r="AU456" t="str">
            <v xml:space="preserve">912000 - Organisasi Buruh </v>
          </cell>
          <cell r="AV456" t="str">
            <v>1205 - Kab. Sampang</v>
          </cell>
          <cell r="AX456" t="str">
            <v>Tanggamus, Kab. - 3906</v>
          </cell>
        </row>
        <row r="457">
          <cell r="AM457" t="str">
            <v>8216 - Puncak Jaya, Kab.</v>
          </cell>
          <cell r="AU457" t="str">
            <v xml:space="preserve">919000 - Organisasi Lainnya </v>
          </cell>
          <cell r="AV457" t="str">
            <v>1206 - Kab. Pamekasan</v>
          </cell>
          <cell r="AX457" t="str">
            <v>Tanjung Balai, Kota. - 3394</v>
          </cell>
        </row>
        <row r="458">
          <cell r="AM458" t="str">
            <v>8217 - Sarmi, Kab.</v>
          </cell>
          <cell r="AU458" t="str">
            <v xml:space="preserve">921000 - Kegiatan Perfilman, Radio, Televisi, dan Hiburan Lainnya </v>
          </cell>
          <cell r="AV458" t="str">
            <v>1207 - Kab. Sumenep</v>
          </cell>
          <cell r="AX458" t="str">
            <v>Tanjung Jabung Barat, Kab. - 3107</v>
          </cell>
        </row>
        <row r="459">
          <cell r="AM459" t="str">
            <v>8218 - Keerom, Kab.</v>
          </cell>
          <cell r="AU459" t="str">
            <v xml:space="preserve">922000 - Kegiatan Kantor Berita </v>
          </cell>
          <cell r="AV459" t="str">
            <v>1208 - Kab. Bangkalan</v>
          </cell>
          <cell r="AX459" t="str">
            <v>Tanjung Jabung Timur, Kab. - 3108</v>
          </cell>
        </row>
        <row r="460">
          <cell r="AM460" t="str">
            <v>8221 - Pegunungan Bintang, Kab.</v>
          </cell>
          <cell r="AU460" t="str">
            <v xml:space="preserve">923000 - Perpustakaan, Arsip, Museum, dan Kegiatan Kebudayaan Lainnya </v>
          </cell>
          <cell r="AV460" t="str">
            <v>1209 - Kab. Bondowoso</v>
          </cell>
          <cell r="AX460" t="str">
            <v>Tanjungpinang, Kota - 3891</v>
          </cell>
        </row>
        <row r="461">
          <cell r="AM461" t="str">
            <v>8222 - Yahukimo, Kab.</v>
          </cell>
          <cell r="AU461" t="str">
            <v>930000 - Jasa Kegiatan Lainnya</v>
          </cell>
          <cell r="AV461" t="str">
            <v>1211 - Kab. Banyuwangi</v>
          </cell>
          <cell r="AX461" t="str">
            <v>Tapanuli Selatan, Kab. - 3310</v>
          </cell>
        </row>
        <row r="462">
          <cell r="AM462" t="str">
            <v>8223 - Tolikara, Kab.</v>
          </cell>
          <cell r="AU462" t="str">
            <v xml:space="preserve">950000 - Jasa Perorangan yang Melayani Rumah Tangga </v>
          </cell>
          <cell r="AV462" t="str">
            <v>1212 - Kab. Jember</v>
          </cell>
          <cell r="AX462" t="str">
            <v>Tapanuli Tengah, Kab. - 3309</v>
          </cell>
        </row>
        <row r="463">
          <cell r="AM463" t="str">
            <v>8224 - Waropen, Kab.</v>
          </cell>
          <cell r="AU463" t="str">
            <v>990000 - Badan Internasional dan Badan Ekstra Internasional Lainnya</v>
          </cell>
          <cell r="AV463" t="str">
            <v>1213 - Kab. Malang</v>
          </cell>
          <cell r="AX463" t="str">
            <v>Tapanuli Utara, Kab. - 3308</v>
          </cell>
        </row>
        <row r="464">
          <cell r="AM464" t="str">
            <v>8226 - Boven Digoel, Kab.</v>
          </cell>
          <cell r="AV464" t="str">
            <v>1214 - Kab. Pasuruan</v>
          </cell>
          <cell r="AX464" t="str">
            <v>Tapin, Kab. - 5103</v>
          </cell>
        </row>
        <row r="465">
          <cell r="AM465" t="str">
            <v>8227 - Mappi, Kab.</v>
          </cell>
          <cell r="AV465" t="str">
            <v>1215 - Kab. Probolinggo</v>
          </cell>
          <cell r="AX465" t="str">
            <v>Tarakan, Kota. - 5493</v>
          </cell>
        </row>
        <row r="466">
          <cell r="AM466" t="str">
            <v>8228 - Asmat, Kab.</v>
          </cell>
          <cell r="AV466" t="str">
            <v>1216 - Kab. Lumajang</v>
          </cell>
          <cell r="AX466" t="str">
            <v>Tasikmalaya, Kab. - 0113</v>
          </cell>
        </row>
        <row r="467">
          <cell r="AM467" t="str">
            <v>8231 - Supiori,Kab.</v>
          </cell>
          <cell r="AV467" t="str">
            <v>1217 - Kab. Kediri</v>
          </cell>
          <cell r="AX467" t="str">
            <v>Tasikmalaya, Kota. - 0195</v>
          </cell>
        </row>
        <row r="468">
          <cell r="AM468" t="str">
            <v>8232 - Mamberamo Raya, Kab.</v>
          </cell>
          <cell r="AV468" t="str">
            <v>1218 - Kab. Nganjuk</v>
          </cell>
          <cell r="AX468" t="str">
            <v>Tebing Tinggi, Kota. - 3391</v>
          </cell>
        </row>
        <row r="469">
          <cell r="AM469" t="str">
            <v>8233 - Dogiyai, Kab.</v>
          </cell>
          <cell r="AV469" t="str">
            <v>1219 - Kab. Tulungagung</v>
          </cell>
          <cell r="AX469" t="str">
            <v>Tebo, Kab. - 3109</v>
          </cell>
        </row>
        <row r="470">
          <cell r="AM470" t="str">
            <v>8234 - Lanny Jaya, Kab.</v>
          </cell>
          <cell r="AV470" t="str">
            <v>1220 - Kab. Trenggalek</v>
          </cell>
          <cell r="AX470" t="str">
            <v>Tegal, Kab. - 0906</v>
          </cell>
        </row>
        <row r="471">
          <cell r="AM471" t="str">
            <v>8235 - Mamberamo Tengah, Kab.</v>
          </cell>
          <cell r="AV471" t="str">
            <v>1221 - Kab. Blitar</v>
          </cell>
          <cell r="AX471" t="str">
            <v>Tegal, Kota. - 0994</v>
          </cell>
        </row>
        <row r="472">
          <cell r="AM472" t="str">
            <v>8236 - Nduga Tengah, Kab.</v>
          </cell>
          <cell r="AV472" t="str">
            <v>1222 - Kab. Madiun</v>
          </cell>
          <cell r="AX472" t="str">
            <v>Teluk Bintuni, Kab. - 8407</v>
          </cell>
        </row>
        <row r="473">
          <cell r="AM473" t="str">
            <v>8237 - Yalimo, Kab.</v>
          </cell>
          <cell r="AV473" t="str">
            <v>1223 - Kab. Ngawi</v>
          </cell>
          <cell r="AX473" t="str">
            <v>Teluk Wondama, Kab. - 8408</v>
          </cell>
        </row>
        <row r="474">
          <cell r="AM474" t="str">
            <v>8238 - Puncak, Kab.</v>
          </cell>
          <cell r="AV474" t="str">
            <v>1224 - Kab. Magetan</v>
          </cell>
          <cell r="AX474" t="str">
            <v>Temanggung, Kab. - 0919</v>
          </cell>
        </row>
        <row r="475">
          <cell r="AM475" t="str">
            <v>3320 - Angkola Sipirok, Kab</v>
          </cell>
          <cell r="AV475" t="str">
            <v>3891 - Kota Tanjung Pinang</v>
          </cell>
          <cell r="AX475" t="str">
            <v>Tembrauw, Kab - 8409</v>
          </cell>
        </row>
        <row r="476">
          <cell r="AM476" t="str">
            <v>8239 - Kab. Intan Jaya</v>
          </cell>
          <cell r="AV476" t="str">
            <v>1225 - Kab. Ponorogo</v>
          </cell>
          <cell r="AX476" t="str">
            <v>Ternate, Kota. - 8390</v>
          </cell>
        </row>
        <row r="477">
          <cell r="AM477" t="str">
            <v>8240 - Kab. Deiyai</v>
          </cell>
          <cell r="AV477" t="str">
            <v>1226 - Kab. Pacitan</v>
          </cell>
          <cell r="AX477" t="str">
            <v>Tidore Kepulauan, Kota. - 8391</v>
          </cell>
        </row>
        <row r="478">
          <cell r="AM478" t="str">
            <v>8291 - Jayapura, Kota.</v>
          </cell>
          <cell r="AV478" t="str">
            <v>1227 - Kab. Bojonegoro</v>
          </cell>
          <cell r="AX478" t="str">
            <v>Timor-Tengah Selatan, Kab. - 7402</v>
          </cell>
        </row>
        <row r="479">
          <cell r="AM479" t="str">
            <v>8302 - Halmahera Tengah, Kab.</v>
          </cell>
          <cell r="AV479" t="str">
            <v>1228 - Kab. Tuban</v>
          </cell>
          <cell r="AX479" t="str">
            <v>Timor-Tengah Utara, Kab. - 7403</v>
          </cell>
        </row>
        <row r="480">
          <cell r="AM480" t="str">
            <v>8303 - Halmahera Utara, Kab.</v>
          </cell>
          <cell r="AV480" t="str">
            <v>1229 - Kab. Lamongan</v>
          </cell>
          <cell r="AX480" t="str">
            <v>Toba Samosir, Kab. - 3313</v>
          </cell>
        </row>
        <row r="481">
          <cell r="AM481" t="str">
            <v>8304 - Halmahera Timur, Kab.</v>
          </cell>
          <cell r="AV481" t="str">
            <v>1230 - Kab. Situbondo</v>
          </cell>
          <cell r="AX481" t="str">
            <v>Tojo Una-Una, Kab. - 6008</v>
          </cell>
        </row>
        <row r="482">
          <cell r="AM482" t="str">
            <v>8305 - Halmahera Barat, Kab.</v>
          </cell>
          <cell r="AV482" t="str">
            <v>1291 - Kota Surabaya</v>
          </cell>
          <cell r="AX482" t="str">
            <v>Tolikara, Kab. - 8223</v>
          </cell>
        </row>
        <row r="483">
          <cell r="AM483" t="str">
            <v>8306 - Halmahera Selatan, Kab.</v>
          </cell>
          <cell r="AV483" t="str">
            <v>1292 - Kota Mojokerto</v>
          </cell>
          <cell r="AX483" t="str">
            <v>Toli-Toli, Kab. - 6004</v>
          </cell>
        </row>
        <row r="484">
          <cell r="AM484" t="str">
            <v>3321 - Batu Bara, Kab</v>
          </cell>
          <cell r="AV484" t="str">
            <v>3892 - Kota Batam</v>
          </cell>
          <cell r="AX484" t="str">
            <v>Toraja Utara, Kab - 6125</v>
          </cell>
        </row>
        <row r="485">
          <cell r="AM485" t="str">
            <v>8307 - Kepulauan Sula, Kab.</v>
          </cell>
          <cell r="AV485" t="str">
            <v>1293 - Kota Malang</v>
          </cell>
          <cell r="AX485" t="str">
            <v>Trenggalek, Kab. - 1220</v>
          </cell>
        </row>
        <row r="486">
          <cell r="AM486" t="str">
            <v>8308 - Kab. Pulau Morotai</v>
          </cell>
          <cell r="AV486" t="str">
            <v>1294 - Kota Pasuruan</v>
          </cell>
          <cell r="AX486" t="str">
            <v>Tual, Kota. - 8192</v>
          </cell>
        </row>
        <row r="487">
          <cell r="AM487" t="str">
            <v>8390 - Ternate, Kota.</v>
          </cell>
          <cell r="AV487" t="str">
            <v>1295 - Kota Probolinggo</v>
          </cell>
          <cell r="AX487" t="str">
            <v>Tuban, Kab. - 1228</v>
          </cell>
        </row>
        <row r="488">
          <cell r="AM488" t="str">
            <v>3322 - Padang Lawas, Kab</v>
          </cell>
          <cell r="AV488" t="str">
            <v>3901 - Kab. Lampung Selatan</v>
          </cell>
          <cell r="AX488" t="str">
            <v>Tulang Bawang Barat, Kab - 3911</v>
          </cell>
        </row>
        <row r="489">
          <cell r="AM489" t="str">
            <v>8391 - Tidore Kepulauan, Kota.</v>
          </cell>
          <cell r="AV489" t="str">
            <v>1296 - Kota Blitar</v>
          </cell>
          <cell r="AX489" t="str">
            <v>Tulang Bawang, Kab. - 3905</v>
          </cell>
        </row>
        <row r="490">
          <cell r="AM490" t="str">
            <v>8401 - Sorong, Kab.</v>
          </cell>
          <cell r="AV490" t="str">
            <v>1297 - Kota Kediri</v>
          </cell>
          <cell r="AX490" t="str">
            <v>Tulungagung, Kab. - 1219</v>
          </cell>
        </row>
        <row r="491">
          <cell r="AM491" t="str">
            <v>8402 - Fak-Fak, Kab.</v>
          </cell>
          <cell r="AV491" t="str">
            <v>1298 - Kota Madiun</v>
          </cell>
          <cell r="AX491" t="str">
            <v>Wajo, Kab. - 6103</v>
          </cell>
        </row>
        <row r="492">
          <cell r="AM492" t="str">
            <v>8403 - Manokwari, Kab.</v>
          </cell>
          <cell r="AV492" t="str">
            <v>1271 - Kota Batu</v>
          </cell>
          <cell r="AX492" t="str">
            <v>Wakatobi, Kab. - 6905</v>
          </cell>
        </row>
        <row r="493">
          <cell r="AM493" t="str">
            <v>8404 - Sorong selatan, Kab.</v>
          </cell>
          <cell r="AV493" t="str">
            <v>2301 - Kab. Bengkulu Selatan</v>
          </cell>
          <cell r="AX493" t="str">
            <v>Waropen, Kab. - 8224</v>
          </cell>
        </row>
        <row r="494">
          <cell r="AM494" t="str">
            <v>8405 - Raja Ampat, Kab.</v>
          </cell>
          <cell r="AV494" t="str">
            <v>2302 - Kab. Bengkulu Utara</v>
          </cell>
          <cell r="AX494" t="str">
            <v>Way Kanan, Kab. - 3908</v>
          </cell>
        </row>
        <row r="495">
          <cell r="AM495" t="str">
            <v>8406 - Kaimana, Kab.</v>
          </cell>
          <cell r="AV495" t="str">
            <v>2303 - Kab. Rejang Lebong</v>
          </cell>
          <cell r="AX495" t="str">
            <v>Wonogiri, Kab. - 0928</v>
          </cell>
        </row>
        <row r="496">
          <cell r="AM496" t="str">
            <v>8407 - Teluk Bintuni, Kab.</v>
          </cell>
          <cell r="AV496" t="str">
            <v>2304 - Kab. Lebong</v>
          </cell>
          <cell r="AX496" t="str">
            <v>Wonosobo, Kab. - 0920</v>
          </cell>
        </row>
        <row r="497">
          <cell r="AM497" t="str">
            <v>8408 - Teluk Wondama, Kab.</v>
          </cell>
          <cell r="AV497" t="str">
            <v>2305 - Kab. Kepahiang</v>
          </cell>
          <cell r="AX497" t="str">
            <v>Yahukimo, Kab. - 8222</v>
          </cell>
        </row>
        <row r="498">
          <cell r="AM498" t="str">
            <v>8409 - Kab. Tembrauw</v>
          </cell>
          <cell r="AV498" t="str">
            <v>2306 - Kab. Mukomuko</v>
          </cell>
          <cell r="AX498" t="str">
            <v>Yalimo, Kab. - 8237</v>
          </cell>
        </row>
        <row r="499">
          <cell r="AM499" t="str">
            <v>8410 - Kab. Maybrat</v>
          </cell>
          <cell r="AV499" t="str">
            <v>2307 - Kab. Seluma</v>
          </cell>
          <cell r="AX499" t="str">
            <v>Yapen-Waropen, Kab. - 8210</v>
          </cell>
        </row>
        <row r="500">
          <cell r="AM500" t="str">
            <v>8491 - Sorong, Kota.</v>
          </cell>
          <cell r="AV500" t="str">
            <v>2308 - Kab. Kaur</v>
          </cell>
          <cell r="AX500" t="str">
            <v>Yogyakarta, Kota. - 0591</v>
          </cell>
        </row>
        <row r="501">
          <cell r="AM501" t="str">
            <v>9999 - DI  LUAR  INDONESIA</v>
          </cell>
        </row>
      </sheetData>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BIR"/>
      <sheetName val="Informasi Debitur"/>
      <sheetName val="Order appraisal"/>
      <sheetName val="Oder BI checking"/>
      <sheetName val="Order Trade Checking"/>
      <sheetName val="Supplier Checking"/>
      <sheetName val="Buyer Checking"/>
      <sheetName val="Analisa Lap Keu"/>
      <sheetName val="Analisa Rek Koran"/>
      <sheetName val="Parameter"/>
      <sheetName val="RAC"/>
      <sheetName val="MKK"/>
      <sheetName val="Memo Review"/>
      <sheetName val="Pelaporan BI"/>
      <sheetName val="Sandi BI Existing Debitur"/>
      <sheetName val="Tabel Map Industry"/>
      <sheetName val="Surat Penawaran"/>
      <sheetName val="Surat Penawaran (2)"/>
      <sheetName val="Order Notaris"/>
      <sheetName val="Database"/>
      <sheetName val="Sheet2"/>
      <sheetName val="Value"/>
      <sheetName val="Cabang SME"/>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BIR"/>
      <sheetName val="Informasi Debitur"/>
      <sheetName val="Order appraisal"/>
      <sheetName val="Oder BI checking"/>
      <sheetName val="Order Trade Checking"/>
      <sheetName val="Supplier Checking"/>
      <sheetName val="Buyer Checking"/>
      <sheetName val="Analisa Lap Keu"/>
      <sheetName val="Analisa Rek Koran"/>
      <sheetName val="Parameter"/>
      <sheetName val="RAC"/>
      <sheetName val="MKK"/>
      <sheetName val="Memo Review"/>
      <sheetName val="Pelaporan BI"/>
      <sheetName val="Sandi BI"/>
      <sheetName val="Surat Penawaran"/>
      <sheetName val="Order Notaris"/>
      <sheetName val="Database"/>
      <sheetName val="Sheet2"/>
      <sheetName val="Value"/>
      <sheetName val="Tabel Map Industry"/>
      <sheetName val="Cabang S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56">
          <cell r="E156" t="str">
            <v>Tidak Ada</v>
          </cell>
        </row>
        <row r="157">
          <cell r="E157" t="str">
            <v>&lt; 7 hari, DPD &lt; 4x</v>
          </cell>
        </row>
        <row r="158">
          <cell r="E158" t="str">
            <v>&lt; 7 hari, DPD ≥ 4x</v>
          </cell>
        </row>
        <row r="159">
          <cell r="E159" t="str">
            <v>&gt;7 - ≤ 14 Hari, DPD 1x</v>
          </cell>
        </row>
        <row r="160">
          <cell r="E160" t="str">
            <v>&gt;7 - ≤ 14 Hari, DPD 2x</v>
          </cell>
        </row>
        <row r="161">
          <cell r="E161" t="str">
            <v>&gt;7 - ≤ 14 Hari, DPD 3x</v>
          </cell>
        </row>
        <row r="162">
          <cell r="E162" t="str">
            <v>&gt;7 - ≤ 14 Hari, DPD &gt;3x</v>
          </cell>
        </row>
        <row r="163">
          <cell r="E163" t="str">
            <v>&gt;14 - ≤ 30 Hari, DPD 1x</v>
          </cell>
        </row>
        <row r="164">
          <cell r="E164" t="str">
            <v>&gt;14 - ≤ 30 Hari, DPD 2x</v>
          </cell>
        </row>
        <row r="165">
          <cell r="E165" t="str">
            <v>&gt;14 - ≤ 30 Hari, DPD &gt;2x</v>
          </cell>
        </row>
        <row r="166">
          <cell r="E166" t="str">
            <v>&gt;30 Hari, DPD 1x</v>
          </cell>
        </row>
        <row r="167">
          <cell r="E167" t="str">
            <v>&gt;30 Hari, DPD 2x</v>
          </cell>
        </row>
        <row r="168">
          <cell r="E168" t="str">
            <v>&gt;30 Hari, DPD &gt;2x</v>
          </cell>
        </row>
      </sheetData>
      <sheetData sheetId="19"/>
      <sheetData sheetId="20"/>
      <sheetData sheetId="21">
        <row r="2">
          <cell r="J2" t="str">
            <v>ANIMALS, FISHERIES AND FARMING</v>
          </cell>
        </row>
        <row r="3">
          <cell r="J3" t="str">
            <v>AUTOMOTIVE &amp; COMPONENT</v>
          </cell>
        </row>
        <row r="4">
          <cell r="J4" t="str">
            <v>BUILDING MATERIAL</v>
          </cell>
        </row>
        <row r="5">
          <cell r="J5" t="str">
            <v>CHEMICAL &amp; PHARMACEUTICAL</v>
          </cell>
        </row>
        <row r="6">
          <cell r="J6" t="str">
            <v>COAL, MINING &amp; QUARRYING</v>
          </cell>
        </row>
        <row r="7">
          <cell r="J7" t="str">
            <v>COMODITY INDUSTRY</v>
          </cell>
        </row>
        <row r="8">
          <cell r="J8" t="str">
            <v>CONSTRUCTION</v>
          </cell>
        </row>
        <row r="9">
          <cell r="J9" t="str">
            <v>CONSULTING &amp; SERVICE INDUSTRY</v>
          </cell>
        </row>
        <row r="10">
          <cell r="J10" t="str">
            <v>CONSUMER GOODS AND FAST MOVING GOODS</v>
          </cell>
        </row>
        <row r="11">
          <cell r="J11" t="str">
            <v>CRUMB RUBBER</v>
          </cell>
        </row>
        <row r="12">
          <cell r="J12" t="str">
            <v>ELECTRICITY, ENGINE &amp; MACHINERIES</v>
          </cell>
        </row>
        <row r="13">
          <cell r="J13" t="str">
            <v>FABRICATED METAL, STEEL &amp; OTHER BASIC INDUSTRY</v>
          </cell>
        </row>
        <row r="14">
          <cell r="J14" t="str">
            <v>FOOD &amp; BEVERAGE</v>
          </cell>
        </row>
        <row r="15">
          <cell r="J15" t="str">
            <v>FORESTRY</v>
          </cell>
        </row>
        <row r="16">
          <cell r="J16" t="str">
            <v>HOME APPLIANCES</v>
          </cell>
        </row>
        <row r="17">
          <cell r="J17" t="str">
            <v>HOSPITAL &amp; MEDICAL EQUIPMENT</v>
          </cell>
        </row>
        <row r="18">
          <cell r="J18" t="str">
            <v>HOTEL, RESTAURANT &amp; ACCOMMODATION SERVICE</v>
          </cell>
        </row>
        <row r="19">
          <cell r="J19" t="str">
            <v>LEATHER, TEXTILE &amp; GARMEN</v>
          </cell>
        </row>
        <row r="20">
          <cell r="J20" t="str">
            <v xml:space="preserve">OIL &amp; GAS </v>
          </cell>
        </row>
        <row r="21">
          <cell r="J21" t="str">
            <v>OTHERS INDUSTRY</v>
          </cell>
        </row>
        <row r="22">
          <cell r="J22" t="str">
            <v>PLANTATION</v>
          </cell>
        </row>
        <row r="23">
          <cell r="J23" t="str">
            <v>PLASTIC, PULP &amp; PAPER</v>
          </cell>
        </row>
        <row r="24">
          <cell r="J24" t="str">
            <v>PRINTING, MEDIA &amp; ADVERTISING</v>
          </cell>
        </row>
        <row r="25">
          <cell r="J25" t="str">
            <v>PROPERTIES &amp; REAL ESTATE</v>
          </cell>
        </row>
        <row r="26">
          <cell r="J26" t="str">
            <v>RENTAL SERVICE</v>
          </cell>
        </row>
        <row r="27">
          <cell r="J27" t="str">
            <v>TELECOMMUNICATION</v>
          </cell>
        </row>
        <row r="28">
          <cell r="J28" t="str">
            <v>TRANSPORTATION AND COURIER SERVICE</v>
          </cell>
        </row>
        <row r="29">
          <cell r="J29" t="str">
            <v>WOOD PRODUCT</v>
          </cell>
        </row>
        <row r="359">
          <cell r="D359" t="str">
            <v>Perdagangan Eceran Barang-barang Kerajinan, Mainan Anak-anak, dan Lukisan  - 523800</v>
          </cell>
        </row>
        <row r="360">
          <cell r="D360" t="str">
            <v>Perdagangan Eceran Kaki Lima barang-barang kerajinan, mainan anak-anak, dan ILlkisan  - 525800</v>
          </cell>
        </row>
        <row r="361">
          <cell r="D361" t="str">
            <v>Perdagangan Ekspor Barang Kerajinan selain dari Kayu dan Rotan - 539032</v>
          </cell>
        </row>
        <row r="362">
          <cell r="D362" t="str">
            <v>Perdagangan Eceran Komoditi Lainnya (Bukan Makanan, Minuman, Atau Tembakau)  - 523900</v>
          </cell>
        </row>
        <row r="363">
          <cell r="D363" t="str">
            <v>Perdagangan Eceran Kaki Lima Komoditi dari Hasil Pertanian  - 525100</v>
          </cell>
        </row>
        <row r="364">
          <cell r="D364" t="str">
            <v>Perdagangan Eceran Kaki Lima Barang-Barang Bekas  - 525900</v>
          </cell>
        </row>
        <row r="365">
          <cell r="D365" t="str">
            <v>Perdagangan Eceran Kaki Lima Lainnya  - 526000</v>
          </cell>
        </row>
        <row r="366">
          <cell r="D366" t="str">
            <v>Perdagangan Eceran Keliling  - 527200</v>
          </cell>
        </row>
        <row r="367">
          <cell r="D367" t="str">
            <v>Perdagangan Dalam Negeri Barang Antara Lainnya - 514909</v>
          </cell>
        </row>
        <row r="368">
          <cell r="D368" t="str">
            <v>Perdagangan Dalam Negeri yang Tidak Diklasifikasikan di Tempat Lain  - 519009</v>
          </cell>
        </row>
        <row r="369">
          <cell r="D369" t="str">
            <v>Perdagangan Ekspor Produk Antara (Intermediate Products), Barang-barang Bekas dan Sisa-sisa Tak Terpakai (Scrap)  - 534900</v>
          </cell>
        </row>
        <row r="370">
          <cell r="D370" t="str">
            <v>Perdagangan Ekspor Barang Setengah Jadi Lainnya - 539029</v>
          </cell>
        </row>
        <row r="371">
          <cell r="D371" t="str">
            <v>Perdagangan Ekspor yang Tidak Diklasifikasikan di Tempat Lain  - 539039</v>
          </cell>
        </row>
        <row r="372">
          <cell r="D372" t="str">
            <v>Perdagangan Impor Barang Antara Lainnya - 544909</v>
          </cell>
        </row>
        <row r="373">
          <cell r="D373" t="str">
            <v>G.5.9. Perdagangan Impor Lainnya  - 549000</v>
          </cell>
        </row>
        <row r="374">
          <cell r="D374" t="str">
            <v>Perdagangan Eceran Melalui Media  - 527100</v>
          </cell>
        </row>
        <row r="375">
          <cell r="D375" t="str">
            <v>Rumah Tangga untuk Pemilikan Peralatan Rumah Tangga Lainnya - Rumah Tangga untuk Pemilikan Furnitur dan Peralatan Rumah Tangga - 003100</v>
          </cell>
        </row>
        <row r="376">
          <cell r="D376" t="str">
            <v>Rumah Tangga untuk Pemilikan Peralatan Rumah Tangga Lainnya - Rumah Tangga untuk Pemilikan Televisi, Radio, dan Alat Elektronik - 003200</v>
          </cell>
        </row>
        <row r="377">
          <cell r="D377" t="str">
            <v>Rumah Tangga untuk Pemilikan Peralatan Rumah Tangga Lainnya - Rumah Tangga untuk Pemilikan Komputer dan Alat Komunikasi - 003300</v>
          </cell>
        </row>
        <row r="378">
          <cell r="D378" t="str">
            <v>Rumah Tangga untuk Pemilikan Peralatan Rumah Tangga Lainnya - Rumah Tangga untuk Pemilikan Peralatan Lainnya - 003900</v>
          </cell>
        </row>
        <row r="379">
          <cell r="D379" t="str">
            <v>Perdagangan Eceran Komoditi Bukan Makanan, Minuman atau Tembakau - Perdagangan Eceran Barang Bekas - 524000</v>
          </cell>
        </row>
        <row r="380">
          <cell r="D380" t="str">
            <v>Industri Jam, Lonceng, dan Sejenisnya - 333000</v>
          </cell>
        </row>
        <row r="381">
          <cell r="D381" t="str">
            <v>Industri Pengolahan Lainnya - 369000</v>
          </cell>
        </row>
        <row r="382">
          <cell r="D382" t="str">
            <v>Rumah Tangga untuk Keperluan yang Tidak Diklasifikasikan di Tempat Lain  - Rumah Tangga untuk Keperluan Multiguna - 004100</v>
          </cell>
        </row>
        <row r="383">
          <cell r="D383" t="str">
            <v>Rumah Tangga untuk Keperluan yang Tidak Diklasifikasikan di Tempat Lain  - Rumah Tangga untuk Keperluan yang Tidak Diklasifikasikan di Tempat Lain  - 004900</v>
          </cell>
        </row>
      </sheetData>
      <sheetData sheetId="22">
        <row r="2">
          <cell r="I2" t="str">
            <v>R1 - Kota Jakarta Barat</v>
          </cell>
        </row>
        <row r="3">
          <cell r="I3" t="str">
            <v>R1 - Kota Jakarta Pusat</v>
          </cell>
        </row>
        <row r="4">
          <cell r="I4" t="str">
            <v>R1 - Kota Jakarta Selatan</v>
          </cell>
        </row>
        <row r="5">
          <cell r="I5" t="str">
            <v>R1 - Kota Jakarta Timur</v>
          </cell>
        </row>
        <row r="6">
          <cell r="I6" t="str">
            <v>R1 - Kota Jakarta Utara</v>
          </cell>
        </row>
        <row r="7">
          <cell r="I7" t="str">
            <v>R1 - Kota/Kab. Bekasi</v>
          </cell>
        </row>
        <row r="8">
          <cell r="I8" t="str">
            <v>R1 - Kota/Kab. Bogor</v>
          </cell>
        </row>
        <row r="9">
          <cell r="I9" t="str">
            <v>R1 - Kota Depok</v>
          </cell>
        </row>
        <row r="10">
          <cell r="I10" t="str">
            <v>R1 - Kota/Kab. Tangerang</v>
          </cell>
        </row>
        <row r="11">
          <cell r="I11" t="str">
            <v>R1 - Kota Tangerang Selatan</v>
          </cell>
        </row>
        <row r="12">
          <cell r="I12" t="str">
            <v>R1 - Kota Karawang</v>
          </cell>
        </row>
        <row r="13">
          <cell r="I13" t="str">
            <v>R2 - Kota Banda Aceh</v>
          </cell>
        </row>
        <row r="14">
          <cell r="I14" t="str">
            <v>R2 - Kota Lhokseumawe</v>
          </cell>
        </row>
        <row r="15">
          <cell r="I15" t="str">
            <v>R2 - Kota Medan</v>
          </cell>
        </row>
        <row r="16">
          <cell r="I16" t="str">
            <v>R2 - Kota Binjai</v>
          </cell>
        </row>
        <row r="17">
          <cell r="I17" t="str">
            <v>R2 - Kota Pematang Siantar</v>
          </cell>
        </row>
        <row r="18">
          <cell r="I18" t="str">
            <v>R2 - Kota Tebing Tinggi</v>
          </cell>
        </row>
        <row r="19">
          <cell r="I19" t="str">
            <v>R2 - Kab. Deliserdang</v>
          </cell>
        </row>
        <row r="20">
          <cell r="I20" t="str">
            <v>R2 - Kota Padang</v>
          </cell>
        </row>
        <row r="21">
          <cell r="I21" t="str">
            <v>R2 - Kota Bukit Tinggi</v>
          </cell>
        </row>
        <row r="22">
          <cell r="I22" t="str">
            <v>R2 - Kota Pekanbaru</v>
          </cell>
        </row>
        <row r="23">
          <cell r="I23" t="str">
            <v>R2 - Kota Dumai</v>
          </cell>
        </row>
        <row r="24">
          <cell r="I24" t="str">
            <v>R2 - Kota Duri</v>
          </cell>
        </row>
        <row r="25">
          <cell r="I25" t="str">
            <v>R2 - Kota Tanjungpinang</v>
          </cell>
        </row>
        <row r="26">
          <cell r="I26" t="str">
            <v>R2 - Kota Pangkalpinang</v>
          </cell>
        </row>
        <row r="27">
          <cell r="I27" t="str">
            <v>R3 - Kota Jambi</v>
          </cell>
        </row>
        <row r="28">
          <cell r="I28" t="str">
            <v>R3 - Kota Batam</v>
          </cell>
        </row>
        <row r="29">
          <cell r="I29" t="str">
            <v>R3 - Kota Palembang</v>
          </cell>
        </row>
        <row r="30">
          <cell r="I30" t="str">
            <v>R3 - Kota Lubuk Linggau</v>
          </cell>
        </row>
        <row r="31">
          <cell r="I31" t="str">
            <v>R3 - Kota Prabumulih</v>
          </cell>
        </row>
        <row r="32">
          <cell r="I32" t="str">
            <v>R3 - Kota Baturaja</v>
          </cell>
        </row>
        <row r="33">
          <cell r="I33" t="str">
            <v>R3 - Kota Bengkulu</v>
          </cell>
        </row>
        <row r="34">
          <cell r="I34" t="str">
            <v>R3 - Kota Bandarlampung</v>
          </cell>
        </row>
        <row r="35">
          <cell r="I35" t="str">
            <v>R3 - Kota Metro</v>
          </cell>
        </row>
        <row r="36">
          <cell r="I36" t="str">
            <v>R4 - Kota/Kab Bandung</v>
          </cell>
        </row>
        <row r="37">
          <cell r="I37" t="str">
            <v>R4 - Kota Cirebon</v>
          </cell>
        </row>
        <row r="38">
          <cell r="I38" t="str">
            <v>R4 - Kota Cimahi</v>
          </cell>
        </row>
        <row r="39">
          <cell r="I39" t="str">
            <v>R4 - Kota Tasikmalaya</v>
          </cell>
        </row>
        <row r="40">
          <cell r="I40" t="str">
            <v>R4 - Kota Sukabumi</v>
          </cell>
        </row>
        <row r="41">
          <cell r="I41" t="str">
            <v>R4 - Kota Garut</v>
          </cell>
        </row>
        <row r="42">
          <cell r="I42" t="str">
            <v>R4 - Kota Purwakarta</v>
          </cell>
        </row>
        <row r="43">
          <cell r="I43" t="str">
            <v>R4 - Kota Subang</v>
          </cell>
        </row>
        <row r="44">
          <cell r="I44" t="str">
            <v>R5 - Kota Semarang</v>
          </cell>
        </row>
        <row r="45">
          <cell r="I45" t="str">
            <v>R5 - Kota Surakarta</v>
          </cell>
        </row>
        <row r="46">
          <cell r="I46" t="str">
            <v>R5 - Kota Tegal</v>
          </cell>
        </row>
        <row r="47">
          <cell r="I47" t="str">
            <v>R5 - Kota Purwokerto</v>
          </cell>
        </row>
        <row r="48">
          <cell r="I48" t="str">
            <v>R5 - Kab. Sukoharjo</v>
          </cell>
        </row>
        <row r="49">
          <cell r="I49" t="str">
            <v>R5 - Kota Magelang</v>
          </cell>
        </row>
        <row r="50">
          <cell r="I50" t="str">
            <v>R5 - Kota/Kab. Pekalongan</v>
          </cell>
        </row>
        <row r="51">
          <cell r="I51" t="str">
            <v>R5 - Kota Salatiga</v>
          </cell>
        </row>
        <row r="52">
          <cell r="I52" t="str">
            <v>R5 - Kab. Banjarnegara</v>
          </cell>
        </row>
        <row r="53">
          <cell r="I53" t="str">
            <v>R5 - Kab. Banyumas</v>
          </cell>
        </row>
        <row r="54">
          <cell r="I54" t="str">
            <v>R5 - Kab. Blora</v>
          </cell>
        </row>
        <row r="55">
          <cell r="I55" t="str">
            <v>R5 - Kab. Cilacap</v>
          </cell>
        </row>
        <row r="56">
          <cell r="I56" t="str">
            <v>R5 - Kab. Klaten</v>
          </cell>
        </row>
        <row r="57">
          <cell r="I57" t="str">
            <v>R5 - Kab. Kudus</v>
          </cell>
        </row>
        <row r="58">
          <cell r="I58" t="str">
            <v>R5 - Kota Yogyakarta</v>
          </cell>
        </row>
        <row r="59">
          <cell r="I59" t="str">
            <v>R5 - Kab. Bantul</v>
          </cell>
        </row>
        <row r="60">
          <cell r="I60" t="str">
            <v>R5 - Kab. Sleman</v>
          </cell>
        </row>
        <row r="61">
          <cell r="I61" t="str">
            <v>R6 - Kota Surabaya</v>
          </cell>
        </row>
        <row r="62">
          <cell r="I62" t="str">
            <v>R6 - Kota Malang</v>
          </cell>
        </row>
        <row r="63">
          <cell r="I63" t="str">
            <v>R6 - Kab. Gresik</v>
          </cell>
        </row>
        <row r="64">
          <cell r="I64" t="str">
            <v>R6 - Kab. Sidoarjo</v>
          </cell>
        </row>
        <row r="65">
          <cell r="I65" t="str">
            <v>R6 - Kota/Kab Kediri</v>
          </cell>
        </row>
        <row r="66">
          <cell r="I66" t="str">
            <v>R6 - Kota Madiun</v>
          </cell>
        </row>
        <row r="67">
          <cell r="I67" t="str">
            <v>R6 - Kota Mojokerto</v>
          </cell>
        </row>
        <row r="68">
          <cell r="I68" t="str">
            <v>R6 - Kota Probolinggo</v>
          </cell>
        </row>
        <row r="69">
          <cell r="I69" t="str">
            <v>R6 - Kota Denpasar</v>
          </cell>
        </row>
        <row r="70">
          <cell r="I70" t="str">
            <v>R6 - Kab. Badung</v>
          </cell>
        </row>
        <row r="71">
          <cell r="I71" t="str">
            <v>R6 - Kab. Gianyar</v>
          </cell>
        </row>
        <row r="72">
          <cell r="I72" t="str">
            <v>R6 - Kota Mataram</v>
          </cell>
        </row>
        <row r="73">
          <cell r="I73" t="str">
            <v>R6 - Kab. Lombok Barat</v>
          </cell>
        </row>
        <row r="74">
          <cell r="I74" t="str">
            <v>R6 - Kab. Lombok Tengah</v>
          </cell>
        </row>
        <row r="75">
          <cell r="I75" t="str">
            <v>R6 - Kab. Lombok Timur</v>
          </cell>
        </row>
        <row r="76">
          <cell r="I76" t="str">
            <v>R6 - Kab. Lombok Utara</v>
          </cell>
        </row>
        <row r="77">
          <cell r="I77" t="str">
            <v>R6 - Kota Kupang</v>
          </cell>
        </row>
        <row r="78">
          <cell r="I78" t="str">
            <v>R7 - Kota Pontianak</v>
          </cell>
        </row>
        <row r="79">
          <cell r="I79" t="str">
            <v>R7 - Kota Singkawang</v>
          </cell>
        </row>
        <row r="80">
          <cell r="I80" t="str">
            <v>R7 - Kab. Ketapang</v>
          </cell>
        </row>
        <row r="81">
          <cell r="I81" t="str">
            <v>R7 - Kota Palangkaraya</v>
          </cell>
        </row>
        <row r="82">
          <cell r="I82" t="str">
            <v>R7 - Kota Banjarmasin</v>
          </cell>
        </row>
        <row r="83">
          <cell r="I83" t="str">
            <v>R7 - Kota Banjar Baru</v>
          </cell>
        </row>
        <row r="84">
          <cell r="I84" t="str">
            <v>R7 - Kota Samarinda</v>
          </cell>
        </row>
        <row r="85">
          <cell r="I85" t="str">
            <v>R7 - Kota Balikpapan</v>
          </cell>
        </row>
        <row r="86">
          <cell r="I86" t="str">
            <v>R7 - Kota Tarakan</v>
          </cell>
        </row>
        <row r="87">
          <cell r="I87" t="str">
            <v>R8 - Kota Manado</v>
          </cell>
        </row>
        <row r="88">
          <cell r="I88" t="str">
            <v>R8 - Kota Kotamobagu</v>
          </cell>
        </row>
        <row r="89">
          <cell r="I89" t="str">
            <v>R8 - Kota Bitung</v>
          </cell>
        </row>
        <row r="90">
          <cell r="I90" t="str">
            <v>R8 - Kota Tomohon</v>
          </cell>
        </row>
        <row r="91">
          <cell r="I91" t="str">
            <v>R8 - Kota Palu</v>
          </cell>
        </row>
        <row r="92">
          <cell r="I92" t="str">
            <v>R8 - Kab. Banggai</v>
          </cell>
        </row>
        <row r="93">
          <cell r="I93" t="str">
            <v>R8 - Kota Makasar</v>
          </cell>
        </row>
        <row r="94">
          <cell r="I94" t="str">
            <v>R8 - Kab. Gowa</v>
          </cell>
        </row>
        <row r="95">
          <cell r="I95" t="str">
            <v>R8 - Kota Pare-Pare</v>
          </cell>
        </row>
        <row r="96">
          <cell r="I96" t="str">
            <v>R8 - Kota Palopo</v>
          </cell>
        </row>
        <row r="97">
          <cell r="I97" t="str">
            <v>R8 - Kab. Bulukumba</v>
          </cell>
        </row>
        <row r="98">
          <cell r="I98" t="str">
            <v>R8 - Kab. Maros</v>
          </cell>
        </row>
        <row r="99">
          <cell r="I99" t="str">
            <v>R8 - Kota Kendari</v>
          </cell>
        </row>
        <row r="100">
          <cell r="I100" t="str">
            <v>R8 - Kota Gorontalo</v>
          </cell>
        </row>
        <row r="101">
          <cell r="I101" t="str">
            <v>R8 - Kota Ambon</v>
          </cell>
        </row>
        <row r="102">
          <cell r="I102" t="str">
            <v>R8 - Kota Ternate</v>
          </cell>
        </row>
        <row r="103">
          <cell r="I103" t="str">
            <v>R8 - Kota Jayapura</v>
          </cell>
        </row>
        <row r="104">
          <cell r="I104" t="str">
            <v>R8 - Kota Sorong</v>
          </cell>
        </row>
        <row r="105">
          <cell r="I105" t="str">
            <v>R8 - Kab. Manokwari</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BIR"/>
      <sheetName val="Informasi Debitur"/>
      <sheetName val="Order appraisal"/>
      <sheetName val="Oder BI checking"/>
      <sheetName val="Order Trade Checking"/>
      <sheetName val="Supplier Checking"/>
      <sheetName val="Buyer Checking"/>
      <sheetName val="Analisa Lap Keu"/>
      <sheetName val="Analisa Rek Koran"/>
      <sheetName val="Parameter"/>
      <sheetName val="RAC"/>
      <sheetName val="MKK"/>
      <sheetName val="Memo Review"/>
      <sheetName val="Pelaporan BI"/>
      <sheetName val="Sandi BI Existing Debitur"/>
      <sheetName val="Tabel Map Industry"/>
      <sheetName val="Surat Penawaran"/>
      <sheetName val="Surat Penawaran (2)"/>
      <sheetName val="Order Notaris"/>
      <sheetName val="Database"/>
      <sheetName val="Sheet2"/>
      <sheetName val="Value"/>
      <sheetName val="Cabang SME"/>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4">
          <cell r="A34">
            <v>0</v>
          </cell>
        </row>
        <row r="35">
          <cell r="A35">
            <v>0</v>
          </cell>
        </row>
        <row r="36">
          <cell r="A36">
            <v>0</v>
          </cell>
        </row>
        <row r="37">
          <cell r="A37">
            <v>0</v>
          </cell>
        </row>
        <row r="38">
          <cell r="A38">
            <v>0</v>
          </cell>
        </row>
        <row r="39">
          <cell r="A39">
            <v>0</v>
          </cell>
        </row>
        <row r="40">
          <cell r="A40">
            <v>0</v>
          </cell>
        </row>
      </sheetData>
      <sheetData sheetId="13"/>
      <sheetData sheetId="14"/>
      <sheetData sheetId="15"/>
      <sheetData sheetId="16"/>
      <sheetData sheetId="17"/>
      <sheetData sheetId="18"/>
      <sheetData sheetId="19"/>
      <sheetData sheetId="20">
        <row r="156">
          <cell r="E156" t="str">
            <v>Tidak Ada</v>
          </cell>
        </row>
        <row r="157">
          <cell r="E157" t="str">
            <v>&lt; 7 hari, DPD &lt; 4x</v>
          </cell>
        </row>
        <row r="158">
          <cell r="E158" t="str">
            <v>&lt; 7 hari, DPD ≥ 4x</v>
          </cell>
        </row>
        <row r="159">
          <cell r="E159" t="str">
            <v>&gt;7 - ≤ 14 Hari, DPD 1x</v>
          </cell>
        </row>
        <row r="160">
          <cell r="E160" t="str">
            <v>&gt;7 - ≤ 14 Hari, DPD 2x</v>
          </cell>
        </row>
        <row r="161">
          <cell r="E161" t="str">
            <v>&gt;7 - ≤ 14 Hari, DPD 3x</v>
          </cell>
        </row>
        <row r="162">
          <cell r="E162" t="str">
            <v>&gt;7 - ≤ 14 Hari, DPD &gt;3x</v>
          </cell>
        </row>
        <row r="163">
          <cell r="E163" t="str">
            <v>&gt;14 - ≤ 30 Hari, DPD 1x</v>
          </cell>
        </row>
        <row r="164">
          <cell r="E164" t="str">
            <v>&gt;14 - ≤ 30 Hari, DPD 2x</v>
          </cell>
        </row>
        <row r="165">
          <cell r="E165" t="str">
            <v>&gt;14 - ≤ 30 Hari, DPD &gt;2x</v>
          </cell>
        </row>
        <row r="166">
          <cell r="E166" t="str">
            <v>&gt;30 Hari, DPD 1x</v>
          </cell>
        </row>
        <row r="167">
          <cell r="E167" t="str">
            <v>&gt;30 Hari, DPD 2x</v>
          </cell>
        </row>
        <row r="168">
          <cell r="E168" t="str">
            <v>&gt;30 Hari, DPD &gt;2x</v>
          </cell>
        </row>
      </sheetData>
      <sheetData sheetId="21"/>
      <sheetData sheetId="22"/>
      <sheetData sheetId="23">
        <row r="2">
          <cell r="I2" t="str">
            <v>R1 - Kota Jakarta Barat</v>
          </cell>
        </row>
        <row r="3">
          <cell r="I3" t="str">
            <v>R1 - Kota Jakarta Pusat</v>
          </cell>
        </row>
        <row r="4">
          <cell r="I4" t="str">
            <v>R1 - Kota Jakarta Selatan</v>
          </cell>
        </row>
        <row r="5">
          <cell r="I5" t="str">
            <v>R1 - Kota Jakarta Timur</v>
          </cell>
        </row>
        <row r="6">
          <cell r="I6" t="str">
            <v>R1 - Kota Jakarta Utara</v>
          </cell>
        </row>
        <row r="7">
          <cell r="I7" t="str">
            <v>R1 - Kota/Kab. Bekasi</v>
          </cell>
        </row>
        <row r="8">
          <cell r="I8" t="str">
            <v>R1 - Kota/Kab. Bogor</v>
          </cell>
        </row>
        <row r="9">
          <cell r="I9" t="str">
            <v>R1 - Kota Depok</v>
          </cell>
        </row>
        <row r="10">
          <cell r="I10" t="str">
            <v>R1 - Kota/Kab. Tangerang</v>
          </cell>
        </row>
        <row r="11">
          <cell r="I11" t="str">
            <v>R1 - Kota Tangerang Selatan</v>
          </cell>
        </row>
        <row r="12">
          <cell r="I12" t="str">
            <v>R1 - Kota Karawang</v>
          </cell>
        </row>
        <row r="13">
          <cell r="I13" t="str">
            <v>R2 - Kota Banda Aceh</v>
          </cell>
        </row>
        <row r="14">
          <cell r="I14" t="str">
            <v>R2 - Kota Lhokseumawe</v>
          </cell>
        </row>
        <row r="15">
          <cell r="I15" t="str">
            <v>R2 - Kota Medan</v>
          </cell>
        </row>
        <row r="16">
          <cell r="I16" t="str">
            <v>R2 - Kota Binjai</v>
          </cell>
        </row>
        <row r="17">
          <cell r="I17" t="str">
            <v>R2 - Kota Pematang Siantar</v>
          </cell>
        </row>
        <row r="18">
          <cell r="I18" t="str">
            <v>R2 - Kota Tebing Tinggi</v>
          </cell>
        </row>
        <row r="19">
          <cell r="I19" t="str">
            <v>R2 - Kab. Deliserdang</v>
          </cell>
        </row>
        <row r="20">
          <cell r="I20" t="str">
            <v>R2 - Kota Padang</v>
          </cell>
        </row>
        <row r="21">
          <cell r="I21" t="str">
            <v>R2 - Kota Bukit Tinggi</v>
          </cell>
        </row>
        <row r="22">
          <cell r="I22" t="str">
            <v>R2 - Kota Pekanbaru</v>
          </cell>
        </row>
        <row r="23">
          <cell r="I23" t="str">
            <v>R2 - Kota Dumai</v>
          </cell>
        </row>
        <row r="24">
          <cell r="I24" t="str">
            <v>R2 - Kota Duri</v>
          </cell>
        </row>
        <row r="25">
          <cell r="I25" t="str">
            <v>R2 - Kota Tanjungpinang</v>
          </cell>
        </row>
        <row r="26">
          <cell r="I26" t="str">
            <v>R2 - Kota Pangkalpinang</v>
          </cell>
        </row>
        <row r="27">
          <cell r="I27" t="str">
            <v>R3 - Kota Jambi</v>
          </cell>
        </row>
        <row r="28">
          <cell r="I28" t="str">
            <v>R3 - Kota Batam</v>
          </cell>
        </row>
        <row r="29">
          <cell r="I29" t="str">
            <v>R3 - Kota Palembang</v>
          </cell>
        </row>
        <row r="30">
          <cell r="I30" t="str">
            <v>R3 - Kota Lubuk Linggau</v>
          </cell>
        </row>
        <row r="31">
          <cell r="I31" t="str">
            <v>R3 - Kota Prabumulih</v>
          </cell>
        </row>
        <row r="32">
          <cell r="I32" t="str">
            <v>R3 - Kota Baturaja</v>
          </cell>
        </row>
        <row r="33">
          <cell r="I33" t="str">
            <v>R3 - Kota Bengkulu</v>
          </cell>
        </row>
        <row r="34">
          <cell r="I34" t="str">
            <v>R3 - Kota Bandarlampung</v>
          </cell>
        </row>
        <row r="35">
          <cell r="I35" t="str">
            <v>R3 - Kota Metro</v>
          </cell>
        </row>
        <row r="36">
          <cell r="I36" t="str">
            <v>R4 - Kota/Kab Bandung</v>
          </cell>
        </row>
        <row r="37">
          <cell r="I37" t="str">
            <v>R4 - Kota Cirebon</v>
          </cell>
        </row>
        <row r="38">
          <cell r="I38" t="str">
            <v>R4 - Kota Cimahi</v>
          </cell>
        </row>
        <row r="39">
          <cell r="I39" t="str">
            <v>R4 - Kota Tasikmalaya</v>
          </cell>
        </row>
        <row r="40">
          <cell r="I40" t="str">
            <v>R4 - Kota Sukabumi</v>
          </cell>
        </row>
        <row r="41">
          <cell r="I41" t="str">
            <v>R4 - Kota Garut</v>
          </cell>
        </row>
        <row r="42">
          <cell r="I42" t="str">
            <v>R4 - Kota Purwakarta</v>
          </cell>
        </row>
        <row r="43">
          <cell r="I43" t="str">
            <v>R4 - Kota Subang</v>
          </cell>
        </row>
        <row r="44">
          <cell r="I44" t="str">
            <v>R5 - Kota Semarang</v>
          </cell>
        </row>
        <row r="45">
          <cell r="I45" t="str">
            <v>R5 - Kota Surakarta</v>
          </cell>
        </row>
        <row r="46">
          <cell r="I46" t="str">
            <v>R5 - Kota Tegal</v>
          </cell>
        </row>
        <row r="47">
          <cell r="I47" t="str">
            <v>R5 - Kota Purwokerto</v>
          </cell>
        </row>
        <row r="48">
          <cell r="I48" t="str">
            <v>R5 - Kab. Sukoharjo</v>
          </cell>
        </row>
        <row r="49">
          <cell r="I49" t="str">
            <v>R5 - Kota Magelang</v>
          </cell>
        </row>
        <row r="50">
          <cell r="I50" t="str">
            <v>R5 - Kota/Kab. Pekalongan</v>
          </cell>
        </row>
        <row r="51">
          <cell r="I51" t="str">
            <v>R5 - Kota Salatiga</v>
          </cell>
        </row>
        <row r="52">
          <cell r="I52" t="str">
            <v>R5 - Kab. Banjarnegara</v>
          </cell>
        </row>
        <row r="53">
          <cell r="I53" t="str">
            <v>R5 - Kab. Banyumas</v>
          </cell>
        </row>
        <row r="54">
          <cell r="I54" t="str">
            <v>R5 - Kab. Blora</v>
          </cell>
        </row>
        <row r="55">
          <cell r="I55" t="str">
            <v>R5 - Kab. Cilacap</v>
          </cell>
        </row>
        <row r="56">
          <cell r="I56" t="str">
            <v>R5 - Kab. Klaten</v>
          </cell>
        </row>
        <row r="57">
          <cell r="I57" t="str">
            <v>R5 - Kab. Kudus</v>
          </cell>
        </row>
        <row r="58">
          <cell r="I58" t="str">
            <v>R5 - Kota Yogyakarta</v>
          </cell>
        </row>
        <row r="59">
          <cell r="I59" t="str">
            <v>R5 - Kab. Bantul</v>
          </cell>
        </row>
        <row r="60">
          <cell r="I60" t="str">
            <v>R5 - Kab. Sleman</v>
          </cell>
        </row>
        <row r="61">
          <cell r="I61" t="str">
            <v>R6 - Kota Surabaya</v>
          </cell>
        </row>
        <row r="62">
          <cell r="I62" t="str">
            <v>R6 - Kota Malang</v>
          </cell>
        </row>
        <row r="63">
          <cell r="I63" t="str">
            <v>R6 - Kab. Gresik</v>
          </cell>
        </row>
        <row r="64">
          <cell r="I64" t="str">
            <v>R6 - Kab. Sidoarjo</v>
          </cell>
        </row>
        <row r="65">
          <cell r="I65" t="str">
            <v>R6 - Kota/Kab Kediri</v>
          </cell>
        </row>
        <row r="66">
          <cell r="I66" t="str">
            <v>R6 - Kota Madiun</v>
          </cell>
        </row>
        <row r="67">
          <cell r="I67" t="str">
            <v>R6 - Kota Mojokerto</v>
          </cell>
        </row>
        <row r="68">
          <cell r="I68" t="str">
            <v>R6 - Kota Probolinggo</v>
          </cell>
        </row>
        <row r="69">
          <cell r="I69" t="str">
            <v>R6 - Kota Denpasar</v>
          </cell>
        </row>
        <row r="70">
          <cell r="I70" t="str">
            <v>R6 - Kab. Badung</v>
          </cell>
        </row>
        <row r="71">
          <cell r="I71" t="str">
            <v>R6 - Kab. Gianyar</v>
          </cell>
        </row>
        <row r="72">
          <cell r="I72" t="str">
            <v>R6 - Kota Mataram</v>
          </cell>
        </row>
        <row r="73">
          <cell r="I73" t="str">
            <v>R6 - Kab. Lombok Barat</v>
          </cell>
        </row>
        <row r="74">
          <cell r="I74" t="str">
            <v>R6 - Kab. Lombok Tengah</v>
          </cell>
        </row>
        <row r="75">
          <cell r="I75" t="str">
            <v>R6 - Kab. Lombok Timur</v>
          </cell>
        </row>
        <row r="76">
          <cell r="I76" t="str">
            <v>R6 - Kab. Lombok Utara</v>
          </cell>
        </row>
        <row r="77">
          <cell r="I77" t="str">
            <v>R6 - Kota Kupang</v>
          </cell>
        </row>
        <row r="78">
          <cell r="I78" t="str">
            <v>R7 - Kota Pontianak</v>
          </cell>
        </row>
        <row r="79">
          <cell r="I79" t="str">
            <v>R7 - Kota Singkawang</v>
          </cell>
        </row>
        <row r="80">
          <cell r="I80" t="str">
            <v>R7 - Kab. Ketapang</v>
          </cell>
        </row>
        <row r="81">
          <cell r="I81" t="str">
            <v>R7 - Kota Palangkaraya</v>
          </cell>
        </row>
        <row r="82">
          <cell r="I82" t="str">
            <v>R7 - Kota Banjarmasin</v>
          </cell>
        </row>
        <row r="83">
          <cell r="I83" t="str">
            <v>R7 - Kota Banjar Baru</v>
          </cell>
        </row>
        <row r="84">
          <cell r="I84" t="str">
            <v>R7 - Kota Samarinda</v>
          </cell>
        </row>
        <row r="85">
          <cell r="I85" t="str">
            <v>R7 - Kota Balikpapan</v>
          </cell>
        </row>
        <row r="86">
          <cell r="I86" t="str">
            <v>R7 - Kota Tarakan</v>
          </cell>
        </row>
        <row r="87">
          <cell r="I87" t="str">
            <v>R8 - Kota Manado</v>
          </cell>
        </row>
        <row r="88">
          <cell r="I88" t="str">
            <v>R8 - Kota Kotamobagu</v>
          </cell>
        </row>
        <row r="89">
          <cell r="I89" t="str">
            <v>R8 - Kota Bitung</v>
          </cell>
        </row>
        <row r="90">
          <cell r="I90" t="str">
            <v>R8 - Kota Tomohon</v>
          </cell>
        </row>
        <row r="91">
          <cell r="I91" t="str">
            <v>R8 - Kota Palu</v>
          </cell>
        </row>
        <row r="92">
          <cell r="I92" t="str">
            <v>R8 - Kab. Banggai</v>
          </cell>
        </row>
        <row r="93">
          <cell r="I93" t="str">
            <v>R8 - Kota Makasar</v>
          </cell>
        </row>
        <row r="94">
          <cell r="I94" t="str">
            <v>R8 - Kab. Gowa</v>
          </cell>
        </row>
        <row r="95">
          <cell r="I95" t="str">
            <v>R8 - Kota Pare-Pare</v>
          </cell>
        </row>
        <row r="96">
          <cell r="I96" t="str">
            <v>R8 - Kota Palopo</v>
          </cell>
        </row>
        <row r="97">
          <cell r="I97" t="str">
            <v>R8 - Kab. Bulukumba</v>
          </cell>
        </row>
        <row r="98">
          <cell r="I98" t="str">
            <v>R8 - Kab. Maros</v>
          </cell>
        </row>
        <row r="99">
          <cell r="I99" t="str">
            <v>R8 - Kota Kendari</v>
          </cell>
        </row>
        <row r="100">
          <cell r="I100" t="str">
            <v>R8 - Kota Gorontalo</v>
          </cell>
        </row>
        <row r="101">
          <cell r="I101" t="str">
            <v>R8 - Kota Ambon</v>
          </cell>
        </row>
        <row r="102">
          <cell r="I102" t="str">
            <v>R8 - Kota Ternate</v>
          </cell>
        </row>
        <row r="103">
          <cell r="I103" t="str">
            <v>R8 - Kota Jayapura</v>
          </cell>
        </row>
        <row r="104">
          <cell r="I104" t="str">
            <v>R8 - Kota Sorong</v>
          </cell>
        </row>
        <row r="105">
          <cell r="I105" t="str">
            <v>R8 - Kab. Manokwari</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LTD"/>
      <sheetName val="DPD"/>
      <sheetName val="Rekening Koran  (2)"/>
      <sheetName val="Konsolidasi"/>
      <sheetName val="Jaminan"/>
      <sheetName val="WI"/>
    </sheetNames>
    <sheetDataSet>
      <sheetData sheetId="0">
        <row r="53">
          <cell r="K53">
            <v>48584603.800000012</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trlProp" Target="../ctrlProps/ctrlProp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image" Target="../media/image12.emf"/><Relationship Id="rId2" Type="http://schemas.openxmlformats.org/officeDocument/2006/relationships/drawing" Target="../drawings/drawing11.xml"/><Relationship Id="rId1" Type="http://schemas.openxmlformats.org/officeDocument/2006/relationships/printerSettings" Target="../printerSettings/printerSettings13.bin"/><Relationship Id="rId6" Type="http://schemas.openxmlformats.org/officeDocument/2006/relationships/control" Target="../activeX/activeX3.xml"/><Relationship Id="rId5" Type="http://schemas.openxmlformats.org/officeDocument/2006/relationships/image" Target="../media/image11.emf"/><Relationship Id="rId4" Type="http://schemas.openxmlformats.org/officeDocument/2006/relationships/control" Target="../activeX/activeX2.xml"/></Relationships>
</file>

<file path=xl/worksheets/_rels/sheet16.xml.rels><?xml version="1.0" encoding="UTF-8" standalone="yes"?>
<Relationships xmlns="http://schemas.openxmlformats.org/package/2006/relationships"><Relationship Id="rId8" Type="http://schemas.openxmlformats.org/officeDocument/2006/relationships/control" Target="../activeX/activeX6.xml"/><Relationship Id="rId13" Type="http://schemas.openxmlformats.org/officeDocument/2006/relationships/image" Target="../media/image19.emf"/><Relationship Id="rId18" Type="http://schemas.openxmlformats.org/officeDocument/2006/relationships/comments" Target="../comments3.xml"/><Relationship Id="rId3" Type="http://schemas.openxmlformats.org/officeDocument/2006/relationships/vmlDrawing" Target="../drawings/vmlDrawing7.vml"/><Relationship Id="rId7" Type="http://schemas.openxmlformats.org/officeDocument/2006/relationships/image" Target="../media/image16.emf"/><Relationship Id="rId12" Type="http://schemas.openxmlformats.org/officeDocument/2006/relationships/control" Target="../activeX/activeX8.xml"/><Relationship Id="rId17" Type="http://schemas.openxmlformats.org/officeDocument/2006/relationships/image" Target="../media/image21.emf"/><Relationship Id="rId2" Type="http://schemas.openxmlformats.org/officeDocument/2006/relationships/drawing" Target="../drawings/drawing12.xml"/><Relationship Id="rId16" Type="http://schemas.openxmlformats.org/officeDocument/2006/relationships/control" Target="../activeX/activeX10.xml"/><Relationship Id="rId1" Type="http://schemas.openxmlformats.org/officeDocument/2006/relationships/printerSettings" Target="../printerSettings/printerSettings14.bin"/><Relationship Id="rId6" Type="http://schemas.openxmlformats.org/officeDocument/2006/relationships/control" Target="../activeX/activeX5.xml"/><Relationship Id="rId11" Type="http://schemas.openxmlformats.org/officeDocument/2006/relationships/image" Target="../media/image18.emf"/><Relationship Id="rId5" Type="http://schemas.openxmlformats.org/officeDocument/2006/relationships/image" Target="../media/image15.emf"/><Relationship Id="rId15" Type="http://schemas.openxmlformats.org/officeDocument/2006/relationships/image" Target="../media/image20.emf"/><Relationship Id="rId10" Type="http://schemas.openxmlformats.org/officeDocument/2006/relationships/control" Target="../activeX/activeX7.xml"/><Relationship Id="rId4" Type="http://schemas.openxmlformats.org/officeDocument/2006/relationships/control" Target="../activeX/activeX4.xml"/><Relationship Id="rId9" Type="http://schemas.openxmlformats.org/officeDocument/2006/relationships/image" Target="../media/image17.emf"/><Relationship Id="rId14" Type="http://schemas.openxmlformats.org/officeDocument/2006/relationships/control" Target="../activeX/activeX9.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3.xml"/><Relationship Id="rId1" Type="http://schemas.openxmlformats.org/officeDocument/2006/relationships/printerSettings" Target="../printerSettings/printerSettings15.bin"/><Relationship Id="rId6" Type="http://schemas.openxmlformats.org/officeDocument/2006/relationships/comments" Target="../comments4.xml"/><Relationship Id="rId5" Type="http://schemas.openxmlformats.org/officeDocument/2006/relationships/image" Target="../media/image23.emf"/><Relationship Id="rId4" Type="http://schemas.openxmlformats.org/officeDocument/2006/relationships/control" Target="../activeX/activeX11.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9.v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6.xml"/><Relationship Id="rId1" Type="http://schemas.openxmlformats.org/officeDocument/2006/relationships/printerSettings" Target="../printerSettings/printerSettings19.bin"/><Relationship Id="rId6" Type="http://schemas.openxmlformats.org/officeDocument/2006/relationships/ctrlProp" Target="../ctrlProps/ctrlProp12.xml"/><Relationship Id="rId5" Type="http://schemas.openxmlformats.org/officeDocument/2006/relationships/ctrlProp" Target="../ctrlProps/ctrlProp11.xml"/><Relationship Id="rId4" Type="http://schemas.openxmlformats.org/officeDocument/2006/relationships/ctrlProp" Target="../ctrlProps/ctrlProp10.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C37"/>
  <sheetViews>
    <sheetView showGridLines="0" view="pageBreakPreview" topLeftCell="A6" zoomScale="85" zoomScaleSheetLayoutView="85" workbookViewId="0">
      <selection activeCell="C21" sqref="C21"/>
    </sheetView>
  </sheetViews>
  <sheetFormatPr defaultRowHeight="12.75" x14ac:dyDescent="0.2"/>
  <cols>
    <col min="1" max="1" width="4.7109375" style="10" customWidth="1"/>
    <col min="2" max="2" width="62.7109375" style="36" customWidth="1"/>
    <col min="3" max="3" width="42.7109375" style="37" customWidth="1"/>
    <col min="4" max="16384" width="9.140625" style="10"/>
  </cols>
  <sheetData>
    <row r="3" spans="2:3" ht="21" x14ac:dyDescent="0.2">
      <c r="B3" s="156" t="s">
        <v>708</v>
      </c>
      <c r="C3" s="157" t="s">
        <v>718</v>
      </c>
    </row>
    <row r="4" spans="2:3" ht="21" x14ac:dyDescent="0.2">
      <c r="B4" s="154"/>
    </row>
    <row r="5" spans="2:3" ht="21" x14ac:dyDescent="0.2">
      <c r="B5" s="153" t="s">
        <v>0</v>
      </c>
      <c r="C5" s="155" t="s">
        <v>721</v>
      </c>
    </row>
    <row r="6" spans="2:3" ht="9.9499999999999993" customHeight="1" x14ac:dyDescent="0.2">
      <c r="B6" s="154"/>
      <c r="C6" s="155"/>
    </row>
    <row r="7" spans="2:3" ht="21" x14ac:dyDescent="0.2">
      <c r="B7" s="153" t="s">
        <v>709</v>
      </c>
      <c r="C7" s="155" t="s">
        <v>719</v>
      </c>
    </row>
    <row r="8" spans="2:3" ht="9.9499999999999993" customHeight="1" x14ac:dyDescent="0.2">
      <c r="B8" s="154"/>
      <c r="C8" s="155"/>
    </row>
    <row r="9" spans="2:3" ht="21" x14ac:dyDescent="0.2">
      <c r="B9" s="153" t="s">
        <v>710</v>
      </c>
      <c r="C9" s="155" t="s">
        <v>719</v>
      </c>
    </row>
    <row r="10" spans="2:3" ht="9.9499999999999993" hidden="1" customHeight="1" x14ac:dyDescent="0.2">
      <c r="B10" s="154"/>
      <c r="C10" s="155"/>
    </row>
    <row r="11" spans="2:3" ht="21" hidden="1" x14ac:dyDescent="0.2">
      <c r="B11" s="153" t="s">
        <v>715</v>
      </c>
      <c r="C11" s="155" t="s">
        <v>7185</v>
      </c>
    </row>
    <row r="12" spans="2:3" ht="9.9499999999999993" customHeight="1" x14ac:dyDescent="0.2">
      <c r="B12" s="154"/>
      <c r="C12" s="155"/>
    </row>
    <row r="13" spans="2:3" ht="21" x14ac:dyDescent="0.2">
      <c r="B13" s="153" t="s">
        <v>716</v>
      </c>
      <c r="C13" s="155" t="s">
        <v>721</v>
      </c>
    </row>
    <row r="14" spans="2:3" ht="9.9499999999999993" customHeight="1" x14ac:dyDescent="0.2">
      <c r="B14" s="154"/>
      <c r="C14" s="155"/>
    </row>
    <row r="15" spans="2:3" ht="21" x14ac:dyDescent="0.2">
      <c r="B15" s="153" t="s">
        <v>711</v>
      </c>
      <c r="C15" s="155" t="s">
        <v>721</v>
      </c>
    </row>
    <row r="16" spans="2:3" ht="9.9499999999999993" customHeight="1" x14ac:dyDescent="0.2">
      <c r="B16" s="154"/>
      <c r="C16" s="155"/>
    </row>
    <row r="17" spans="2:3" ht="21" hidden="1" x14ac:dyDescent="0.2">
      <c r="B17" s="153" t="s">
        <v>7843</v>
      </c>
      <c r="C17" s="155" t="s">
        <v>720</v>
      </c>
    </row>
    <row r="18" spans="2:3" ht="9.9499999999999993" hidden="1" customHeight="1" x14ac:dyDescent="0.2">
      <c r="B18" s="154"/>
      <c r="C18" s="155"/>
    </row>
    <row r="19" spans="2:3" ht="21" x14ac:dyDescent="0.2">
      <c r="B19" s="153" t="s">
        <v>712</v>
      </c>
      <c r="C19" s="155" t="s">
        <v>721</v>
      </c>
    </row>
    <row r="20" spans="2:3" ht="9.9499999999999993" customHeight="1" x14ac:dyDescent="0.2">
      <c r="B20" s="154"/>
      <c r="C20" s="155"/>
    </row>
    <row r="21" spans="2:3" ht="21" x14ac:dyDescent="0.2">
      <c r="B21" s="153" t="s">
        <v>264</v>
      </c>
      <c r="C21" s="155" t="s">
        <v>721</v>
      </c>
    </row>
    <row r="22" spans="2:3" ht="9.9499999999999993" customHeight="1" x14ac:dyDescent="0.2">
      <c r="B22" s="154"/>
      <c r="C22" s="155"/>
    </row>
    <row r="23" spans="2:3" ht="21" x14ac:dyDescent="0.2">
      <c r="B23" s="153" t="s">
        <v>263</v>
      </c>
      <c r="C23" s="155" t="s">
        <v>8033</v>
      </c>
    </row>
    <row r="24" spans="2:3" ht="9.9499999999999993" customHeight="1" x14ac:dyDescent="0.2">
      <c r="B24" s="154"/>
      <c r="C24" s="155"/>
    </row>
    <row r="25" spans="2:3" ht="21" x14ac:dyDescent="0.2">
      <c r="B25" s="153" t="s">
        <v>80</v>
      </c>
      <c r="C25" s="155" t="s">
        <v>8033</v>
      </c>
    </row>
    <row r="26" spans="2:3" ht="9.9499999999999993" customHeight="1" x14ac:dyDescent="0.2">
      <c r="B26" s="154"/>
      <c r="C26" s="155"/>
    </row>
    <row r="27" spans="2:3" ht="21" x14ac:dyDescent="0.2">
      <c r="B27" s="153" t="s">
        <v>713</v>
      </c>
      <c r="C27" s="155" t="s">
        <v>8033</v>
      </c>
    </row>
    <row r="28" spans="2:3" ht="9.9499999999999993" customHeight="1" x14ac:dyDescent="0.2">
      <c r="B28" s="154"/>
      <c r="C28" s="155"/>
    </row>
    <row r="29" spans="2:3" ht="21" customHeight="1" x14ac:dyDescent="0.2">
      <c r="B29" s="153" t="s">
        <v>717</v>
      </c>
      <c r="C29" s="155" t="s">
        <v>719</v>
      </c>
    </row>
    <row r="30" spans="2:3" ht="9.9499999999999993" customHeight="1" x14ac:dyDescent="0.2">
      <c r="B30" s="154"/>
      <c r="C30" s="155"/>
    </row>
    <row r="31" spans="2:3" ht="21" x14ac:dyDescent="0.2">
      <c r="B31" s="153" t="s">
        <v>714</v>
      </c>
      <c r="C31" s="155" t="s">
        <v>719</v>
      </c>
    </row>
    <row r="32" spans="2:3" ht="7.5" customHeight="1" x14ac:dyDescent="0.2">
      <c r="B32" s="153"/>
      <c r="C32" s="155"/>
    </row>
    <row r="33" spans="2:3" ht="21" x14ac:dyDescent="0.2">
      <c r="B33" s="153" t="s">
        <v>6322</v>
      </c>
      <c r="C33" s="155" t="s">
        <v>8033</v>
      </c>
    </row>
    <row r="35" spans="2:3" ht="18.75" x14ac:dyDescent="0.2">
      <c r="B35" s="160"/>
      <c r="C35" s="161"/>
    </row>
    <row r="36" spans="2:3" ht="18.75" customHeight="1" x14ac:dyDescent="0.2">
      <c r="B36" s="1320"/>
      <c r="C36" s="1320"/>
    </row>
    <row r="37" spans="2:3" ht="24.75" customHeight="1" x14ac:dyDescent="0.2">
      <c r="B37" s="1320"/>
      <c r="C37" s="1320"/>
    </row>
  </sheetData>
  <sheetProtection password="CCA9" sheet="1"/>
  <mergeCells count="1">
    <mergeCell ref="B36:C37"/>
  </mergeCells>
  <hyperlinks>
    <hyperlink ref="B5" location="'Informasi Debitur'!Print_Area" display="Informasi Debitur"/>
    <hyperlink ref="B7" location="'Order appraisal'!Print_Area" display="Pengajuan Penilaian Jaminan"/>
    <hyperlink ref="B9" location="'Oder BI checking'!Print_Area" display="Pengajuan BI Checking"/>
    <hyperlink ref="B11" location="'Order Trade Checking'!Print_Area" display="Pengajuan Trade Checking"/>
    <hyperlink ref="B13" location="'Supplier Checking'!Print_Area" display="Laporan Trade Checking - Supplier Checking"/>
    <hyperlink ref="B15" location="'Buyer Checking'!Print_Area" display="Laporan Trade Checking - Buyer Checking"/>
    <hyperlink ref="B19" location="'Analisa Lap Keu'!Print_Area" display="Analisa Laporan Keuangan"/>
    <hyperlink ref="B21" location="'Analisa Rek Koran'!Print_Area" display="Analisa Rekening Koran"/>
    <hyperlink ref="B23" location="RAC!Print_Area" display="RAC"/>
    <hyperlink ref="B25" location="MKK!Print_Area" display="Memo Keputusan Kredit (MKK)"/>
    <hyperlink ref="B27" location="'Pelaporan BI'!Print_Area" display="Data Pelaporan Bank Indonesia"/>
    <hyperlink ref="B29" location="'Surat Penawaran'!Print_Area" display="Surat Penawaran (Offering Letter)"/>
    <hyperlink ref="B31" location="'Order Notaris'!Print_Area" display="Order Penunjukkan Notaris"/>
    <hyperlink ref="B33" location="'Memo Review'!A1" display="Memo Review"/>
    <hyperlink ref="B17" location="'Random Checking'!Print_Area" display="Laporan Random Checking"/>
  </hyperlinks>
  <pageMargins left="0.70866141732283472" right="0.70866141732283472" top="0.74803149606299213" bottom="0.74803149606299213" header="0.31496062992125984" footer="0.31496062992125984"/>
  <pageSetup paperSize="9" scale="92" orientation="landscape" r:id="rId1"/>
  <rowBreaks count="1" manualBreakCount="1">
    <brk id="38" max="3" man="1"/>
  </rowBreak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Q196"/>
  <sheetViews>
    <sheetView showGridLines="0" showZeros="0" view="pageBreakPreview" zoomScale="110" zoomScaleSheetLayoutView="110" workbookViewId="0">
      <selection activeCell="O56" sqref="O56"/>
    </sheetView>
  </sheetViews>
  <sheetFormatPr defaultRowHeight="15" x14ac:dyDescent="0.25"/>
  <cols>
    <col min="1" max="1" width="32.7109375" style="365" customWidth="1"/>
    <col min="2" max="2" width="17.7109375" style="333" hidden="1" customWidth="1"/>
    <col min="3" max="3" width="15.7109375" style="333" customWidth="1"/>
    <col min="4" max="4" width="7.7109375" style="333" customWidth="1"/>
    <col min="5" max="5" width="15.7109375" style="333" customWidth="1"/>
    <col min="6" max="6" width="7.7109375" style="333" customWidth="1"/>
    <col min="7" max="7" width="15.7109375" style="333" customWidth="1"/>
    <col min="8" max="8" width="7.7109375" style="333" customWidth="1"/>
    <col min="9" max="9" width="15.7109375" style="333" customWidth="1"/>
    <col min="10" max="10" width="7.7109375" style="333" customWidth="1"/>
    <col min="11" max="14" width="9.140625" style="348" hidden="1" customWidth="1"/>
    <col min="15" max="15" width="15.7109375" style="348" customWidth="1"/>
    <col min="16" max="16384" width="9.140625" style="348"/>
  </cols>
  <sheetData>
    <row r="1" spans="1:16" ht="40.5" customHeight="1" x14ac:dyDescent="0.35">
      <c r="A1" s="1662" t="s">
        <v>320</v>
      </c>
      <c r="B1" s="1662"/>
      <c r="C1" s="1662"/>
      <c r="D1" s="1662"/>
      <c r="E1" s="1662"/>
      <c r="F1" s="1662"/>
      <c r="G1" s="1662"/>
      <c r="H1" s="1662"/>
      <c r="I1" s="1662"/>
      <c r="J1" s="1662"/>
      <c r="O1" s="1110"/>
      <c r="P1" s="1110"/>
    </row>
    <row r="2" spans="1:16" ht="5.0999999999999996" customHeight="1" x14ac:dyDescent="0.25">
      <c r="A2" s="8"/>
      <c r="B2" s="10"/>
      <c r="C2" s="10"/>
      <c r="D2" s="10"/>
      <c r="E2" s="10"/>
      <c r="F2" s="10"/>
      <c r="G2" s="10"/>
      <c r="H2" s="10"/>
      <c r="I2" s="10"/>
      <c r="J2" s="10"/>
      <c r="O2" s="1110"/>
      <c r="P2" s="1110"/>
    </row>
    <row r="3" spans="1:16" x14ac:dyDescent="0.25">
      <c r="A3" s="61" t="s">
        <v>85</v>
      </c>
      <c r="B3" s="1663" t="str">
        <f>'Informasi Debitur'!J5</f>
        <v xml:space="preserve">OH NJEN LIENG </v>
      </c>
      <c r="C3" s="1663"/>
      <c r="D3" s="1663"/>
      <c r="E3" s="1663"/>
      <c r="F3" s="179"/>
      <c r="G3" s="10"/>
      <c r="H3" s="10"/>
      <c r="I3" s="10"/>
      <c r="J3" s="10"/>
      <c r="O3" s="1110"/>
      <c r="P3" s="1110"/>
    </row>
    <row r="4" spans="1:16" x14ac:dyDescent="0.25">
      <c r="A4" s="61" t="s">
        <v>84</v>
      </c>
      <c r="B4" s="1664" t="str">
        <f>'Informasi Debitur'!J7</f>
        <v>0008C00010251</v>
      </c>
      <c r="C4" s="1664"/>
      <c r="D4" s="1664"/>
      <c r="E4" s="1664"/>
      <c r="F4" s="180"/>
      <c r="G4" s="10"/>
      <c r="H4" s="10"/>
      <c r="I4" s="10"/>
      <c r="J4" s="10"/>
      <c r="O4" s="1110"/>
      <c r="P4" s="1110"/>
    </row>
    <row r="5" spans="1:16" x14ac:dyDescent="0.25">
      <c r="A5" s="8"/>
      <c r="B5" s="10"/>
      <c r="C5" s="10"/>
      <c r="D5" s="10"/>
      <c r="E5" s="10"/>
      <c r="F5" s="10"/>
      <c r="G5" s="32"/>
      <c r="H5" s="32"/>
      <c r="I5" s="10"/>
      <c r="J5" s="1112"/>
      <c r="O5" s="1110"/>
      <c r="P5" s="32" t="s">
        <v>29</v>
      </c>
    </row>
    <row r="6" spans="1:16" x14ac:dyDescent="0.25">
      <c r="A6" s="8"/>
      <c r="B6" s="119" t="s">
        <v>570</v>
      </c>
      <c r="C6" s="1658" t="s">
        <v>571</v>
      </c>
      <c r="D6" s="1659"/>
      <c r="E6" s="1659"/>
      <c r="F6" s="1659"/>
      <c r="G6" s="1659"/>
      <c r="H6" s="1659"/>
      <c r="I6" s="1624" t="s">
        <v>7583</v>
      </c>
      <c r="J6" s="1624"/>
      <c r="K6" s="1157"/>
      <c r="L6" s="1157"/>
      <c r="M6" s="1157"/>
      <c r="N6" s="1157"/>
      <c r="O6" s="1624" t="s">
        <v>570</v>
      </c>
      <c r="P6" s="1624"/>
    </row>
    <row r="7" spans="1:16" x14ac:dyDescent="0.25">
      <c r="A7" s="74" t="s">
        <v>286</v>
      </c>
      <c r="B7" s="145"/>
      <c r="C7" s="1630"/>
      <c r="D7" s="1631"/>
      <c r="E7" s="1630"/>
      <c r="F7" s="1631"/>
      <c r="G7" s="1630" t="s">
        <v>282</v>
      </c>
      <c r="H7" s="1631"/>
      <c r="I7" s="1625" t="s">
        <v>282</v>
      </c>
      <c r="J7" s="1625"/>
      <c r="O7" s="1625" t="s">
        <v>282</v>
      </c>
      <c r="P7" s="1625"/>
    </row>
    <row r="8" spans="1:16" s="385" customFormat="1" x14ac:dyDescent="0.25">
      <c r="A8" s="1647" t="s">
        <v>7939</v>
      </c>
      <c r="B8" s="1648"/>
      <c r="C8" s="1648"/>
      <c r="D8" s="1648"/>
      <c r="E8" s="1648"/>
      <c r="F8" s="1648"/>
      <c r="G8" s="1648"/>
      <c r="H8" s="1649"/>
      <c r="I8" s="1645">
        <v>0.1</v>
      </c>
      <c r="J8" s="1646"/>
      <c r="O8" s="1626"/>
      <c r="P8" s="1626"/>
    </row>
    <row r="9" spans="1:16" x14ac:dyDescent="0.25">
      <c r="A9" s="1187" t="s">
        <v>279</v>
      </c>
      <c r="B9" s="1188"/>
      <c r="C9" s="1613">
        <v>42734</v>
      </c>
      <c r="D9" s="1614"/>
      <c r="E9" s="1613">
        <v>43099</v>
      </c>
      <c r="F9" s="1614"/>
      <c r="G9" s="1613">
        <v>43452</v>
      </c>
      <c r="H9" s="1614"/>
      <c r="I9" s="1613">
        <v>43452</v>
      </c>
      <c r="J9" s="1614"/>
      <c r="K9" s="1613"/>
      <c r="L9" s="1614"/>
      <c r="M9" s="1613"/>
      <c r="N9" s="1614"/>
      <c r="O9" s="1613">
        <v>43452</v>
      </c>
      <c r="P9" s="1614"/>
    </row>
    <row r="10" spans="1:16" x14ac:dyDescent="0.25">
      <c r="A10" s="1627" t="s">
        <v>322</v>
      </c>
      <c r="B10" s="1627"/>
      <c r="C10" s="1627"/>
      <c r="D10" s="1627"/>
      <c r="E10" s="1627"/>
      <c r="F10" s="1627"/>
      <c r="G10" s="1627"/>
      <c r="H10" s="1627"/>
      <c r="I10" s="1627"/>
      <c r="J10" s="1627"/>
      <c r="K10" s="1627"/>
      <c r="L10" s="1627"/>
      <c r="M10" s="1627"/>
      <c r="N10" s="1627"/>
      <c r="O10" s="1627"/>
      <c r="P10" s="1627"/>
    </row>
    <row r="11" spans="1:16" x14ac:dyDescent="0.25">
      <c r="A11" s="176" t="s">
        <v>2947</v>
      </c>
      <c r="B11" s="207"/>
      <c r="C11" s="1660" t="s">
        <v>323</v>
      </c>
      <c r="D11" s="1661"/>
      <c r="E11" s="1628" t="str">
        <f>IF(C68&lt;&gt;"",((E68/MONTH(E9)*12)-(C68/MONTH(C9)*12))/(C68/MONTH(C9)*12),"-")</f>
        <v>-</v>
      </c>
      <c r="F11" s="1629"/>
      <c r="G11" s="1628" t="str">
        <f>IF(E68&lt;&gt;"",((G68/MONTH(G9)*12)-(E68/MONTH(E9)*12))/(E68/MONTH(E9)*12),"-")</f>
        <v>-</v>
      </c>
      <c r="H11" s="1629"/>
      <c r="I11" s="1628" t="str">
        <f>IF(E68&lt;&gt;"",((I68/MONTH(I9)*12)-(E68/MONTH(E9)*12))/(E68/MONTH(E9)*12),"-")</f>
        <v>-</v>
      </c>
      <c r="J11" s="1629"/>
      <c r="O11" s="1628">
        <f>IF(G68&lt;&gt;"",((O68/MONTH(O9)*12)-(G68/MONTH(G9)*12))/(G68/MONTH(G9)*12),"-")</f>
        <v>-0.61502422650098099</v>
      </c>
      <c r="P11" s="1629"/>
    </row>
    <row r="12" spans="1:16" x14ac:dyDescent="0.25">
      <c r="A12" s="70" t="s">
        <v>2948</v>
      </c>
      <c r="B12" s="85" t="str">
        <f>IF(ISERROR(B30/B50),"-",B30/B50)</f>
        <v>-</v>
      </c>
      <c r="C12" s="1622" t="str">
        <f>IF(ISERROR(C30/C50),"-",C30/C50)</f>
        <v>-</v>
      </c>
      <c r="D12" s="1623"/>
      <c r="E12" s="1622">
        <f>IF(ISERROR(E30/E50),"-",E30/E50)</f>
        <v>0</v>
      </c>
      <c r="F12" s="1623"/>
      <c r="G12" s="1622">
        <f>IF(ISERROR(G30/G50),"-",G30/G50)</f>
        <v>4.145563742183147</v>
      </c>
      <c r="H12" s="1623"/>
      <c r="I12" s="1609">
        <f>IF(ISERROR(I30/I50),"-",I30/I50)</f>
        <v>4.6293622684323648</v>
      </c>
      <c r="J12" s="1610"/>
      <c r="O12" s="1609">
        <f>IF(ISERROR(O30/O50),"-",O30/O50)</f>
        <v>2.1019920502735499</v>
      </c>
      <c r="P12" s="1610"/>
    </row>
    <row r="13" spans="1:16" x14ac:dyDescent="0.25">
      <c r="A13" s="70" t="s">
        <v>324</v>
      </c>
      <c r="B13" s="85" t="str">
        <f>IF(ISERROR(B82/B79),"-",B82/B79)</f>
        <v>-</v>
      </c>
      <c r="C13" s="1622" t="str">
        <f>IF(ISERROR((C82+C79)/C79),"-",(C82+C79)/C79)</f>
        <v>-</v>
      </c>
      <c r="D13" s="1623"/>
      <c r="E13" s="1622" t="str">
        <f>IF(ISERROR((E82+E79)/E79),"-",(E82+E79)/E79)</f>
        <v>-</v>
      </c>
      <c r="F13" s="1623"/>
      <c r="G13" s="1622">
        <f>IF(ISERROR((G82+G79)/G79),"-",(G82+G79)/G79)</f>
        <v>7.5735346976918496</v>
      </c>
      <c r="H13" s="1623"/>
      <c r="I13" s="1609">
        <f>IF(ISERROR((I82+I79)/I79),"-",(I82+I79)/I79)</f>
        <v>4.30348321982218</v>
      </c>
      <c r="J13" s="1610"/>
      <c r="O13" s="1609">
        <f>IF(ISERROR((O82+O79)/O79),"-",(O82+O79)/O79)</f>
        <v>4.30348321982218</v>
      </c>
      <c r="P13" s="1610"/>
    </row>
    <row r="14" spans="1:16" s="385" customFormat="1" x14ac:dyDescent="0.25">
      <c r="A14" s="70" t="s">
        <v>7954</v>
      </c>
      <c r="B14" s="85"/>
      <c r="C14" s="1611">
        <f>IF(ISERROR(C78+C70+C80+C74),"-",C78+C70+C80+C74)</f>
        <v>0</v>
      </c>
      <c r="D14" s="1612"/>
      <c r="E14" s="1611">
        <f>IF(ISERROR(E78+E70+E80+E74),"-",E78+E70+E80+E74)</f>
        <v>0</v>
      </c>
      <c r="F14" s="1612"/>
      <c r="G14" s="1611">
        <f>IF(ISERROR(G78+G70+G80+G74),"-",G78+G70+G80+G74)</f>
        <v>4187.3850000000002</v>
      </c>
      <c r="H14" s="1612"/>
      <c r="I14" s="1611">
        <f>IF(ISERROR(I78+I70+I80+I74),"-",I78+I70+I80+I74)</f>
        <v>1612.0417793131903</v>
      </c>
      <c r="J14" s="1612"/>
      <c r="K14" s="1240"/>
      <c r="L14" s="1240"/>
      <c r="M14" s="1240"/>
      <c r="N14" s="1240"/>
      <c r="O14" s="1611">
        <f>IF(ISERROR(O78+O70+O80+O74),"-",O78+O70+O80+O74)</f>
        <v>1612.0417793131903</v>
      </c>
      <c r="P14" s="1612"/>
    </row>
    <row r="15" spans="1:16" x14ac:dyDescent="0.25">
      <c r="A15" s="70" t="s">
        <v>325</v>
      </c>
      <c r="B15" s="85" t="str">
        <f>IF(ISERROR((B82+#REF!)/(B79+B46)),"-",(B82+#REF!)/(B79+B46))</f>
        <v>-</v>
      </c>
      <c r="C15" s="1622" t="str">
        <f>IF(ISERROR(C14/(C79+C65)),"-",C14/(C79+C65))</f>
        <v>-</v>
      </c>
      <c r="D15" s="1623"/>
      <c r="E15" s="1622" t="str">
        <f>IF(ISERROR(E14/(E79+C46)),"-",E14/(E79+C46))</f>
        <v>-</v>
      </c>
      <c r="F15" s="1623"/>
      <c r="G15" s="1622">
        <f>IF(ISERROR(G14/(G79+E46)),"-",G14/(G79+E46))</f>
        <v>3.8341695985318052</v>
      </c>
      <c r="H15" s="1623"/>
      <c r="I15" s="1622">
        <f>IF(ISERROR(I14/(I79+E46)),"-",I14/(I79+E46))</f>
        <v>1.7640769906777625</v>
      </c>
      <c r="J15" s="1623"/>
      <c r="O15" s="1622">
        <f>IF(ISERROR(O14/(O79+O46)),"-",O14/(O79+O46))</f>
        <v>2.05375785817614</v>
      </c>
      <c r="P15" s="1623"/>
    </row>
    <row r="16" spans="1:16" x14ac:dyDescent="0.25">
      <c r="A16" s="70" t="s">
        <v>2953</v>
      </c>
      <c r="B16" s="85" t="str">
        <f>IF(ISERROR(SUM(B50,B55)/B62),"-",SUM(B50,B55)/B62)</f>
        <v>-</v>
      </c>
      <c r="C16" s="1622" t="str">
        <f>IF(ISERROR(SUM(C50,C55)/C62),"-",SUM(C50,C55)/C62)</f>
        <v>-</v>
      </c>
      <c r="D16" s="1623"/>
      <c r="E16" s="1622" t="str">
        <f>IF(ISERROR(SUM(E50,E55)/E62),"-",SUM(E50,E55)/E62)</f>
        <v>-</v>
      </c>
      <c r="F16" s="1623"/>
      <c r="G16" s="1622">
        <f>IF(ISERROR(SUM(G50,G55)/G62),"-",SUM(G50,G55)/G62)</f>
        <v>0.27455007423185407</v>
      </c>
      <c r="H16" s="1623"/>
      <c r="I16" s="1609">
        <f>IF(ISERROR(SUM(I50,I55)/I62),"-",SUM(I50,I55)/I62)</f>
        <v>2.0058464068171005E-2</v>
      </c>
      <c r="J16" s="1610"/>
      <c r="O16" s="1609">
        <f>IF(ISERROR(SUM(O50,O55)/O62),"-",SUM(O50,O55)/O62)</f>
        <v>1.999500192772103E-2</v>
      </c>
      <c r="P16" s="1610"/>
    </row>
    <row r="17" spans="1:16" x14ac:dyDescent="0.25">
      <c r="A17" s="70" t="s">
        <v>2958</v>
      </c>
      <c r="B17" s="85"/>
      <c r="C17" s="1622" t="str">
        <f>IF(ISERROR(C18+C19-C20-C21),"-",C18+C19-C20-C21)</f>
        <v>-</v>
      </c>
      <c r="D17" s="1623"/>
      <c r="E17" s="1622" t="str">
        <f>IF(ISERROR(E18+E19-E20-E21),"-",E18+E19-E20-E21)</f>
        <v>-</v>
      </c>
      <c r="F17" s="1623"/>
      <c r="G17" s="1622">
        <f>IF(ISERROR(G18+G19-G20-G21),"-",G18+G19-G20-G21)</f>
        <v>41.134099432370149</v>
      </c>
      <c r="H17" s="1623"/>
      <c r="I17" s="1609">
        <f>IF(ISERROR(I18+I19-I20-I21),"-",I18+I19-I20-I21)</f>
        <v>60.518552836468132</v>
      </c>
      <c r="J17" s="1610"/>
      <c r="O17" s="1609">
        <f>IF(ISERROR(O18+O19-O20-O21),"-",O18+O19-O20-O21)</f>
        <v>60.518552836468132</v>
      </c>
      <c r="P17" s="1610"/>
    </row>
    <row r="18" spans="1:16" x14ac:dyDescent="0.25">
      <c r="A18" s="70" t="s">
        <v>2949</v>
      </c>
      <c r="B18" s="85" t="str">
        <f>IF(ISERROR(B26*365/B68),"-",B26*365/B68)</f>
        <v>-</v>
      </c>
      <c r="C18" s="1622" t="str">
        <f>IF(ISERROR(C26*360/C68),"-",C26*360/C68)</f>
        <v>-</v>
      </c>
      <c r="D18" s="1623"/>
      <c r="E18" s="1622" t="str">
        <f>IF(ISERROR(E26*360/E68),"-",E26*360/E68)</f>
        <v>-</v>
      </c>
      <c r="F18" s="1623"/>
      <c r="G18" s="1622">
        <f>IF(ISERROR(G26*360/G68),"-",G26*360/G68)</f>
        <v>33.249448248331689</v>
      </c>
      <c r="H18" s="1623"/>
      <c r="I18" s="1609">
        <f>IF(ISERROR(I26*360/I68),"-",I26*360/I68)</f>
        <v>30</v>
      </c>
      <c r="J18" s="1610"/>
      <c r="O18" s="1609">
        <f>IF(ISERROR(O26*360/O68),"-",O26*360/O68)</f>
        <v>30</v>
      </c>
      <c r="P18" s="1610"/>
    </row>
    <row r="19" spans="1:16" x14ac:dyDescent="0.25">
      <c r="A19" s="70" t="s">
        <v>2951</v>
      </c>
      <c r="B19" s="85" t="str">
        <f>IF(ISERROR(B27*365/B69),"-",B27*365/B69)</f>
        <v>-</v>
      </c>
      <c r="C19" s="1622" t="str">
        <f>IF(ISERROR(C27*360/(C69+C70)),"-",C27*360/(C69+C70))</f>
        <v>-</v>
      </c>
      <c r="D19" s="1623"/>
      <c r="E19" s="1622" t="str">
        <f>IF(ISERROR(E27*360/(E69+E70)),"-",E27*360/(E69+E70))</f>
        <v>-</v>
      </c>
      <c r="F19" s="1623"/>
      <c r="G19" s="1622">
        <f>IF(ISERROR(G27*360/(G69+G70)),"-",G27*360/(G69+G70))</f>
        <v>33.582265976096522</v>
      </c>
      <c r="H19" s="1623"/>
      <c r="I19" s="1609">
        <f>IF(ISERROR(I27*360/(I69+I70)),"-",I27*360/(I69+I70))</f>
        <v>60.518552836468125</v>
      </c>
      <c r="J19" s="1610"/>
      <c r="O19" s="1609">
        <f>IF(ISERROR(O27*360/(O69+O70)),"-",O27*360/(O69+O70))</f>
        <v>60.518552836468125</v>
      </c>
      <c r="P19" s="1610"/>
    </row>
    <row r="20" spans="1:16" x14ac:dyDescent="0.25">
      <c r="A20" s="70" t="s">
        <v>2950</v>
      </c>
      <c r="B20" s="85" t="str">
        <f>IF(ISERROR(B47*365/B69),"-",B47*365/B69)</f>
        <v>-</v>
      </c>
      <c r="C20" s="1622" t="str">
        <f>IF(ISERROR(C47*360/(C69+C70)),"-",C47*360/(C69+C70))</f>
        <v>-</v>
      </c>
      <c r="D20" s="1623"/>
      <c r="E20" s="1622" t="str">
        <f>IF(ISERROR(E47*360/(E69+E70)),"-",E47*360/(E69+E70))</f>
        <v>-</v>
      </c>
      <c r="F20" s="1623"/>
      <c r="G20" s="1622">
        <f>IF(ISERROR(G47*360/(G69+G70)),"-",G47*360/(G69+G70))</f>
        <v>25.697614792058058</v>
      </c>
      <c r="H20" s="1623"/>
      <c r="I20" s="1609">
        <f>IF(ISERROR(I47*360/(I69+I70)),"-",I47*360/(I69+I70))</f>
        <v>30</v>
      </c>
      <c r="J20" s="1610"/>
      <c r="O20" s="1609">
        <f>IF(ISERROR(O47*360/(O69+O70)),"-",O47*360/(O69+O70))</f>
        <v>30</v>
      </c>
      <c r="P20" s="1610"/>
    </row>
    <row r="21" spans="1:16" x14ac:dyDescent="0.25">
      <c r="A21" s="84" t="s">
        <v>2952</v>
      </c>
      <c r="B21" s="138" t="str">
        <f>IF(ISERROR(B48*365/B69),"-",B48*365/B69)</f>
        <v>-</v>
      </c>
      <c r="C21" s="1655" t="str">
        <f>IF(ISERROR(C48*360/(C69+C70)),"-",C48*360/C69)</f>
        <v>-</v>
      </c>
      <c r="D21" s="1656"/>
      <c r="E21" s="1655" t="str">
        <f>IF(ISERROR(E48*360/(E69+E70)),"-",E48*360/(E69+E70))</f>
        <v>-</v>
      </c>
      <c r="F21" s="1656"/>
      <c r="G21" s="1655">
        <f>IF(ISERROR(G48*360/(G69+G70)),"-",G48*360/(G69+G70))</f>
        <v>0</v>
      </c>
      <c r="H21" s="1656"/>
      <c r="I21" s="1617">
        <f>IF(ISERROR(I48*360/(I69+I70)),"-",I48*360/(I69+I70))</f>
        <v>0</v>
      </c>
      <c r="J21" s="1618"/>
      <c r="O21" s="1617">
        <f>IF(ISERROR(O48*360/(O69+O70)),"-",O48*360/(O69+O70))</f>
        <v>0</v>
      </c>
      <c r="P21" s="1618"/>
    </row>
    <row r="22" spans="1:16" x14ac:dyDescent="0.25">
      <c r="A22" s="1619" t="s">
        <v>278</v>
      </c>
      <c r="B22" s="1620"/>
      <c r="C22" s="1620"/>
      <c r="D22" s="1620"/>
      <c r="E22" s="1620"/>
      <c r="F22" s="1620"/>
      <c r="G22" s="1620"/>
      <c r="H22" s="1620"/>
      <c r="I22" s="1620"/>
      <c r="J22" s="1620"/>
      <c r="K22" s="1620"/>
      <c r="L22" s="1620"/>
      <c r="M22" s="1620"/>
      <c r="N22" s="1620"/>
      <c r="O22" s="1620"/>
      <c r="P22" s="1620"/>
    </row>
    <row r="23" spans="1:16" x14ac:dyDescent="0.25">
      <c r="A23" s="174" t="s">
        <v>295</v>
      </c>
      <c r="B23" s="78"/>
      <c r="C23" s="171"/>
      <c r="D23" s="186"/>
      <c r="E23" s="171"/>
      <c r="F23" s="186"/>
      <c r="G23" s="171"/>
      <c r="H23" s="186"/>
      <c r="I23" s="171"/>
      <c r="J23" s="202"/>
      <c r="O23" s="171"/>
      <c r="P23" s="202"/>
    </row>
    <row r="24" spans="1:16" x14ac:dyDescent="0.25">
      <c r="A24" s="175" t="s">
        <v>285</v>
      </c>
      <c r="B24" s="79"/>
      <c r="C24" s="172"/>
      <c r="D24" s="194"/>
      <c r="E24" s="172"/>
      <c r="F24" s="194"/>
      <c r="G24" s="172"/>
      <c r="H24" s="194"/>
      <c r="I24" s="172"/>
      <c r="J24" s="201"/>
      <c r="O24" s="172"/>
      <c r="P24" s="201"/>
    </row>
    <row r="25" spans="1:16" x14ac:dyDescent="0.25">
      <c r="A25" s="173" t="s">
        <v>750</v>
      </c>
      <c r="B25" s="79"/>
      <c r="C25" s="257"/>
      <c r="D25" s="195" t="str">
        <f t="shared" ref="D25:D30" si="0">IF(ISERROR(C25/$C$42),"",C25/$C$42)</f>
        <v/>
      </c>
      <c r="E25" s="257"/>
      <c r="F25" s="195" t="str">
        <f>IF(ISERROR(E25/$E$42),"",E25/$E$42)</f>
        <v/>
      </c>
      <c r="G25" s="257">
        <v>2398.2600000000002</v>
      </c>
      <c r="H25" s="195">
        <f>IF(ISERROR(G25/$G$42),"",G25/$G$42)</f>
        <v>0.31808262863185083</v>
      </c>
      <c r="I25" s="257">
        <f>G25</f>
        <v>2398.2600000000002</v>
      </c>
      <c r="J25" s="195">
        <f>IF(ISERROR(I25/$I$42),"",I25/$I$42)</f>
        <v>0.39748805899189327</v>
      </c>
      <c r="O25" s="1129">
        <f>I25</f>
        <v>2398.2600000000002</v>
      </c>
      <c r="P25" s="195">
        <f>IF(ISERROR(O25/$I$42),"",O25/$I$42)</f>
        <v>0.39748805899189327</v>
      </c>
    </row>
    <row r="26" spans="1:16" x14ac:dyDescent="0.25">
      <c r="A26" s="70" t="s">
        <v>28</v>
      </c>
      <c r="B26" s="123"/>
      <c r="C26" s="258"/>
      <c r="D26" s="196" t="str">
        <f t="shared" si="0"/>
        <v/>
      </c>
      <c r="E26" s="258"/>
      <c r="F26" s="196" t="str">
        <f t="shared" ref="F26:F40" si="1">IF(ISERROR(E26/$E$42),"",E26/$E$42)</f>
        <v/>
      </c>
      <c r="G26" s="258">
        <v>1732.94</v>
      </c>
      <c r="H26" s="196">
        <f t="shared" ref="H26:H42" si="2">IF(ISERROR(G26/$G$42),"",G26/$G$42)</f>
        <v>0.22984084730649704</v>
      </c>
      <c r="I26" s="1129">
        <f>I68/360*30</f>
        <v>601.94074074074081</v>
      </c>
      <c r="J26" s="196">
        <f t="shared" ref="J26:J42" si="3">IF(ISERROR(I26/$I$42),"",I26/$I$42)</f>
        <v>9.9765770460742156E-2</v>
      </c>
      <c r="O26" s="1129">
        <f>I26</f>
        <v>601.94074074074081</v>
      </c>
      <c r="P26" s="196">
        <f t="shared" ref="P26:P42" si="4">IF(ISERROR(O26/$I$42),"",O26/$I$42)</f>
        <v>9.9765770460742156E-2</v>
      </c>
    </row>
    <row r="27" spans="1:16" x14ac:dyDescent="0.25">
      <c r="A27" s="70" t="s">
        <v>25</v>
      </c>
      <c r="B27" s="123"/>
      <c r="C27" s="258"/>
      <c r="D27" s="196" t="str">
        <f t="shared" si="0"/>
        <v/>
      </c>
      <c r="E27" s="258"/>
      <c r="F27" s="196" t="str">
        <f t="shared" si="1"/>
        <v/>
      </c>
      <c r="G27" s="258">
        <v>1225.2</v>
      </c>
      <c r="H27" s="196">
        <f t="shared" si="2"/>
        <v>0.16249899368698292</v>
      </c>
      <c r="I27" s="1129">
        <v>850</v>
      </c>
      <c r="J27" s="196">
        <f t="shared" si="3"/>
        <v>0.14087915828271716</v>
      </c>
      <c r="O27" s="1129">
        <f>I27</f>
        <v>850</v>
      </c>
      <c r="P27" s="196">
        <f t="shared" si="4"/>
        <v>0.14087915828271716</v>
      </c>
    </row>
    <row r="28" spans="1:16" x14ac:dyDescent="0.25">
      <c r="A28" s="70" t="s">
        <v>284</v>
      </c>
      <c r="B28" s="123"/>
      <c r="C28" s="258">
        <v>0</v>
      </c>
      <c r="D28" s="196" t="str">
        <f t="shared" si="0"/>
        <v/>
      </c>
      <c r="E28" s="258">
        <v>0</v>
      </c>
      <c r="F28" s="196" t="str">
        <f t="shared" si="1"/>
        <v/>
      </c>
      <c r="G28" s="258">
        <v>0</v>
      </c>
      <c r="H28" s="196">
        <f t="shared" si="2"/>
        <v>0</v>
      </c>
      <c r="I28" s="1129">
        <f>G28</f>
        <v>0</v>
      </c>
      <c r="J28" s="196">
        <f t="shared" si="3"/>
        <v>0</v>
      </c>
      <c r="O28" s="1129">
        <f>I28</f>
        <v>0</v>
      </c>
      <c r="P28" s="196">
        <f t="shared" si="4"/>
        <v>0</v>
      </c>
    </row>
    <row r="29" spans="1:16" x14ac:dyDescent="0.25">
      <c r="A29" s="70" t="s">
        <v>287</v>
      </c>
      <c r="B29" s="123"/>
      <c r="C29" s="258">
        <v>0</v>
      </c>
      <c r="D29" s="196" t="str">
        <f t="shared" si="0"/>
        <v/>
      </c>
      <c r="E29" s="258">
        <v>0</v>
      </c>
      <c r="F29" s="196" t="str">
        <f t="shared" si="1"/>
        <v/>
      </c>
      <c r="G29" s="258">
        <v>0</v>
      </c>
      <c r="H29" s="196">
        <f t="shared" si="2"/>
        <v>0</v>
      </c>
      <c r="I29" s="1129">
        <f>G29</f>
        <v>0</v>
      </c>
      <c r="J29" s="196">
        <f t="shared" si="3"/>
        <v>0</v>
      </c>
      <c r="O29" s="1129">
        <f>I29</f>
        <v>0</v>
      </c>
      <c r="P29" s="196">
        <f t="shared" si="4"/>
        <v>0</v>
      </c>
    </row>
    <row r="30" spans="1:16" x14ac:dyDescent="0.25">
      <c r="A30" s="71" t="s">
        <v>288</v>
      </c>
      <c r="B30" s="81">
        <f>SUM(B23:B29)</f>
        <v>0</v>
      </c>
      <c r="C30" s="259">
        <f>SUM(C25:C29)</f>
        <v>0</v>
      </c>
      <c r="D30" s="197" t="str">
        <f t="shared" si="0"/>
        <v/>
      </c>
      <c r="E30" s="259">
        <f>SUM(E25:E29)</f>
        <v>0</v>
      </c>
      <c r="F30" s="197" t="str">
        <f t="shared" si="1"/>
        <v/>
      </c>
      <c r="G30" s="259">
        <f>SUM(G25:G29)</f>
        <v>5356.4000000000005</v>
      </c>
      <c r="H30" s="197">
        <f t="shared" si="2"/>
        <v>0.71042246962533084</v>
      </c>
      <c r="I30" s="259">
        <f>SUM(I25:I29)</f>
        <v>3850.2007407407409</v>
      </c>
      <c r="J30" s="203">
        <f t="shared" si="3"/>
        <v>0.63813298773535254</v>
      </c>
      <c r="O30" s="259">
        <f>SUM(O25:O29)</f>
        <v>3850.2007407407409</v>
      </c>
      <c r="P30" s="203">
        <f t="shared" si="4"/>
        <v>0.63813298773535254</v>
      </c>
    </row>
    <row r="31" spans="1:16" x14ac:dyDescent="0.25">
      <c r="A31" s="177" t="s">
        <v>289</v>
      </c>
      <c r="B31" s="178"/>
      <c r="C31" s="260"/>
      <c r="D31" s="198"/>
      <c r="E31" s="260"/>
      <c r="F31" s="198" t="str">
        <f t="shared" si="1"/>
        <v/>
      </c>
      <c r="G31" s="260"/>
      <c r="H31" s="198">
        <f t="shared" si="2"/>
        <v>0</v>
      </c>
      <c r="I31" s="260"/>
      <c r="J31" s="198">
        <f t="shared" si="3"/>
        <v>0</v>
      </c>
      <c r="O31" s="260"/>
      <c r="P31" s="198">
        <f t="shared" si="4"/>
        <v>0</v>
      </c>
    </row>
    <row r="32" spans="1:16" x14ac:dyDescent="0.25">
      <c r="A32" s="176" t="s">
        <v>290</v>
      </c>
      <c r="B32" s="126"/>
      <c r="C32" s="257">
        <v>0</v>
      </c>
      <c r="D32" s="195" t="str">
        <f t="shared" ref="D32:D37" si="5">IF(ISERROR(C32/$C$42),"",C32/$C$42)</f>
        <v/>
      </c>
      <c r="E32" s="257">
        <v>0</v>
      </c>
      <c r="F32" s="195" t="str">
        <f t="shared" si="1"/>
        <v/>
      </c>
      <c r="G32" s="257">
        <v>0</v>
      </c>
      <c r="H32" s="195">
        <f t="shared" si="2"/>
        <v>0</v>
      </c>
      <c r="I32" s="1129">
        <f t="shared" ref="I32:I38" si="6">G32</f>
        <v>0</v>
      </c>
      <c r="J32" s="195">
        <f t="shared" si="3"/>
        <v>0</v>
      </c>
      <c r="O32" s="1129">
        <f t="shared" ref="O32:O38" si="7">I32</f>
        <v>0</v>
      </c>
      <c r="P32" s="195">
        <f t="shared" si="4"/>
        <v>0</v>
      </c>
    </row>
    <row r="33" spans="1:16" x14ac:dyDescent="0.25">
      <c r="A33" s="70" t="s">
        <v>109</v>
      </c>
      <c r="B33" s="123"/>
      <c r="C33" s="258"/>
      <c r="D33" s="196" t="str">
        <f t="shared" si="5"/>
        <v/>
      </c>
      <c r="E33" s="258"/>
      <c r="F33" s="196" t="str">
        <f t="shared" si="1"/>
        <v/>
      </c>
      <c r="G33" s="258">
        <f>1501.89+75.09</f>
        <v>1576.98</v>
      </c>
      <c r="H33" s="196">
        <f t="shared" si="2"/>
        <v>0.20915578114960684</v>
      </c>
      <c r="I33" s="1129">
        <f t="shared" si="6"/>
        <v>1576.98</v>
      </c>
      <c r="J33" s="196">
        <f t="shared" si="3"/>
        <v>0.2613689588572698</v>
      </c>
      <c r="O33" s="1129">
        <f t="shared" si="7"/>
        <v>1576.98</v>
      </c>
      <c r="P33" s="196">
        <f t="shared" si="4"/>
        <v>0.2613689588572698</v>
      </c>
    </row>
    <row r="34" spans="1:16" ht="26.25" x14ac:dyDescent="0.25">
      <c r="A34" s="70" t="s">
        <v>7815</v>
      </c>
      <c r="B34" s="123"/>
      <c r="C34" s="258"/>
      <c r="D34" s="196" t="str">
        <f t="shared" si="5"/>
        <v/>
      </c>
      <c r="E34" s="258"/>
      <c r="F34" s="196" t="str">
        <f t="shared" si="1"/>
        <v/>
      </c>
      <c r="G34" s="258">
        <v>-75.09</v>
      </c>
      <c r="H34" s="196">
        <f t="shared" si="2"/>
        <v>-9.9592306855660687E-3</v>
      </c>
      <c r="I34" s="1129">
        <f t="shared" si="6"/>
        <v>-75.09</v>
      </c>
      <c r="J34" s="196">
        <f t="shared" si="3"/>
        <v>-1.244543058288145E-2</v>
      </c>
      <c r="O34" s="1129">
        <f t="shared" si="7"/>
        <v>-75.09</v>
      </c>
      <c r="P34" s="196">
        <f t="shared" si="4"/>
        <v>-1.244543058288145E-2</v>
      </c>
    </row>
    <row r="35" spans="1:16" x14ac:dyDescent="0.25">
      <c r="A35" s="70" t="s">
        <v>291</v>
      </c>
      <c r="B35" s="123"/>
      <c r="C35" s="258"/>
      <c r="D35" s="196" t="str">
        <f t="shared" si="5"/>
        <v/>
      </c>
      <c r="E35" s="258"/>
      <c r="F35" s="196" t="str">
        <f t="shared" si="1"/>
        <v/>
      </c>
      <c r="G35" s="258">
        <f>523.33+65.42</f>
        <v>588.75</v>
      </c>
      <c r="H35" s="196">
        <f t="shared" si="2"/>
        <v>7.8086257372846218E-2</v>
      </c>
      <c r="I35" s="1129">
        <f t="shared" si="6"/>
        <v>588.75</v>
      </c>
      <c r="J35" s="196">
        <f t="shared" si="3"/>
        <v>9.7579534634058496E-2</v>
      </c>
      <c r="O35" s="1129">
        <f t="shared" si="7"/>
        <v>588.75</v>
      </c>
      <c r="P35" s="196">
        <f t="shared" si="4"/>
        <v>9.7579534634058496E-2</v>
      </c>
    </row>
    <row r="36" spans="1:16" x14ac:dyDescent="0.25">
      <c r="A36" s="70" t="s">
        <v>780</v>
      </c>
      <c r="B36" s="123"/>
      <c r="C36" s="258"/>
      <c r="D36" s="196" t="str">
        <f t="shared" si="5"/>
        <v/>
      </c>
      <c r="E36" s="258"/>
      <c r="F36" s="196" t="str">
        <f t="shared" si="1"/>
        <v/>
      </c>
      <c r="G36" s="258">
        <v>-65.424999999999997</v>
      </c>
      <c r="H36" s="196">
        <f t="shared" si="2"/>
        <v>-8.6773560740865622E-3</v>
      </c>
      <c r="I36" s="1129">
        <f t="shared" si="6"/>
        <v>-65.424999999999997</v>
      </c>
      <c r="J36" s="196">
        <f t="shared" si="3"/>
        <v>-1.0843551683113847E-2</v>
      </c>
      <c r="O36" s="1129">
        <f t="shared" si="7"/>
        <v>-65.424999999999997</v>
      </c>
      <c r="P36" s="196">
        <f t="shared" si="4"/>
        <v>-1.0843551683113847E-2</v>
      </c>
    </row>
    <row r="37" spans="1:16" x14ac:dyDescent="0.25">
      <c r="A37" s="70" t="s">
        <v>292</v>
      </c>
      <c r="B37" s="123"/>
      <c r="C37" s="258"/>
      <c r="D37" s="196" t="str">
        <f t="shared" si="5"/>
        <v/>
      </c>
      <c r="E37" s="258"/>
      <c r="F37" s="196" t="str">
        <f t="shared" si="1"/>
        <v/>
      </c>
      <c r="G37" s="258">
        <v>168.23721499999999</v>
      </c>
      <c r="H37" s="196">
        <f t="shared" si="2"/>
        <v>2.2313400373980236E-2</v>
      </c>
      <c r="I37" s="1129">
        <f t="shared" si="6"/>
        <v>168.23721499999999</v>
      </c>
      <c r="J37" s="196">
        <f t="shared" si="3"/>
        <v>2.7883667342386488E-2</v>
      </c>
      <c r="O37" s="1129">
        <f t="shared" si="7"/>
        <v>168.23721499999999</v>
      </c>
      <c r="P37" s="196">
        <f t="shared" si="4"/>
        <v>2.7883667342386488E-2</v>
      </c>
    </row>
    <row r="38" spans="1:16" ht="26.25" x14ac:dyDescent="0.25">
      <c r="A38" s="70" t="s">
        <v>781</v>
      </c>
      <c r="B38" s="123"/>
      <c r="C38" s="258">
        <v>0</v>
      </c>
      <c r="D38" s="196" t="str">
        <f>IF(ISERROR(C38/$C$42),"",C38/$C$42)</f>
        <v/>
      </c>
      <c r="E38" s="258">
        <v>0</v>
      </c>
      <c r="F38" s="196" t="str">
        <f t="shared" si="1"/>
        <v/>
      </c>
      <c r="G38" s="258">
        <v>-10.113216</v>
      </c>
      <c r="H38" s="196">
        <f t="shared" si="2"/>
        <v>-1.3413217621115691E-3</v>
      </c>
      <c r="I38" s="1129">
        <f t="shared" si="6"/>
        <v>-10.113216</v>
      </c>
      <c r="J38" s="196">
        <f t="shared" si="3"/>
        <v>-1.6761663030721266E-3</v>
      </c>
      <c r="O38" s="1129">
        <f t="shared" si="7"/>
        <v>-10.113216</v>
      </c>
      <c r="P38" s="196">
        <f t="shared" si="4"/>
        <v>-1.6761663030721266E-3</v>
      </c>
    </row>
    <row r="39" spans="1:16" x14ac:dyDescent="0.25">
      <c r="A39" s="71" t="s">
        <v>293</v>
      </c>
      <c r="B39" s="81">
        <f>SUM(B31:B38)</f>
        <v>0</v>
      </c>
      <c r="C39" s="259">
        <f>SUM(C31:C38)</f>
        <v>0</v>
      </c>
      <c r="D39" s="197" t="str">
        <f>IF(ISERROR(C39/$C$42),"",C39/$C$42)</f>
        <v/>
      </c>
      <c r="E39" s="259">
        <f>SUM(E31:E38)</f>
        <v>0</v>
      </c>
      <c r="F39" s="197" t="str">
        <f t="shared" si="1"/>
        <v/>
      </c>
      <c r="G39" s="259">
        <f>SUM(G31:G38)</f>
        <v>2183.3389990000001</v>
      </c>
      <c r="H39" s="197">
        <f t="shared" si="2"/>
        <v>0.2895775303746691</v>
      </c>
      <c r="I39" s="259">
        <f>SUM(I31:I38)</f>
        <v>2183.3389990000001</v>
      </c>
      <c r="J39" s="203">
        <f t="shared" si="3"/>
        <v>0.36186701226464735</v>
      </c>
      <c r="O39" s="259">
        <f>SUM(O31:O38)</f>
        <v>2183.3389990000001</v>
      </c>
      <c r="P39" s="203">
        <f t="shared" si="4"/>
        <v>0.36186701226464735</v>
      </c>
    </row>
    <row r="40" spans="1:16" x14ac:dyDescent="0.25">
      <c r="A40" s="70" t="s">
        <v>294</v>
      </c>
      <c r="B40" s="123"/>
      <c r="C40" s="258">
        <v>0</v>
      </c>
      <c r="D40" s="196" t="str">
        <f>IF(ISERROR(C40/$C$42),"",C40/$C$42)</f>
        <v/>
      </c>
      <c r="E40" s="258">
        <v>0</v>
      </c>
      <c r="F40" s="196" t="str">
        <f t="shared" si="1"/>
        <v/>
      </c>
      <c r="G40" s="258">
        <v>0</v>
      </c>
      <c r="H40" s="196">
        <f t="shared" si="2"/>
        <v>0</v>
      </c>
      <c r="I40" s="1129">
        <f>G40</f>
        <v>0</v>
      </c>
      <c r="J40" s="196">
        <f t="shared" si="3"/>
        <v>0</v>
      </c>
      <c r="O40" s="1129">
        <f>I40</f>
        <v>0</v>
      </c>
      <c r="P40" s="196">
        <f t="shared" si="4"/>
        <v>0</v>
      </c>
    </row>
    <row r="41" spans="1:16" x14ac:dyDescent="0.25">
      <c r="A41" s="72" t="s">
        <v>136</v>
      </c>
      <c r="B41" s="124"/>
      <c r="C41" s="260">
        <v>0</v>
      </c>
      <c r="D41" s="198" t="str">
        <f>IF(ISERROR(C41/$C$42),"",C41/$C$42)</f>
        <v/>
      </c>
      <c r="E41" s="260">
        <v>0</v>
      </c>
      <c r="F41" s="198" t="str">
        <f>IF(ISERROR(E41/$E$42),"",E41/$E$42)</f>
        <v/>
      </c>
      <c r="G41" s="260">
        <v>0</v>
      </c>
      <c r="H41" s="198">
        <f t="shared" si="2"/>
        <v>0</v>
      </c>
      <c r="I41" s="1129">
        <f>G41</f>
        <v>0</v>
      </c>
      <c r="J41" s="198">
        <f t="shared" si="3"/>
        <v>0</v>
      </c>
      <c r="O41" s="1129">
        <f>I41</f>
        <v>0</v>
      </c>
      <c r="P41" s="198">
        <f t="shared" si="4"/>
        <v>0</v>
      </c>
    </row>
    <row r="42" spans="1:16" x14ac:dyDescent="0.25">
      <c r="A42" s="73" t="s">
        <v>296</v>
      </c>
      <c r="B42" s="82">
        <f>SUM(B30,B39,B40:B41)</f>
        <v>0</v>
      </c>
      <c r="C42" s="252">
        <f>SUM(C30,C39,C40:C41)</f>
        <v>0</v>
      </c>
      <c r="D42" s="199" t="str">
        <f>IF(ISERROR(C42/$C$42),"",C42/$C$42)</f>
        <v/>
      </c>
      <c r="E42" s="252">
        <f>SUM(E30,E39,E40:E41)</f>
        <v>0</v>
      </c>
      <c r="F42" s="199" t="str">
        <f>IF(ISERROR(E42/$E$42),"",E42/$E$42)</f>
        <v/>
      </c>
      <c r="G42" s="252">
        <f>SUM(G30,G39,G40:G41)</f>
        <v>7539.7389990000011</v>
      </c>
      <c r="H42" s="199">
        <f t="shared" si="2"/>
        <v>1</v>
      </c>
      <c r="I42" s="252">
        <f>SUM(I30,I39,I40:I41)</f>
        <v>6033.5397397407414</v>
      </c>
      <c r="J42" s="204">
        <f t="shared" si="3"/>
        <v>1</v>
      </c>
      <c r="O42" s="252">
        <f>SUM(O30,O39,O40:O41)</f>
        <v>6033.5397397407414</v>
      </c>
      <c r="P42" s="204">
        <f t="shared" si="4"/>
        <v>1</v>
      </c>
    </row>
    <row r="43" spans="1:16" x14ac:dyDescent="0.25">
      <c r="A43" s="187" t="s">
        <v>297</v>
      </c>
      <c r="B43" s="188"/>
      <c r="C43" s="253"/>
      <c r="D43" s="200"/>
      <c r="E43" s="253"/>
      <c r="F43" s="200"/>
      <c r="G43" s="253"/>
      <c r="H43" s="200"/>
      <c r="I43" s="253"/>
      <c r="J43" s="200"/>
      <c r="O43" s="253"/>
      <c r="P43" s="200"/>
    </row>
    <row r="44" spans="1:16" x14ac:dyDescent="0.25">
      <c r="A44" s="189" t="s">
        <v>298</v>
      </c>
      <c r="B44" s="190"/>
      <c r="C44" s="261"/>
      <c r="D44" s="201"/>
      <c r="E44" s="261"/>
      <c r="F44" s="201"/>
      <c r="G44" s="261"/>
      <c r="H44" s="201"/>
      <c r="I44" s="1131"/>
      <c r="J44" s="201"/>
      <c r="O44" s="1131"/>
      <c r="P44" s="201"/>
    </row>
    <row r="45" spans="1:16" x14ac:dyDescent="0.25">
      <c r="A45" s="70" t="s">
        <v>305</v>
      </c>
      <c r="B45" s="123"/>
      <c r="C45" s="258"/>
      <c r="D45" s="196" t="str">
        <f t="shared" ref="D45:D50" si="8">IF(ISERROR(C45/$C$63),"",C45/$C$63)</f>
        <v/>
      </c>
      <c r="E45" s="258"/>
      <c r="F45" s="196">
        <f t="shared" ref="F45:F63" si="9">IF(ISERROR(E45/$E$63),"",E45/$E$63)</f>
        <v>0</v>
      </c>
      <c r="G45" s="258">
        <v>0</v>
      </c>
      <c r="H45" s="196">
        <f t="shared" ref="H45:H63" si="10">IF(ISERROR(G45/$G$63),"",G45/$G$63)</f>
        <v>0</v>
      </c>
      <c r="I45" s="1130">
        <f>G45</f>
        <v>0</v>
      </c>
      <c r="J45" s="196">
        <f t="shared" ref="J45:J63" si="11">IF(ISERROR(I45/$I$63),"",I45/$I$63)</f>
        <v>0</v>
      </c>
      <c r="O45" s="1130">
        <v>1000</v>
      </c>
      <c r="P45" s="196">
        <f t="shared" ref="P45:P63" si="12">IF(ISERROR(O45/$I$63),"",O45/$I$63)</f>
        <v>0.16572948468330923</v>
      </c>
    </row>
    <row r="46" spans="1:16" x14ac:dyDescent="0.25">
      <c r="A46" s="70" t="s">
        <v>2965</v>
      </c>
      <c r="B46" s="123"/>
      <c r="C46" s="258"/>
      <c r="D46" s="196" t="str">
        <f t="shared" si="8"/>
        <v/>
      </c>
      <c r="E46" s="258">
        <v>539.226</v>
      </c>
      <c r="F46" s="196">
        <f t="shared" si="9"/>
        <v>2385.9557522123991</v>
      </c>
      <c r="G46" s="258">
        <v>354.54</v>
      </c>
      <c r="H46" s="196">
        <f t="shared" si="10"/>
        <v>4.7025473975006643E-2</v>
      </c>
      <c r="I46" s="258">
        <v>410.33300000000003</v>
      </c>
      <c r="J46" s="196">
        <f t="shared" si="11"/>
        <v>6.8004276638556335E-2</v>
      </c>
      <c r="O46" s="1129">
        <f>I46</f>
        <v>410.33300000000003</v>
      </c>
      <c r="P46" s="196">
        <f t="shared" si="12"/>
        <v>6.8004276638556335E-2</v>
      </c>
    </row>
    <row r="47" spans="1:16" x14ac:dyDescent="0.25">
      <c r="A47" s="176" t="s">
        <v>299</v>
      </c>
      <c r="B47" s="126"/>
      <c r="C47" s="257"/>
      <c r="D47" s="195" t="str">
        <f t="shared" si="8"/>
        <v/>
      </c>
      <c r="E47" s="257"/>
      <c r="F47" s="195">
        <f t="shared" si="9"/>
        <v>0</v>
      </c>
      <c r="G47" s="257">
        <v>937.54</v>
      </c>
      <c r="H47" s="195">
        <f t="shared" si="10"/>
        <v>0.12435342379005958</v>
      </c>
      <c r="I47" s="1130">
        <f>I69/360*30</f>
        <v>421.35839019326068</v>
      </c>
      <c r="J47" s="195">
        <f t="shared" si="11"/>
        <v>6.9831508873717835E-2</v>
      </c>
      <c r="O47" s="1129">
        <f>I47</f>
        <v>421.35839019326068</v>
      </c>
      <c r="P47" s="195">
        <f t="shared" si="12"/>
        <v>6.9831508873717835E-2</v>
      </c>
    </row>
    <row r="48" spans="1:16" x14ac:dyDescent="0.25">
      <c r="A48" s="70" t="s">
        <v>300</v>
      </c>
      <c r="B48" s="123"/>
      <c r="C48" s="258">
        <v>0</v>
      </c>
      <c r="D48" s="196" t="str">
        <f t="shared" si="8"/>
        <v/>
      </c>
      <c r="E48" s="258"/>
      <c r="F48" s="196">
        <f t="shared" si="9"/>
        <v>0</v>
      </c>
      <c r="G48" s="258">
        <v>0</v>
      </c>
      <c r="H48" s="196">
        <f t="shared" si="10"/>
        <v>0</v>
      </c>
      <c r="I48" s="1130">
        <f>G48</f>
        <v>0</v>
      </c>
      <c r="J48" s="196">
        <f t="shared" si="11"/>
        <v>0</v>
      </c>
      <c r="O48" s="1129"/>
      <c r="P48" s="196">
        <f t="shared" si="12"/>
        <v>0</v>
      </c>
    </row>
    <row r="49" spans="1:16" x14ac:dyDescent="0.25">
      <c r="A49" s="70" t="s">
        <v>136</v>
      </c>
      <c r="B49" s="123"/>
      <c r="C49" s="258">
        <v>0</v>
      </c>
      <c r="D49" s="196" t="str">
        <f t="shared" si="8"/>
        <v/>
      </c>
      <c r="E49" s="258"/>
      <c r="F49" s="196">
        <f t="shared" si="9"/>
        <v>0</v>
      </c>
      <c r="G49" s="258">
        <v>0</v>
      </c>
      <c r="H49" s="196">
        <f t="shared" si="10"/>
        <v>0</v>
      </c>
      <c r="I49" s="1130">
        <f>G49</f>
        <v>0</v>
      </c>
      <c r="J49" s="196">
        <f t="shared" si="11"/>
        <v>0</v>
      </c>
      <c r="O49" s="1129"/>
      <c r="P49" s="196">
        <f t="shared" si="12"/>
        <v>0</v>
      </c>
    </row>
    <row r="50" spans="1:16" x14ac:dyDescent="0.25">
      <c r="A50" s="71" t="s">
        <v>302</v>
      </c>
      <c r="B50" s="81">
        <f>SUM(B45:B49)</f>
        <v>0</v>
      </c>
      <c r="C50" s="259">
        <f>SUM(C45:C49)</f>
        <v>0</v>
      </c>
      <c r="D50" s="197" t="str">
        <f t="shared" si="8"/>
        <v/>
      </c>
      <c r="E50" s="259">
        <f>SUM(E45:E49)</f>
        <v>539.226</v>
      </c>
      <c r="F50" s="197">
        <f t="shared" si="9"/>
        <v>2385.9557522123991</v>
      </c>
      <c r="G50" s="259">
        <f>SUM(G45:G49)</f>
        <v>1292.08</v>
      </c>
      <c r="H50" s="197">
        <f t="shared" si="10"/>
        <v>0.17137889776506621</v>
      </c>
      <c r="I50" s="259">
        <f>SUM(I45:I49)</f>
        <v>831.69139019326076</v>
      </c>
      <c r="J50" s="203">
        <f t="shared" si="11"/>
        <v>0.13783578551227418</v>
      </c>
      <c r="O50" s="259">
        <f>SUM(O45:O49)</f>
        <v>1831.6913901932608</v>
      </c>
      <c r="P50" s="203">
        <f t="shared" si="12"/>
        <v>0.30356527019558344</v>
      </c>
    </row>
    <row r="51" spans="1:16" x14ac:dyDescent="0.25">
      <c r="A51" s="193" t="s">
        <v>306</v>
      </c>
      <c r="B51" s="124"/>
      <c r="C51" s="260"/>
      <c r="D51" s="198"/>
      <c r="E51" s="260"/>
      <c r="F51" s="198">
        <f t="shared" si="9"/>
        <v>0</v>
      </c>
      <c r="G51" s="260"/>
      <c r="H51" s="198">
        <f t="shared" si="10"/>
        <v>0</v>
      </c>
      <c r="I51" s="260"/>
      <c r="J51" s="198">
        <f t="shared" si="11"/>
        <v>0</v>
      </c>
      <c r="O51" s="260"/>
      <c r="P51" s="198">
        <f t="shared" si="12"/>
        <v>0</v>
      </c>
    </row>
    <row r="52" spans="1:16" x14ac:dyDescent="0.25">
      <c r="A52" s="176" t="s">
        <v>303</v>
      </c>
      <c r="B52" s="126"/>
      <c r="C52" s="257">
        <v>0</v>
      </c>
      <c r="D52" s="195" t="str">
        <f>IF(ISERROR(C52/$C$63),"",C52/$C$63)</f>
        <v/>
      </c>
      <c r="E52" s="257"/>
      <c r="F52" s="195">
        <f t="shared" si="9"/>
        <v>0</v>
      </c>
      <c r="G52" s="257">
        <v>331.96</v>
      </c>
      <c r="H52" s="195">
        <f t="shared" si="10"/>
        <v>4.403050809709258E-2</v>
      </c>
      <c r="I52" s="1130">
        <f>G52</f>
        <v>331.96</v>
      </c>
      <c r="J52" s="195">
        <f t="shared" si="11"/>
        <v>5.5015559735471328E-2</v>
      </c>
      <c r="O52" s="1129">
        <f>[9]CPLTD!$K$53/1000000</f>
        <v>48.584603800000011</v>
      </c>
      <c r="P52" s="195">
        <f t="shared" si="12"/>
        <v>8.0519013513167502E-3</v>
      </c>
    </row>
    <row r="53" spans="1:16" x14ac:dyDescent="0.25">
      <c r="A53" s="70" t="s">
        <v>304</v>
      </c>
      <c r="B53" s="123"/>
      <c r="C53" s="258">
        <v>0</v>
      </c>
      <c r="D53" s="196" t="str">
        <f>IF(ISERROR(C53/$C$63),"",C53/$C$63)</f>
        <v/>
      </c>
      <c r="E53" s="258">
        <v>0</v>
      </c>
      <c r="F53" s="196">
        <f t="shared" si="9"/>
        <v>0</v>
      </c>
      <c r="G53" s="258">
        <v>0</v>
      </c>
      <c r="H53" s="196">
        <f t="shared" si="10"/>
        <v>0</v>
      </c>
      <c r="I53" s="1130">
        <f>G53</f>
        <v>0</v>
      </c>
      <c r="J53" s="196">
        <f t="shared" si="11"/>
        <v>0</v>
      </c>
      <c r="O53" s="1129">
        <f>I53</f>
        <v>0</v>
      </c>
      <c r="P53" s="196">
        <f t="shared" si="12"/>
        <v>0</v>
      </c>
    </row>
    <row r="54" spans="1:16" x14ac:dyDescent="0.25">
      <c r="A54" s="70" t="s">
        <v>136</v>
      </c>
      <c r="B54" s="123"/>
      <c r="C54" s="258">
        <v>0</v>
      </c>
      <c r="D54" s="196" t="str">
        <f>IF(ISERROR(C54/$C$63),"",C54/$C$63)</f>
        <v/>
      </c>
      <c r="E54" s="258">
        <v>-539</v>
      </c>
      <c r="F54" s="196">
        <f t="shared" si="9"/>
        <v>-2384.9557522123991</v>
      </c>
      <c r="G54" s="258">
        <v>0</v>
      </c>
      <c r="H54" s="196">
        <f t="shared" si="10"/>
        <v>0</v>
      </c>
      <c r="I54" s="1130">
        <v>-1045</v>
      </c>
      <c r="J54" s="196">
        <f t="shared" si="11"/>
        <v>-0.17318731149405814</v>
      </c>
      <c r="O54" s="1129">
        <v>-1762</v>
      </c>
      <c r="P54" s="196">
        <f t="shared" si="12"/>
        <v>-0.29201535201199086</v>
      </c>
    </row>
    <row r="55" spans="1:16" x14ac:dyDescent="0.25">
      <c r="A55" s="71" t="s">
        <v>310</v>
      </c>
      <c r="B55" s="81">
        <f>SUM(B52:B54)</f>
        <v>0</v>
      </c>
      <c r="C55" s="259">
        <f>SUM(C52:C54)</f>
        <v>0</v>
      </c>
      <c r="D55" s="197" t="str">
        <f>IF(ISERROR(C55/$C$63),"",C55/$C$63)</f>
        <v/>
      </c>
      <c r="E55" s="259">
        <f>SUM(E52:E54)</f>
        <v>-539</v>
      </c>
      <c r="F55" s="197">
        <f t="shared" si="9"/>
        <v>-2384.9557522123991</v>
      </c>
      <c r="G55" s="259">
        <f>SUM(G52:G54)</f>
        <v>331.96</v>
      </c>
      <c r="H55" s="197">
        <f t="shared" si="10"/>
        <v>4.403050809709258E-2</v>
      </c>
      <c r="I55" s="259">
        <f>SUM(I52:I54)</f>
        <v>-713.04</v>
      </c>
      <c r="J55" s="203">
        <f t="shared" si="11"/>
        <v>-0.11817175175858681</v>
      </c>
      <c r="O55" s="259">
        <f>SUM(O52:O54)</f>
        <v>-1713.4153962</v>
      </c>
      <c r="P55" s="203">
        <f t="shared" si="12"/>
        <v>-0.28396345066067413</v>
      </c>
    </row>
    <row r="56" spans="1:16" x14ac:dyDescent="0.25">
      <c r="A56" s="192" t="s">
        <v>308</v>
      </c>
      <c r="B56" s="124"/>
      <c r="C56" s="260"/>
      <c r="D56" s="198"/>
      <c r="E56" s="260"/>
      <c r="F56" s="198">
        <f t="shared" si="9"/>
        <v>0</v>
      </c>
      <c r="G56" s="260"/>
      <c r="H56" s="198">
        <f t="shared" si="10"/>
        <v>0</v>
      </c>
      <c r="I56" s="260"/>
      <c r="J56" s="198">
        <f t="shared" si="11"/>
        <v>0</v>
      </c>
      <c r="O56" s="260"/>
      <c r="P56" s="198">
        <f t="shared" si="12"/>
        <v>0</v>
      </c>
    </row>
    <row r="57" spans="1:16" x14ac:dyDescent="0.25">
      <c r="A57" s="191" t="s">
        <v>30</v>
      </c>
      <c r="B57" s="126"/>
      <c r="C57" s="257"/>
      <c r="D57" s="195" t="str">
        <f t="shared" ref="D57:D63" si="13">IF(ISERROR(C57/$C$63),"",C57/$C$63)</f>
        <v/>
      </c>
      <c r="E57" s="257"/>
      <c r="F57" s="195">
        <f t="shared" si="9"/>
        <v>0</v>
      </c>
      <c r="G57" s="257">
        <v>1000</v>
      </c>
      <c r="H57" s="195">
        <f t="shared" si="10"/>
        <v>0.13263799282170316</v>
      </c>
      <c r="I57" s="1130">
        <f>G57</f>
        <v>1000</v>
      </c>
      <c r="J57" s="195">
        <f t="shared" si="11"/>
        <v>0.16572948468330923</v>
      </c>
      <c r="O57" s="1129">
        <f>I57</f>
        <v>1000</v>
      </c>
      <c r="P57" s="195">
        <f t="shared" si="12"/>
        <v>0.16572948468330923</v>
      </c>
    </row>
    <row r="58" spans="1:16" x14ac:dyDescent="0.25">
      <c r="A58" s="70" t="s">
        <v>307</v>
      </c>
      <c r="B58" s="123"/>
      <c r="C58" s="258"/>
      <c r="D58" s="196" t="str">
        <f t="shared" si="13"/>
        <v/>
      </c>
      <c r="E58" s="258"/>
      <c r="F58" s="196">
        <f t="shared" si="9"/>
        <v>0</v>
      </c>
      <c r="G58" s="258">
        <v>0</v>
      </c>
      <c r="H58" s="196">
        <f t="shared" si="10"/>
        <v>0</v>
      </c>
      <c r="I58" s="1130">
        <f>G58</f>
        <v>0</v>
      </c>
      <c r="J58" s="196">
        <f t="shared" si="11"/>
        <v>0</v>
      </c>
      <c r="O58" s="1129">
        <f>I58</f>
        <v>0</v>
      </c>
      <c r="P58" s="196">
        <f t="shared" si="12"/>
        <v>0</v>
      </c>
    </row>
    <row r="59" spans="1:16" x14ac:dyDescent="0.25">
      <c r="A59" s="70" t="s">
        <v>136</v>
      </c>
      <c r="B59" s="123"/>
      <c r="C59" s="258"/>
      <c r="D59" s="196" t="str">
        <f t="shared" si="13"/>
        <v/>
      </c>
      <c r="E59" s="258"/>
      <c r="F59" s="196">
        <f t="shared" si="9"/>
        <v>0</v>
      </c>
      <c r="G59" s="258">
        <v>0</v>
      </c>
      <c r="H59" s="196">
        <f t="shared" si="10"/>
        <v>0</v>
      </c>
      <c r="I59" s="1130">
        <f>G59</f>
        <v>0</v>
      </c>
      <c r="J59" s="196">
        <f t="shared" si="11"/>
        <v>0</v>
      </c>
      <c r="O59" s="1129">
        <f>I59</f>
        <v>0</v>
      </c>
      <c r="P59" s="196">
        <f t="shared" si="12"/>
        <v>0</v>
      </c>
    </row>
    <row r="60" spans="1:16" x14ac:dyDescent="0.25">
      <c r="A60" s="70" t="s">
        <v>31</v>
      </c>
      <c r="B60" s="123"/>
      <c r="C60" s="258"/>
      <c r="D60" s="196" t="str">
        <f t="shared" si="13"/>
        <v/>
      </c>
      <c r="E60" s="618"/>
      <c r="F60" s="196">
        <f t="shared" si="9"/>
        <v>0</v>
      </c>
      <c r="G60" s="618">
        <v>4606.34</v>
      </c>
      <c r="H60" s="196">
        <f t="shared" si="10"/>
        <v>0.61097569185432421</v>
      </c>
      <c r="I60" s="618">
        <f>G60</f>
        <v>4606.34</v>
      </c>
      <c r="J60" s="196">
        <f t="shared" si="11"/>
        <v>0.76340635447611471</v>
      </c>
      <c r="O60" s="1129">
        <f>I60</f>
        <v>4606.34</v>
      </c>
      <c r="P60" s="196">
        <f t="shared" si="12"/>
        <v>0.76340635447611471</v>
      </c>
    </row>
    <row r="61" spans="1:16" x14ac:dyDescent="0.25">
      <c r="A61" s="70" t="s">
        <v>3160</v>
      </c>
      <c r="B61" s="123"/>
      <c r="C61" s="258"/>
      <c r="D61" s="196" t="str">
        <f t="shared" si="13"/>
        <v/>
      </c>
      <c r="E61" s="258"/>
      <c r="F61" s="196">
        <f t="shared" si="9"/>
        <v>0</v>
      </c>
      <c r="G61" s="258">
        <f>G87</f>
        <v>308.93794900000057</v>
      </c>
      <c r="H61" s="196">
        <f t="shared" si="10"/>
        <v>4.0976909461813774E-2</v>
      </c>
      <c r="I61" s="258">
        <f>G61</f>
        <v>308.93794900000057</v>
      </c>
      <c r="J61" s="196">
        <f t="shared" si="11"/>
        <v>5.1200127086888564E-2</v>
      </c>
      <c r="O61" s="1130">
        <f>I61</f>
        <v>308.93794900000057</v>
      </c>
      <c r="P61" s="196">
        <f t="shared" si="12"/>
        <v>5.1200127086888564E-2</v>
      </c>
    </row>
    <row r="62" spans="1:16" x14ac:dyDescent="0.25">
      <c r="A62" s="71" t="s">
        <v>309</v>
      </c>
      <c r="B62" s="81">
        <f>SUM(B57:B61)</f>
        <v>0</v>
      </c>
      <c r="C62" s="259">
        <f>SUM(C57:C61)</f>
        <v>0</v>
      </c>
      <c r="D62" s="197" t="str">
        <f t="shared" si="13"/>
        <v/>
      </c>
      <c r="E62" s="259">
        <f>SUM(E57:E61)</f>
        <v>0</v>
      </c>
      <c r="F62" s="197">
        <f t="shared" si="9"/>
        <v>0</v>
      </c>
      <c r="G62" s="259">
        <f>SUM(G57:G61)</f>
        <v>5915.2779490000012</v>
      </c>
      <c r="H62" s="197">
        <f t="shared" si="10"/>
        <v>0.78459059413784116</v>
      </c>
      <c r="I62" s="259">
        <f>SUM(I57:I61)</f>
        <v>5915.2779490000012</v>
      </c>
      <c r="J62" s="203">
        <f t="shared" si="11"/>
        <v>0.98033596624631258</v>
      </c>
      <c r="O62" s="259">
        <f>SUM(O57:O61)</f>
        <v>5915.2779490000012</v>
      </c>
      <c r="P62" s="203">
        <f t="shared" si="12"/>
        <v>0.98033596624631258</v>
      </c>
    </row>
    <row r="63" spans="1:16" x14ac:dyDescent="0.25">
      <c r="A63" s="73" t="s">
        <v>318</v>
      </c>
      <c r="B63" s="82">
        <f>SUM(B50,B55,B62)</f>
        <v>0</v>
      </c>
      <c r="C63" s="252">
        <f>SUM(C50,C55,C62)</f>
        <v>0</v>
      </c>
      <c r="D63" s="199" t="str">
        <f t="shared" si="13"/>
        <v/>
      </c>
      <c r="E63" s="252">
        <f>SUM(E50,E55,E62)</f>
        <v>0.22599999999999909</v>
      </c>
      <c r="F63" s="199">
        <f t="shared" si="9"/>
        <v>1</v>
      </c>
      <c r="G63" s="252">
        <f>SUM(G50,G55,G62)</f>
        <v>7539.3179490000011</v>
      </c>
      <c r="H63" s="199">
        <f t="shared" si="10"/>
        <v>1</v>
      </c>
      <c r="I63" s="252">
        <f>SUM(I50,I55,I62)</f>
        <v>6033.9293391932624</v>
      </c>
      <c r="J63" s="204">
        <f t="shared" si="11"/>
        <v>1</v>
      </c>
      <c r="O63" s="252">
        <f>SUM(O50,O55,O62)</f>
        <v>6033.5539429932614</v>
      </c>
      <c r="P63" s="204">
        <f t="shared" si="12"/>
        <v>0.99993778578122172</v>
      </c>
    </row>
    <row r="64" spans="1:16" x14ac:dyDescent="0.25">
      <c r="A64" s="75" t="s">
        <v>319</v>
      </c>
      <c r="B64" s="80">
        <f>B42-B63</f>
        <v>0</v>
      </c>
      <c r="C64" s="80">
        <f>C42-C63</f>
        <v>0</v>
      </c>
      <c r="D64" s="1189"/>
      <c r="E64" s="1189">
        <f>E42-E63</f>
        <v>-0.22599999999999909</v>
      </c>
      <c r="F64" s="1189"/>
      <c r="G64" s="1189">
        <f>G42-G63</f>
        <v>0.42104999999992287</v>
      </c>
      <c r="H64" s="1189"/>
      <c r="I64" s="1189">
        <f>I42-I63</f>
        <v>-0.38959945252099715</v>
      </c>
      <c r="J64" s="1189"/>
      <c r="O64" s="1189">
        <f>O42-O63</f>
        <v>-1.4203252520019305E-2</v>
      </c>
      <c r="P64" s="1189"/>
    </row>
    <row r="65" spans="1:16" s="385" customFormat="1" x14ac:dyDescent="0.25">
      <c r="A65" s="831" t="str">
        <f>CONCATENATE("DATA CPLTD"," ",YEAR(C9)-1)</f>
        <v>DATA CPLTD 2015</v>
      </c>
      <c r="B65" s="80"/>
      <c r="C65" s="1198"/>
      <c r="D65" s="1621"/>
      <c r="E65" s="1621"/>
      <c r="F65" s="1621"/>
      <c r="G65" s="1621"/>
      <c r="H65" s="1621"/>
      <c r="I65" s="1621"/>
      <c r="J65" s="1621"/>
      <c r="K65" s="1621"/>
      <c r="L65" s="1621"/>
      <c r="M65" s="1621"/>
      <c r="N65" s="1621"/>
      <c r="O65" s="1621"/>
      <c r="P65" s="1621"/>
    </row>
    <row r="66" spans="1:16" x14ac:dyDescent="0.25">
      <c r="A66" s="1627" t="s">
        <v>311</v>
      </c>
      <c r="B66" s="1627"/>
      <c r="C66" s="1627"/>
      <c r="D66" s="1627"/>
      <c r="E66" s="1627"/>
      <c r="F66" s="1627"/>
      <c r="G66" s="1627"/>
      <c r="H66" s="1627"/>
      <c r="I66" s="1627"/>
      <c r="J66" s="1627"/>
      <c r="K66" s="1627"/>
      <c r="L66" s="1627"/>
      <c r="M66" s="1627"/>
      <c r="N66" s="1627"/>
      <c r="O66" s="1627"/>
      <c r="P66" s="1627"/>
    </row>
    <row r="67" spans="1:16" s="385" customFormat="1" x14ac:dyDescent="0.25">
      <c r="A67" s="1190"/>
      <c r="B67" s="1191"/>
      <c r="C67" s="1615">
        <f>C9</f>
        <v>42734</v>
      </c>
      <c r="D67" s="1616"/>
      <c r="E67" s="1615">
        <f>E9</f>
        <v>43099</v>
      </c>
      <c r="F67" s="1616"/>
      <c r="G67" s="1635" t="s">
        <v>8203</v>
      </c>
      <c r="H67" s="1616"/>
      <c r="I67" s="1635" t="s">
        <v>8203</v>
      </c>
      <c r="J67" s="1616"/>
      <c r="K67" s="1615"/>
      <c r="L67" s="1616"/>
      <c r="M67" s="1615"/>
      <c r="N67" s="1616"/>
      <c r="O67" s="1635" t="s">
        <v>8203</v>
      </c>
      <c r="P67" s="1616"/>
    </row>
    <row r="68" spans="1:16" x14ac:dyDescent="0.25">
      <c r="A68" s="83" t="s">
        <v>312</v>
      </c>
      <c r="B68" s="125"/>
      <c r="C68" s="262"/>
      <c r="D68" s="469" t="str">
        <f>IF(ISERROR(C68/$C$68),"",C68/$C$68)</f>
        <v/>
      </c>
      <c r="E68" s="262"/>
      <c r="F68" s="469" t="str">
        <f>IF(ISERROR(E68/$E$68),"",E68/$E$68)</f>
        <v/>
      </c>
      <c r="G68" s="262">
        <v>18762.97</v>
      </c>
      <c r="H68" s="469">
        <f>IF(ISERROR(G68/$G$68),"",G68/$G$68)</f>
        <v>1</v>
      </c>
      <c r="I68" s="1076">
        <f>MIN(((100%/(1-I8))*(('Analisa Rek Koran'!O18*12)+('Analisa Rek Koran'!O22*12))),(('Analisa Lap Keu'!G68/MONTH('Analisa Lap Keu'!G67))*12))</f>
        <v>7223.2888888888892</v>
      </c>
      <c r="J68" s="469">
        <f>IF(ISERROR(I68/$I$68),"",I68/$I$68)</f>
        <v>1</v>
      </c>
      <c r="O68" s="1076">
        <f>I68</f>
        <v>7223.2888888888892</v>
      </c>
      <c r="P68" s="469">
        <f t="shared" ref="P68:P85" si="14">IF(ISERROR(O68/$O$68),"",O68/$O$68)</f>
        <v>1</v>
      </c>
    </row>
    <row r="69" spans="1:16" x14ac:dyDescent="0.25">
      <c r="A69" s="70" t="s">
        <v>2928</v>
      </c>
      <c r="B69" s="123"/>
      <c r="C69" s="258"/>
      <c r="D69" s="470" t="str">
        <f t="shared" ref="D69:D78" si="15">IF(ISERROR(C69/$C$68),"",C69/$C$68)</f>
        <v/>
      </c>
      <c r="E69" s="258"/>
      <c r="F69" s="470" t="str">
        <f t="shared" ref="F69:F78" si="16">IF(ISERROR(E69/$E$68),"",E69/$E$68)</f>
        <v/>
      </c>
      <c r="G69" s="258">
        <v>13134.075000000001</v>
      </c>
      <c r="H69" s="470">
        <f t="shared" ref="H69:H78" si="17">IF(ISERROR(G69/$G$68),"",G69/$G$68)</f>
        <v>0.69999978681413444</v>
      </c>
      <c r="I69" s="1075">
        <f>IFERROR($I$68*H69,0)</f>
        <v>5056.3006823191281</v>
      </c>
      <c r="J69" s="470">
        <f t="shared" ref="J69:J78" si="18">IF(ISERROR(I69/$I$68),"",I69/$I$68)</f>
        <v>0.69999978681413444</v>
      </c>
      <c r="O69" s="1075">
        <f>I69</f>
        <v>5056.3006823191281</v>
      </c>
      <c r="P69" s="1234">
        <f t="shared" si="14"/>
        <v>0.69999978681413444</v>
      </c>
    </row>
    <row r="70" spans="1:16" x14ac:dyDescent="0.25">
      <c r="A70" s="70" t="s">
        <v>8042</v>
      </c>
      <c r="B70" s="123"/>
      <c r="C70" s="258">
        <v>0</v>
      </c>
      <c r="D70" s="470" t="str">
        <f>IF(ISERROR(C70/$C$68),"",C70/$C$68)</f>
        <v/>
      </c>
      <c r="E70" s="258"/>
      <c r="F70" s="470" t="str">
        <f>IF(ISERROR(E70/$E$68),"",E70/$E$68)</f>
        <v/>
      </c>
      <c r="G70" s="258">
        <v>0</v>
      </c>
      <c r="H70" s="470">
        <f t="shared" si="17"/>
        <v>0</v>
      </c>
      <c r="I70" s="1075">
        <f>IFERROR($I$68*H70,0)</f>
        <v>0</v>
      </c>
      <c r="J70" s="470">
        <f>IF(ISERROR(I70/$I$68),"",I70/$I$68)</f>
        <v>0</v>
      </c>
      <c r="O70" s="1075">
        <f>I70</f>
        <v>0</v>
      </c>
      <c r="P70" s="470">
        <f t="shared" si="14"/>
        <v>0</v>
      </c>
    </row>
    <row r="71" spans="1:16" x14ac:dyDescent="0.25">
      <c r="A71" s="71" t="s">
        <v>32</v>
      </c>
      <c r="B71" s="81">
        <f>B68-B69</f>
        <v>0</v>
      </c>
      <c r="C71" s="259">
        <f>C68-SUM(C69:C70)</f>
        <v>0</v>
      </c>
      <c r="D71" s="471" t="str">
        <f t="shared" si="15"/>
        <v/>
      </c>
      <c r="E71" s="259">
        <f>E68-SUM(E69:E70)</f>
        <v>0</v>
      </c>
      <c r="F71" s="471" t="str">
        <f t="shared" si="16"/>
        <v/>
      </c>
      <c r="G71" s="259">
        <f>G68-SUM(G69:G70)</f>
        <v>5628.8950000000004</v>
      </c>
      <c r="H71" s="471">
        <f t="shared" si="17"/>
        <v>0.30000021318586556</v>
      </c>
      <c r="I71" s="1077">
        <f>I68-SUM(I69:I70)</f>
        <v>2166.9882065697611</v>
      </c>
      <c r="J71" s="471">
        <f>IF(ISERROR(I71/$I$68),"",I71/$I$68)</f>
        <v>0.30000021318586562</v>
      </c>
      <c r="O71" s="1077">
        <f>O68-SUM(O69:O70)</f>
        <v>2166.9882065697611</v>
      </c>
      <c r="P71" s="471">
        <f t="shared" si="14"/>
        <v>0.30000021318586562</v>
      </c>
    </row>
    <row r="72" spans="1:16" x14ac:dyDescent="0.25">
      <c r="A72" s="70" t="s">
        <v>313</v>
      </c>
      <c r="B72" s="123"/>
      <c r="C72" s="258"/>
      <c r="D72" s="470" t="str">
        <f t="shared" si="15"/>
        <v/>
      </c>
      <c r="E72" s="258"/>
      <c r="F72" s="470" t="str">
        <f t="shared" si="16"/>
        <v/>
      </c>
      <c r="G72" s="258">
        <v>1441.51</v>
      </c>
      <c r="H72" s="470">
        <f t="shared" si="17"/>
        <v>7.6827389267264179E-2</v>
      </c>
      <c r="I72" s="1075">
        <f>IFERROR($I$68*H72,0)</f>
        <v>554.94642725657081</v>
      </c>
      <c r="J72" s="470">
        <f t="shared" si="18"/>
        <v>7.6827389267264179E-2</v>
      </c>
      <c r="O72" s="1075">
        <f>I72</f>
        <v>554.94642725657081</v>
      </c>
      <c r="P72" s="470">
        <f t="shared" si="14"/>
        <v>7.6827389267264179E-2</v>
      </c>
    </row>
    <row r="73" spans="1:16" x14ac:dyDescent="0.25">
      <c r="A73" s="70" t="s">
        <v>2897</v>
      </c>
      <c r="B73" s="123"/>
      <c r="C73" s="258">
        <v>0</v>
      </c>
      <c r="D73" s="470" t="str">
        <f>IF(ISERROR(C73/$C$68),"",C73/$C$68)</f>
        <v/>
      </c>
      <c r="E73" s="258">
        <v>0</v>
      </c>
      <c r="F73" s="470" t="str">
        <f>IF(ISERROR(E73/$E$68),"",E73/$E$68)</f>
        <v/>
      </c>
      <c r="G73" s="258">
        <v>0</v>
      </c>
      <c r="H73" s="470">
        <f t="shared" si="17"/>
        <v>0</v>
      </c>
      <c r="I73" s="1075">
        <f>G73</f>
        <v>0</v>
      </c>
      <c r="J73" s="470">
        <f>IF(ISERROR(I73/$I$68),"",I73/$I$68)</f>
        <v>0</v>
      </c>
      <c r="O73" s="1075">
        <f>I73</f>
        <v>0</v>
      </c>
      <c r="P73" s="470">
        <f t="shared" si="14"/>
        <v>0</v>
      </c>
    </row>
    <row r="74" spans="1:16" s="1142" customFormat="1" x14ac:dyDescent="0.25">
      <c r="A74" s="70" t="s">
        <v>2927</v>
      </c>
      <c r="B74" s="1126"/>
      <c r="C74" s="1130">
        <v>0</v>
      </c>
      <c r="D74" s="470" t="str">
        <f>IF(ISERROR(C74/$C$68),"",C74/$C$68)</f>
        <v/>
      </c>
      <c r="E74" s="1130">
        <v>0</v>
      </c>
      <c r="F74" s="470" t="str">
        <f>IF(ISERROR(E74/$E$68),"",E74/$E$68)</f>
        <v/>
      </c>
      <c r="G74" s="1130">
        <v>0</v>
      </c>
      <c r="H74" s="470">
        <f t="shared" si="17"/>
        <v>0</v>
      </c>
      <c r="I74" s="1075">
        <f>IFERROR($I$68*H74,0)</f>
        <v>0</v>
      </c>
      <c r="J74" s="470">
        <f>IF(ISERROR(I74/$I$68),"",I74/$I$68)</f>
        <v>0</v>
      </c>
      <c r="O74" s="1075">
        <f>I74</f>
        <v>0</v>
      </c>
      <c r="P74" s="470">
        <f t="shared" si="14"/>
        <v>0</v>
      </c>
    </row>
    <row r="75" spans="1:16" ht="26.25" x14ac:dyDescent="0.25">
      <c r="A75" s="70" t="s">
        <v>2898</v>
      </c>
      <c r="B75" s="123"/>
      <c r="C75" s="258">
        <v>0</v>
      </c>
      <c r="D75" s="470" t="str">
        <f>IF(ISERROR(C75/$C$68),"",C75/$C$68)</f>
        <v/>
      </c>
      <c r="E75" s="258">
        <v>0</v>
      </c>
      <c r="F75" s="470" t="str">
        <f t="shared" si="16"/>
        <v/>
      </c>
      <c r="G75" s="258">
        <v>0</v>
      </c>
      <c r="H75" s="470">
        <f t="shared" si="17"/>
        <v>0</v>
      </c>
      <c r="I75" s="1075">
        <f>IFERROR($I$68*H75,0)</f>
        <v>0</v>
      </c>
      <c r="J75" s="470">
        <f t="shared" si="18"/>
        <v>0</v>
      </c>
      <c r="O75" s="1075">
        <f>I75</f>
        <v>0</v>
      </c>
      <c r="P75" s="470">
        <f t="shared" si="14"/>
        <v>0</v>
      </c>
    </row>
    <row r="76" spans="1:16" x14ac:dyDescent="0.25">
      <c r="A76" s="70" t="s">
        <v>314</v>
      </c>
      <c r="B76" s="123"/>
      <c r="C76" s="258">
        <v>0</v>
      </c>
      <c r="D76" s="470" t="str">
        <f t="shared" si="15"/>
        <v/>
      </c>
      <c r="E76" s="258">
        <v>0</v>
      </c>
      <c r="F76" s="470" t="str">
        <f t="shared" si="16"/>
        <v/>
      </c>
      <c r="G76" s="258">
        <v>0</v>
      </c>
      <c r="H76" s="470">
        <f t="shared" si="17"/>
        <v>0</v>
      </c>
      <c r="I76" s="1075">
        <f>IFERROR($I$68*H76,0)</f>
        <v>0</v>
      </c>
      <c r="J76" s="470">
        <f t="shared" si="18"/>
        <v>0</v>
      </c>
      <c r="O76" s="1075">
        <f>I76</f>
        <v>0</v>
      </c>
      <c r="P76" s="470">
        <f t="shared" si="14"/>
        <v>0</v>
      </c>
    </row>
    <row r="77" spans="1:16" x14ac:dyDescent="0.25">
      <c r="A77" s="71" t="s">
        <v>751</v>
      </c>
      <c r="B77" s="81">
        <f>SUM(B72:B76)</f>
        <v>0</v>
      </c>
      <c r="C77" s="259">
        <f>SUM(C72:C76)</f>
        <v>0</v>
      </c>
      <c r="D77" s="471" t="str">
        <f t="shared" si="15"/>
        <v/>
      </c>
      <c r="E77" s="259">
        <f>SUM(E72:E76)</f>
        <v>0</v>
      </c>
      <c r="F77" s="471" t="str">
        <f t="shared" si="16"/>
        <v/>
      </c>
      <c r="G77" s="259">
        <f>SUM(G72:G76)</f>
        <v>1441.51</v>
      </c>
      <c r="H77" s="471">
        <f t="shared" si="17"/>
        <v>7.6827389267264179E-2</v>
      </c>
      <c r="I77" s="1077">
        <f>SUM(I72:I76)</f>
        <v>554.94642725657081</v>
      </c>
      <c r="J77" s="471">
        <f t="shared" si="18"/>
        <v>7.6827389267264179E-2</v>
      </c>
      <c r="O77" s="1077">
        <f>SUM(O72:O76)</f>
        <v>554.94642725657081</v>
      </c>
      <c r="P77" s="471">
        <f t="shared" si="14"/>
        <v>7.6827389267264179E-2</v>
      </c>
    </row>
    <row r="78" spans="1:16" x14ac:dyDescent="0.25">
      <c r="A78" s="71" t="s">
        <v>315</v>
      </c>
      <c r="B78" s="81">
        <f>B71-B77</f>
        <v>0</v>
      </c>
      <c r="C78" s="259">
        <f>C71-C77</f>
        <v>0</v>
      </c>
      <c r="D78" s="471" t="str">
        <f t="shared" si="15"/>
        <v/>
      </c>
      <c r="E78" s="259">
        <f>E71-E77</f>
        <v>0</v>
      </c>
      <c r="F78" s="471" t="str">
        <f t="shared" si="16"/>
        <v/>
      </c>
      <c r="G78" s="259">
        <f>G71-G77</f>
        <v>4187.3850000000002</v>
      </c>
      <c r="H78" s="471">
        <f t="shared" si="17"/>
        <v>0.22317282391860138</v>
      </c>
      <c r="I78" s="1077">
        <f>I71-I77</f>
        <v>1612.0417793131903</v>
      </c>
      <c r="J78" s="471">
        <f t="shared" si="18"/>
        <v>0.22317282391860144</v>
      </c>
      <c r="O78" s="1077">
        <f>O71-O77</f>
        <v>1612.0417793131903</v>
      </c>
      <c r="P78" s="471">
        <f t="shared" si="14"/>
        <v>0.22317282391860144</v>
      </c>
    </row>
    <row r="79" spans="1:16" x14ac:dyDescent="0.25">
      <c r="A79" s="70" t="s">
        <v>2966</v>
      </c>
      <c r="B79" s="123"/>
      <c r="C79" s="258"/>
      <c r="D79" s="470" t="str">
        <f t="shared" ref="D79:D87" si="19">IF(ISERROR(C79/$C$68),"",C79/$C$68)</f>
        <v/>
      </c>
      <c r="E79" s="258"/>
      <c r="F79" s="470" t="str">
        <f t="shared" ref="F79:F85" si="20">IF(ISERROR(E79/$E$68),"",E79/$E$68)</f>
        <v/>
      </c>
      <c r="G79" s="258">
        <v>552.89705100000003</v>
      </c>
      <c r="H79" s="470">
        <f t="shared" ref="H79:H85" si="21">IF(ISERROR(G79/$G$68),"",G79/$G$68)</f>
        <v>2.9467459096294456E-2</v>
      </c>
      <c r="I79" s="1075">
        <v>374.59</v>
      </c>
      <c r="J79" s="470">
        <f t="shared" ref="J79:J84" si="22">IF(ISERROR(I79/$I$68),"",I79/$I$68)</f>
        <v>5.185864856882675E-2</v>
      </c>
      <c r="O79" s="1075">
        <f>I79</f>
        <v>374.59</v>
      </c>
      <c r="P79" s="470">
        <f t="shared" si="14"/>
        <v>5.185864856882675E-2</v>
      </c>
    </row>
    <row r="80" spans="1:16" x14ac:dyDescent="0.25">
      <c r="A80" s="70" t="s">
        <v>2959</v>
      </c>
      <c r="B80" s="123"/>
      <c r="C80" s="258"/>
      <c r="D80" s="470" t="str">
        <f t="shared" si="19"/>
        <v/>
      </c>
      <c r="E80" s="258">
        <v>0</v>
      </c>
      <c r="F80" s="470" t="str">
        <f t="shared" si="20"/>
        <v/>
      </c>
      <c r="G80" s="258">
        <v>0</v>
      </c>
      <c r="H80" s="470">
        <f t="shared" si="21"/>
        <v>0</v>
      </c>
      <c r="I80" s="1075">
        <f>IFERROR($I$68*H80,0)</f>
        <v>0</v>
      </c>
      <c r="J80" s="470">
        <f t="shared" si="22"/>
        <v>0</v>
      </c>
      <c r="O80" s="1075">
        <f>I80</f>
        <v>0</v>
      </c>
      <c r="P80" s="470">
        <f t="shared" si="14"/>
        <v>0</v>
      </c>
    </row>
    <row r="81" spans="1:17" x14ac:dyDescent="0.25">
      <c r="A81" s="70" t="s">
        <v>2960</v>
      </c>
      <c r="B81" s="123"/>
      <c r="C81" s="258">
        <v>0</v>
      </c>
      <c r="D81" s="470" t="str">
        <f t="shared" si="19"/>
        <v/>
      </c>
      <c r="E81" s="258">
        <v>0</v>
      </c>
      <c r="F81" s="470" t="str">
        <f t="shared" si="20"/>
        <v/>
      </c>
      <c r="G81" s="258">
        <v>0</v>
      </c>
      <c r="H81" s="470">
        <f t="shared" si="21"/>
        <v>0</v>
      </c>
      <c r="I81" s="1075">
        <f>IFERROR($I$68*H81,0)</f>
        <v>0</v>
      </c>
      <c r="J81" s="470">
        <f t="shared" si="22"/>
        <v>0</v>
      </c>
      <c r="O81" s="1075">
        <f>I81</f>
        <v>0</v>
      </c>
      <c r="P81" s="470">
        <f t="shared" si="14"/>
        <v>0</v>
      </c>
    </row>
    <row r="82" spans="1:17" x14ac:dyDescent="0.25">
      <c r="A82" s="71" t="s">
        <v>2961</v>
      </c>
      <c r="B82" s="81">
        <f>B78-B81+B80</f>
        <v>0</v>
      </c>
      <c r="C82" s="259">
        <f>C78+C80-C79-C81</f>
        <v>0</v>
      </c>
      <c r="D82" s="471" t="str">
        <f t="shared" si="19"/>
        <v/>
      </c>
      <c r="E82" s="259">
        <f>E78+E80-E79-E81</f>
        <v>0</v>
      </c>
      <c r="F82" s="471" t="str">
        <f t="shared" si="20"/>
        <v/>
      </c>
      <c r="G82" s="259">
        <f>G78+G80-G79-G81</f>
        <v>3634.4879490000003</v>
      </c>
      <c r="H82" s="471">
        <f t="shared" si="21"/>
        <v>0.19370536482230691</v>
      </c>
      <c r="I82" s="259">
        <f>I78+I80-I79-I81</f>
        <v>1237.4517793131904</v>
      </c>
      <c r="J82" s="471">
        <f t="shared" si="22"/>
        <v>0.17131417534977469</v>
      </c>
      <c r="O82" s="259">
        <f>O78+O80-O79-O81</f>
        <v>1237.4517793131904</v>
      </c>
      <c r="P82" s="471">
        <f t="shared" si="14"/>
        <v>0.17131417534977469</v>
      </c>
    </row>
    <row r="83" spans="1:17" x14ac:dyDescent="0.25">
      <c r="A83" s="72" t="s">
        <v>316</v>
      </c>
      <c r="B83" s="124"/>
      <c r="C83" s="260">
        <v>0</v>
      </c>
      <c r="D83" s="1228" t="str">
        <f t="shared" si="19"/>
        <v/>
      </c>
      <c r="E83" s="260">
        <v>0</v>
      </c>
      <c r="F83" s="1228" t="str">
        <f t="shared" si="20"/>
        <v/>
      </c>
      <c r="G83" s="260">
        <v>0</v>
      </c>
      <c r="H83" s="1228">
        <f t="shared" si="21"/>
        <v>0</v>
      </c>
      <c r="I83" s="1229">
        <f>IFERROR($I$68*H83,0)</f>
        <v>0</v>
      </c>
      <c r="J83" s="1228">
        <f t="shared" si="22"/>
        <v>0</v>
      </c>
      <c r="O83" s="1229">
        <f>I83</f>
        <v>0</v>
      </c>
      <c r="P83" s="1228">
        <f t="shared" si="14"/>
        <v>0</v>
      </c>
    </row>
    <row r="84" spans="1:17" x14ac:dyDescent="0.25">
      <c r="A84" s="1235" t="s">
        <v>317</v>
      </c>
      <c r="B84" s="1126"/>
      <c r="C84" s="1130">
        <v>0</v>
      </c>
      <c r="D84" s="470" t="str">
        <f t="shared" si="19"/>
        <v/>
      </c>
      <c r="E84" s="1130">
        <v>0</v>
      </c>
      <c r="F84" s="470" t="str">
        <f t="shared" si="20"/>
        <v/>
      </c>
      <c r="G84" s="1130">
        <v>0</v>
      </c>
      <c r="H84" s="470">
        <f t="shared" si="21"/>
        <v>0</v>
      </c>
      <c r="I84" s="1075">
        <f>IFERROR($I$68*H84,0)</f>
        <v>0</v>
      </c>
      <c r="J84" s="470">
        <f t="shared" si="22"/>
        <v>0</v>
      </c>
      <c r="K84" s="1236"/>
      <c r="L84" s="1236"/>
      <c r="M84" s="1236"/>
      <c r="N84" s="1236"/>
      <c r="O84" s="1075">
        <f>I84</f>
        <v>0</v>
      </c>
      <c r="P84" s="1237">
        <f t="shared" si="14"/>
        <v>0</v>
      </c>
      <c r="Q84" s="1238"/>
    </row>
    <row r="85" spans="1:17" x14ac:dyDescent="0.25">
      <c r="A85" s="1230" t="s">
        <v>2962</v>
      </c>
      <c r="B85" s="1231">
        <f>B82-B79</f>
        <v>0</v>
      </c>
      <c r="C85" s="1232">
        <f>C82-C83-C84</f>
        <v>0</v>
      </c>
      <c r="D85" s="1233" t="str">
        <f t="shared" si="19"/>
        <v/>
      </c>
      <c r="E85" s="1232">
        <f>E82-E83-E84</f>
        <v>0</v>
      </c>
      <c r="F85" s="1233" t="str">
        <f t="shared" si="20"/>
        <v/>
      </c>
      <c r="G85" s="1232">
        <f>G82-G83-G84</f>
        <v>3634.4879490000003</v>
      </c>
      <c r="H85" s="1233">
        <f t="shared" si="21"/>
        <v>0.19370536482230691</v>
      </c>
      <c r="I85" s="1232">
        <f>I82-I83-I84</f>
        <v>1237.4517793131904</v>
      </c>
      <c r="J85" s="1233">
        <f>IF(ISERROR(I85/$I$68),"",I85/$I$68)</f>
        <v>0.17131417534977469</v>
      </c>
      <c r="K85" s="377"/>
      <c r="L85" s="377"/>
      <c r="M85" s="377"/>
      <c r="N85" s="377"/>
      <c r="O85" s="1232">
        <f>O82-O83-O84</f>
        <v>1237.4517793131904</v>
      </c>
      <c r="P85" s="1233">
        <f t="shared" si="14"/>
        <v>0.17131417534977469</v>
      </c>
    </row>
    <row r="86" spans="1:17" x14ac:dyDescent="0.25">
      <c r="A86" s="84" t="s">
        <v>2963</v>
      </c>
      <c r="B86" s="127"/>
      <c r="C86" s="263"/>
      <c r="D86" s="472" t="str">
        <f>IF(ISERROR(C86/$C$68),"",C86/$C$68)</f>
        <v/>
      </c>
      <c r="E86" s="263"/>
      <c r="F86" s="472" t="str">
        <f>IF(ISERROR(E86/$C$68),"",E86/$C$68)</f>
        <v/>
      </c>
      <c r="G86" s="263">
        <f>3402.95-77.4</f>
        <v>3325.5499999999997</v>
      </c>
      <c r="H86" s="472" t="str">
        <f>IF(ISERROR(G86/$C$68),"",G86/$C$68)</f>
        <v/>
      </c>
      <c r="I86" s="1075"/>
      <c r="J86" s="472" t="str">
        <f>IF(ISERROR(I86/$C$68),"",I86/$C$68)</f>
        <v/>
      </c>
      <c r="O86" s="1075">
        <f>I86</f>
        <v>0</v>
      </c>
      <c r="P86" s="472" t="str">
        <f>IF(ISERROR(O86/$C$68),"",O86/$C$68)</f>
        <v/>
      </c>
    </row>
    <row r="87" spans="1:17" x14ac:dyDescent="0.25">
      <c r="A87" s="73" t="s">
        <v>2964</v>
      </c>
      <c r="B87" s="82">
        <f>B85-SUM(B83:B84)</f>
        <v>0</v>
      </c>
      <c r="C87" s="252">
        <f>C85-C86</f>
        <v>0</v>
      </c>
      <c r="D87" s="473" t="str">
        <f t="shared" si="19"/>
        <v/>
      </c>
      <c r="E87" s="252">
        <f>E85-E86</f>
        <v>0</v>
      </c>
      <c r="F87" s="473" t="str">
        <f>IF(ISERROR(E87/$E$68),"",E87/$E$68)</f>
        <v/>
      </c>
      <c r="G87" s="252">
        <f>G85-G86</f>
        <v>308.93794900000057</v>
      </c>
      <c r="H87" s="473">
        <f>IF(ISERROR(G87/$G$68),"",G87/$G$68)</f>
        <v>1.6465301015777381E-2</v>
      </c>
      <c r="I87" s="252">
        <f>I85-I86</f>
        <v>1237.4517793131904</v>
      </c>
      <c r="J87" s="473">
        <f>IF(ISERROR(I87/$I$68),"",I87/$I$68)</f>
        <v>0.17131417534977469</v>
      </c>
      <c r="O87" s="252">
        <f>O85-O86</f>
        <v>1237.4517793131904</v>
      </c>
      <c r="P87" s="473">
        <f>IF(ISERROR(O87/$O$68),"",O87/$O$68)</f>
        <v>0.17131417534977469</v>
      </c>
    </row>
    <row r="88" spans="1:17" ht="5.0999999999999996" customHeight="1" x14ac:dyDescent="0.25">
      <c r="A88" s="208"/>
      <c r="B88" s="209"/>
      <c r="C88" s="209"/>
      <c r="D88" s="210"/>
      <c r="E88" s="209"/>
      <c r="F88" s="210"/>
      <c r="G88" s="209"/>
      <c r="H88" s="210"/>
      <c r="I88" s="209"/>
      <c r="J88" s="211"/>
      <c r="O88" s="1110"/>
      <c r="P88" s="1110"/>
    </row>
    <row r="89" spans="1:17" ht="15" customHeight="1" x14ac:dyDescent="0.25">
      <c r="A89" s="1627" t="s">
        <v>2968</v>
      </c>
      <c r="B89" s="1627"/>
      <c r="C89" s="1627"/>
      <c r="D89" s="1627"/>
      <c r="E89" s="1627"/>
      <c r="F89" s="1627"/>
      <c r="G89" s="1627"/>
      <c r="H89" s="1627"/>
      <c r="I89" s="1627"/>
      <c r="J89" s="1627"/>
      <c r="K89" s="1627"/>
      <c r="L89" s="1627"/>
      <c r="M89" s="1627"/>
      <c r="N89" s="1627"/>
      <c r="O89" s="1627"/>
      <c r="P89" s="1627"/>
    </row>
    <row r="90" spans="1:17" ht="5.0999999999999996" customHeight="1" x14ac:dyDescent="0.25">
      <c r="A90" s="291"/>
      <c r="B90" s="291"/>
      <c r="C90" s="291"/>
      <c r="D90" s="291"/>
      <c r="E90" s="291"/>
      <c r="F90" s="291"/>
      <c r="G90" s="291"/>
      <c r="H90" s="291"/>
      <c r="I90" s="291"/>
      <c r="J90" s="291"/>
      <c r="O90" s="1110"/>
      <c r="P90" s="1110"/>
    </row>
    <row r="91" spans="1:17" ht="15" customHeight="1" x14ac:dyDescent="0.25">
      <c r="A91" s="294" t="s">
        <v>2967</v>
      </c>
      <c r="B91" s="291"/>
      <c r="C91" s="291"/>
      <c r="D91" s="291"/>
      <c r="E91" s="291"/>
      <c r="F91" s="291"/>
      <c r="G91" s="291"/>
      <c r="H91" s="291"/>
      <c r="I91" s="291"/>
      <c r="J91" s="291"/>
      <c r="O91" s="1110"/>
      <c r="P91" s="1110"/>
    </row>
    <row r="92" spans="1:17" ht="5.0999999999999996" customHeight="1" x14ac:dyDescent="0.25">
      <c r="A92" s="291"/>
      <c r="B92" s="291"/>
      <c r="C92" s="291"/>
      <c r="D92" s="291"/>
      <c r="E92" s="306"/>
      <c r="F92" s="291"/>
      <c r="G92" s="291"/>
      <c r="H92" s="291"/>
      <c r="I92" s="291"/>
      <c r="J92" s="291"/>
      <c r="O92" s="1110"/>
      <c r="P92" s="1110"/>
    </row>
    <row r="93" spans="1:17" x14ac:dyDescent="0.25">
      <c r="A93" s="1637" t="s">
        <v>28</v>
      </c>
      <c r="B93" s="1637"/>
      <c r="C93" s="10"/>
      <c r="D93" s="10"/>
      <c r="E93" s="205">
        <f>IF(SUM(N97)&lt;&gt;0,N93,IF(SUM(M97)&lt;&gt;0,M93,IF(SUM(L97)&lt;&gt;0,L93,IF(SUM(K97)&lt;&gt;0,K93,I93))))</f>
        <v>601.94074074074081</v>
      </c>
      <c r="F93" s="103"/>
      <c r="G93" s="10"/>
      <c r="H93" s="10"/>
      <c r="I93" s="10">
        <f>B26</f>
        <v>0</v>
      </c>
      <c r="J93" s="10"/>
      <c r="K93" s="362">
        <f>C26</f>
        <v>0</v>
      </c>
      <c r="L93" s="362">
        <f>E26</f>
        <v>0</v>
      </c>
      <c r="M93" s="362">
        <f>G26</f>
        <v>1732.94</v>
      </c>
      <c r="N93" s="362">
        <f>I26</f>
        <v>601.94074074074081</v>
      </c>
      <c r="O93" s="1110"/>
      <c r="P93" s="1110"/>
    </row>
    <row r="94" spans="1:17" x14ac:dyDescent="0.25">
      <c r="A94" s="1637" t="s">
        <v>25</v>
      </c>
      <c r="B94" s="1637"/>
      <c r="C94" s="10"/>
      <c r="D94" s="10"/>
      <c r="E94" s="205">
        <f>IF(SUM(N97)&lt;&gt;0,N94,IF(SUM(M97)&lt;&gt;0,M94,IF(SUM(L97)&lt;&gt;0,L94,IF(SUM(K97)&lt;&gt;0,K94,I94))))</f>
        <v>850</v>
      </c>
      <c r="F94" s="103"/>
      <c r="G94" s="10"/>
      <c r="H94" s="10"/>
      <c r="I94" s="10">
        <f>B27</f>
        <v>0</v>
      </c>
      <c r="J94" s="10"/>
      <c r="K94" s="362">
        <f>C27</f>
        <v>0</v>
      </c>
      <c r="L94" s="362">
        <f>E27</f>
        <v>0</v>
      </c>
      <c r="M94" s="362">
        <f>G27</f>
        <v>1225.2</v>
      </c>
      <c r="N94" s="362">
        <f>I27</f>
        <v>850</v>
      </c>
      <c r="O94" s="1110"/>
      <c r="P94" s="1110"/>
    </row>
    <row r="95" spans="1:17" x14ac:dyDescent="0.25">
      <c r="A95" s="1637" t="s">
        <v>299</v>
      </c>
      <c r="B95" s="1637"/>
      <c r="C95" s="10"/>
      <c r="D95" s="10"/>
      <c r="E95" s="205">
        <f>IF(SUM(N97)&lt;&gt;0,N95,IF(SUM(L97)&lt;&gt;0,L95,IF(SUM(L97)&lt;&gt;0,L95,IF(SUM(K97)&lt;&gt;0,K95,I95))))</f>
        <v>421.35839019326068</v>
      </c>
      <c r="F95" s="103"/>
      <c r="G95" s="10"/>
      <c r="H95" s="10"/>
      <c r="I95" s="10">
        <f>B47</f>
        <v>0</v>
      </c>
      <c r="J95" s="10"/>
      <c r="K95" s="362">
        <f>C47</f>
        <v>0</v>
      </c>
      <c r="L95" s="362">
        <f>E47</f>
        <v>0</v>
      </c>
      <c r="M95" s="362">
        <f>G47</f>
        <v>937.54</v>
      </c>
      <c r="N95" s="362">
        <f>I47</f>
        <v>421.35839019326068</v>
      </c>
      <c r="O95" s="1110"/>
      <c r="P95" s="1110"/>
    </row>
    <row r="96" spans="1:17" x14ac:dyDescent="0.25">
      <c r="A96" s="111" t="s">
        <v>300</v>
      </c>
      <c r="B96" s="111"/>
      <c r="C96" s="10"/>
      <c r="D96" s="10"/>
      <c r="E96" s="205">
        <f>IF(SUM(N97)&lt;&gt;0,N96,IF(SUM(L97)&lt;&gt;0,L96,IF(SUM(L97)&lt;&gt;0,L96,IF(SUM(K97)&lt;&gt;0,K96,I96))))</f>
        <v>0</v>
      </c>
      <c r="F96" s="103"/>
      <c r="G96" s="10"/>
      <c r="H96" s="10"/>
      <c r="I96" s="10">
        <f>B48</f>
        <v>0</v>
      </c>
      <c r="J96" s="10"/>
      <c r="K96" s="362">
        <f>C48</f>
        <v>0</v>
      </c>
      <c r="L96" s="362">
        <f>E48</f>
        <v>0</v>
      </c>
      <c r="M96" s="362">
        <f>G48</f>
        <v>0</v>
      </c>
      <c r="N96" s="362">
        <f>I48</f>
        <v>0</v>
      </c>
      <c r="O96" s="1110"/>
      <c r="P96" s="1110"/>
    </row>
    <row r="97" spans="1:16" x14ac:dyDescent="0.25">
      <c r="A97" s="1657" t="s">
        <v>464</v>
      </c>
      <c r="B97" s="1657"/>
      <c r="C97" s="10"/>
      <c r="D97" s="10"/>
      <c r="E97" s="654">
        <f>E93+E94-E95-E96</f>
        <v>1030.58235054748</v>
      </c>
      <c r="F97" s="10"/>
      <c r="G97" s="10"/>
      <c r="H97" s="103"/>
      <c r="I97" s="10">
        <f>(I93+I94)-I95-I96</f>
        <v>0</v>
      </c>
      <c r="J97" s="10"/>
      <c r="K97" s="362">
        <f>(K93+K94)-K95-K96</f>
        <v>0</v>
      </c>
      <c r="L97" s="362">
        <f>(L93+L94)-L95-L96</f>
        <v>0</v>
      </c>
      <c r="M97" s="362">
        <f>(M93+M94)-M95-M96</f>
        <v>2020.6000000000004</v>
      </c>
      <c r="N97" s="362">
        <f>(N93+N94)-N95-N96</f>
        <v>1030.58235054748</v>
      </c>
      <c r="O97" s="1110"/>
      <c r="P97" s="1110"/>
    </row>
    <row r="98" spans="1:16" ht="15" customHeight="1" x14ac:dyDescent="0.25">
      <c r="A98" s="1653" t="s">
        <v>467</v>
      </c>
      <c r="B98" s="1653"/>
      <c r="C98" s="1653"/>
      <c r="D98" s="1653"/>
      <c r="E98" s="655">
        <f>'Informasi Debitur'!AA169</f>
        <v>0</v>
      </c>
      <c r="F98" s="10"/>
      <c r="G98" s="10"/>
      <c r="H98" s="182"/>
      <c r="I98" s="10"/>
      <c r="J98" s="10"/>
      <c r="O98" s="1110"/>
      <c r="P98" s="1110"/>
    </row>
    <row r="99" spans="1:16" ht="15" customHeight="1" x14ac:dyDescent="0.25">
      <c r="A99" s="1653" t="s">
        <v>468</v>
      </c>
      <c r="B99" s="1653"/>
      <c r="C99" s="1653"/>
      <c r="D99" s="1653"/>
      <c r="E99" s="654">
        <f>SUMIF(MKK!B34:B40,"Modal Kerja",MKK!F34:F40)</f>
        <v>1000</v>
      </c>
      <c r="F99" s="10"/>
      <c r="G99" s="10"/>
      <c r="H99" s="103"/>
      <c r="I99" s="10"/>
      <c r="J99" s="10"/>
      <c r="O99" s="1110"/>
      <c r="P99" s="1110"/>
    </row>
    <row r="100" spans="1:16" x14ac:dyDescent="0.25">
      <c r="A100" s="1657" t="s">
        <v>465</v>
      </c>
      <c r="B100" s="1657"/>
      <c r="C100" s="10"/>
      <c r="D100" s="10"/>
      <c r="E100" s="654">
        <f>SUM(E98:E99)</f>
        <v>1000</v>
      </c>
      <c r="F100" s="64"/>
      <c r="G100" s="64"/>
      <c r="H100" s="880"/>
      <c r="I100" s="64"/>
      <c r="J100" s="64"/>
      <c r="O100" s="1110"/>
      <c r="P100" s="1110"/>
    </row>
    <row r="101" spans="1:16" s="364" customFormat="1" ht="30" customHeight="1" x14ac:dyDescent="0.25">
      <c r="A101" s="1652" t="s">
        <v>466</v>
      </c>
      <c r="B101" s="1652"/>
      <c r="C101" s="1652"/>
      <c r="D101" s="164"/>
      <c r="E101" s="656">
        <f>IF(ISERROR(E100/E97),"-",E100/E97)</f>
        <v>0.97032517534262674</v>
      </c>
      <c r="F101" s="1651" t="str">
        <f>IF(E101&lt;&gt;"-",IF(E101&gt;1,"Overfinance, Keterangan :",""),"")</f>
        <v/>
      </c>
      <c r="G101" s="1651"/>
      <c r="H101" s="1651"/>
      <c r="I101" s="1650"/>
      <c r="J101" s="1650"/>
      <c r="K101" s="363"/>
      <c r="O101" s="825"/>
      <c r="P101" s="825"/>
    </row>
    <row r="102" spans="1:16" s="364" customFormat="1" ht="15" customHeight="1" x14ac:dyDescent="0.25">
      <c r="A102" s="1654" t="s">
        <v>759</v>
      </c>
      <c r="B102" s="1654"/>
      <c r="C102" s="1654"/>
      <c r="D102" s="165"/>
      <c r="E102" s="380">
        <f>E97-E100</f>
        <v>30.582350547480019</v>
      </c>
      <c r="F102" s="104"/>
      <c r="G102" s="104"/>
      <c r="H102" s="183"/>
      <c r="I102" s="33"/>
      <c r="J102" s="33"/>
      <c r="O102" s="825"/>
      <c r="P102" s="825"/>
    </row>
    <row r="103" spans="1:16" s="364" customFormat="1" ht="15" customHeight="1" x14ac:dyDescent="0.25">
      <c r="A103" s="1652" t="s">
        <v>471</v>
      </c>
      <c r="B103" s="1652"/>
      <c r="C103" s="1652"/>
      <c r="D103" s="164"/>
      <c r="E103" s="657">
        <f>IF(ISERROR(E102/E97),"-",IF(SUM(E102)=0,0%,E102/E97))</f>
        <v>2.9674824657373228E-2</v>
      </c>
      <c r="F103" s="104"/>
      <c r="G103" s="104"/>
      <c r="H103" s="206"/>
      <c r="I103" s="33"/>
      <c r="J103" s="33"/>
      <c r="O103" s="825"/>
      <c r="P103" s="825"/>
    </row>
    <row r="104" spans="1:16" ht="5.0999999999999996" customHeight="1" x14ac:dyDescent="0.25">
      <c r="A104" s="8"/>
      <c r="B104" s="10"/>
      <c r="C104" s="10"/>
      <c r="D104" s="10"/>
      <c r="E104" s="10"/>
      <c r="F104" s="10"/>
      <c r="G104" s="10"/>
      <c r="H104" s="10"/>
      <c r="I104" s="10"/>
      <c r="J104" s="10"/>
      <c r="O104" s="1110"/>
      <c r="P104" s="1110"/>
    </row>
    <row r="105" spans="1:16" x14ac:dyDescent="0.25">
      <c r="A105" s="1638" t="s">
        <v>761</v>
      </c>
      <c r="B105" s="1638"/>
      <c r="C105" s="1638"/>
      <c r="D105" s="1638"/>
      <c r="E105" s="1638"/>
      <c r="F105" s="1638"/>
      <c r="G105" s="1638"/>
      <c r="H105" s="163"/>
      <c r="I105"/>
      <c r="J105"/>
      <c r="O105" s="1110"/>
      <c r="P105" s="1110"/>
    </row>
    <row r="106" spans="1:16" ht="30" customHeight="1" x14ac:dyDescent="0.25">
      <c r="A106" s="1366" t="s">
        <v>8157</v>
      </c>
      <c r="B106" s="1366"/>
      <c r="C106" s="1366"/>
      <c r="D106" s="1366"/>
      <c r="E106" s="1366"/>
      <c r="F106" s="1366"/>
      <c r="G106" s="1366"/>
      <c r="H106" s="1366"/>
      <c r="I106" s="1366"/>
      <c r="J106" s="185"/>
      <c r="O106" s="1110"/>
      <c r="P106" s="1110"/>
    </row>
    <row r="107" spans="1:16" ht="45.75" customHeight="1" x14ac:dyDescent="0.25">
      <c r="A107" s="1331" t="s">
        <v>8159</v>
      </c>
      <c r="B107" s="1331"/>
      <c r="C107" s="1331"/>
      <c r="D107" s="1331"/>
      <c r="E107" s="1331"/>
      <c r="F107" s="1331"/>
      <c r="G107" s="1331"/>
      <c r="H107" s="1331"/>
      <c r="I107" s="1331"/>
      <c r="J107" s="185"/>
      <c r="O107" s="1110"/>
      <c r="P107" s="1110"/>
    </row>
    <row r="108" spans="1:16" ht="30.75" customHeight="1" x14ac:dyDescent="0.25">
      <c r="A108" s="1331" t="s">
        <v>8158</v>
      </c>
      <c r="B108" s="1331"/>
      <c r="C108" s="1331"/>
      <c r="D108" s="1331"/>
      <c r="E108" s="1331"/>
      <c r="F108" s="1331"/>
      <c r="G108" s="1331"/>
      <c r="H108" s="1331"/>
      <c r="I108" s="1331"/>
      <c r="J108" s="185"/>
      <c r="O108" s="1110"/>
      <c r="P108" s="1110"/>
    </row>
    <row r="109" spans="1:16" ht="200.25" customHeight="1" x14ac:dyDescent="0.25">
      <c r="A109" s="1331" t="s">
        <v>8209</v>
      </c>
      <c r="B109" s="1331"/>
      <c r="C109" s="1331"/>
      <c r="D109" s="1331"/>
      <c r="E109" s="1331"/>
      <c r="F109" s="1331"/>
      <c r="G109" s="1331"/>
      <c r="H109" s="1331"/>
      <c r="I109" s="1331"/>
      <c r="J109" s="185"/>
      <c r="O109" s="1110"/>
      <c r="P109" s="1110"/>
    </row>
    <row r="110" spans="1:16" x14ac:dyDescent="0.25">
      <c r="A110" s="128"/>
      <c r="B110" s="128"/>
      <c r="C110" s="128"/>
      <c r="D110" s="128"/>
      <c r="E110" s="128"/>
      <c r="F110" s="128"/>
      <c r="G110" s="128"/>
      <c r="H110" s="128"/>
      <c r="I110" s="128"/>
      <c r="J110" s="128"/>
      <c r="O110" s="1110"/>
      <c r="P110" s="1110"/>
    </row>
    <row r="111" spans="1:16" ht="15" customHeight="1" x14ac:dyDescent="0.25">
      <c r="A111" s="293" t="s">
        <v>2969</v>
      </c>
      <c r="B111" s="292"/>
      <c r="C111" s="292"/>
      <c r="D111" s="292"/>
      <c r="E111" s="292"/>
      <c r="F111" s="292"/>
      <c r="G111" s="292"/>
      <c r="H111" s="292"/>
      <c r="I111" s="292"/>
      <c r="J111" s="292"/>
      <c r="O111" s="1110"/>
      <c r="P111" s="1110"/>
    </row>
    <row r="112" spans="1:16" ht="5.0999999999999996" customHeight="1" x14ac:dyDescent="0.25">
      <c r="A112" s="291"/>
      <c r="B112" s="291"/>
      <c r="C112" s="291"/>
      <c r="D112" s="291"/>
      <c r="E112" s="291"/>
      <c r="F112" s="291"/>
      <c r="G112" s="291"/>
      <c r="H112" s="291"/>
      <c r="I112" s="291"/>
      <c r="J112" s="291"/>
      <c r="O112" s="1110"/>
      <c r="P112" s="1110"/>
    </row>
    <row r="113" spans="1:16" x14ac:dyDescent="0.25">
      <c r="A113" s="1637" t="s">
        <v>537</v>
      </c>
      <c r="B113" s="1637"/>
      <c r="C113" s="10"/>
      <c r="D113" s="10"/>
      <c r="E113" s="146">
        <v>0</v>
      </c>
      <c r="F113" s="181"/>
      <c r="G113" s="10"/>
      <c r="H113" s="10"/>
      <c r="I113" s="10"/>
      <c r="J113" s="10"/>
      <c r="O113" s="1110"/>
      <c r="P113" s="1110"/>
    </row>
    <row r="114" spans="1:16" x14ac:dyDescent="0.25">
      <c r="A114" s="1637" t="s">
        <v>538</v>
      </c>
      <c r="B114" s="1637"/>
      <c r="C114" s="10"/>
      <c r="D114" s="10"/>
      <c r="E114" s="103">
        <f>SUMIF(MKK!B34:B40,"Investasi",MKK!F34:F40)</f>
        <v>0</v>
      </c>
      <c r="F114" s="103"/>
      <c r="G114" s="10"/>
      <c r="H114" s="10"/>
      <c r="I114" s="10"/>
      <c r="J114" s="10"/>
      <c r="O114" s="1110"/>
      <c r="P114" s="1110"/>
    </row>
    <row r="115" spans="1:16" ht="30" customHeight="1" x14ac:dyDescent="0.25">
      <c r="A115" s="1637" t="s">
        <v>776</v>
      </c>
      <c r="B115" s="1637"/>
      <c r="C115" s="1637"/>
      <c r="D115" s="162"/>
      <c r="E115" s="295" t="str">
        <f>IF(ISERROR(E114/E113),"-",E114/E113)</f>
        <v>-</v>
      </c>
      <c r="F115" s="114"/>
      <c r="G115" s="10"/>
      <c r="H115" s="10"/>
      <c r="I115" s="10"/>
      <c r="J115" s="10"/>
      <c r="O115" s="1110"/>
      <c r="P115" s="1110"/>
    </row>
    <row r="116" spans="1:16" x14ac:dyDescent="0.25">
      <c r="A116" s="1638" t="s">
        <v>760</v>
      </c>
      <c r="B116" s="1638"/>
      <c r="C116" s="1638"/>
      <c r="D116" s="1638"/>
      <c r="E116" s="1638"/>
      <c r="F116" s="1638"/>
      <c r="G116" s="1638"/>
      <c r="H116" s="163"/>
      <c r="I116"/>
      <c r="J116"/>
      <c r="O116" s="1110"/>
      <c r="P116" s="1110"/>
    </row>
    <row r="117" spans="1:16" x14ac:dyDescent="0.25">
      <c r="A117" s="1366" t="s">
        <v>7372</v>
      </c>
      <c r="B117" s="1366"/>
      <c r="C117" s="1366"/>
      <c r="D117" s="1366"/>
      <c r="E117" s="1366"/>
      <c r="F117" s="1366"/>
      <c r="G117" s="1366"/>
      <c r="H117" s="1366"/>
      <c r="I117" s="1366"/>
      <c r="J117" s="185"/>
      <c r="O117" s="1110"/>
      <c r="P117" s="1110"/>
    </row>
    <row r="118" spans="1:16" x14ac:dyDescent="0.25">
      <c r="A118" s="1366"/>
      <c r="B118" s="1366"/>
      <c r="C118" s="1366"/>
      <c r="D118" s="1366"/>
      <c r="E118" s="1366"/>
      <c r="F118" s="1366"/>
      <c r="G118" s="1366"/>
      <c r="H118" s="1366"/>
      <c r="I118" s="1366"/>
      <c r="J118" s="185"/>
      <c r="O118" s="1110"/>
      <c r="P118" s="1110"/>
    </row>
    <row r="119" spans="1:16" x14ac:dyDescent="0.25">
      <c r="A119" s="1366"/>
      <c r="B119" s="1366"/>
      <c r="C119" s="1366"/>
      <c r="D119" s="1366"/>
      <c r="E119" s="1366"/>
      <c r="F119" s="1366"/>
      <c r="G119" s="1366"/>
      <c r="H119" s="1366"/>
      <c r="I119" s="1366"/>
      <c r="J119" s="185"/>
      <c r="O119" s="1110"/>
      <c r="P119" s="1110"/>
    </row>
    <row r="120" spans="1:16" x14ac:dyDescent="0.25">
      <c r="A120" s="1366"/>
      <c r="B120" s="1366"/>
      <c r="C120" s="1366"/>
      <c r="D120" s="1366"/>
      <c r="E120" s="1366"/>
      <c r="F120" s="1366"/>
      <c r="G120" s="1366"/>
      <c r="H120" s="1366"/>
      <c r="I120" s="1366"/>
      <c r="J120" s="185"/>
      <c r="O120" s="1110"/>
      <c r="P120" s="1110"/>
    </row>
    <row r="121" spans="1:16" x14ac:dyDescent="0.25">
      <c r="A121" s="1636"/>
      <c r="B121" s="1636"/>
      <c r="C121" s="1636"/>
      <c r="D121" s="1636"/>
      <c r="E121" s="1636"/>
      <c r="F121" s="1636"/>
      <c r="G121" s="1636"/>
      <c r="H121" s="184"/>
      <c r="I121"/>
      <c r="J121"/>
      <c r="O121" s="1110"/>
      <c r="P121" s="1110"/>
    </row>
    <row r="122" spans="1:16" ht="26.25" customHeight="1" x14ac:dyDescent="0.25">
      <c r="A122" s="1644" t="s">
        <v>2971</v>
      </c>
      <c r="B122" s="1644"/>
      <c r="C122" s="1644"/>
      <c r="D122" s="1673" t="s">
        <v>2997</v>
      </c>
      <c r="E122" s="1673"/>
      <c r="F122" s="1673"/>
      <c r="G122" s="1673"/>
      <c r="H122" s="1673"/>
      <c r="I122" s="1673"/>
      <c r="J122" s="1673"/>
      <c r="O122" s="1110"/>
      <c r="P122" s="1110"/>
    </row>
    <row r="123" spans="1:16" ht="5.0999999999999996" customHeight="1" x14ac:dyDescent="0.25">
      <c r="A123" s="8"/>
      <c r="B123" s="10"/>
      <c r="C123" s="10"/>
      <c r="D123" s="10"/>
      <c r="E123" s="10"/>
      <c r="F123" s="184"/>
      <c r="G123" s="184"/>
      <c r="H123" s="184"/>
      <c r="I123"/>
      <c r="J123"/>
      <c r="O123" s="1110"/>
      <c r="P123" s="1110"/>
    </row>
    <row r="124" spans="1:16" ht="15" customHeight="1" x14ac:dyDescent="0.25">
      <c r="A124" s="296" t="s">
        <v>2970</v>
      </c>
      <c r="B124" s="184"/>
      <c r="C124" s="184"/>
      <c r="D124" s="1671">
        <f>IF(D122&lt;&gt;"",IF(D122=$A$193,IF(OR(E115&lt;&gt;"",E101&lt;&gt;""),MAX(E101,E115),"-"),"-"),"-")</f>
        <v>0.97032517534262674</v>
      </c>
      <c r="E124" s="1672"/>
      <c r="F124" s="10"/>
      <c r="G124" s="10"/>
      <c r="H124" s="10"/>
      <c r="I124" s="10"/>
      <c r="J124" s="10"/>
      <c r="O124" s="1110"/>
      <c r="P124" s="1110"/>
    </row>
    <row r="125" spans="1:16" ht="3.75" customHeight="1" x14ac:dyDescent="0.25">
      <c r="A125" s="184"/>
      <c r="B125" s="184"/>
      <c r="C125" s="184"/>
      <c r="D125" s="184"/>
      <c r="E125" s="184"/>
      <c r="F125" s="184"/>
      <c r="G125" s="184"/>
      <c r="H125" s="184"/>
      <c r="I125"/>
      <c r="J125"/>
      <c r="O125" s="1110"/>
      <c r="P125" s="1110"/>
    </row>
    <row r="126" spans="1:16" s="385" customFormat="1" x14ac:dyDescent="0.25">
      <c r="A126" s="184"/>
      <c r="B126" s="184"/>
      <c r="C126" s="184"/>
      <c r="D126" s="184"/>
      <c r="E126" s="184"/>
      <c r="F126" s="184"/>
      <c r="G126" s="184"/>
      <c r="H126" s="184"/>
      <c r="I126"/>
      <c r="J126"/>
      <c r="O126" s="1110"/>
      <c r="P126" s="1110"/>
    </row>
    <row r="127" spans="1:16" hidden="1" x14ac:dyDescent="0.25">
      <c r="O127" s="1110"/>
      <c r="P127" s="1110"/>
    </row>
    <row r="128" spans="1:16" hidden="1" x14ac:dyDescent="0.25">
      <c r="O128" s="1110"/>
      <c r="P128" s="1110"/>
    </row>
    <row r="129" spans="15:16" hidden="1" x14ac:dyDescent="0.25">
      <c r="O129" s="1110"/>
      <c r="P129" s="1110"/>
    </row>
    <row r="130" spans="15:16" hidden="1" x14ac:dyDescent="0.25">
      <c r="O130" s="1110"/>
      <c r="P130" s="1110"/>
    </row>
    <row r="131" spans="15:16" hidden="1" x14ac:dyDescent="0.25">
      <c r="O131" s="1110"/>
      <c r="P131" s="1110"/>
    </row>
    <row r="132" spans="15:16" hidden="1" x14ac:dyDescent="0.25">
      <c r="O132" s="1110"/>
      <c r="P132" s="1110"/>
    </row>
    <row r="133" spans="15:16" hidden="1" x14ac:dyDescent="0.25">
      <c r="O133" s="1110"/>
      <c r="P133" s="1110"/>
    </row>
    <row r="134" spans="15:16" hidden="1" x14ac:dyDescent="0.25">
      <c r="O134" s="1110"/>
      <c r="P134" s="1110"/>
    </row>
    <row r="135" spans="15:16" hidden="1" x14ac:dyDescent="0.25">
      <c r="O135" s="1110"/>
      <c r="P135" s="1110"/>
    </row>
    <row r="136" spans="15:16" hidden="1" x14ac:dyDescent="0.25">
      <c r="O136" s="1110"/>
      <c r="P136" s="1110"/>
    </row>
    <row r="137" spans="15:16" hidden="1" x14ac:dyDescent="0.25">
      <c r="O137" s="1110"/>
      <c r="P137" s="1110"/>
    </row>
    <row r="138" spans="15:16" hidden="1" x14ac:dyDescent="0.25">
      <c r="O138" s="1110"/>
      <c r="P138" s="1110"/>
    </row>
    <row r="139" spans="15:16" hidden="1" x14ac:dyDescent="0.25">
      <c r="O139" s="1110"/>
      <c r="P139" s="1110"/>
    </row>
    <row r="140" spans="15:16" hidden="1" x14ac:dyDescent="0.25">
      <c r="O140" s="1110"/>
      <c r="P140" s="1110"/>
    </row>
    <row r="141" spans="15:16" hidden="1" x14ac:dyDescent="0.25">
      <c r="O141" s="1110"/>
      <c r="P141" s="1110"/>
    </row>
    <row r="142" spans="15:16" hidden="1" x14ac:dyDescent="0.25">
      <c r="O142" s="1110"/>
      <c r="P142" s="1110"/>
    </row>
    <row r="143" spans="15:16" hidden="1" x14ac:dyDescent="0.25">
      <c r="O143" s="1110"/>
      <c r="P143" s="1110"/>
    </row>
    <row r="144" spans="15:16" hidden="1" x14ac:dyDescent="0.25">
      <c r="O144" s="1110"/>
      <c r="P144" s="1110"/>
    </row>
    <row r="145" spans="1:16" hidden="1" x14ac:dyDescent="0.25">
      <c r="O145" s="1110"/>
      <c r="P145" s="1110"/>
    </row>
    <row r="146" spans="1:16" hidden="1" x14ac:dyDescent="0.25">
      <c r="O146" s="1110"/>
      <c r="P146" s="1110"/>
    </row>
    <row r="147" spans="1:16" hidden="1" x14ac:dyDescent="0.25">
      <c r="O147" s="1110"/>
      <c r="P147" s="1110"/>
    </row>
    <row r="148" spans="1:16" ht="30.75" customHeight="1" x14ac:dyDescent="0.25">
      <c r="A148" s="1665" t="s">
        <v>531</v>
      </c>
      <c r="B148" s="1666"/>
      <c r="C148" s="1666"/>
      <c r="D148" s="1666"/>
      <c r="E148" s="1666"/>
      <c r="F148" s="1666"/>
      <c r="G148" s="1666"/>
      <c r="H148" s="1666"/>
      <c r="I148" s="1666"/>
      <c r="J148" s="1667"/>
      <c r="O148" s="1110"/>
      <c r="P148" s="1110"/>
    </row>
    <row r="149" spans="1:16" x14ac:dyDescent="0.25">
      <c r="A149" s="1329" t="s">
        <v>8164</v>
      </c>
      <c r="B149" s="1329"/>
      <c r="C149" s="1329"/>
      <c r="D149" s="1329"/>
      <c r="E149" s="1329"/>
      <c r="F149" s="1329"/>
      <c r="G149" s="1329"/>
      <c r="H149" s="1329"/>
      <c r="I149" s="1329"/>
      <c r="J149" s="1329"/>
      <c r="O149" s="1110"/>
      <c r="P149" s="1110"/>
    </row>
    <row r="150" spans="1:16" x14ac:dyDescent="0.25">
      <c r="A150" s="1331" t="s">
        <v>8163</v>
      </c>
      <c r="B150" s="1331"/>
      <c r="C150" s="1331"/>
      <c r="D150" s="1331"/>
      <c r="E150" s="1331"/>
      <c r="F150" s="1331"/>
      <c r="G150" s="1331"/>
      <c r="H150" s="1331"/>
      <c r="I150" s="1331"/>
      <c r="J150" s="1331"/>
      <c r="O150" s="1110"/>
      <c r="P150" s="1110"/>
    </row>
    <row r="151" spans="1:16" x14ac:dyDescent="0.25">
      <c r="A151" s="1331" t="s">
        <v>8182</v>
      </c>
      <c r="B151" s="1331"/>
      <c r="C151" s="1331"/>
      <c r="D151" s="1331"/>
      <c r="E151" s="1331"/>
      <c r="F151" s="1331"/>
      <c r="G151" s="1331"/>
      <c r="H151" s="1331"/>
      <c r="I151" s="1331"/>
      <c r="J151" s="1331"/>
      <c r="O151" s="1110"/>
      <c r="P151" s="1110"/>
    </row>
    <row r="152" spans="1:16" x14ac:dyDescent="0.25">
      <c r="A152" s="1331"/>
      <c r="B152" s="1331"/>
      <c r="C152" s="1331"/>
      <c r="D152" s="1331"/>
      <c r="E152" s="1331"/>
      <c r="F152" s="1331"/>
      <c r="G152" s="1331"/>
      <c r="H152" s="1331"/>
      <c r="I152" s="1331"/>
      <c r="J152" s="1331"/>
      <c r="O152" s="1110"/>
      <c r="P152" s="1110"/>
    </row>
    <row r="153" spans="1:16" x14ac:dyDescent="0.25">
      <c r="A153" s="1331"/>
      <c r="B153" s="1331"/>
      <c r="C153" s="1331"/>
      <c r="D153" s="1331"/>
      <c r="E153" s="1331"/>
      <c r="F153" s="1331"/>
      <c r="G153" s="1331"/>
      <c r="H153" s="1331"/>
      <c r="I153" s="1331"/>
      <c r="J153" s="1331"/>
      <c r="O153" s="1110"/>
      <c r="P153" s="1110"/>
    </row>
    <row r="154" spans="1:16" x14ac:dyDescent="0.25">
      <c r="A154" s="1331"/>
      <c r="B154" s="1331"/>
      <c r="C154" s="1331"/>
      <c r="D154" s="1331"/>
      <c r="E154" s="1331"/>
      <c r="F154" s="1331"/>
      <c r="G154" s="1331"/>
      <c r="H154" s="1331"/>
      <c r="I154" s="1331"/>
      <c r="J154" s="1331"/>
      <c r="O154" s="1110"/>
      <c r="P154" s="1110"/>
    </row>
    <row r="155" spans="1:16" hidden="1" x14ac:dyDescent="0.25">
      <c r="A155" s="1331"/>
      <c r="B155" s="1331"/>
      <c r="C155" s="1331"/>
      <c r="D155" s="1331"/>
      <c r="E155" s="1331"/>
      <c r="F155" s="1331"/>
      <c r="G155" s="1331"/>
      <c r="H155" s="1331"/>
      <c r="I155" s="1331"/>
      <c r="J155" s="1331"/>
      <c r="O155" s="1110"/>
      <c r="P155" s="1110"/>
    </row>
    <row r="156" spans="1:16" ht="5.0999999999999996" customHeight="1" x14ac:dyDescent="0.25">
      <c r="A156" s="1642"/>
      <c r="B156" s="1643"/>
      <c r="C156" s="1643"/>
      <c r="D156" s="1643"/>
      <c r="E156" s="1643"/>
      <c r="F156" s="1643"/>
      <c r="G156" s="1643"/>
      <c r="H156" s="1643"/>
      <c r="I156" s="1643"/>
      <c r="J156" s="1643"/>
      <c r="O156" s="1110"/>
      <c r="P156" s="1110"/>
    </row>
    <row r="157" spans="1:16" ht="42" customHeight="1" x14ac:dyDescent="0.25">
      <c r="A157" s="1668" t="s">
        <v>532</v>
      </c>
      <c r="B157" s="1668"/>
      <c r="C157" s="1668"/>
      <c r="D157" s="1668"/>
      <c r="E157" s="1668"/>
      <c r="F157" s="1668"/>
      <c r="G157" s="1668"/>
      <c r="H157" s="1668"/>
      <c r="I157" s="1668"/>
      <c r="J157" s="1668"/>
      <c r="O157" s="1110"/>
      <c r="P157" s="1110"/>
    </row>
    <row r="158" spans="1:16" ht="33" customHeight="1" x14ac:dyDescent="0.25">
      <c r="A158" s="1329" t="s">
        <v>8183</v>
      </c>
      <c r="B158" s="1329"/>
      <c r="C158" s="1329"/>
      <c r="D158" s="1329"/>
      <c r="E158" s="1329"/>
      <c r="F158" s="1329"/>
      <c r="G158" s="1329"/>
      <c r="H158" s="1329"/>
      <c r="I158" s="1329"/>
      <c r="J158" s="1329"/>
      <c r="O158" s="1110"/>
      <c r="P158" s="1110"/>
    </row>
    <row r="159" spans="1:16" ht="18" customHeight="1" x14ac:dyDescent="0.25">
      <c r="A159" s="1331" t="s">
        <v>8165</v>
      </c>
      <c r="B159" s="1331"/>
      <c r="C159" s="1331"/>
      <c r="D159" s="1331"/>
      <c r="E159" s="1331"/>
      <c r="F159" s="1331"/>
      <c r="G159" s="1331"/>
      <c r="H159" s="1331"/>
      <c r="I159" s="1331"/>
      <c r="J159" s="1331"/>
      <c r="O159" s="1110"/>
      <c r="P159" s="1110"/>
    </row>
    <row r="160" spans="1:16" x14ac:dyDescent="0.25">
      <c r="A160" s="1331" t="s">
        <v>8166</v>
      </c>
      <c r="B160" s="1331"/>
      <c r="C160" s="1331"/>
      <c r="D160" s="1331"/>
      <c r="E160" s="1331"/>
      <c r="F160" s="1331"/>
      <c r="G160" s="1331"/>
      <c r="H160" s="1331"/>
      <c r="I160" s="1331"/>
      <c r="J160" s="1331"/>
      <c r="O160" s="1110"/>
      <c r="P160" s="1110"/>
    </row>
    <row r="161" spans="1:16" x14ac:dyDescent="0.25">
      <c r="A161" s="1331"/>
      <c r="B161" s="1331"/>
      <c r="C161" s="1331"/>
      <c r="D161" s="1331"/>
      <c r="E161" s="1331"/>
      <c r="F161" s="1331"/>
      <c r="G161" s="1331"/>
      <c r="H161" s="1331"/>
      <c r="I161" s="1331"/>
      <c r="J161" s="1331"/>
      <c r="O161" s="1110"/>
      <c r="P161" s="1110"/>
    </row>
    <row r="162" spans="1:16" x14ac:dyDescent="0.25">
      <c r="A162" s="1331"/>
      <c r="B162" s="1331"/>
      <c r="C162" s="1331"/>
      <c r="D162" s="1331"/>
      <c r="E162" s="1331"/>
      <c r="F162" s="1331"/>
      <c r="G162" s="1331"/>
      <c r="H162" s="1331"/>
      <c r="I162" s="1331"/>
      <c r="J162" s="1331"/>
      <c r="O162" s="1110"/>
      <c r="P162" s="1110"/>
    </row>
    <row r="163" spans="1:16" x14ac:dyDescent="0.25">
      <c r="A163" s="1331"/>
      <c r="B163" s="1331"/>
      <c r="C163" s="1331"/>
      <c r="D163" s="1331"/>
      <c r="E163" s="1331"/>
      <c r="F163" s="1331"/>
      <c r="G163" s="1331"/>
      <c r="H163" s="1331"/>
      <c r="I163" s="1331"/>
      <c r="J163" s="1331"/>
      <c r="O163" s="1110"/>
      <c r="P163" s="1110"/>
    </row>
    <row r="164" spans="1:16" hidden="1" x14ac:dyDescent="0.25">
      <c r="A164" s="1331"/>
      <c r="B164" s="1331"/>
      <c r="C164" s="1331"/>
      <c r="D164" s="1331"/>
      <c r="E164" s="1331"/>
      <c r="F164" s="1331"/>
      <c r="G164" s="1331"/>
      <c r="H164" s="1331"/>
      <c r="I164" s="1331"/>
      <c r="J164" s="1331"/>
      <c r="O164" s="1110"/>
      <c r="P164" s="1110"/>
    </row>
    <row r="165" spans="1:16" s="385" customFormat="1" ht="15" customHeight="1" x14ac:dyDescent="0.25">
      <c r="A165" s="128"/>
      <c r="B165" s="128"/>
      <c r="C165" s="128"/>
      <c r="D165" s="128"/>
      <c r="E165" s="128"/>
      <c r="F165" s="128"/>
      <c r="G165" s="128"/>
      <c r="H165" s="128"/>
      <c r="I165" s="128"/>
      <c r="J165" s="128"/>
      <c r="O165" s="1110"/>
      <c r="P165" s="1110"/>
    </row>
    <row r="166" spans="1:16" s="385" customFormat="1" hidden="1" x14ac:dyDescent="0.25">
      <c r="A166" s="128"/>
      <c r="B166" s="128"/>
      <c r="C166" s="128"/>
      <c r="D166" s="128"/>
      <c r="E166" s="128"/>
      <c r="F166" s="128"/>
      <c r="G166" s="128"/>
      <c r="H166" s="128"/>
      <c r="I166" s="128"/>
      <c r="J166" s="128"/>
      <c r="O166" s="1110"/>
      <c r="P166" s="1110"/>
    </row>
    <row r="167" spans="1:16" s="385" customFormat="1" x14ac:dyDescent="0.25">
      <c r="A167" s="128"/>
      <c r="B167" s="128"/>
      <c r="C167" s="128"/>
      <c r="D167" s="128"/>
      <c r="E167" s="128"/>
      <c r="F167" s="4"/>
      <c r="G167" s="4"/>
      <c r="H167" s="1639" t="s">
        <v>4320</v>
      </c>
      <c r="I167" s="1640"/>
      <c r="J167" s="1641"/>
      <c r="O167" s="1110"/>
      <c r="P167" s="1110"/>
    </row>
    <row r="168" spans="1:16" s="385" customFormat="1" x14ac:dyDescent="0.25">
      <c r="A168" s="128"/>
      <c r="B168" s="128"/>
      <c r="C168" s="128"/>
      <c r="D168" s="128"/>
      <c r="E168" s="128"/>
      <c r="F168" s="4"/>
      <c r="G168" s="4"/>
      <c r="H168" s="394"/>
      <c r="I168" s="395"/>
      <c r="J168" s="396"/>
      <c r="O168" s="1110"/>
      <c r="P168" s="1110"/>
    </row>
    <row r="169" spans="1:16" s="385" customFormat="1" x14ac:dyDescent="0.25">
      <c r="A169" s="128"/>
      <c r="B169" s="128"/>
      <c r="C169" s="128"/>
      <c r="D169" s="128"/>
      <c r="E169" s="128"/>
      <c r="F169" s="4"/>
      <c r="G169" s="4"/>
      <c r="H169" s="397"/>
      <c r="I169" s="398"/>
      <c r="J169" s="399"/>
      <c r="O169" s="1110"/>
      <c r="P169" s="1110"/>
    </row>
    <row r="170" spans="1:16" s="385" customFormat="1" x14ac:dyDescent="0.25">
      <c r="A170" s="128"/>
      <c r="B170" s="128"/>
      <c r="C170" s="128"/>
      <c r="D170" s="128"/>
      <c r="E170" s="128"/>
      <c r="F170" s="4"/>
      <c r="G170" s="4"/>
      <c r="H170" s="397"/>
      <c r="I170" s="398"/>
      <c r="J170" s="399"/>
      <c r="O170" s="1110"/>
      <c r="P170" s="1110"/>
    </row>
    <row r="171" spans="1:16" s="385" customFormat="1" x14ac:dyDescent="0.25">
      <c r="A171" s="128"/>
      <c r="B171" s="128"/>
      <c r="C171" s="128"/>
      <c r="D171" s="128"/>
      <c r="E171" s="128"/>
      <c r="F171" s="4"/>
      <c r="G171" s="4"/>
      <c r="H171" s="400"/>
      <c r="I171" s="401"/>
      <c r="J171" s="402"/>
      <c r="O171" s="1110"/>
      <c r="P171" s="1110"/>
    </row>
    <row r="172" spans="1:16" s="385" customFormat="1" x14ac:dyDescent="0.25">
      <c r="A172" s="128"/>
      <c r="B172" s="128"/>
      <c r="C172" s="128"/>
      <c r="D172" s="128"/>
      <c r="E172" s="128"/>
      <c r="F172" s="4"/>
      <c r="G172" s="4"/>
      <c r="H172" s="1632" t="s">
        <v>8068</v>
      </c>
      <c r="I172" s="1633"/>
      <c r="J172" s="1634"/>
      <c r="O172" s="1110"/>
      <c r="P172" s="1110"/>
    </row>
    <row r="173" spans="1:16" s="385" customFormat="1" x14ac:dyDescent="0.25">
      <c r="A173" s="128"/>
      <c r="B173" s="128"/>
      <c r="C173" s="128"/>
      <c r="D173" s="128"/>
      <c r="E173" s="128"/>
      <c r="F173" s="4"/>
      <c r="G173" s="4"/>
      <c r="H173" s="1632" t="s">
        <v>7992</v>
      </c>
      <c r="I173" s="1633"/>
      <c r="J173" s="1634"/>
      <c r="O173" s="1110"/>
      <c r="P173" s="1110"/>
    </row>
    <row r="174" spans="1:16" s="385" customFormat="1" ht="3.75" customHeight="1" x14ac:dyDescent="0.25">
      <c r="A174" s="128"/>
      <c r="B174" s="128"/>
      <c r="C174" s="128"/>
      <c r="D174" s="128"/>
      <c r="E174" s="128"/>
      <c r="F174" s="128"/>
      <c r="G174" s="128"/>
      <c r="H174" s="128"/>
      <c r="I174" s="128"/>
      <c r="J174" s="128"/>
      <c r="O174" s="1110"/>
      <c r="P174" s="1110"/>
    </row>
    <row r="175" spans="1:16" ht="5.0999999999999996" customHeight="1" x14ac:dyDescent="0.25">
      <c r="A175" s="1669"/>
      <c r="B175" s="1670"/>
      <c r="C175" s="1670"/>
      <c r="D175" s="1670"/>
      <c r="E175" s="1670"/>
      <c r="F175" s="1670"/>
      <c r="G175" s="1670"/>
      <c r="H175" s="1670"/>
      <c r="I175" s="1670"/>
      <c r="J175" s="390"/>
    </row>
    <row r="177" spans="1:10" hidden="1" x14ac:dyDescent="0.25">
      <c r="C177" s="333" t="s">
        <v>808</v>
      </c>
      <c r="E177" s="333" t="s">
        <v>809</v>
      </c>
      <c r="G177" s="333" t="s">
        <v>810</v>
      </c>
    </row>
    <row r="178" spans="1:10" hidden="1" x14ac:dyDescent="0.25">
      <c r="A178" s="1669" t="s">
        <v>804</v>
      </c>
      <c r="B178" s="1670"/>
      <c r="C178" s="366">
        <f>C42</f>
        <v>0</v>
      </c>
      <c r="E178" s="366">
        <f>E42</f>
        <v>0</v>
      </c>
      <c r="G178" s="366">
        <f>G42</f>
        <v>7539.7389990000011</v>
      </c>
      <c r="I178" s="367">
        <f>IF(G178&lt;&gt;0,G178,IF(E178&lt;&gt;0,E178,C178))</f>
        <v>7539.7389990000011</v>
      </c>
    </row>
    <row r="179" spans="1:10" hidden="1" x14ac:dyDescent="0.25">
      <c r="A179" s="1669" t="s">
        <v>176</v>
      </c>
      <c r="B179" s="1670"/>
      <c r="C179" s="366">
        <f>C30</f>
        <v>0</v>
      </c>
      <c r="E179" s="366">
        <f>E30</f>
        <v>0</v>
      </c>
      <c r="G179" s="366">
        <f>G30</f>
        <v>5356.4000000000005</v>
      </c>
      <c r="I179" s="386">
        <f t="shared" ref="I179:I190" si="23">IF(G179&lt;&gt;0,G179,IF(E179&lt;&gt;0,E179,C179))</f>
        <v>5356.4000000000005</v>
      </c>
    </row>
    <row r="180" spans="1:10" hidden="1" x14ac:dyDescent="0.25">
      <c r="A180" s="1669" t="s">
        <v>805</v>
      </c>
      <c r="B180" s="1670"/>
      <c r="C180" s="366">
        <f>SUM(C50,C55)</f>
        <v>0</v>
      </c>
      <c r="E180" s="366">
        <f>SUM(E50,E55)</f>
        <v>0.22599999999999909</v>
      </c>
      <c r="G180" s="366">
        <f>SUM(G50,G55)</f>
        <v>1624.04</v>
      </c>
      <c r="I180" s="386">
        <f t="shared" si="23"/>
        <v>1624.04</v>
      </c>
    </row>
    <row r="181" spans="1:10" hidden="1" x14ac:dyDescent="0.25">
      <c r="A181" s="1669" t="s">
        <v>177</v>
      </c>
      <c r="B181" s="1670"/>
      <c r="C181" s="366">
        <f>SUM(C45,C52)</f>
        <v>0</v>
      </c>
      <c r="E181" s="366">
        <f>SUM(E45,E52)</f>
        <v>0</v>
      </c>
      <c r="G181" s="366">
        <f>SUM(G45,G52)</f>
        <v>331.96</v>
      </c>
      <c r="I181" s="386">
        <f t="shared" si="23"/>
        <v>331.96</v>
      </c>
    </row>
    <row r="182" spans="1:10" hidden="1" x14ac:dyDescent="0.25">
      <c r="A182" s="1669" t="s">
        <v>178</v>
      </c>
      <c r="B182" s="1670"/>
      <c r="C182" s="366">
        <f>C50</f>
        <v>0</v>
      </c>
      <c r="E182" s="366">
        <f>E50</f>
        <v>539.226</v>
      </c>
      <c r="G182" s="366">
        <f>G50</f>
        <v>1292.08</v>
      </c>
      <c r="I182" s="386">
        <f t="shared" si="23"/>
        <v>1292.08</v>
      </c>
    </row>
    <row r="183" spans="1:10" hidden="1" x14ac:dyDescent="0.25">
      <c r="A183" s="1669" t="s">
        <v>308</v>
      </c>
      <c r="B183" s="1670"/>
      <c r="C183" s="366">
        <f>C62</f>
        <v>0</v>
      </c>
      <c r="E183" s="366">
        <f>E62</f>
        <v>0</v>
      </c>
      <c r="G183" s="366">
        <f>G62</f>
        <v>5915.2779490000012</v>
      </c>
      <c r="I183" s="386">
        <f t="shared" si="23"/>
        <v>5915.2779490000012</v>
      </c>
    </row>
    <row r="184" spans="1:10" hidden="1" x14ac:dyDescent="0.25">
      <c r="A184" s="1669" t="s">
        <v>806</v>
      </c>
      <c r="B184" s="1670"/>
      <c r="C184" s="366">
        <f>C68</f>
        <v>0</v>
      </c>
      <c r="E184" s="366">
        <f>E68</f>
        <v>0</v>
      </c>
      <c r="G184" s="366">
        <f>G68</f>
        <v>18762.97</v>
      </c>
      <c r="I184" s="386">
        <f t="shared" si="23"/>
        <v>18762.97</v>
      </c>
    </row>
    <row r="185" spans="1:10" s="385" customFormat="1" hidden="1" x14ac:dyDescent="0.25">
      <c r="A185" s="697" t="s">
        <v>7750</v>
      </c>
      <c r="B185" s="698"/>
      <c r="C185" s="366">
        <f>C71</f>
        <v>0</v>
      </c>
      <c r="D185" s="383"/>
      <c r="E185" s="366">
        <f>E71</f>
        <v>0</v>
      </c>
      <c r="F185" s="383"/>
      <c r="G185" s="366">
        <f>G71</f>
        <v>5628.8950000000004</v>
      </c>
      <c r="H185" s="383"/>
      <c r="I185" s="386">
        <f t="shared" si="23"/>
        <v>5628.8950000000004</v>
      </c>
      <c r="J185" s="383"/>
    </row>
    <row r="186" spans="1:10" hidden="1" x14ac:dyDescent="0.25">
      <c r="A186" s="1669" t="s">
        <v>179</v>
      </c>
      <c r="B186" s="1670"/>
      <c r="C186" s="366">
        <f>C77</f>
        <v>0</v>
      </c>
      <c r="E186" s="366">
        <f>E77</f>
        <v>0</v>
      </c>
      <c r="G186" s="366">
        <f>G77</f>
        <v>1441.51</v>
      </c>
      <c r="I186" s="386">
        <f t="shared" si="23"/>
        <v>1441.51</v>
      </c>
    </row>
    <row r="187" spans="1:10" hidden="1" x14ac:dyDescent="0.25">
      <c r="A187" s="1669" t="s">
        <v>180</v>
      </c>
      <c r="B187" s="1670"/>
      <c r="C187" s="366">
        <f>C80</f>
        <v>0</v>
      </c>
      <c r="E187" s="366">
        <f>E80</f>
        <v>0</v>
      </c>
      <c r="G187" s="366">
        <f>G80</f>
        <v>0</v>
      </c>
      <c r="I187" s="386">
        <f t="shared" si="23"/>
        <v>0</v>
      </c>
    </row>
    <row r="188" spans="1:10" hidden="1" x14ac:dyDescent="0.25">
      <c r="A188" s="1669" t="s">
        <v>783</v>
      </c>
      <c r="B188" s="1670"/>
      <c r="C188" s="366">
        <f>C81</f>
        <v>0</v>
      </c>
      <c r="E188" s="366">
        <f>E81</f>
        <v>0</v>
      </c>
      <c r="G188" s="366">
        <f>G81</f>
        <v>0</v>
      </c>
      <c r="I188" s="386">
        <f t="shared" si="23"/>
        <v>0</v>
      </c>
    </row>
    <row r="189" spans="1:10" s="385" customFormat="1" hidden="1" x14ac:dyDescent="0.25">
      <c r="A189" s="697" t="s">
        <v>7749</v>
      </c>
      <c r="B189" s="698"/>
      <c r="C189" s="366">
        <f>C60</f>
        <v>0</v>
      </c>
      <c r="D189" s="383"/>
      <c r="E189" s="366">
        <f>E60</f>
        <v>0</v>
      </c>
      <c r="F189" s="383"/>
      <c r="G189" s="366">
        <f>G60</f>
        <v>4606.34</v>
      </c>
      <c r="H189" s="383"/>
      <c r="I189" s="386">
        <f t="shared" si="23"/>
        <v>4606.34</v>
      </c>
      <c r="J189" s="383"/>
    </row>
    <row r="190" spans="1:10" ht="30" hidden="1" customHeight="1" x14ac:dyDescent="0.25">
      <c r="A190" s="1669" t="s">
        <v>807</v>
      </c>
      <c r="B190" s="1670"/>
      <c r="C190" s="366">
        <f>C82</f>
        <v>0</v>
      </c>
      <c r="E190" s="366">
        <f>E82</f>
        <v>0</v>
      </c>
      <c r="G190" s="366">
        <f>G82</f>
        <v>3634.4879490000003</v>
      </c>
      <c r="I190" s="386">
        <f t="shared" si="23"/>
        <v>3634.4879490000003</v>
      </c>
    </row>
    <row r="191" spans="1:10" hidden="1" x14ac:dyDescent="0.25"/>
    <row r="192" spans="1:10" hidden="1" x14ac:dyDescent="0.25"/>
    <row r="193" spans="1:1" ht="38.25" hidden="1" x14ac:dyDescent="0.25">
      <c r="A193" s="368" t="s">
        <v>2997</v>
      </c>
    </row>
    <row r="194" spans="1:1" ht="38.25" hidden="1" x14ac:dyDescent="0.25">
      <c r="A194" s="368" t="s">
        <v>2956</v>
      </c>
    </row>
    <row r="195" spans="1:1" ht="38.25" hidden="1" x14ac:dyDescent="0.25">
      <c r="A195" s="368" t="s">
        <v>2957</v>
      </c>
    </row>
    <row r="196" spans="1:1" x14ac:dyDescent="0.25">
      <c r="A196" s="368"/>
    </row>
  </sheetData>
  <sheetProtection password="CCA9" sheet="1" formatRows="0" selectLockedCells="1"/>
  <mergeCells count="149">
    <mergeCell ref="A190:B190"/>
    <mergeCell ref="A184:B184"/>
    <mergeCell ref="A186:B186"/>
    <mergeCell ref="A187:B187"/>
    <mergeCell ref="A188:B188"/>
    <mergeCell ref="A178:B178"/>
    <mergeCell ref="A182:B182"/>
    <mergeCell ref="A183:B183"/>
    <mergeCell ref="A181:B181"/>
    <mergeCell ref="A148:J148"/>
    <mergeCell ref="A157:J157"/>
    <mergeCell ref="I19:J19"/>
    <mergeCell ref="A180:B180"/>
    <mergeCell ref="I21:J21"/>
    <mergeCell ref="A161:J161"/>
    <mergeCell ref="A179:B179"/>
    <mergeCell ref="A152:J152"/>
    <mergeCell ref="A153:J153"/>
    <mergeCell ref="A158:J158"/>
    <mergeCell ref="A159:J159"/>
    <mergeCell ref="A160:J160"/>
    <mergeCell ref="A98:D98"/>
    <mergeCell ref="A101:C101"/>
    <mergeCell ref="A175:I175"/>
    <mergeCell ref="A109:I109"/>
    <mergeCell ref="A113:B113"/>
    <mergeCell ref="A114:B114"/>
    <mergeCell ref="A107:I107"/>
    <mergeCell ref="A106:I106"/>
    <mergeCell ref="D124:E124"/>
    <mergeCell ref="D122:J122"/>
    <mergeCell ref="A117:I117"/>
    <mergeCell ref="A118:I118"/>
    <mergeCell ref="A1:J1"/>
    <mergeCell ref="G21:H21"/>
    <mergeCell ref="I11:J11"/>
    <mergeCell ref="I12:J12"/>
    <mergeCell ref="C17:D17"/>
    <mergeCell ref="E17:F17"/>
    <mergeCell ref="G17:H17"/>
    <mergeCell ref="C7:D7"/>
    <mergeCell ref="B3:E3"/>
    <mergeCell ref="G16:H16"/>
    <mergeCell ref="G18:H18"/>
    <mergeCell ref="E20:F20"/>
    <mergeCell ref="I18:J18"/>
    <mergeCell ref="G20:H20"/>
    <mergeCell ref="E21:F21"/>
    <mergeCell ref="I20:J20"/>
    <mergeCell ref="B4:E4"/>
    <mergeCell ref="I17:J17"/>
    <mergeCell ref="C13:D13"/>
    <mergeCell ref="C15:D15"/>
    <mergeCell ref="C12:D12"/>
    <mergeCell ref="I15:J15"/>
    <mergeCell ref="G13:H13"/>
    <mergeCell ref="I16:J16"/>
    <mergeCell ref="A100:B100"/>
    <mergeCell ref="I6:J6"/>
    <mergeCell ref="G11:H11"/>
    <mergeCell ref="C6:H6"/>
    <mergeCell ref="G14:H14"/>
    <mergeCell ref="E14:F14"/>
    <mergeCell ref="C16:D16"/>
    <mergeCell ref="I7:J7"/>
    <mergeCell ref="C9:D9"/>
    <mergeCell ref="G19:H19"/>
    <mergeCell ref="A93:B93"/>
    <mergeCell ref="A94:B94"/>
    <mergeCell ref="A97:B97"/>
    <mergeCell ref="E11:F11"/>
    <mergeCell ref="E12:F12"/>
    <mergeCell ref="E13:F13"/>
    <mergeCell ref="E19:F19"/>
    <mergeCell ref="G15:H15"/>
    <mergeCell ref="C11:D11"/>
    <mergeCell ref="A108:I108"/>
    <mergeCell ref="I8:J8"/>
    <mergeCell ref="C20:D20"/>
    <mergeCell ref="A8:H8"/>
    <mergeCell ref="A105:G105"/>
    <mergeCell ref="I101:J101"/>
    <mergeCell ref="F101:H101"/>
    <mergeCell ref="A103:C103"/>
    <mergeCell ref="A99:D99"/>
    <mergeCell ref="A102:C102"/>
    <mergeCell ref="I14:J14"/>
    <mergeCell ref="E15:F15"/>
    <mergeCell ref="E16:F16"/>
    <mergeCell ref="C18:D18"/>
    <mergeCell ref="A66:P66"/>
    <mergeCell ref="O67:P67"/>
    <mergeCell ref="C21:D21"/>
    <mergeCell ref="E18:F18"/>
    <mergeCell ref="C19:D19"/>
    <mergeCell ref="O12:P12"/>
    <mergeCell ref="O13:P13"/>
    <mergeCell ref="O14:P14"/>
    <mergeCell ref="O15:P15"/>
    <mergeCell ref="O16:P16"/>
    <mergeCell ref="H172:J172"/>
    <mergeCell ref="H173:J173"/>
    <mergeCell ref="C67:D67"/>
    <mergeCell ref="E67:F67"/>
    <mergeCell ref="G67:H67"/>
    <mergeCell ref="I67:J67"/>
    <mergeCell ref="A120:I120"/>
    <mergeCell ref="A121:G121"/>
    <mergeCell ref="A95:B95"/>
    <mergeCell ref="A116:G116"/>
    <mergeCell ref="H167:J167"/>
    <mergeCell ref="A149:J149"/>
    <mergeCell ref="A150:J150"/>
    <mergeCell ref="A151:J151"/>
    <mergeCell ref="A154:J154"/>
    <mergeCell ref="A163:J163"/>
    <mergeCell ref="A162:J162"/>
    <mergeCell ref="A164:J164"/>
    <mergeCell ref="A155:J155"/>
    <mergeCell ref="A156:J156"/>
    <mergeCell ref="A122:C122"/>
    <mergeCell ref="A89:P89"/>
    <mergeCell ref="A119:I119"/>
    <mergeCell ref="A115:C115"/>
    <mergeCell ref="O6:P6"/>
    <mergeCell ref="O7:P7"/>
    <mergeCell ref="O8:P8"/>
    <mergeCell ref="O9:P9"/>
    <mergeCell ref="A10:P10"/>
    <mergeCell ref="O11:P11"/>
    <mergeCell ref="E9:F9"/>
    <mergeCell ref="G9:H9"/>
    <mergeCell ref="E7:F7"/>
    <mergeCell ref="I9:J9"/>
    <mergeCell ref="G7:H7"/>
    <mergeCell ref="O17:P17"/>
    <mergeCell ref="C14:D14"/>
    <mergeCell ref="K9:L9"/>
    <mergeCell ref="M9:N9"/>
    <mergeCell ref="K67:L67"/>
    <mergeCell ref="M67:N67"/>
    <mergeCell ref="O18:P18"/>
    <mergeCell ref="O19:P19"/>
    <mergeCell ref="O20:P20"/>
    <mergeCell ref="O21:P21"/>
    <mergeCell ref="A22:P22"/>
    <mergeCell ref="D65:P65"/>
    <mergeCell ref="G12:H12"/>
    <mergeCell ref="I13:J13"/>
  </mergeCells>
  <conditionalFormatting sqref="A124:E124">
    <cfRule type="expression" dxfId="802" priority="7" stopIfTrue="1">
      <formula>$A$194</formula>
    </cfRule>
  </conditionalFormatting>
  <conditionalFormatting sqref="I101">
    <cfRule type="expression" dxfId="801" priority="1" stopIfTrue="1">
      <formula>$F$101="Overfinance, Keterangan :"</formula>
    </cfRule>
    <cfRule type="expression" dxfId="800" priority="2" stopIfTrue="1">
      <formula>$F$101=""</formula>
    </cfRule>
  </conditionalFormatting>
  <dataValidations xWindow="928" yWindow="366" count="8">
    <dataValidation type="list" allowBlank="1" showInputMessage="1" showErrorMessage="1" sqref="D122">
      <formula1>$A$193:$A$196</formula1>
    </dataValidation>
    <dataValidation allowBlank="1" showInputMessage="1" sqref="E101"/>
    <dataValidation allowBlank="1" showInputMessage="1" showErrorMessage="1" prompt="Kebutuhan investasi didasarkan pada harga perolehan aset" sqref="E113"/>
    <dataValidation allowBlank="1" showInputMessage="1" showErrorMessage="1" prompt="Masukkan nilai akumulasi penyusutan dalam format negatif misalnya nilai akumulasi penyusutan 1 juta maka nilai yang dimasukkan adalah -1" sqref="C34 E36 E38 G34 G36 G38 C36 C38 E34"/>
    <dataValidation type="list" allowBlank="1" showInputMessage="1" showErrorMessage="1" sqref="B7:C7 O7 I7 G7 E7">
      <formula1>FS</formula1>
    </dataValidation>
    <dataValidation type="date" allowBlank="1" showInputMessage="1" showErrorMessage="1" errorTitle="Format Tanggal" error="Masukkan Format Tanggal : DD-MMM-YYYY (Format Bulan dalam Bahasa Inggris)._x000a_Contoh : 31-Dec-2000" sqref="C9:H9">
      <formula1>36526</formula1>
      <formula2>73415</formula2>
    </dataValidation>
    <dataValidation type="custom" allowBlank="1" showInputMessage="1" showErrorMessage="1" errorTitle="Grossed Up" error="Maksimum 50%" promptTitle="Grossed Up" prompt="Maksimum 50%" sqref="I8:J8">
      <formula1>(I8&gt;=0)*(I8&lt;=50%)</formula1>
    </dataValidation>
    <dataValidation type="list" allowBlank="1" showInputMessage="1" sqref="I101">
      <formula1>"Dengan Underlying Dokumen,Tanpa Underlying Dokumen"</formula1>
    </dataValidation>
  </dataValidations>
  <pageMargins left="0.59055118110236204" right="0.35433070866141703" top="0.511811023622047" bottom="0.511811023622047" header="0.31496062992126" footer="0.31496062992126"/>
  <pageSetup paperSize="9" scale="58" orientation="portrait" r:id="rId1"/>
  <headerFooter>
    <oddFooter>&amp;RTemplate &amp;"-,Italic"small size&amp;"-,Regular" 2017 v.3 - Page &amp;P of &amp;N</oddFooter>
  </headerFooter>
  <rowBreaks count="2" manualBreakCount="2">
    <brk id="87" max="15" man="1"/>
    <brk id="126" max="15" man="1"/>
  </rowBreaks>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filterMode="1"/>
  <dimension ref="A1:AG596"/>
  <sheetViews>
    <sheetView showGridLines="0" showZeros="0" view="pageBreakPreview" topLeftCell="A289" zoomScale="90" zoomScaleSheetLayoutView="90" workbookViewId="0">
      <selection activeCell="A587" sqref="A587:S587"/>
    </sheetView>
  </sheetViews>
  <sheetFormatPr defaultRowHeight="15" x14ac:dyDescent="0.25"/>
  <cols>
    <col min="1" max="1" width="7.85546875" style="1142" customWidth="1"/>
    <col min="2" max="2" width="8.85546875" style="1142" customWidth="1"/>
    <col min="3" max="3" width="12.7109375" style="1142" customWidth="1"/>
    <col min="4" max="5" width="7.7109375" style="1142" customWidth="1"/>
    <col min="6" max="6" width="12.7109375" style="1142" customWidth="1"/>
    <col min="7" max="8" width="7.7109375" style="1142" customWidth="1"/>
    <col min="9" max="9" width="12.7109375" style="1142" customWidth="1"/>
    <col min="10" max="11" width="7.7109375" style="1142" customWidth="1"/>
    <col min="12" max="12" width="12.7109375" style="1142" customWidth="1"/>
    <col min="13" max="14" width="7.7109375" style="1142" customWidth="1"/>
    <col min="15" max="15" width="12.7109375" style="1142" customWidth="1"/>
    <col min="16" max="17" width="7.7109375" style="1142" customWidth="1"/>
    <col min="18" max="18" width="12.7109375" style="1142" customWidth="1"/>
    <col min="19" max="19" width="7.7109375" style="1142" customWidth="1"/>
    <col min="20" max="20" width="12.7109375" style="1142" hidden="1" customWidth="1"/>
    <col min="21" max="27" width="9.140625" style="1142" hidden="1" customWidth="1"/>
    <col min="28" max="28" width="14" style="1142" hidden="1" customWidth="1"/>
    <col min="29" max="31" width="9.140625" style="1142" hidden="1" customWidth="1"/>
    <col min="32" max="32" width="9" style="1161" customWidth="1"/>
    <col min="33" max="16384" width="9.140625" style="1142"/>
  </cols>
  <sheetData>
    <row r="1" spans="1:32" ht="30" customHeight="1" x14ac:dyDescent="0.35">
      <c r="A1" s="1677" t="s">
        <v>264</v>
      </c>
      <c r="B1" s="1677"/>
      <c r="C1" s="1677"/>
      <c r="D1" s="1677"/>
      <c r="E1" s="1677"/>
      <c r="F1" s="1677"/>
      <c r="G1" s="1677"/>
      <c r="H1" s="1677"/>
      <c r="I1" s="1677"/>
      <c r="J1" s="1677"/>
      <c r="K1" s="1677"/>
      <c r="L1" s="1677"/>
      <c r="M1" s="1677"/>
      <c r="N1" s="1677"/>
      <c r="O1" s="1677"/>
      <c r="P1" s="1677"/>
      <c r="Q1" s="1677"/>
      <c r="R1" s="1677"/>
      <c r="S1" s="1677"/>
      <c r="T1" s="1143"/>
    </row>
    <row r="2" spans="1:32" ht="15" customHeight="1" x14ac:dyDescent="0.25">
      <c r="A2" s="1678" t="s">
        <v>85</v>
      </c>
      <c r="B2" s="1678"/>
      <c r="C2" s="1679" t="str">
        <f>'Informasi Debitur'!J5</f>
        <v xml:space="preserve">OH NJEN LIENG </v>
      </c>
      <c r="D2" s="1679"/>
      <c r="E2" s="1679"/>
      <c r="F2" s="1679"/>
      <c r="G2" s="1109"/>
      <c r="H2" s="1109"/>
      <c r="I2" s="1109"/>
      <c r="J2" s="1109"/>
      <c r="K2" s="1109"/>
      <c r="L2" s="1109"/>
      <c r="M2" s="1109"/>
      <c r="N2" s="1109"/>
      <c r="O2" s="1109"/>
      <c r="P2" s="1109"/>
      <c r="Q2" s="1109"/>
      <c r="R2" s="1109"/>
      <c r="S2" s="1109"/>
    </row>
    <row r="3" spans="1:32" ht="15" customHeight="1" x14ac:dyDescent="0.25">
      <c r="A3" s="1678" t="s">
        <v>84</v>
      </c>
      <c r="B3" s="1678"/>
      <c r="C3" s="1680" t="str">
        <f>'Informasi Debitur'!J7</f>
        <v>0008C00010251</v>
      </c>
      <c r="D3" s="1680"/>
      <c r="E3" s="1680"/>
      <c r="F3" s="1680"/>
      <c r="G3" s="1109"/>
      <c r="H3" s="1109"/>
      <c r="I3" s="1109"/>
      <c r="J3" s="1109"/>
      <c r="K3" s="1109"/>
      <c r="L3" s="1109"/>
      <c r="M3" s="1109"/>
      <c r="N3" s="1109"/>
      <c r="O3" s="1109"/>
      <c r="P3" s="1109"/>
      <c r="Q3" s="1109"/>
      <c r="R3" s="1109"/>
      <c r="S3" s="1109"/>
    </row>
    <row r="4" spans="1:32" ht="5.0999999999999996" customHeight="1" x14ac:dyDescent="0.25">
      <c r="A4" s="1109"/>
      <c r="B4" s="1109"/>
      <c r="C4" s="1109"/>
      <c r="D4" s="1109"/>
      <c r="E4" s="1109"/>
      <c r="F4" s="1109"/>
      <c r="G4" s="1109"/>
      <c r="H4" s="1109"/>
      <c r="I4" s="1109"/>
      <c r="J4" s="1109"/>
      <c r="K4" s="1109"/>
      <c r="L4" s="1109"/>
      <c r="M4" s="1109"/>
      <c r="N4" s="1109"/>
      <c r="O4" s="1109"/>
      <c r="P4" s="1109"/>
      <c r="Q4" s="1109"/>
      <c r="R4" s="1109"/>
      <c r="S4" s="1109"/>
    </row>
    <row r="5" spans="1:32" ht="5.0999999999999996" hidden="1" customHeight="1" x14ac:dyDescent="0.25">
      <c r="A5" s="1109"/>
      <c r="B5" s="1109"/>
      <c r="C5" s="1109"/>
      <c r="D5" s="1109"/>
      <c r="E5" s="1109"/>
      <c r="F5" s="1109"/>
      <c r="G5" s="1109"/>
      <c r="H5" s="1109"/>
      <c r="I5" s="1109"/>
      <c r="J5" s="1109"/>
      <c r="K5" s="1109"/>
      <c r="L5" s="1109"/>
      <c r="M5" s="1109"/>
      <c r="N5" s="1109"/>
      <c r="O5" s="1109"/>
      <c r="P5" s="1109"/>
      <c r="Q5" s="1109"/>
      <c r="R5" s="1109"/>
      <c r="S5" s="1109"/>
      <c r="AF5" s="1141"/>
    </row>
    <row r="6" spans="1:32" x14ac:dyDescent="0.25">
      <c r="A6" s="1681" t="s">
        <v>269</v>
      </c>
      <c r="B6" s="1682"/>
      <c r="C6" s="1682"/>
      <c r="D6" s="1682"/>
      <c r="E6" s="1682"/>
      <c r="F6" s="1682"/>
      <c r="G6" s="1682"/>
      <c r="H6" s="1682"/>
      <c r="I6" s="1682"/>
      <c r="J6" s="1682"/>
      <c r="K6" s="1682"/>
      <c r="L6" s="1682"/>
      <c r="M6" s="1682"/>
      <c r="N6" s="1682"/>
      <c r="O6" s="1682"/>
      <c r="P6" s="1682"/>
      <c r="Q6" s="1682"/>
      <c r="R6" s="1682"/>
      <c r="S6" s="1682"/>
      <c r="T6" s="1144"/>
    </row>
    <row r="7" spans="1:32" ht="5.0999999999999996" customHeight="1" x14ac:dyDescent="0.25">
      <c r="A7" s="1109"/>
      <c r="B7" s="1109"/>
      <c r="C7" s="1109"/>
      <c r="D7" s="1109"/>
      <c r="E7" s="1109"/>
      <c r="F7" s="1109"/>
      <c r="G7" s="1109"/>
      <c r="H7" s="1109"/>
      <c r="I7" s="1109"/>
      <c r="J7" s="1109"/>
      <c r="K7" s="1109"/>
      <c r="L7" s="1109"/>
      <c r="M7" s="1109"/>
      <c r="N7" s="1109"/>
      <c r="O7" s="1109"/>
      <c r="P7" s="1109"/>
      <c r="Q7" s="1109"/>
      <c r="R7" s="1109"/>
      <c r="S7" s="1109"/>
    </row>
    <row r="8" spans="1:32" x14ac:dyDescent="0.25">
      <c r="A8" s="1117" t="s">
        <v>277</v>
      </c>
      <c r="B8" s="1137"/>
      <c r="C8" s="1109"/>
      <c r="D8" s="1674" t="s">
        <v>266</v>
      </c>
      <c r="E8" s="1674"/>
      <c r="F8" s="1675" t="s">
        <v>276</v>
      </c>
      <c r="G8" s="1676"/>
      <c r="H8" s="1675" t="s">
        <v>2980</v>
      </c>
      <c r="I8" s="1676"/>
      <c r="J8" s="1112"/>
      <c r="K8" s="1112"/>
      <c r="L8" s="1112"/>
      <c r="M8" s="1112"/>
      <c r="N8" s="1112"/>
      <c r="O8" s="1112"/>
      <c r="P8" s="1112"/>
      <c r="Q8" s="1112"/>
      <c r="R8" s="1112"/>
      <c r="S8" s="1112"/>
      <c r="T8" s="1140"/>
    </row>
    <row r="9" spans="1:32" x14ac:dyDescent="0.25">
      <c r="A9" s="1112"/>
      <c r="B9" s="1112"/>
      <c r="C9" s="1109"/>
      <c r="D9" s="1683">
        <f>B31</f>
        <v>43094</v>
      </c>
      <c r="E9" s="1683"/>
      <c r="F9" s="1684">
        <f>SUM(C39,C56,C73,C90,C107,C124,C141,C158,C175,C192,C209,C226,C243,C260,C277)</f>
        <v>0</v>
      </c>
      <c r="G9" s="1685"/>
      <c r="H9" s="1686">
        <f>SUM(C295,C315,C335,C355,C375,C395,C415,C435,C455,C475,C495,C515,C535,C555,C575)</f>
        <v>951.31999999999994</v>
      </c>
      <c r="I9" s="1687"/>
      <c r="J9" s="1112"/>
      <c r="K9" s="1112"/>
      <c r="L9" s="1112"/>
      <c r="M9" s="1112"/>
      <c r="N9" s="1112"/>
      <c r="O9" s="1112"/>
      <c r="P9" s="1112"/>
      <c r="Q9" s="1112"/>
      <c r="R9" s="1112"/>
      <c r="S9" s="1112"/>
      <c r="T9" s="1140"/>
    </row>
    <row r="10" spans="1:32" x14ac:dyDescent="0.25">
      <c r="A10" s="1112"/>
      <c r="B10" s="1112"/>
      <c r="C10" s="1109"/>
      <c r="D10" s="1683">
        <f>E31</f>
        <v>43125</v>
      </c>
      <c r="E10" s="1683"/>
      <c r="F10" s="1684">
        <f>SUM(F39,F56,F73,F90,F107,F124,F141,F158,F175,F192,F209,F226,F243,F260,F277)</f>
        <v>0</v>
      </c>
      <c r="G10" s="1685"/>
      <c r="H10" s="1686">
        <f>SUM(F295,F315,F335,F355,F375,F395,F415,F435,F455,F475,F495,F515,F535,F555,F575)</f>
        <v>463.85</v>
      </c>
      <c r="I10" s="1687"/>
      <c r="J10" s="1112"/>
      <c r="K10" s="1112"/>
      <c r="L10" s="1112"/>
      <c r="M10" s="1112"/>
      <c r="N10" s="1112"/>
      <c r="O10" s="1112"/>
      <c r="P10" s="1112"/>
      <c r="Q10" s="1112"/>
      <c r="R10" s="1112"/>
      <c r="S10" s="1112"/>
      <c r="T10" s="1140"/>
    </row>
    <row r="11" spans="1:32" x14ac:dyDescent="0.25">
      <c r="A11" s="1112"/>
      <c r="B11" s="1112"/>
      <c r="C11" s="1109"/>
      <c r="D11" s="1683">
        <f>H31</f>
        <v>43156</v>
      </c>
      <c r="E11" s="1683"/>
      <c r="F11" s="1684">
        <f>SUM(I39,I56,I73,I90,I107,I124,I141,I158,I175,I192,I209,I226,I243,I260,I277)</f>
        <v>0</v>
      </c>
      <c r="G11" s="1685"/>
      <c r="H11" s="1686">
        <f>SUM(I295,I315,I335,I355,I375,I395,I415,I435,I455,I475,I495,I515,I535,I555,I575)</f>
        <v>521.69000000000005</v>
      </c>
      <c r="I11" s="1687"/>
      <c r="J11" s="1112"/>
      <c r="K11" s="1112"/>
      <c r="L11" s="1112"/>
      <c r="M11" s="1112"/>
      <c r="N11" s="1112"/>
      <c r="O11" s="1112"/>
      <c r="P11" s="1112"/>
      <c r="Q11" s="1112"/>
      <c r="R11" s="1112"/>
      <c r="S11" s="1112"/>
      <c r="T11" s="1140"/>
      <c r="V11" s="1142" t="s">
        <v>268</v>
      </c>
    </row>
    <row r="12" spans="1:32" x14ac:dyDescent="0.25">
      <c r="A12" s="1112"/>
      <c r="B12" s="1112"/>
      <c r="C12" s="1109"/>
      <c r="D12" s="1683">
        <f>K31</f>
        <v>43187</v>
      </c>
      <c r="E12" s="1683"/>
      <c r="F12" s="1684">
        <f>SUM(L39,L56,L73,L90,L107,L124,L141,L158,L175,L192,L209,L226,L243,L260,L277)</f>
        <v>0</v>
      </c>
      <c r="G12" s="1685"/>
      <c r="H12" s="1686">
        <f>SUM(L295,L315,L335,L355,L375,L395,L415,L435,L455,L475,L495,L515,L535,L555,L575)</f>
        <v>700.8900000000001</v>
      </c>
      <c r="I12" s="1687"/>
      <c r="J12" s="1112"/>
      <c r="K12" s="1112"/>
      <c r="L12" s="1112"/>
      <c r="M12" s="1112"/>
      <c r="N12" s="1112"/>
      <c r="O12" s="1112"/>
      <c r="P12" s="1112"/>
      <c r="Q12" s="1112"/>
      <c r="R12" s="1112"/>
      <c r="S12" s="1112"/>
      <c r="T12" s="1140"/>
    </row>
    <row r="13" spans="1:32" x14ac:dyDescent="0.25">
      <c r="A13" s="1112"/>
      <c r="B13" s="1112"/>
      <c r="C13" s="1109"/>
      <c r="D13" s="1683">
        <f>N31</f>
        <v>43218</v>
      </c>
      <c r="E13" s="1683"/>
      <c r="F13" s="1684">
        <f>SUM(O39,O56,O73,O90,O107,O124,O141,O158,O175,O192,O209,O226,O243,O260,O277)</f>
        <v>0</v>
      </c>
      <c r="G13" s="1685"/>
      <c r="H13" s="1686">
        <f>SUM(O295,O315,O335,O355,O375,O395,O415,O435,O455,O475,O495,O515,O535,O555,O575)</f>
        <v>361.34000000000003</v>
      </c>
      <c r="I13" s="1687"/>
      <c r="J13" s="1112"/>
      <c r="K13" s="1112"/>
      <c r="L13" s="1112"/>
      <c r="M13" s="1112"/>
      <c r="N13" s="1112"/>
      <c r="O13" s="1112"/>
      <c r="P13" s="1112"/>
      <c r="Q13" s="1112"/>
      <c r="R13" s="1112"/>
      <c r="S13" s="1112"/>
      <c r="T13" s="1140"/>
    </row>
    <row r="14" spans="1:32" x14ac:dyDescent="0.25">
      <c r="A14" s="1112"/>
      <c r="B14" s="1112"/>
      <c r="C14" s="1109"/>
      <c r="D14" s="1683">
        <f>Q31</f>
        <v>43249</v>
      </c>
      <c r="E14" s="1683"/>
      <c r="F14" s="1684">
        <f>SUM(R39,R56,R73,R90,R107,R124,R141,R158,R175,R192,R209,R226,R243,R260,R277)</f>
        <v>0</v>
      </c>
      <c r="G14" s="1685"/>
      <c r="H14" s="1686">
        <f>SUM(R295,R315,R335,R355,R375,R395,R415,R435,R455,R475,R495,R515,R535,R555,R575)</f>
        <v>251.39</v>
      </c>
      <c r="I14" s="1687"/>
      <c r="J14" s="1112"/>
      <c r="K14" s="1112"/>
      <c r="L14" s="1112"/>
      <c r="M14" s="1112"/>
      <c r="N14" s="1112"/>
      <c r="O14" s="1112"/>
      <c r="P14" s="1112"/>
      <c r="Q14" s="1112"/>
      <c r="R14" s="1112"/>
      <c r="S14" s="1112"/>
      <c r="T14" s="1140"/>
    </row>
    <row r="15" spans="1:32" x14ac:dyDescent="0.25">
      <c r="A15" s="1112"/>
      <c r="B15" s="1112"/>
      <c r="C15" s="1109"/>
      <c r="D15" s="1701" t="s">
        <v>267</v>
      </c>
      <c r="E15" s="1701"/>
      <c r="F15" s="1675">
        <f>SUM(F9:G14)</f>
        <v>0</v>
      </c>
      <c r="G15" s="1676"/>
      <c r="H15" s="1702"/>
      <c r="I15" s="1703"/>
      <c r="J15" s="1112"/>
      <c r="K15" s="1112"/>
      <c r="L15" s="1112"/>
      <c r="M15" s="1112"/>
      <c r="N15" s="1112"/>
      <c r="O15" s="1112"/>
      <c r="P15" s="1112"/>
      <c r="Q15" s="1112"/>
      <c r="R15" s="1112"/>
      <c r="S15" s="1112"/>
      <c r="T15" s="1140"/>
    </row>
    <row r="16" spans="1:32" x14ac:dyDescent="0.25">
      <c r="A16" s="1112"/>
      <c r="B16" s="1112"/>
      <c r="C16" s="1109"/>
      <c r="D16" s="1118"/>
      <c r="E16" s="1109"/>
      <c r="F16" s="1119"/>
      <c r="G16" s="1119"/>
      <c r="H16" s="1112"/>
      <c r="I16" s="1112"/>
      <c r="J16" s="1112"/>
      <c r="K16" s="1112"/>
      <c r="L16" s="1112"/>
      <c r="M16" s="1112"/>
      <c r="N16" s="1112"/>
      <c r="O16" s="1112"/>
      <c r="P16" s="1112"/>
      <c r="Q16" s="1112"/>
      <c r="R16" s="1112"/>
      <c r="S16" s="1112"/>
      <c r="T16" s="1140"/>
      <c r="V16" s="1142" t="s">
        <v>674</v>
      </c>
      <c r="W16" s="1142" t="s">
        <v>675</v>
      </c>
      <c r="X16" s="1142" t="s">
        <v>676</v>
      </c>
      <c r="Y16" s="1142" t="s">
        <v>2975</v>
      </c>
      <c r="Z16" s="1142" t="s">
        <v>2976</v>
      </c>
      <c r="AA16" s="1142" t="s">
        <v>2977</v>
      </c>
      <c r="AB16" s="1142" t="s">
        <v>2978</v>
      </c>
      <c r="AC16" s="1142" t="s">
        <v>706</v>
      </c>
      <c r="AD16" s="1156" t="s">
        <v>7968</v>
      </c>
    </row>
    <row r="17" spans="1:32" ht="15" customHeight="1" x14ac:dyDescent="0.25">
      <c r="A17" s="1112" t="s">
        <v>4321</v>
      </c>
      <c r="B17" s="1112"/>
      <c r="C17" s="1109"/>
      <c r="D17" s="1118"/>
      <c r="E17" s="1109"/>
      <c r="F17" s="1704"/>
      <c r="G17" s="1705"/>
      <c r="H17" s="1112"/>
      <c r="I17" s="1112"/>
      <c r="J17" s="1112" t="s">
        <v>4322</v>
      </c>
      <c r="K17" s="1112"/>
      <c r="L17" s="1112"/>
      <c r="M17" s="1112"/>
      <c r="N17" s="1112"/>
      <c r="O17" s="1706"/>
      <c r="P17" s="1707"/>
      <c r="Q17" s="1112"/>
      <c r="R17" s="1112"/>
      <c r="S17" s="1112"/>
      <c r="T17" s="1140"/>
      <c r="U17" s="1142" t="s">
        <v>677</v>
      </c>
      <c r="V17" s="1145">
        <f>IF(ISERROR(SUM(C33:C36)/COUNT(C33:C36)),0,SUM(C33:C36)/COUNT(C33:C36))</f>
        <v>0</v>
      </c>
      <c r="W17" s="1145">
        <f>IF(ISERROR(SUM(F33:F36)/COUNT(F33:F36)),0,SUM(F33:F36)/COUNT(F33:F36))</f>
        <v>0</v>
      </c>
      <c r="X17" s="1145">
        <f>IF(ISERROR(SUM(I33:I36)/COUNT(I33:I36)),0,SUM(I33:I36)/COUNT(I33:I36))</f>
        <v>0</v>
      </c>
      <c r="Y17" s="1145">
        <f>IF(ISERROR(SUM(L33:L36)/COUNT(L33:L36)),0,SUM(L33:L36)/COUNT(L33:L36))</f>
        <v>0</v>
      </c>
      <c r="Z17" s="1145">
        <f>IF(ISERROR(SUM(O33:O36)/COUNT(O33:O36)),0,SUM(O33:O36)/COUNT(O33:O36))</f>
        <v>0</v>
      </c>
      <c r="AA17" s="1145">
        <f>IF(ISERROR(SUM(R33:R36)/COUNT(R33:R36)),0,SUM(R33:R36)/COUNT(R33:R36))</f>
        <v>0</v>
      </c>
      <c r="AB17" s="1145">
        <f t="shared" ref="AB17:AB26" si="0">IF(ISERROR(SUM(V17:AA17)/AB35),0,SUM(V17:AA17)/AB35)</f>
        <v>0</v>
      </c>
      <c r="AC17" s="1145">
        <f>M27</f>
        <v>0</v>
      </c>
      <c r="AD17" s="888">
        <f>IF(AC17&lt;&gt;0,M283,0)</f>
        <v>0</v>
      </c>
    </row>
    <row r="18" spans="1:32" x14ac:dyDescent="0.25">
      <c r="A18" s="1117" t="s">
        <v>2981</v>
      </c>
      <c r="B18" s="1117"/>
      <c r="C18" s="1109"/>
      <c r="D18" s="1116"/>
      <c r="E18" s="1138"/>
      <c r="F18" s="1688">
        <f>IF('Analisa Lap Keu'!G68&lt;&gt;"",'Analisa Lap Keu'!G68/12,IF('Analisa Lap Keu'!E68&lt;&gt;"",'Analisa Lap Keu'!E68/12,IF('Analisa Lap Keu'!C68&lt;&gt;"",'Analisa Lap Keu'!C68/12,IF('Analisa Lap Keu'!B68&lt;&gt;"",'Analisa Lap Keu'!B68/12,""))))</f>
        <v>1563.5808333333334</v>
      </c>
      <c r="G18" s="1689"/>
      <c r="H18" s="1112"/>
      <c r="I18" s="1112"/>
      <c r="J18" s="1112" t="s">
        <v>2980</v>
      </c>
      <c r="K18" s="1112"/>
      <c r="L18" s="1112"/>
      <c r="M18" s="1112"/>
      <c r="N18" s="1112"/>
      <c r="O18" s="1708">
        <f>SUM(K283,K303,K323,K343,K363,K383,K403,K423,K443,K463,K483,K503,K523,K543,K563)</f>
        <v>541.74666666666667</v>
      </c>
      <c r="P18" s="1709"/>
      <c r="Q18" s="1112"/>
      <c r="R18" s="1112"/>
      <c r="S18" s="1112"/>
      <c r="T18" s="1140"/>
      <c r="U18" s="1142" t="s">
        <v>678</v>
      </c>
      <c r="V18" s="1145">
        <f>IF(ISERROR(SUM(C50:C53)/COUNT(C50:C53)),0,SUM(C50:C53)/COUNT(C50:C53))</f>
        <v>0</v>
      </c>
      <c r="W18" s="1145">
        <f>IF(ISERROR(SUM(F50:F53)/COUNT(F50:F53)),0,SUM(F50:F53)/COUNT(F50:F53))</f>
        <v>0</v>
      </c>
      <c r="X18" s="1145">
        <f>IF(ISERROR(SUM(I50:I53)/COUNT(I50:I53)),0,SUM(I50:I53)/COUNT(I50:I53))</f>
        <v>0</v>
      </c>
      <c r="Y18" s="1145">
        <f>IF(ISERROR(SUM(L50:L53)/COUNT(L50:L53)),0,SUM(L50:L53)/COUNT(L50:L53))</f>
        <v>0</v>
      </c>
      <c r="Z18" s="1145">
        <f>IF(ISERROR(SUM(O50:O53)/COUNT(O50:O53)),0,SUM(O50:O53)/COUNT(O50:O53))</f>
        <v>0</v>
      </c>
      <c r="AA18" s="1145">
        <f>IF(ISERROR(SUM(R50:R53)/COUNT(R50:R53)),0,SUM(R50:R53)/COUNT(R50:R53))</f>
        <v>0</v>
      </c>
      <c r="AB18" s="1145">
        <f t="shared" si="0"/>
        <v>0</v>
      </c>
      <c r="AC18" s="1145">
        <f>M44</f>
        <v>0</v>
      </c>
      <c r="AD18" s="888">
        <f>IF(AC18&lt;&gt;0,M303,0)</f>
        <v>0</v>
      </c>
    </row>
    <row r="19" spans="1:32" x14ac:dyDescent="0.25">
      <c r="A19" s="1117" t="s">
        <v>2982</v>
      </c>
      <c r="B19" s="1117"/>
      <c r="C19" s="1109"/>
      <c r="D19" s="1116"/>
      <c r="E19" s="1138"/>
      <c r="F19" s="1688">
        <f>SUM(M27,M44,M61,M78,M95,M112,M129,M146,M163,M180,M197,M214,M231,M248,M265)</f>
        <v>0</v>
      </c>
      <c r="G19" s="1689"/>
      <c r="H19" s="1112"/>
      <c r="I19" s="1112"/>
      <c r="J19" s="1653" t="s">
        <v>762</v>
      </c>
      <c r="K19" s="1653"/>
      <c r="L19" s="1653"/>
      <c r="M19" s="1653"/>
      <c r="N19" s="1698"/>
      <c r="O19" s="1699">
        <f>IF(F18&lt;&gt;"",SUM(K283,K303,K323,K343,K363,K383,K403,K423,K443,K463,K483,K503,K523,K543,K563)/F18,"")</f>
        <v>0.34647819614911712</v>
      </c>
      <c r="P19" s="1700"/>
      <c r="Q19" s="1112"/>
      <c r="R19" s="1112"/>
      <c r="S19" s="1112"/>
      <c r="T19" s="1140"/>
      <c r="U19" s="1142" t="s">
        <v>679</v>
      </c>
      <c r="V19" s="1145">
        <f>IF(ISERROR(SUM(C67:C70)/COUNT(C67:C70)),0,SUM(C67:C70)/COUNT(C67:C70))</f>
        <v>0</v>
      </c>
      <c r="W19" s="1145">
        <f>IF(ISERROR(SUM(F67:F70)/COUNT(F67:F70)),0,SUM(F67:F70)/COUNT(F67:F70))</f>
        <v>0</v>
      </c>
      <c r="X19" s="1145">
        <f>IF(ISERROR(SUM(I67:I70)/COUNT(I67:I70)),0,SUM(I67:I70)/COUNT(I67:I70))</f>
        <v>0</v>
      </c>
      <c r="Y19" s="1145">
        <f>IF(ISERROR(SUM(L67:L70)/COUNT(L67:L70)),0,SUM(L67:L70)/COUNT(L67:L70))</f>
        <v>0</v>
      </c>
      <c r="Z19" s="1145">
        <f>IF(ISERROR(SUM(O67:O70)/COUNT(O67:O70)),0,SUM(O67:O70)/COUNT(O67:O70))</f>
        <v>0</v>
      </c>
      <c r="AA19" s="1145">
        <f>IF(ISERROR(SUM(R67:R70)/COUNT(R67:R70)),0,SUM(R67:R70)/COUNT(R67:R70))</f>
        <v>0</v>
      </c>
      <c r="AB19" s="1145">
        <f t="shared" si="0"/>
        <v>0</v>
      </c>
      <c r="AC19" s="1145">
        <f>M61</f>
        <v>0</v>
      </c>
      <c r="AD19" s="888">
        <f>IF(AC19&lt;&gt;0,M323,0)</f>
        <v>0</v>
      </c>
    </row>
    <row r="20" spans="1:32" ht="15" customHeight="1" x14ac:dyDescent="0.25">
      <c r="A20" s="1117" t="s">
        <v>766</v>
      </c>
      <c r="B20" s="1117"/>
      <c r="C20" s="1109"/>
      <c r="D20" s="1116"/>
      <c r="E20" s="1138"/>
      <c r="F20" s="1699" t="str">
        <f>IF(ISERROR(SUM(K284,K304,K324,K344,K364,K384,K404,K424,K444,K464,K484,K504,K524,K544,K564)/F19),"",SUM(K284,K304,K324,K344,K364,K384,K404,K424,K444,K464,K484,K504,K524,K544,K564)/F19)</f>
        <v/>
      </c>
      <c r="G20" s="1700"/>
      <c r="H20" s="1112"/>
      <c r="I20" s="1112"/>
      <c r="J20" s="1654" t="s">
        <v>7994</v>
      </c>
      <c r="K20" s="1654"/>
      <c r="L20" s="1654"/>
      <c r="M20" s="1654"/>
      <c r="N20" s="1654"/>
      <c r="O20" s="1690" t="s">
        <v>331</v>
      </c>
      <c r="P20" s="1691"/>
      <c r="Q20" s="1112"/>
      <c r="R20" s="1112"/>
      <c r="S20" s="1112"/>
      <c r="T20" s="1140"/>
      <c r="U20" s="1142" t="s">
        <v>680</v>
      </c>
      <c r="V20" s="1145">
        <f>IF(ISERROR(SUM(C84:C87)/COUNT(C84:C87)),0,SUM(C84:C87)/COUNT(C84:C87))</f>
        <v>0</v>
      </c>
      <c r="W20" s="1145">
        <f>IF(ISERROR(SUM(F84:F87)/COUNT(F84:F87)),0,SUM(F84:F87)/COUNT(F84:F87))</f>
        <v>0</v>
      </c>
      <c r="X20" s="1145">
        <f>IF(ISERROR(SUM(I84:I87)/COUNT(I84:I87)),0,SUM(I84:I87)/COUNT(I84:I87))</f>
        <v>0</v>
      </c>
      <c r="Y20" s="1145">
        <f>IF(ISERROR(SUM(L84:L87)/COUNT(L84:L87)),0,SUM(L84:L87)/COUNT(L84:L87))</f>
        <v>0</v>
      </c>
      <c r="Z20" s="1145">
        <f>IF(ISERROR(SUM(O84:O87)/COUNT(O84:O87)),0,SUM(O84:O87)/COUNT(O84:O87))</f>
        <v>0</v>
      </c>
      <c r="AA20" s="1145">
        <f>IF(ISERROR(SUM(R84:R87)/COUNT(R84:R87)),0,SUM(R84:R87)/COUNT(R84:R87))</f>
        <v>0</v>
      </c>
      <c r="AB20" s="1145">
        <f t="shared" si="0"/>
        <v>0</v>
      </c>
      <c r="AC20" s="1145">
        <f>M78</f>
        <v>0</v>
      </c>
      <c r="AD20" s="888">
        <f>IF(AC20&lt;&gt;0,M343,0)</f>
        <v>0</v>
      </c>
    </row>
    <row r="21" spans="1:32" ht="15" customHeight="1" x14ac:dyDescent="0.25">
      <c r="A21" s="1112" t="s">
        <v>3164</v>
      </c>
      <c r="B21" s="1109"/>
      <c r="C21" s="1109"/>
      <c r="D21" s="1109"/>
      <c r="E21" s="1109"/>
      <c r="F21" s="1699" t="str">
        <f>IF(ISERROR((AB32+(-O17))/(AC32+(-F17))),"",(AB32+(-O17))/(AC32+(-F17)))</f>
        <v/>
      </c>
      <c r="G21" s="1700"/>
      <c r="H21" s="1112"/>
      <c r="I21" s="1112"/>
      <c r="J21" s="1654"/>
      <c r="K21" s="1654"/>
      <c r="L21" s="1654"/>
      <c r="M21" s="1654"/>
      <c r="N21" s="1654"/>
      <c r="O21" s="1692"/>
      <c r="P21" s="1693"/>
      <c r="Q21" s="1112"/>
      <c r="R21" s="1112"/>
      <c r="S21" s="1112"/>
      <c r="T21" s="1140"/>
      <c r="U21" s="1142" t="s">
        <v>681</v>
      </c>
      <c r="V21" s="1145">
        <f>IF(ISERROR(SUM(C101:C104)/COUNT(C101:C104)),0,SUM(C101:C104)/COUNT(C101:C104))</f>
        <v>0</v>
      </c>
      <c r="W21" s="1145">
        <f>IF(ISERROR(SUM(F101:F104)/COUNT(F101:F104)),0,SUM(F101:F104)/COUNT(F101:F104))</f>
        <v>0</v>
      </c>
      <c r="X21" s="1145">
        <f>IF(ISERROR(SUM(I101:I104)/COUNT(I101:I104)),0,SUM(I101:I104)/COUNT(I101:I104))</f>
        <v>0</v>
      </c>
      <c r="Y21" s="1145">
        <f>IF(ISERROR(SUM(L101:L104)/COUNT(L101:L104)),0,SUM(L101:L104)/COUNT(L101:L104))</f>
        <v>0</v>
      </c>
      <c r="Z21" s="1145">
        <f>IF(ISERROR(SUM(O101:O104)/COUNT(O101:O104)),0,SUM(O101:O104)/COUNT(O101:O104))</f>
        <v>0</v>
      </c>
      <c r="AA21" s="1145">
        <f>IF(ISERROR(SUM(R101:R104)/COUNT(R101:R104)),0,SUM(R101:R104)/COUNT(R101:R104))</f>
        <v>0</v>
      </c>
      <c r="AB21" s="1145">
        <f t="shared" si="0"/>
        <v>0</v>
      </c>
      <c r="AC21" s="1145">
        <f>M95</f>
        <v>0</v>
      </c>
      <c r="AD21" s="888">
        <f>IF(AC21&lt;&gt;0,M363,0)</f>
        <v>0</v>
      </c>
      <c r="AF21" s="1162" t="s">
        <v>7678</v>
      </c>
    </row>
    <row r="22" spans="1:32" ht="39.950000000000003" customHeight="1" x14ac:dyDescent="0.25">
      <c r="A22" s="1694" t="s">
        <v>8032</v>
      </c>
      <c r="B22" s="1694"/>
      <c r="C22" s="1694"/>
      <c r="D22" s="1694"/>
      <c r="E22" s="1695"/>
      <c r="F22" s="1688">
        <f>SUM(K286,K306,K326,K346,K366,K386,K406,K426,K446,K466,K486,K506,K526,K546,K566)</f>
        <v>316.39308333333332</v>
      </c>
      <c r="G22" s="1689"/>
      <c r="H22" s="1109"/>
      <c r="I22" s="1109"/>
      <c r="J22" s="1654" t="s">
        <v>8036</v>
      </c>
      <c r="K22" s="1654"/>
      <c r="L22" s="1654"/>
      <c r="M22" s="1654"/>
      <c r="N22" s="1654"/>
      <c r="O22" s="1696"/>
      <c r="P22" s="1697"/>
      <c r="Q22" s="1109"/>
      <c r="R22" s="1109"/>
      <c r="S22" s="1109"/>
      <c r="U22" s="1142" t="s">
        <v>682</v>
      </c>
      <c r="V22" s="1145">
        <f>IF(ISERROR(SUM(C118:C121)/COUNT(C118:C121)),0,SUM(C118:C121)/COUNT(C118:C121))</f>
        <v>0</v>
      </c>
      <c r="W22" s="1145">
        <f>IF(ISERROR(SUM(F118:F121)/COUNT(F118:F121)),0,SUM(F118:F121)/COUNT(F118:F121))</f>
        <v>0</v>
      </c>
      <c r="X22" s="1145">
        <f>IF(ISERROR(SUM(I118:I121)/COUNT(I118:I121)),0,SUM(I118:I121)/COUNT(I118:I121))</f>
        <v>0</v>
      </c>
      <c r="Y22" s="1145">
        <f>IF(ISERROR(SUM(L118:L121)/COUNT(L118:L121)),0,SUM(L118:L121)/COUNT(L118:L121))</f>
        <v>0</v>
      </c>
      <c r="Z22" s="1145">
        <f>IF(ISERROR(SUM(O118:O121)/COUNT(O118:O121)),0,SUM(O118:O121)/COUNT(O118:O121))</f>
        <v>0</v>
      </c>
      <c r="AA22" s="1145">
        <f>IF(ISERROR(SUM(R118:R121)/COUNT(R118:R121)),0,SUM(R118:R121)/COUNT(R118:R121))</f>
        <v>0</v>
      </c>
      <c r="AB22" s="1145">
        <f t="shared" si="0"/>
        <v>0</v>
      </c>
      <c r="AC22" s="1145">
        <f>M112</f>
        <v>0</v>
      </c>
      <c r="AD22" s="888">
        <f>IF(AC22&lt;&gt;0,M383,0)</f>
        <v>0</v>
      </c>
    </row>
    <row r="23" spans="1:32" x14ac:dyDescent="0.25">
      <c r="A23" s="1718" t="s">
        <v>7995</v>
      </c>
      <c r="B23" s="1718"/>
      <c r="C23" s="1718"/>
      <c r="D23" s="1718"/>
      <c r="E23" s="1718"/>
      <c r="F23" s="1718"/>
      <c r="G23" s="1718"/>
      <c r="H23" s="1718"/>
      <c r="I23" s="1718"/>
      <c r="J23" s="1718"/>
      <c r="K23" s="1718"/>
      <c r="L23" s="1718"/>
      <c r="M23" s="1718"/>
      <c r="N23" s="1718"/>
      <c r="O23" s="1718"/>
      <c r="P23" s="1718"/>
      <c r="Q23" s="1718"/>
      <c r="R23" s="1718"/>
      <c r="S23" s="1718"/>
      <c r="T23" s="1144"/>
      <c r="U23" s="1142" t="s">
        <v>683</v>
      </c>
      <c r="V23" s="1145">
        <f>IF(ISERROR(SUM(C135:C138)/COUNT(C135:C138)),0,SUM(C135:C138)/COUNT(C135:C138))</f>
        <v>0</v>
      </c>
      <c r="W23" s="1145">
        <f>IF(ISERROR(SUM(F135:F138)/COUNT(F135:F138)),0,SUM(F135:F138)/COUNT(F135:F138))</f>
        <v>0</v>
      </c>
      <c r="X23" s="1145">
        <f>IF(ISERROR(SUM(I135:I138)/COUNT(I135:I138)),0,SUM(I135:I138)/COUNT(I135:I138))</f>
        <v>0</v>
      </c>
      <c r="Y23" s="1145">
        <f>IF(ISERROR(SUM(L135:L138)/COUNT(L135:L138)),0,SUM(L135:L138)/COUNT(L135:L138))</f>
        <v>0</v>
      </c>
      <c r="Z23" s="1145">
        <f>IF(ISERROR(SUM(O135:O138)/COUNT(O135:O138)),0,SUM(O135:O138)/COUNT(O135:O138))</f>
        <v>0</v>
      </c>
      <c r="AA23" s="1145">
        <f>IF(ISERROR(SUM(R135:R138)/COUNT(R135:R138)),0,SUM(R135:R138)/COUNT(R135:R138))</f>
        <v>0</v>
      </c>
      <c r="AB23" s="1145">
        <f t="shared" si="0"/>
        <v>0</v>
      </c>
      <c r="AC23" s="1145">
        <f>M129</f>
        <v>0</v>
      </c>
      <c r="AD23" s="888">
        <f>IF(AC23&lt;&gt;0,M403,0)</f>
        <v>0</v>
      </c>
      <c r="AF23" s="1163">
        <v>3</v>
      </c>
    </row>
    <row r="24" spans="1:32" x14ac:dyDescent="0.25">
      <c r="A24" s="1719" t="s">
        <v>7996</v>
      </c>
      <c r="B24" s="1719"/>
      <c r="C24" s="1719"/>
      <c r="D24" s="1719"/>
      <c r="E24" s="1719"/>
      <c r="F24" s="1719"/>
      <c r="G24" s="1719"/>
      <c r="H24" s="1719"/>
      <c r="I24" s="1719"/>
      <c r="J24" s="1719"/>
      <c r="K24" s="1719"/>
      <c r="L24" s="1719"/>
      <c r="M24" s="1719"/>
      <c r="N24" s="1719"/>
      <c r="O24" s="1719"/>
      <c r="P24" s="1719"/>
      <c r="Q24" s="1719"/>
      <c r="R24" s="1719"/>
      <c r="S24" s="1719"/>
      <c r="T24" s="1146"/>
      <c r="U24" s="1142" t="s">
        <v>684</v>
      </c>
      <c r="V24" s="1145">
        <f>IF(ISERROR(SUM(C152:C155)/COUNT(C152:C155)),0,SUM(C152:C155)/COUNT(C152:C155))</f>
        <v>0</v>
      </c>
      <c r="W24" s="1145">
        <f>IF(ISERROR(SUM(F152:F155)/COUNT(F152:F155)),0,SUM(F152:F155)/COUNT(F152:F155))</f>
        <v>0</v>
      </c>
      <c r="X24" s="1145">
        <f>IF(ISERROR(SUM(I152:I155)/COUNT(I152:I155)),0,SUM(I152:I155)/COUNT(I152:I155))</f>
        <v>0</v>
      </c>
      <c r="Y24" s="1145">
        <f>IF(ISERROR(SUM(L152:L155)/COUNT(L152:L155)),0,SUM(L152:L155)/COUNT(L152:L155))</f>
        <v>0</v>
      </c>
      <c r="Z24" s="1145">
        <f>IF(ISERROR(SUM(O152:O155)/COUNT(O152:O155)),0,SUM(O152:O155)/COUNT(O152:O155))</f>
        <v>0</v>
      </c>
      <c r="AA24" s="1145">
        <f>IF(ISERROR(SUM(R152:R155)/COUNT(R152:R155)),0,SUM(R152:R155)/COUNT(R152:R155))</f>
        <v>0</v>
      </c>
      <c r="AB24" s="1145">
        <f t="shared" si="0"/>
        <v>0</v>
      </c>
      <c r="AC24" s="1145">
        <f>M146</f>
        <v>0</v>
      </c>
      <c r="AD24" s="888">
        <f>IF(AC24&lt;&gt;0,M423,0)</f>
        <v>0</v>
      </c>
      <c r="AF24" s="1161">
        <v>1</v>
      </c>
    </row>
    <row r="25" spans="1:32" ht="4.5" customHeight="1" x14ac:dyDescent="0.25">
      <c r="A25" s="1109"/>
      <c r="B25" s="1109"/>
      <c r="C25" s="1109"/>
      <c r="D25" s="1109"/>
      <c r="E25" s="1109"/>
      <c r="F25" s="1109"/>
      <c r="G25" s="1109"/>
      <c r="H25" s="1109"/>
      <c r="I25" s="1109"/>
      <c r="J25" s="1109"/>
      <c r="K25" s="1109"/>
      <c r="L25" s="1109"/>
      <c r="M25" s="1109"/>
      <c r="N25" s="1109"/>
      <c r="O25" s="1109"/>
      <c r="P25" s="1109"/>
      <c r="Q25" s="1109"/>
      <c r="R25" s="1109"/>
      <c r="S25" s="1109"/>
      <c r="U25" s="1142" t="s">
        <v>685</v>
      </c>
      <c r="V25" s="1145">
        <f>IF(ISERROR(SUM(C169:C172)/COUNT(C169:C172)),0,SUM(C169:C172)/COUNT(C169:C172))</f>
        <v>0</v>
      </c>
      <c r="W25" s="1145">
        <f>IF(ISERROR(SUM(F169:F172)/COUNT(F169:F172)),0,SUM(F169:F172)/COUNT(F169:F172))</f>
        <v>0</v>
      </c>
      <c r="X25" s="1145">
        <f>IF(ISERROR(SUM(I169:I172)/COUNT(I169:I172)),0,SUM(I169:I172)/COUNT(I169:I172))</f>
        <v>0</v>
      </c>
      <c r="Y25" s="1145">
        <f>IF(ISERROR(SUM(L169:L172)/COUNT(L169:L172)),0,SUM(L169:L172)/COUNT(L169:L172))</f>
        <v>0</v>
      </c>
      <c r="Z25" s="1145">
        <f>IF(ISERROR(SUM(O169:O172)/COUNT(O169:O172)),0,SUM(O169:O172)/COUNT(O169:O172))</f>
        <v>0</v>
      </c>
      <c r="AA25" s="1145">
        <f>IF(ISERROR(SUM(R169:R172)/COUNT(R169:R172)),0,SUM(R169:R172)/COUNT(R169:R172))</f>
        <v>0</v>
      </c>
      <c r="AB25" s="1145">
        <f t="shared" si="0"/>
        <v>0</v>
      </c>
      <c r="AC25" s="1145">
        <f>M163</f>
        <v>0</v>
      </c>
      <c r="AD25" s="888">
        <f>IF(AC25&lt;&gt;0,M443,0)</f>
        <v>0</v>
      </c>
      <c r="AF25" s="1161">
        <v>1</v>
      </c>
    </row>
    <row r="26" spans="1:32" x14ac:dyDescent="0.25">
      <c r="A26" s="1112" t="s">
        <v>271</v>
      </c>
      <c r="B26" s="1112"/>
      <c r="C26" s="1109"/>
      <c r="D26" s="1711" t="s">
        <v>8147</v>
      </c>
      <c r="E26" s="1711"/>
      <c r="F26" s="1711"/>
      <c r="G26" s="1112"/>
      <c r="H26" s="1112"/>
      <c r="I26" s="1112"/>
      <c r="J26" s="1139" t="s">
        <v>582</v>
      </c>
      <c r="K26" s="1139"/>
      <c r="L26" s="1109"/>
      <c r="M26" s="1711"/>
      <c r="N26" s="1711"/>
      <c r="O26" s="1711"/>
      <c r="P26" s="1112" t="s">
        <v>68</v>
      </c>
      <c r="Q26" s="1112"/>
      <c r="R26" s="1112"/>
      <c r="S26" s="1112"/>
      <c r="T26" s="1140"/>
      <c r="U26" s="1142" t="s">
        <v>686</v>
      </c>
      <c r="V26" s="1145">
        <f>IF(ISERROR(SUM(C186:C189)/COUNT(C186:C189)),0,SUM(C186:C189)/COUNT(C186:C189))</f>
        <v>0</v>
      </c>
      <c r="W26" s="1145">
        <f>IF(ISERROR(SUM(F186:F189)/COUNT(F186:F189)),0,SUM(F186:F189)/COUNT(F186:F189))</f>
        <v>0</v>
      </c>
      <c r="X26" s="1145">
        <f>IF(ISERROR(SUM(I186:I189)/COUNT(I186:I189)),0,SUM(I186:I189)/COUNT(I186:I189))</f>
        <v>0</v>
      </c>
      <c r="Y26" s="1145">
        <f>IF(ISERROR(SUM(L186:L189)/COUNT(L186:L189)),0,SUM(L186:L189)/COUNT(L186:L189))</f>
        <v>0</v>
      </c>
      <c r="Z26" s="1145">
        <f>IF(ISERROR(SUM(O186:O189)/COUNT(O186:O189)),0,SUM(O186:O189)/COUNT(O186:O189))</f>
        <v>0</v>
      </c>
      <c r="AA26" s="1145">
        <f>IF(ISERROR(SUM(R186:R189)/COUNT(R186:R189)),0,SUM(R186:R189)/COUNT(R186:R189))</f>
        <v>0</v>
      </c>
      <c r="AB26" s="1145">
        <f t="shared" si="0"/>
        <v>0</v>
      </c>
      <c r="AC26" s="1145">
        <f>M180</f>
        <v>0</v>
      </c>
      <c r="AD26" s="888">
        <f>IF(AC26&lt;&gt;0,M463,0)</f>
        <v>0</v>
      </c>
      <c r="AF26" s="1161">
        <v>1</v>
      </c>
    </row>
    <row r="27" spans="1:32" x14ac:dyDescent="0.25">
      <c r="A27" s="1112" t="s">
        <v>240</v>
      </c>
      <c r="B27" s="1112"/>
      <c r="C27" s="1109"/>
      <c r="D27" s="1711" t="s">
        <v>8145</v>
      </c>
      <c r="E27" s="1711"/>
      <c r="F27" s="1711"/>
      <c r="G27" s="1112"/>
      <c r="H27" s="1112"/>
      <c r="I27" s="1112"/>
      <c r="J27" s="1112" t="s">
        <v>767</v>
      </c>
      <c r="K27" s="1112"/>
      <c r="L27" s="1109"/>
      <c r="M27" s="1711"/>
      <c r="N27" s="1711"/>
      <c r="O27" s="1711"/>
      <c r="P27" s="1112"/>
      <c r="Q27" s="1112"/>
      <c r="R27" s="1112"/>
      <c r="S27" s="1112"/>
      <c r="T27" s="1140"/>
      <c r="U27" s="1142" t="s">
        <v>7751</v>
      </c>
      <c r="V27" s="1145">
        <f>IF(ISERROR(SUM(C203:C206)/COUNT(C203:C206)),0,SUM(C203:C206)/COUNT(C203:C206))</f>
        <v>0</v>
      </c>
      <c r="W27" s="1145">
        <f>IF(ISERROR(SUM(F203:F206)/COUNT(F203:F206)),0,SUM(F203:F206)/COUNT(F203:F206))</f>
        <v>0</v>
      </c>
      <c r="X27" s="1145">
        <f>IF(ISERROR(SUM(I203:I206)/COUNT(I203:I206)),0,SUM(I203:I206)/COUNT(I203:I206))</f>
        <v>0</v>
      </c>
      <c r="Y27" s="1145">
        <f>IF(ISERROR(SUM(L203:L206)/COUNT(L203:L206)),0,SUM(L203:L206)/COUNT(L203:L206))</f>
        <v>0</v>
      </c>
      <c r="Z27" s="1145">
        <f>IF(ISERROR(SUM(O203:O206)/COUNT(O203:O206)),0,SUM(O203:O206)/COUNT(O203:O206))</f>
        <v>0</v>
      </c>
      <c r="AA27" s="1145">
        <f>IF(ISERROR(SUM(R203:R206)/COUNT(R203:R206)),0,SUM(R203:R206)/COUNT(R203:R206))</f>
        <v>0</v>
      </c>
      <c r="AB27" s="1145">
        <f>IF(ISERROR(SUM(V27:AA27)/AB50),0,SUM(V27:AA27)/AB50)</f>
        <v>0</v>
      </c>
      <c r="AC27" s="1145">
        <f>M197</f>
        <v>0</v>
      </c>
      <c r="AD27" s="888">
        <f>IF(AC27&lt;&gt;0,M483,0)</f>
        <v>0</v>
      </c>
      <c r="AF27" s="1161">
        <v>1</v>
      </c>
    </row>
    <row r="28" spans="1:32" x14ac:dyDescent="0.25">
      <c r="A28" s="1112" t="s">
        <v>265</v>
      </c>
      <c r="B28" s="1112"/>
      <c r="C28" s="1109"/>
      <c r="D28" s="1715" t="s">
        <v>8146</v>
      </c>
      <c r="E28" s="1716"/>
      <c r="F28" s="1716"/>
      <c r="G28" s="1112"/>
      <c r="H28" s="1112"/>
      <c r="I28" s="1112"/>
      <c r="J28" s="1710" t="s">
        <v>3161</v>
      </c>
      <c r="K28" s="1710"/>
      <c r="L28" s="1710"/>
      <c r="M28" s="1717" t="str">
        <f>IF(ISERROR(SUM(C38,F38,I38,L38,O38,R38)/COUNT(C38,F38,I38,L38,O38,R38)),"",-((SUM(C38,F38,I38,L38,O38,R38)/COUNT(C38,F38,I38,L38,O38,R38))))</f>
        <v/>
      </c>
      <c r="N28" s="1717"/>
      <c r="O28" s="1717"/>
      <c r="P28" s="1109"/>
      <c r="Q28" s="1112"/>
      <c r="R28" s="1112"/>
      <c r="S28" s="1112"/>
      <c r="T28" s="1140"/>
      <c r="U28" s="1142" t="s">
        <v>7752</v>
      </c>
      <c r="V28" s="1145">
        <f>IF(ISERROR(SUM(C220:C223)/COUNT(C220:C223)),0,SUM(C220:C223)/COUNT(C220:C223))</f>
        <v>0</v>
      </c>
      <c r="W28" s="1145">
        <f>IF(ISERROR(SUM(F220:F223)/COUNT(F220:F223)),0,SUM(F220:F223)/COUNT(F220:F223))</f>
        <v>0</v>
      </c>
      <c r="X28" s="1145">
        <f>IF(ISERROR(SUM(I220:I223)/COUNT(I220:I223)),0,SUM(I220:I223)/COUNT(I220:I223))</f>
        <v>0</v>
      </c>
      <c r="Y28" s="1145">
        <f>IF(ISERROR(SUM(L220:L223)/COUNT(L220:L223)),0,SUM(L220:L223)/COUNT(L220:L223))</f>
        <v>0</v>
      </c>
      <c r="Z28" s="1145">
        <f>IF(ISERROR(SUM(O220:O223)/COUNT(O220:O223)),0,SUM(O220:O223)/COUNT(O220:O223))</f>
        <v>0</v>
      </c>
      <c r="AA28" s="1145">
        <f>IF(ISERROR(SUM(R220:R223)/COUNT(R220:R223)),0,SUM(R220:R223)/COUNT(R220:R223))</f>
        <v>0</v>
      </c>
      <c r="AB28" s="1145">
        <f>IF(ISERROR(SUM(V28:AA28)/AB51),0,SUM(V28:AA28)/AB51)</f>
        <v>0</v>
      </c>
      <c r="AC28" s="1145">
        <f>M214</f>
        <v>0</v>
      </c>
      <c r="AD28" s="888">
        <f>IF(AC28&lt;&gt;0,M503,0)</f>
        <v>0</v>
      </c>
      <c r="AF28" s="1161">
        <v>1</v>
      </c>
    </row>
    <row r="29" spans="1:32" x14ac:dyDescent="0.25">
      <c r="A29" s="1710" t="s">
        <v>90</v>
      </c>
      <c r="B29" s="1710"/>
      <c r="C29" s="1109"/>
      <c r="D29" s="1711" t="s">
        <v>68</v>
      </c>
      <c r="E29" s="1711"/>
      <c r="F29" s="1711"/>
      <c r="G29" s="1109"/>
      <c r="H29" s="1112"/>
      <c r="I29" s="1112"/>
      <c r="J29" s="1112" t="s">
        <v>2979</v>
      </c>
      <c r="K29" s="1112"/>
      <c r="L29" s="1109"/>
      <c r="M29" s="1712" t="str">
        <f>IF(ISERROR(SUM(C38,F38,I38,L38,O38,R38)/COUNT(C38,F38,I38,L38,O38,R38)),"",-((SUM(C38,F38,I38,L38,O38,R38)/COUNT(C38,F38,I38,L38,O38,R38)))/M27)</f>
        <v/>
      </c>
      <c r="N29" s="1712"/>
      <c r="O29" s="1712"/>
      <c r="P29" s="1112"/>
      <c r="Q29" s="1112"/>
      <c r="R29" s="1112"/>
      <c r="S29" s="1112"/>
      <c r="T29" s="1140"/>
      <c r="U29" s="1142" t="s">
        <v>7753</v>
      </c>
      <c r="V29" s="1145">
        <f>IF(ISERROR(SUM(C237:C240)/COUNT(C237:C240)),0,SUM(C237:C240)/COUNT(C237:C240))</f>
        <v>0</v>
      </c>
      <c r="W29" s="1145">
        <f>IF(ISERROR(SUM(F237:F240)/COUNT(F237:F240)),0,SUM(F237:F240)/COUNT(F237:F240))</f>
        <v>0</v>
      </c>
      <c r="X29" s="1145">
        <f>IF(ISERROR(SUM(I237:I240)/COUNT(I237:I240)),0,SUM(I237:I240)/COUNT(I237:I240))</f>
        <v>0</v>
      </c>
      <c r="Y29" s="1145">
        <f>IF(ISERROR(SUM(L237:L240)/COUNT(L237:L240)),0,SUM(L237:L240)/COUNT(L237:L240))</f>
        <v>0</v>
      </c>
      <c r="Z29" s="1145">
        <f>IF(ISERROR(SUM(O237:O240)/COUNT(O237:O240)),0,SUM(O237:O240)/COUNT(O237:O240))</f>
        <v>0</v>
      </c>
      <c r="AA29" s="1145">
        <f>IF(ISERROR(SUM(R237:R240)/COUNT(R237:R240)),0,SUM(R237:R240)/COUNT(R237:R240))</f>
        <v>0</v>
      </c>
      <c r="AB29" s="1145">
        <f>IF(ISERROR(SUM(V29:AA29)/AB52),0,SUM(V29:AA29)/AB52)</f>
        <v>0</v>
      </c>
      <c r="AC29" s="1145">
        <f>M231</f>
        <v>0</v>
      </c>
      <c r="AD29" s="888">
        <f>IF(AC29&lt;&gt;0,M523,0)</f>
        <v>0</v>
      </c>
      <c r="AF29" s="1161">
        <v>1</v>
      </c>
    </row>
    <row r="30" spans="1:32" ht="15" customHeight="1" x14ac:dyDescent="0.25">
      <c r="A30" s="1112"/>
      <c r="B30" s="1112"/>
      <c r="C30" s="1117"/>
      <c r="D30" s="1117"/>
      <c r="E30" s="1112"/>
      <c r="F30" s="1112"/>
      <c r="G30" s="1112"/>
      <c r="H30" s="1112"/>
      <c r="I30" s="1112"/>
      <c r="J30" s="1115"/>
      <c r="K30" s="1115"/>
      <c r="L30" s="1115"/>
      <c r="M30" s="1115"/>
      <c r="N30" s="1115"/>
      <c r="O30" s="1115"/>
      <c r="P30" s="1115"/>
      <c r="Q30" s="1115"/>
      <c r="R30" s="1115"/>
      <c r="S30" s="1113" t="s">
        <v>29</v>
      </c>
      <c r="T30" s="1148"/>
      <c r="U30" s="1142" t="s">
        <v>7754</v>
      </c>
      <c r="V30" s="1145">
        <f>IF(ISERROR(SUM(C254:C257)/COUNT(C254:C257)),0,SUM(C254:C257)/COUNT(C254:C257))</f>
        <v>0</v>
      </c>
      <c r="W30" s="1145">
        <f>IF(ISERROR(SUM(F254:F257)/COUNT(F254:F257)),0,SUM(F254:F257)/COUNT(F254:F257))</f>
        <v>0</v>
      </c>
      <c r="X30" s="1145">
        <f>IF(ISERROR(SUM(I254:I257)/COUNT(I254:I257)),0,SUM(I254:I257)/COUNT(I254:I257))</f>
        <v>0</v>
      </c>
      <c r="Y30" s="1145">
        <f>IF(ISERROR(SUM(L254:L257)/COUNT(L254:L257)),0,SUM(L254:L257)/COUNT(L254:L257))</f>
        <v>0</v>
      </c>
      <c r="Z30" s="1145">
        <f>IF(ISERROR(SUM(O254:O257)/COUNT(O254:O257)),0,SUM(O254:O257)/COUNT(O254:O257))</f>
        <v>0</v>
      </c>
      <c r="AA30" s="1145">
        <f>IF(ISERROR(SUM(R254:R257)/COUNT(R254:R257)),0,SUM(R254:R257)/COUNT(R254:R257))</f>
        <v>0</v>
      </c>
      <c r="AB30" s="1145">
        <f>IF(ISERROR(SUM(V30:AA30)/AB53),0,SUM(V30:AA30)/AB53)</f>
        <v>0</v>
      </c>
      <c r="AC30" s="1145">
        <f>M248</f>
        <v>0</v>
      </c>
      <c r="AD30" s="888">
        <f>IF(AC30&lt;&gt;0,M543,0)</f>
        <v>0</v>
      </c>
      <c r="AF30" s="1161">
        <v>1</v>
      </c>
    </row>
    <row r="31" spans="1:32" x14ac:dyDescent="0.25">
      <c r="A31" s="1208" t="s">
        <v>266</v>
      </c>
      <c r="B31" s="1713">
        <v>43094</v>
      </c>
      <c r="C31" s="1713"/>
      <c r="D31" s="1713"/>
      <c r="E31" s="1714">
        <f>IF(B31&lt;&gt;"",B31+31,"")</f>
        <v>43125</v>
      </c>
      <c r="F31" s="1714"/>
      <c r="G31" s="1714"/>
      <c r="H31" s="1714">
        <f>IF(B31&lt;&gt;"",E31+31,"")</f>
        <v>43156</v>
      </c>
      <c r="I31" s="1714"/>
      <c r="J31" s="1714"/>
      <c r="K31" s="1714">
        <f>IF(B31&lt;&gt;"",H31+31,"")</f>
        <v>43187</v>
      </c>
      <c r="L31" s="1714"/>
      <c r="M31" s="1714"/>
      <c r="N31" s="1714">
        <f>IF(B31&lt;&gt;"",K31+31,"")</f>
        <v>43218</v>
      </c>
      <c r="O31" s="1714"/>
      <c r="P31" s="1714"/>
      <c r="Q31" s="1714">
        <f>IF(B31&lt;&gt;"",N31+31,"")</f>
        <v>43249</v>
      </c>
      <c r="R31" s="1714"/>
      <c r="S31" s="1714"/>
      <c r="T31" s="1149"/>
      <c r="U31" s="1142" t="s">
        <v>7755</v>
      </c>
      <c r="V31" s="1145">
        <f>IF(ISERROR(SUM(C271:C274)/COUNT(C271:C274)),0,SUM(C271:C274)/COUNT(C271:C274))</f>
        <v>0</v>
      </c>
      <c r="W31" s="1145">
        <f>IF(ISERROR(SUM(F271:F274)/COUNT(F271:F274)),0,SUM(F271:F274)/COUNT(F271:F274))</f>
        <v>0</v>
      </c>
      <c r="X31" s="1145">
        <f>IF(ISERROR(SUM(I271:I274)/COUNT(I271:I274)),0,SUM(I271:I274)/COUNT(I271:I274))</f>
        <v>0</v>
      </c>
      <c r="Y31" s="1145">
        <f>IF(ISERROR(SUM(L271:L274)/COUNT(L271:L274)),0,SUM(L271:L274)/COUNT(L271:L274))</f>
        <v>0</v>
      </c>
      <c r="Z31" s="1145">
        <f>IF(ISERROR(SUM(O271:O274)/COUNT(O271:O274)),0,SUM(O271:O274)/COUNT(O271:O274))</f>
        <v>0</v>
      </c>
      <c r="AA31" s="1145">
        <f>IF(ISERROR(SUM(R271:R274)/COUNT(R271:R274)),0,SUM(R271:R274)/COUNT(R271:R274))</f>
        <v>0</v>
      </c>
      <c r="AB31" s="1145">
        <f>IF(ISERROR(SUM(V31:AA31)/AB54),0,SUM(V31:AA31)/AB54)</f>
        <v>0</v>
      </c>
      <c r="AC31" s="1145">
        <f>M265</f>
        <v>0</v>
      </c>
      <c r="AD31" s="888">
        <f>IF(AC31&lt;&gt;0,M563,0)</f>
        <v>0</v>
      </c>
      <c r="AF31" s="1161">
        <v>1</v>
      </c>
    </row>
    <row r="32" spans="1:32" x14ac:dyDescent="0.25">
      <c r="A32" s="1208" t="s">
        <v>8</v>
      </c>
      <c r="B32" s="1208" t="s">
        <v>26</v>
      </c>
      <c r="C32" s="1208" t="s">
        <v>268</v>
      </c>
      <c r="D32" s="1208" t="s">
        <v>2972</v>
      </c>
      <c r="E32" s="1208" t="s">
        <v>26</v>
      </c>
      <c r="F32" s="1208" t="s">
        <v>268</v>
      </c>
      <c r="G32" s="1208" t="s">
        <v>2972</v>
      </c>
      <c r="H32" s="1208" t="s">
        <v>26</v>
      </c>
      <c r="I32" s="1208" t="s">
        <v>268</v>
      </c>
      <c r="J32" s="1208" t="s">
        <v>2972</v>
      </c>
      <c r="K32" s="1208" t="s">
        <v>26</v>
      </c>
      <c r="L32" s="1208" t="s">
        <v>268</v>
      </c>
      <c r="M32" s="1208" t="s">
        <v>2972</v>
      </c>
      <c r="N32" s="1208" t="s">
        <v>26</v>
      </c>
      <c r="O32" s="1208" t="s">
        <v>268</v>
      </c>
      <c r="P32" s="1208" t="s">
        <v>2972</v>
      </c>
      <c r="Q32" s="1208" t="s">
        <v>26</v>
      </c>
      <c r="R32" s="1208" t="s">
        <v>268</v>
      </c>
      <c r="S32" s="1208" t="s">
        <v>2972</v>
      </c>
      <c r="T32" s="1150"/>
      <c r="AB32" s="1147">
        <f>SUM(AB17:AB31)</f>
        <v>0</v>
      </c>
      <c r="AC32" s="1147">
        <f>-SUM(AC17:AC31)</f>
        <v>0</v>
      </c>
      <c r="AD32" s="890">
        <f>-SUM(AD17:AD31)</f>
        <v>0</v>
      </c>
      <c r="AF32" s="1161">
        <v>1</v>
      </c>
    </row>
    <row r="33" spans="1:33" x14ac:dyDescent="0.25">
      <c r="A33" s="1124">
        <v>1</v>
      </c>
      <c r="B33" s="1124">
        <v>7</v>
      </c>
      <c r="C33" s="1127"/>
      <c r="D33" s="1166" t="str">
        <f>IF(C33&lt;&gt;"",IF(-C33&gt;$M$27,1,"0"),"")</f>
        <v/>
      </c>
      <c r="E33" s="1124">
        <v>7</v>
      </c>
      <c r="F33" s="1127"/>
      <c r="G33" s="1166" t="str">
        <f>IF(F33&lt;&gt;"",IF(-F33&gt;$M$27,1,"0"),"")</f>
        <v/>
      </c>
      <c r="H33" s="1124">
        <v>7</v>
      </c>
      <c r="I33" s="1127"/>
      <c r="J33" s="1166" t="str">
        <f>IF(I33&lt;&gt;"",IF(-I33&gt;$M$27,1,"0"),"")</f>
        <v/>
      </c>
      <c r="K33" s="1124">
        <v>7</v>
      </c>
      <c r="L33" s="1127"/>
      <c r="M33" s="1166" t="str">
        <f>IF(L33&lt;&gt;"",IF(-L33&gt;$M$27,1,"0"),"")</f>
        <v/>
      </c>
      <c r="N33" s="1124">
        <v>7</v>
      </c>
      <c r="O33" s="1127"/>
      <c r="P33" s="1166" t="str">
        <f>IF(O33&lt;&gt;"",IF(-O33&gt;$M$27,1,"0"),"")</f>
        <v/>
      </c>
      <c r="Q33" s="1124">
        <v>7</v>
      </c>
      <c r="R33" s="1127"/>
      <c r="S33" s="1166" t="str">
        <f>IF(R33&lt;&gt;"",IF(-R33&gt;$M$27,1,"0"),"")</f>
        <v/>
      </c>
      <c r="T33" s="1150"/>
      <c r="AF33" s="1161">
        <v>1</v>
      </c>
    </row>
    <row r="34" spans="1:33" x14ac:dyDescent="0.25">
      <c r="A34" s="1125">
        <v>2</v>
      </c>
      <c r="B34" s="1125">
        <v>14</v>
      </c>
      <c r="C34" s="1126"/>
      <c r="D34" s="1167" t="str">
        <f>IF(C34&lt;&gt;"",IF(-C34&gt;$M$27,1,"0"),"")</f>
        <v/>
      </c>
      <c r="E34" s="1125">
        <v>14</v>
      </c>
      <c r="F34" s="1126"/>
      <c r="G34" s="1167" t="str">
        <f>IF(F34&lt;&gt;"",IF(-F34&gt;$M$27,1,"0"),"")</f>
        <v/>
      </c>
      <c r="H34" s="1125">
        <v>14</v>
      </c>
      <c r="I34" s="1126"/>
      <c r="J34" s="1167" t="str">
        <f>IF(I34&lt;&gt;"",IF(-I34&gt;$M$27,1,"0"),"")</f>
        <v/>
      </c>
      <c r="K34" s="1125">
        <v>14</v>
      </c>
      <c r="L34" s="1126"/>
      <c r="M34" s="1167" t="str">
        <f>IF(L34&lt;&gt;"",IF(-L34&gt;$M$27,1,"0"),"")</f>
        <v/>
      </c>
      <c r="N34" s="1125">
        <v>14</v>
      </c>
      <c r="O34" s="1126"/>
      <c r="P34" s="1167" t="str">
        <f>IF(O34&lt;&gt;"",IF(-O34&gt;$M$27,1,"0"),"")</f>
        <v/>
      </c>
      <c r="Q34" s="1125">
        <v>14</v>
      </c>
      <c r="R34" s="1126"/>
      <c r="S34" s="1167" t="str">
        <f>IF(R34&lt;&gt;"",IF(-R34&gt;$M$27,1,"0"),"")</f>
        <v/>
      </c>
      <c r="T34" s="1150"/>
      <c r="V34" s="1142" t="s">
        <v>674</v>
      </c>
      <c r="W34" s="1142" t="s">
        <v>675</v>
      </c>
      <c r="X34" s="1142" t="s">
        <v>676</v>
      </c>
      <c r="Y34" s="1142" t="s">
        <v>2975</v>
      </c>
      <c r="Z34" s="1142" t="s">
        <v>2976</v>
      </c>
      <c r="AA34" s="1142" t="s">
        <v>2977</v>
      </c>
      <c r="AB34" s="1142" t="s">
        <v>2978</v>
      </c>
      <c r="AF34" s="1161">
        <v>1</v>
      </c>
    </row>
    <row r="35" spans="1:33" x14ac:dyDescent="0.25">
      <c r="A35" s="1125">
        <v>3</v>
      </c>
      <c r="B35" s="1125">
        <v>22</v>
      </c>
      <c r="C35" s="1126"/>
      <c r="D35" s="1167" t="str">
        <f>IF(C35&lt;&gt;"",IF(-C35&gt;$M$27,1,"0"),"")</f>
        <v/>
      </c>
      <c r="E35" s="1125">
        <v>22</v>
      </c>
      <c r="F35" s="1126"/>
      <c r="G35" s="1167" t="str">
        <f>IF(F35&lt;&gt;"",IF(-F35&gt;$M$27,1,"0"),"")</f>
        <v/>
      </c>
      <c r="H35" s="1125">
        <v>22</v>
      </c>
      <c r="I35" s="1126"/>
      <c r="J35" s="1167" t="str">
        <f>IF(I35&lt;&gt;"",IF(-I35&gt;$M$27,1,"0"),"")</f>
        <v/>
      </c>
      <c r="K35" s="1125">
        <v>22</v>
      </c>
      <c r="L35" s="1126"/>
      <c r="M35" s="1167" t="str">
        <f>IF(L35&lt;&gt;"",IF(-L35&gt;$M$27,1,"0"),"")</f>
        <v/>
      </c>
      <c r="N35" s="1125">
        <v>22</v>
      </c>
      <c r="O35" s="1126"/>
      <c r="P35" s="1167" t="str">
        <f>IF(O35&lt;&gt;"",IF(-O35&gt;$M$27,1,"0"),"")</f>
        <v/>
      </c>
      <c r="Q35" s="1125">
        <v>22</v>
      </c>
      <c r="R35" s="1126"/>
      <c r="S35" s="1167" t="str">
        <f>IF(R35&lt;&gt;"",IF(-R35&gt;$M$27,1,"0"),"")</f>
        <v/>
      </c>
      <c r="T35" s="1150"/>
      <c r="U35" s="1142" t="s">
        <v>677</v>
      </c>
      <c r="V35" s="1145">
        <f t="shared" ref="V35:AA49" si="1">IF(V17=0,0,1)</f>
        <v>0</v>
      </c>
      <c r="W35" s="1145">
        <f t="shared" si="1"/>
        <v>0</v>
      </c>
      <c r="X35" s="1145">
        <f t="shared" si="1"/>
        <v>0</v>
      </c>
      <c r="Y35" s="1145">
        <f t="shared" si="1"/>
        <v>0</v>
      </c>
      <c r="Z35" s="1145">
        <f t="shared" si="1"/>
        <v>0</v>
      </c>
      <c r="AA35" s="1145">
        <f t="shared" si="1"/>
        <v>0</v>
      </c>
      <c r="AB35" s="1145">
        <f t="shared" ref="AB35:AB49" si="2">SUM(V35:AA35)</f>
        <v>0</v>
      </c>
      <c r="AC35" s="1145"/>
      <c r="AF35" s="1161">
        <v>1</v>
      </c>
    </row>
    <row r="36" spans="1:33" x14ac:dyDescent="0.25">
      <c r="A36" s="1125">
        <v>4</v>
      </c>
      <c r="B36" s="1125">
        <v>31</v>
      </c>
      <c r="C36" s="1126"/>
      <c r="D36" s="1167" t="str">
        <f>IF(C36&lt;&gt;"",IF(-C36&gt;$M$27,1,"0"),"")</f>
        <v/>
      </c>
      <c r="E36" s="1125">
        <v>31</v>
      </c>
      <c r="F36" s="1126"/>
      <c r="G36" s="1167" t="str">
        <f>IF(F36&lt;&gt;"",IF(-F36&gt;$M$27,1,"0"),"")</f>
        <v/>
      </c>
      <c r="H36" s="1125">
        <v>31</v>
      </c>
      <c r="I36" s="1126"/>
      <c r="J36" s="1167" t="str">
        <f>IF(I36&lt;&gt;"",IF(-I36&gt;$M$27,1,"0"),"")</f>
        <v/>
      </c>
      <c r="K36" s="1125">
        <v>31</v>
      </c>
      <c r="L36" s="1126"/>
      <c r="M36" s="1167" t="str">
        <f>IF(L36&lt;&gt;"",IF(-L36&gt;$M$27,1,"0"),"")</f>
        <v/>
      </c>
      <c r="N36" s="1125">
        <v>31</v>
      </c>
      <c r="O36" s="1126"/>
      <c r="P36" s="1167" t="str">
        <f>IF(O36&lt;&gt;"",IF(-O36&gt;$M$27,1,"0"),"")</f>
        <v/>
      </c>
      <c r="Q36" s="1125">
        <v>31</v>
      </c>
      <c r="R36" s="1126"/>
      <c r="S36" s="1167" t="str">
        <f>IF(R36&lt;&gt;"",IF(-R36&gt;$M$27,1,"0"),"")</f>
        <v/>
      </c>
      <c r="T36" s="1150"/>
      <c r="U36" s="1142" t="s">
        <v>678</v>
      </c>
      <c r="V36" s="1145">
        <f t="shared" si="1"/>
        <v>0</v>
      </c>
      <c r="W36" s="1145">
        <f t="shared" si="1"/>
        <v>0</v>
      </c>
      <c r="X36" s="1145">
        <f t="shared" si="1"/>
        <v>0</v>
      </c>
      <c r="Y36" s="1145">
        <f t="shared" si="1"/>
        <v>0</v>
      </c>
      <c r="Z36" s="1145">
        <f t="shared" si="1"/>
        <v>0</v>
      </c>
      <c r="AA36" s="1145">
        <f t="shared" si="1"/>
        <v>0</v>
      </c>
      <c r="AB36" s="1145">
        <f t="shared" si="2"/>
        <v>0</v>
      </c>
      <c r="AC36" s="1145"/>
      <c r="AF36" s="1161">
        <v>1</v>
      </c>
    </row>
    <row r="37" spans="1:33" x14ac:dyDescent="0.25">
      <c r="A37" s="1720" t="s">
        <v>267</v>
      </c>
      <c r="B37" s="1720"/>
      <c r="C37" s="1114">
        <f>SUM(C33:C36)</f>
        <v>0</v>
      </c>
      <c r="D37" s="1721"/>
      <c r="E37" s="1722"/>
      <c r="F37" s="1114">
        <f>SUM(F33:F36)</f>
        <v>0</v>
      </c>
      <c r="G37" s="1721"/>
      <c r="H37" s="1722"/>
      <c r="I37" s="1114">
        <f>SUM(I33:I36)</f>
        <v>0</v>
      </c>
      <c r="J37" s="1721"/>
      <c r="K37" s="1722"/>
      <c r="L37" s="1114">
        <f>SUM(L33:L36)</f>
        <v>0</v>
      </c>
      <c r="M37" s="1721"/>
      <c r="N37" s="1722"/>
      <c r="O37" s="1114">
        <f>SUM(O33:O36)</f>
        <v>0</v>
      </c>
      <c r="P37" s="1721"/>
      <c r="Q37" s="1722"/>
      <c r="R37" s="1114">
        <f>SUM(R33:R36)</f>
        <v>0</v>
      </c>
      <c r="S37" s="1132"/>
      <c r="T37" s="1150"/>
      <c r="U37" s="1142" t="s">
        <v>679</v>
      </c>
      <c r="V37" s="1145">
        <f t="shared" si="1"/>
        <v>0</v>
      </c>
      <c r="W37" s="1145">
        <f t="shared" si="1"/>
        <v>0</v>
      </c>
      <c r="X37" s="1145">
        <f t="shared" si="1"/>
        <v>0</v>
      </c>
      <c r="Y37" s="1145">
        <f t="shared" si="1"/>
        <v>0</v>
      </c>
      <c r="Z37" s="1145">
        <f t="shared" si="1"/>
        <v>0</v>
      </c>
      <c r="AA37" s="1145">
        <f t="shared" si="1"/>
        <v>0</v>
      </c>
      <c r="AB37" s="1145">
        <f t="shared" si="2"/>
        <v>0</v>
      </c>
      <c r="AC37" s="1145"/>
      <c r="AF37" s="1161">
        <v>1</v>
      </c>
    </row>
    <row r="38" spans="1:33" x14ac:dyDescent="0.25">
      <c r="A38" s="1720" t="s">
        <v>7997</v>
      </c>
      <c r="B38" s="1720"/>
      <c r="C38" s="1114" t="str">
        <f>IF(COUNT(C33:C36)=0,"",AVERAGE(C33:C36))</f>
        <v/>
      </c>
      <c r="D38" s="1723"/>
      <c r="E38" s="1724"/>
      <c r="F38" s="1114" t="str">
        <f>IF(COUNT(F33:F36)=0,"",AVERAGE(F33:F36))</f>
        <v/>
      </c>
      <c r="G38" s="1723"/>
      <c r="H38" s="1724"/>
      <c r="I38" s="1114" t="str">
        <f>IF(COUNT(I33:I36)=0,"",AVERAGE(I33:I36))</f>
        <v/>
      </c>
      <c r="J38" s="1723"/>
      <c r="K38" s="1724"/>
      <c r="L38" s="1114" t="str">
        <f>IF(COUNT(L33:L36)=0,"",AVERAGE(L33:L36))</f>
        <v/>
      </c>
      <c r="M38" s="1723"/>
      <c r="N38" s="1724"/>
      <c r="O38" s="1114" t="str">
        <f>IF(COUNT(O33:O36)=0,"",AVERAGE(O33:O36))</f>
        <v/>
      </c>
      <c r="P38" s="1723"/>
      <c r="Q38" s="1724"/>
      <c r="R38" s="1114" t="str">
        <f>IF(COUNT(R33:R36)=0,"",AVERAGE(R33:R36))</f>
        <v/>
      </c>
      <c r="S38" s="1133"/>
      <c r="T38" s="1150"/>
      <c r="U38" s="1142" t="s">
        <v>680</v>
      </c>
      <c r="V38" s="1145">
        <f t="shared" si="1"/>
        <v>0</v>
      </c>
      <c r="W38" s="1145">
        <f t="shared" si="1"/>
        <v>0</v>
      </c>
      <c r="X38" s="1145">
        <f t="shared" si="1"/>
        <v>0</v>
      </c>
      <c r="Y38" s="1145">
        <f t="shared" si="1"/>
        <v>0</v>
      </c>
      <c r="Z38" s="1145">
        <f t="shared" si="1"/>
        <v>0</v>
      </c>
      <c r="AA38" s="1145">
        <f t="shared" si="1"/>
        <v>0</v>
      </c>
      <c r="AB38" s="1145">
        <f t="shared" si="2"/>
        <v>0</v>
      </c>
      <c r="AC38" s="1145"/>
      <c r="AF38" s="1161">
        <v>1</v>
      </c>
      <c r="AG38" s="1145"/>
    </row>
    <row r="39" spans="1:33" ht="15" customHeight="1" x14ac:dyDescent="0.25">
      <c r="A39" s="1727" t="s">
        <v>2974</v>
      </c>
      <c r="B39" s="1728"/>
      <c r="C39" s="1165">
        <f>SUM(D33:D36)</f>
        <v>0</v>
      </c>
      <c r="D39" s="1725"/>
      <c r="E39" s="1726"/>
      <c r="F39" s="1165">
        <f>SUM(G33:G36)</f>
        <v>0</v>
      </c>
      <c r="G39" s="1725"/>
      <c r="H39" s="1726"/>
      <c r="I39" s="1208">
        <f>SUM(J33:J36)</f>
        <v>0</v>
      </c>
      <c r="J39" s="1725"/>
      <c r="K39" s="1726"/>
      <c r="L39" s="1165">
        <f>SUM(M33:M36)</f>
        <v>0</v>
      </c>
      <c r="M39" s="1725"/>
      <c r="N39" s="1726"/>
      <c r="O39" s="1165">
        <f>SUM(P33:P36)</f>
        <v>0</v>
      </c>
      <c r="P39" s="1725"/>
      <c r="Q39" s="1726"/>
      <c r="R39" s="1208">
        <f>SUM(S33:S36)</f>
        <v>0</v>
      </c>
      <c r="S39" s="1134"/>
      <c r="T39" s="1150"/>
      <c r="U39" s="1142" t="s">
        <v>681</v>
      </c>
      <c r="V39" s="1145">
        <f t="shared" si="1"/>
        <v>0</v>
      </c>
      <c r="W39" s="1145">
        <f t="shared" si="1"/>
        <v>0</v>
      </c>
      <c r="X39" s="1145">
        <f t="shared" si="1"/>
        <v>0</v>
      </c>
      <c r="Y39" s="1145">
        <f t="shared" si="1"/>
        <v>0</v>
      </c>
      <c r="Z39" s="1145">
        <f t="shared" si="1"/>
        <v>0</v>
      </c>
      <c r="AA39" s="1145">
        <f t="shared" si="1"/>
        <v>0</v>
      </c>
      <c r="AB39" s="1145">
        <f t="shared" si="2"/>
        <v>0</v>
      </c>
      <c r="AC39" s="1145"/>
      <c r="AF39" s="1161">
        <v>1</v>
      </c>
    </row>
    <row r="40" spans="1:33" ht="15" customHeight="1" x14ac:dyDescent="0.25">
      <c r="A40" s="1115" t="s">
        <v>2973</v>
      </c>
      <c r="B40" s="1112"/>
      <c r="C40" s="1112"/>
      <c r="D40" s="1112"/>
      <c r="E40" s="1112"/>
      <c r="F40" s="1112"/>
      <c r="G40" s="1112"/>
      <c r="H40" s="1112"/>
      <c r="I40" s="1112"/>
      <c r="J40" s="1112"/>
      <c r="K40" s="1112"/>
      <c r="L40" s="1112"/>
      <c r="M40" s="1112"/>
      <c r="N40" s="1112"/>
      <c r="O40" s="1112"/>
      <c r="P40" s="1112"/>
      <c r="Q40" s="1112"/>
      <c r="R40" s="1112"/>
      <c r="S40" s="1112"/>
      <c r="T40" s="1140"/>
      <c r="U40" s="1142" t="s">
        <v>682</v>
      </c>
      <c r="V40" s="1145">
        <f t="shared" si="1"/>
        <v>0</v>
      </c>
      <c r="W40" s="1145">
        <f t="shared" si="1"/>
        <v>0</v>
      </c>
      <c r="X40" s="1145">
        <f t="shared" si="1"/>
        <v>0</v>
      </c>
      <c r="Y40" s="1145">
        <f t="shared" si="1"/>
        <v>0</v>
      </c>
      <c r="Z40" s="1145">
        <f t="shared" si="1"/>
        <v>0</v>
      </c>
      <c r="AA40" s="1145">
        <f t="shared" si="1"/>
        <v>0</v>
      </c>
      <c r="AB40" s="1145">
        <f t="shared" si="2"/>
        <v>0</v>
      </c>
      <c r="AC40" s="1145"/>
      <c r="AF40" s="1161">
        <v>1</v>
      </c>
    </row>
    <row r="41" spans="1:33" collapsed="1" x14ac:dyDescent="0.25">
      <c r="A41" s="1719" t="s">
        <v>7998</v>
      </c>
      <c r="B41" s="1719"/>
      <c r="C41" s="1719"/>
      <c r="D41" s="1719"/>
      <c r="E41" s="1719"/>
      <c r="F41" s="1719"/>
      <c r="G41" s="1719"/>
      <c r="H41" s="1719"/>
      <c r="I41" s="1719"/>
      <c r="J41" s="1719"/>
      <c r="K41" s="1719"/>
      <c r="L41" s="1719"/>
      <c r="M41" s="1719"/>
      <c r="N41" s="1719"/>
      <c r="O41" s="1719"/>
      <c r="P41" s="1719"/>
      <c r="Q41" s="1719"/>
      <c r="R41" s="1719"/>
      <c r="S41" s="1719"/>
      <c r="T41" s="1146"/>
      <c r="U41" s="1142" t="s">
        <v>683</v>
      </c>
      <c r="V41" s="1145">
        <f t="shared" si="1"/>
        <v>0</v>
      </c>
      <c r="W41" s="1145">
        <f t="shared" si="1"/>
        <v>0</v>
      </c>
      <c r="X41" s="1145">
        <f t="shared" si="1"/>
        <v>0</v>
      </c>
      <c r="Y41" s="1145">
        <f t="shared" si="1"/>
        <v>0</v>
      </c>
      <c r="Z41" s="1145">
        <f t="shared" si="1"/>
        <v>0</v>
      </c>
      <c r="AA41" s="1145">
        <f t="shared" si="1"/>
        <v>0</v>
      </c>
      <c r="AB41" s="1145">
        <f t="shared" si="2"/>
        <v>0</v>
      </c>
      <c r="AC41" s="1145"/>
      <c r="AF41" s="1161">
        <v>2</v>
      </c>
    </row>
    <row r="42" spans="1:33" ht="5.0999999999999996" customHeight="1" x14ac:dyDescent="0.25">
      <c r="A42" s="1112"/>
      <c r="B42" s="1112"/>
      <c r="C42" s="1112"/>
      <c r="D42" s="1112"/>
      <c r="E42" s="1112"/>
      <c r="F42" s="1112"/>
      <c r="G42" s="1112"/>
      <c r="H42" s="1112"/>
      <c r="I42" s="1112"/>
      <c r="J42" s="1112"/>
      <c r="K42" s="1112"/>
      <c r="L42" s="1112"/>
      <c r="M42" s="1112"/>
      <c r="N42" s="1112"/>
      <c r="O42" s="1112"/>
      <c r="P42" s="1112"/>
      <c r="Q42" s="1112"/>
      <c r="R42" s="1112"/>
      <c r="S42" s="1112"/>
      <c r="T42" s="1140"/>
      <c r="U42" s="1142" t="s">
        <v>684</v>
      </c>
      <c r="V42" s="1145">
        <f t="shared" si="1"/>
        <v>0</v>
      </c>
      <c r="W42" s="1145">
        <f t="shared" si="1"/>
        <v>0</v>
      </c>
      <c r="X42" s="1145">
        <f t="shared" si="1"/>
        <v>0</v>
      </c>
      <c r="Y42" s="1145">
        <f t="shared" si="1"/>
        <v>0</v>
      </c>
      <c r="Z42" s="1145">
        <f t="shared" si="1"/>
        <v>0</v>
      </c>
      <c r="AA42" s="1145">
        <f t="shared" si="1"/>
        <v>0</v>
      </c>
      <c r="AB42" s="1145">
        <f t="shared" si="2"/>
        <v>0</v>
      </c>
      <c r="AC42" s="1145"/>
      <c r="AF42" s="1161">
        <v>2</v>
      </c>
    </row>
    <row r="43" spans="1:33" x14ac:dyDescent="0.25">
      <c r="A43" s="1112" t="s">
        <v>271</v>
      </c>
      <c r="B43" s="1112"/>
      <c r="C43" s="1109"/>
      <c r="D43" s="1711" t="s">
        <v>8150</v>
      </c>
      <c r="E43" s="1711"/>
      <c r="F43" s="1711"/>
      <c r="G43" s="1112"/>
      <c r="H43" s="1112"/>
      <c r="I43" s="1112"/>
      <c r="J43" s="1209" t="s">
        <v>582</v>
      </c>
      <c r="K43" s="1209"/>
      <c r="L43" s="1159"/>
      <c r="M43" s="1711"/>
      <c r="N43" s="1711"/>
      <c r="O43" s="1711"/>
      <c r="P43" s="1112" t="s">
        <v>68</v>
      </c>
      <c r="Q43" s="1112"/>
      <c r="R43" s="1112"/>
      <c r="S43" s="1112"/>
      <c r="T43" s="1140"/>
      <c r="U43" s="1142" t="s">
        <v>685</v>
      </c>
      <c r="V43" s="1145">
        <f t="shared" si="1"/>
        <v>0</v>
      </c>
      <c r="W43" s="1145">
        <f t="shared" si="1"/>
        <v>0</v>
      </c>
      <c r="X43" s="1145">
        <f t="shared" si="1"/>
        <v>0</v>
      </c>
      <c r="Y43" s="1145">
        <f t="shared" si="1"/>
        <v>0</v>
      </c>
      <c r="Z43" s="1145">
        <f t="shared" si="1"/>
        <v>0</v>
      </c>
      <c r="AA43" s="1145">
        <f t="shared" si="1"/>
        <v>0</v>
      </c>
      <c r="AB43" s="1145">
        <f t="shared" si="2"/>
        <v>0</v>
      </c>
      <c r="AC43" s="1145"/>
      <c r="AF43" s="1161">
        <v>2</v>
      </c>
    </row>
    <row r="44" spans="1:33" x14ac:dyDescent="0.25">
      <c r="A44" s="1112" t="s">
        <v>240</v>
      </c>
      <c r="B44" s="1112"/>
      <c r="C44" s="1109"/>
      <c r="D44" s="1711" t="s">
        <v>8148</v>
      </c>
      <c r="E44" s="1711"/>
      <c r="F44" s="1711"/>
      <c r="G44" s="1112"/>
      <c r="H44" s="1112"/>
      <c r="I44" s="1112"/>
      <c r="J44" s="1112" t="s">
        <v>767</v>
      </c>
      <c r="K44" s="1112"/>
      <c r="L44" s="1109"/>
      <c r="M44" s="1711"/>
      <c r="N44" s="1711"/>
      <c r="O44" s="1711"/>
      <c r="P44" s="1112"/>
      <c r="Q44" s="1112"/>
      <c r="R44" s="1112"/>
      <c r="S44" s="1112"/>
      <c r="T44" s="1140"/>
      <c r="U44" s="1142" t="s">
        <v>686</v>
      </c>
      <c r="V44" s="1145">
        <f t="shared" si="1"/>
        <v>0</v>
      </c>
      <c r="W44" s="1145">
        <f t="shared" si="1"/>
        <v>0</v>
      </c>
      <c r="X44" s="1145">
        <f t="shared" si="1"/>
        <v>0</v>
      </c>
      <c r="Y44" s="1145">
        <f t="shared" si="1"/>
        <v>0</v>
      </c>
      <c r="Z44" s="1145">
        <f t="shared" si="1"/>
        <v>0</v>
      </c>
      <c r="AA44" s="1145">
        <f t="shared" si="1"/>
        <v>0</v>
      </c>
      <c r="AB44" s="1145">
        <f t="shared" si="2"/>
        <v>0</v>
      </c>
      <c r="AC44" s="1145"/>
      <c r="AF44" s="1161">
        <v>2</v>
      </c>
    </row>
    <row r="45" spans="1:33" x14ac:dyDescent="0.25">
      <c r="A45" s="1112" t="s">
        <v>265</v>
      </c>
      <c r="B45" s="1112"/>
      <c r="C45" s="1109"/>
      <c r="D45" s="1715" t="s">
        <v>8149</v>
      </c>
      <c r="E45" s="1716"/>
      <c r="F45" s="1716"/>
      <c r="G45" s="1112"/>
      <c r="H45" s="1112"/>
      <c r="I45" s="1112"/>
      <c r="J45" s="1710" t="s">
        <v>3161</v>
      </c>
      <c r="K45" s="1710"/>
      <c r="L45" s="1710"/>
      <c r="M45" s="1717" t="str">
        <f>IF(ISERROR(SUM(C55,F55,I55,L55,O55,R55)/COUNT(C55,F55,I55,L55,O55,R55)),"",-((SUM(C55,F55,I55,L55,O55,R55)/COUNT(C55,F55,I55,L55,O55,R55))))</f>
        <v/>
      </c>
      <c r="N45" s="1717"/>
      <c r="O45" s="1717"/>
      <c r="P45" s="1109"/>
      <c r="Q45" s="1112"/>
      <c r="R45" s="1112"/>
      <c r="S45" s="1112"/>
      <c r="T45" s="1140"/>
      <c r="U45" s="1142" t="s">
        <v>7751</v>
      </c>
      <c r="V45" s="1145">
        <f t="shared" si="1"/>
        <v>0</v>
      </c>
      <c r="W45" s="1145">
        <f t="shared" si="1"/>
        <v>0</v>
      </c>
      <c r="X45" s="1145">
        <f t="shared" si="1"/>
        <v>0</v>
      </c>
      <c r="Y45" s="1145">
        <f t="shared" si="1"/>
        <v>0</v>
      </c>
      <c r="Z45" s="1145">
        <f t="shared" si="1"/>
        <v>0</v>
      </c>
      <c r="AA45" s="1145">
        <f t="shared" si="1"/>
        <v>0</v>
      </c>
      <c r="AB45" s="1145">
        <f t="shared" si="2"/>
        <v>0</v>
      </c>
      <c r="AF45" s="1161">
        <v>2</v>
      </c>
    </row>
    <row r="46" spans="1:33" x14ac:dyDescent="0.25">
      <c r="A46" s="1710" t="s">
        <v>90</v>
      </c>
      <c r="B46" s="1710"/>
      <c r="C46" s="1109"/>
      <c r="D46" s="1711" t="s">
        <v>68</v>
      </c>
      <c r="E46" s="1711"/>
      <c r="F46" s="1711"/>
      <c r="G46" s="1109"/>
      <c r="H46" s="1112"/>
      <c r="I46" s="1112"/>
      <c r="J46" s="1112" t="s">
        <v>2979</v>
      </c>
      <c r="K46" s="1112"/>
      <c r="L46" s="1109"/>
      <c r="M46" s="1712" t="str">
        <f>IF(ISERROR(SUM(C55,F55,I55,L55,O55,R55)/COUNT(C55,F55,I55,L55,O55,R55)),"",-((SUM(C55,F55,I55,L55,O55,R55)/COUNT(C55,F55,I55,L55,O55,R55)))/M44)</f>
        <v/>
      </c>
      <c r="N46" s="1712"/>
      <c r="O46" s="1712"/>
      <c r="P46" s="1112"/>
      <c r="Q46" s="1112"/>
      <c r="R46" s="1112"/>
      <c r="S46" s="1112"/>
      <c r="T46" s="1140"/>
      <c r="U46" s="1142" t="s">
        <v>7752</v>
      </c>
      <c r="V46" s="1145">
        <f t="shared" si="1"/>
        <v>0</v>
      </c>
      <c r="W46" s="1145">
        <f t="shared" si="1"/>
        <v>0</v>
      </c>
      <c r="X46" s="1145">
        <f t="shared" si="1"/>
        <v>0</v>
      </c>
      <c r="Y46" s="1145">
        <f t="shared" si="1"/>
        <v>0</v>
      </c>
      <c r="Z46" s="1145">
        <f t="shared" si="1"/>
        <v>0</v>
      </c>
      <c r="AA46" s="1145">
        <f t="shared" si="1"/>
        <v>0</v>
      </c>
      <c r="AB46" s="1145">
        <f t="shared" si="2"/>
        <v>0</v>
      </c>
      <c r="AF46" s="1161">
        <v>2</v>
      </c>
    </row>
    <row r="47" spans="1:33" ht="15" customHeight="1" x14ac:dyDescent="0.25">
      <c r="A47" s="1112"/>
      <c r="B47" s="1112"/>
      <c r="C47" s="1117"/>
      <c r="D47" s="1117"/>
      <c r="E47" s="1112"/>
      <c r="F47" s="1112"/>
      <c r="G47" s="1112"/>
      <c r="H47" s="1112"/>
      <c r="I47" s="1112"/>
      <c r="J47" s="1115"/>
      <c r="K47" s="1115"/>
      <c r="L47" s="1115"/>
      <c r="M47" s="1115"/>
      <c r="N47" s="1115"/>
      <c r="O47" s="1115"/>
      <c r="P47" s="1115"/>
      <c r="Q47" s="1115"/>
      <c r="R47" s="1115"/>
      <c r="S47" s="1113" t="s">
        <v>29</v>
      </c>
      <c r="T47" s="1148"/>
      <c r="U47" s="1142" t="s">
        <v>7753</v>
      </c>
      <c r="V47" s="1145">
        <f t="shared" si="1"/>
        <v>0</v>
      </c>
      <c r="W47" s="1145">
        <f t="shared" si="1"/>
        <v>0</v>
      </c>
      <c r="X47" s="1145">
        <f t="shared" si="1"/>
        <v>0</v>
      </c>
      <c r="Y47" s="1145">
        <f t="shared" si="1"/>
        <v>0</v>
      </c>
      <c r="Z47" s="1145">
        <f t="shared" si="1"/>
        <v>0</v>
      </c>
      <c r="AA47" s="1145">
        <f t="shared" si="1"/>
        <v>0</v>
      </c>
      <c r="AB47" s="1145">
        <f t="shared" si="2"/>
        <v>0</v>
      </c>
      <c r="AF47" s="1161">
        <v>2</v>
      </c>
    </row>
    <row r="48" spans="1:33" x14ac:dyDescent="0.25">
      <c r="A48" s="1208" t="s">
        <v>266</v>
      </c>
      <c r="B48" s="1714">
        <f>$B$31</f>
        <v>43094</v>
      </c>
      <c r="C48" s="1714"/>
      <c r="D48" s="1714"/>
      <c r="E48" s="1714">
        <f>$E$31</f>
        <v>43125</v>
      </c>
      <c r="F48" s="1714"/>
      <c r="G48" s="1714"/>
      <c r="H48" s="1714">
        <f>$H$31</f>
        <v>43156</v>
      </c>
      <c r="I48" s="1714"/>
      <c r="J48" s="1714"/>
      <c r="K48" s="1714">
        <f>$K$31</f>
        <v>43187</v>
      </c>
      <c r="L48" s="1714"/>
      <c r="M48" s="1714"/>
      <c r="N48" s="1714">
        <f>$N$31</f>
        <v>43218</v>
      </c>
      <c r="O48" s="1714"/>
      <c r="P48" s="1714"/>
      <c r="Q48" s="1714">
        <f>$Q$31</f>
        <v>43249</v>
      </c>
      <c r="R48" s="1714"/>
      <c r="S48" s="1714"/>
      <c r="T48" s="1149"/>
      <c r="U48" s="1142" t="s">
        <v>7754</v>
      </c>
      <c r="V48" s="1145">
        <f t="shared" si="1"/>
        <v>0</v>
      </c>
      <c r="W48" s="1145">
        <f t="shared" si="1"/>
        <v>0</v>
      </c>
      <c r="X48" s="1145">
        <f t="shared" si="1"/>
        <v>0</v>
      </c>
      <c r="Y48" s="1145">
        <f t="shared" si="1"/>
        <v>0</v>
      </c>
      <c r="Z48" s="1145">
        <f t="shared" si="1"/>
        <v>0</v>
      </c>
      <c r="AA48" s="1145">
        <f t="shared" si="1"/>
        <v>0</v>
      </c>
      <c r="AB48" s="1145">
        <f t="shared" si="2"/>
        <v>0</v>
      </c>
      <c r="AF48" s="1161">
        <v>2</v>
      </c>
    </row>
    <row r="49" spans="1:32" x14ac:dyDescent="0.25">
      <c r="A49" s="1208" t="s">
        <v>8</v>
      </c>
      <c r="B49" s="1208" t="s">
        <v>26</v>
      </c>
      <c r="C49" s="1208" t="s">
        <v>268</v>
      </c>
      <c r="D49" s="1208" t="s">
        <v>2972</v>
      </c>
      <c r="E49" s="1208" t="s">
        <v>26</v>
      </c>
      <c r="F49" s="1208" t="s">
        <v>268</v>
      </c>
      <c r="G49" s="1208" t="s">
        <v>2972</v>
      </c>
      <c r="H49" s="1208" t="s">
        <v>26</v>
      </c>
      <c r="I49" s="1208" t="s">
        <v>268</v>
      </c>
      <c r="J49" s="1208" t="s">
        <v>2972</v>
      </c>
      <c r="K49" s="1208" t="s">
        <v>26</v>
      </c>
      <c r="L49" s="1208" t="s">
        <v>268</v>
      </c>
      <c r="M49" s="1208" t="s">
        <v>2972</v>
      </c>
      <c r="N49" s="1208" t="s">
        <v>26</v>
      </c>
      <c r="O49" s="1208" t="s">
        <v>268</v>
      </c>
      <c r="P49" s="1208" t="s">
        <v>2972</v>
      </c>
      <c r="Q49" s="1208" t="s">
        <v>26</v>
      </c>
      <c r="R49" s="1208" t="s">
        <v>268</v>
      </c>
      <c r="S49" s="1208" t="s">
        <v>2972</v>
      </c>
      <c r="T49" s="1150"/>
      <c r="U49" s="1142" t="s">
        <v>7755</v>
      </c>
      <c r="V49" s="1145">
        <f t="shared" si="1"/>
        <v>0</v>
      </c>
      <c r="W49" s="1145">
        <f t="shared" si="1"/>
        <v>0</v>
      </c>
      <c r="X49" s="1145">
        <f t="shared" si="1"/>
        <v>0</v>
      </c>
      <c r="Y49" s="1145">
        <f t="shared" si="1"/>
        <v>0</v>
      </c>
      <c r="Z49" s="1145">
        <f t="shared" si="1"/>
        <v>0</v>
      </c>
      <c r="AA49" s="1145">
        <f t="shared" si="1"/>
        <v>0</v>
      </c>
      <c r="AB49" s="1145">
        <f t="shared" si="2"/>
        <v>0</v>
      </c>
      <c r="AF49" s="1161">
        <v>2</v>
      </c>
    </row>
    <row r="50" spans="1:32" x14ac:dyDescent="0.25">
      <c r="A50" s="1124">
        <v>1</v>
      </c>
      <c r="B50" s="1124">
        <v>7</v>
      </c>
      <c r="C50" s="1127"/>
      <c r="D50" s="1166" t="str">
        <f>IF(C50&lt;&gt;"",IF(-C50&gt;$M$44,1,"0"),"")</f>
        <v/>
      </c>
      <c r="E50" s="1124">
        <v>7</v>
      </c>
      <c r="F50" s="1127"/>
      <c r="G50" s="1166" t="str">
        <f>IF(F50&lt;&gt;"",IF(-F50&gt;$M$44,1,"0"),"")</f>
        <v/>
      </c>
      <c r="H50" s="1124">
        <v>7</v>
      </c>
      <c r="I50" s="1127"/>
      <c r="J50" s="1166" t="str">
        <f>IF(I50&lt;&gt;"",IF(-I50&gt;$M$44,1,"0"),"")</f>
        <v/>
      </c>
      <c r="K50" s="1124">
        <v>7</v>
      </c>
      <c r="L50" s="1127"/>
      <c r="M50" s="1166" t="str">
        <f>IF(L50&lt;&gt;"",IF(-L50&gt;$M$44,1,"0"),"")</f>
        <v/>
      </c>
      <c r="N50" s="1124">
        <v>7</v>
      </c>
      <c r="O50" s="1127"/>
      <c r="P50" s="1166" t="str">
        <f>IF(O50&lt;&gt;"",IF(-O50&gt;$M$44,1,"0"),"")</f>
        <v/>
      </c>
      <c r="Q50" s="1124">
        <v>7</v>
      </c>
      <c r="R50" s="1127"/>
      <c r="S50" s="1166" t="str">
        <f>IF(R50&lt;&gt;"",IF(-R50&gt;$M$44,1,"0"),"")</f>
        <v/>
      </c>
      <c r="T50" s="1150"/>
      <c r="AF50" s="1161">
        <v>2</v>
      </c>
    </row>
    <row r="51" spans="1:32" x14ac:dyDescent="0.25">
      <c r="A51" s="1125">
        <v>2</v>
      </c>
      <c r="B51" s="1125">
        <v>14</v>
      </c>
      <c r="C51" s="1126"/>
      <c r="D51" s="1167" t="str">
        <f>IF(C51&lt;&gt;"",IF(-C51&gt;$M$44,1,"0"),"")</f>
        <v/>
      </c>
      <c r="E51" s="1125">
        <v>14</v>
      </c>
      <c r="F51" s="1126"/>
      <c r="G51" s="1167" t="str">
        <f>IF(F51&lt;&gt;"",IF(-F51&gt;$M$44,1,"0"),"")</f>
        <v/>
      </c>
      <c r="H51" s="1125">
        <v>14</v>
      </c>
      <c r="I51" s="1126"/>
      <c r="J51" s="1167" t="str">
        <f>IF(I51&lt;&gt;"",IF(-I51&gt;$M$44,1,"0"),"")</f>
        <v/>
      </c>
      <c r="K51" s="1125">
        <v>14</v>
      </c>
      <c r="L51" s="1126"/>
      <c r="M51" s="1167" t="str">
        <f>IF(L51&lt;&gt;"",IF(-L51&gt;$M$44,1,"0"),"")</f>
        <v/>
      </c>
      <c r="N51" s="1125">
        <v>14</v>
      </c>
      <c r="O51" s="1126"/>
      <c r="P51" s="1167" t="str">
        <f>IF(O51&lt;&gt;"",IF(-O51&gt;$M$44,1,"0"),"")</f>
        <v/>
      </c>
      <c r="Q51" s="1125">
        <v>14</v>
      </c>
      <c r="R51" s="1126"/>
      <c r="S51" s="1167" t="str">
        <f>IF(R51&lt;&gt;"",IF(-R51&gt;$M$44,1,"0"),"")</f>
        <v/>
      </c>
      <c r="T51" s="1150"/>
      <c r="AF51" s="1161">
        <v>2</v>
      </c>
    </row>
    <row r="52" spans="1:32" x14ac:dyDescent="0.25">
      <c r="A52" s="1125">
        <v>3</v>
      </c>
      <c r="B52" s="1125">
        <v>22</v>
      </c>
      <c r="C52" s="1126"/>
      <c r="D52" s="1167" t="str">
        <f>IF(C52&lt;&gt;"",IF(-C52&gt;$M$44,1,"0"),"")</f>
        <v/>
      </c>
      <c r="E52" s="1125">
        <v>22</v>
      </c>
      <c r="F52" s="1126"/>
      <c r="G52" s="1167" t="str">
        <f>IF(F52&lt;&gt;"",IF(-F52&gt;$M$44,1,"0"),"")</f>
        <v/>
      </c>
      <c r="H52" s="1125">
        <v>22</v>
      </c>
      <c r="I52" s="1126"/>
      <c r="J52" s="1167" t="str">
        <f>IF(I52&lt;&gt;"",IF(-I52&gt;$M$44,1,"0"),"")</f>
        <v/>
      </c>
      <c r="K52" s="1125">
        <v>22</v>
      </c>
      <c r="L52" s="1126"/>
      <c r="M52" s="1167" t="str">
        <f>IF(L52&lt;&gt;"",IF(-L52&gt;$M$44,1,"0"),"")</f>
        <v/>
      </c>
      <c r="N52" s="1125">
        <v>22</v>
      </c>
      <c r="O52" s="1126"/>
      <c r="P52" s="1167" t="str">
        <f>IF(O52&lt;&gt;"",IF(-O52&gt;$M$44,1,"0"),"")</f>
        <v/>
      </c>
      <c r="Q52" s="1125">
        <v>22</v>
      </c>
      <c r="R52" s="1126"/>
      <c r="S52" s="1167" t="str">
        <f>IF(R52&lt;&gt;"",IF(-R52&gt;$M$44,1,"0"),"")</f>
        <v/>
      </c>
      <c r="T52" s="1150"/>
      <c r="AF52" s="1161">
        <v>2</v>
      </c>
    </row>
    <row r="53" spans="1:32" x14ac:dyDescent="0.25">
      <c r="A53" s="1125">
        <v>4</v>
      </c>
      <c r="B53" s="1125">
        <v>31</v>
      </c>
      <c r="C53" s="1126"/>
      <c r="D53" s="1167" t="str">
        <f>IF(C53&lt;&gt;"",IF(-C53&gt;$M$44,1,"0"),"")</f>
        <v/>
      </c>
      <c r="E53" s="1125">
        <v>31</v>
      </c>
      <c r="F53" s="1126"/>
      <c r="G53" s="1167" t="str">
        <f>IF(F53&lt;&gt;"",IF(-F53&gt;$M$44,1,"0"),"")</f>
        <v/>
      </c>
      <c r="H53" s="1125">
        <v>31</v>
      </c>
      <c r="I53" s="1126"/>
      <c r="J53" s="1167" t="str">
        <f>IF(I53&lt;&gt;"",IF(-I53&gt;$M$44,1,"0"),"")</f>
        <v/>
      </c>
      <c r="K53" s="1125">
        <v>31</v>
      </c>
      <c r="L53" s="1126"/>
      <c r="M53" s="1167" t="str">
        <f>IF(L53&lt;&gt;"",IF(-L53&gt;$M$44,1,"0"),"")</f>
        <v/>
      </c>
      <c r="N53" s="1125">
        <v>31</v>
      </c>
      <c r="O53" s="1126"/>
      <c r="P53" s="1167" t="str">
        <f>IF(O53&lt;&gt;"",IF(-O53&gt;$M$44,1,"0"),"")</f>
        <v/>
      </c>
      <c r="Q53" s="1125">
        <v>31</v>
      </c>
      <c r="R53" s="1126"/>
      <c r="S53" s="1167" t="str">
        <f>IF(R53&lt;&gt;"",IF(-R53&gt;$M$44,1,"0"),"")</f>
        <v/>
      </c>
      <c r="T53" s="1150"/>
      <c r="AF53" s="1161">
        <v>2</v>
      </c>
    </row>
    <row r="54" spans="1:32" x14ac:dyDescent="0.25">
      <c r="A54" s="1720" t="s">
        <v>267</v>
      </c>
      <c r="B54" s="1720"/>
      <c r="C54" s="1114">
        <f>SUM(C50:C53)</f>
        <v>0</v>
      </c>
      <c r="D54" s="1721"/>
      <c r="E54" s="1722"/>
      <c r="F54" s="1114">
        <f>SUM(F50:F53)</f>
        <v>0</v>
      </c>
      <c r="G54" s="1721"/>
      <c r="H54" s="1722"/>
      <c r="I54" s="1114">
        <f>SUM(I50:I53)</f>
        <v>0</v>
      </c>
      <c r="J54" s="1721"/>
      <c r="K54" s="1722"/>
      <c r="L54" s="1114">
        <f>SUM(L50:L53)</f>
        <v>0</v>
      </c>
      <c r="M54" s="1721"/>
      <c r="N54" s="1722"/>
      <c r="O54" s="1114">
        <f>SUM(O50:O53)</f>
        <v>0</v>
      </c>
      <c r="P54" s="1721"/>
      <c r="Q54" s="1722"/>
      <c r="R54" s="1114">
        <f>SUM(R50:R53)</f>
        <v>0</v>
      </c>
      <c r="S54" s="1132"/>
      <c r="T54" s="1150"/>
      <c r="AF54" s="1161">
        <v>2</v>
      </c>
    </row>
    <row r="55" spans="1:32" x14ac:dyDescent="0.25">
      <c r="A55" s="1720" t="s">
        <v>7997</v>
      </c>
      <c r="B55" s="1720"/>
      <c r="C55" s="1114" t="str">
        <f>IF(COUNT(C50:C53)=0,"",AVERAGE(C50:C53))</f>
        <v/>
      </c>
      <c r="D55" s="1723"/>
      <c r="E55" s="1724"/>
      <c r="F55" s="1114" t="str">
        <f>IF(COUNT(F50:F53)=0,"",AVERAGE(F50:F53))</f>
        <v/>
      </c>
      <c r="G55" s="1723"/>
      <c r="H55" s="1724"/>
      <c r="I55" s="1114" t="str">
        <f>IF(COUNT(I50:I53)=0,"",AVERAGE(I50:I53))</f>
        <v/>
      </c>
      <c r="J55" s="1723"/>
      <c r="K55" s="1724"/>
      <c r="L55" s="1114" t="str">
        <f>IF(COUNT(L50:L53)=0,"",AVERAGE(L50:L53))</f>
        <v/>
      </c>
      <c r="M55" s="1723"/>
      <c r="N55" s="1724"/>
      <c r="O55" s="1114" t="str">
        <f>IF(COUNT(O50:O53)=0,"",AVERAGE(O50:O53))</f>
        <v/>
      </c>
      <c r="P55" s="1723"/>
      <c r="Q55" s="1724"/>
      <c r="R55" s="1114" t="str">
        <f>IF(COUNT(R50:R53)=0,"",AVERAGE(R50:R53))</f>
        <v/>
      </c>
      <c r="S55" s="1133"/>
      <c r="T55" s="1150"/>
      <c r="AF55" s="1161">
        <v>2</v>
      </c>
    </row>
    <row r="56" spans="1:32" ht="15" customHeight="1" x14ac:dyDescent="0.25">
      <c r="A56" s="1727" t="s">
        <v>7999</v>
      </c>
      <c r="B56" s="1728"/>
      <c r="C56" s="1165">
        <f>SUM(D50:D53)</f>
        <v>0</v>
      </c>
      <c r="D56" s="1725"/>
      <c r="E56" s="1726"/>
      <c r="F56" s="1165">
        <f>SUM(G50:G53)</f>
        <v>0</v>
      </c>
      <c r="G56" s="1725"/>
      <c r="H56" s="1726"/>
      <c r="I56" s="1208">
        <f>SUM(J50:J53)</f>
        <v>0</v>
      </c>
      <c r="J56" s="1725"/>
      <c r="K56" s="1726"/>
      <c r="L56" s="1165">
        <f>SUM(M50:M53)</f>
        <v>0</v>
      </c>
      <c r="M56" s="1725"/>
      <c r="N56" s="1726"/>
      <c r="O56" s="1165">
        <f>SUM(P50:P53)</f>
        <v>0</v>
      </c>
      <c r="P56" s="1725"/>
      <c r="Q56" s="1726"/>
      <c r="R56" s="1208">
        <f>SUM(S50:S53)</f>
        <v>0</v>
      </c>
      <c r="S56" s="1134"/>
      <c r="T56" s="1150"/>
      <c r="AF56" s="1161">
        <v>2</v>
      </c>
    </row>
    <row r="57" spans="1:32" ht="15" customHeight="1" x14ac:dyDescent="0.25">
      <c r="A57" s="1115" t="s">
        <v>2973</v>
      </c>
      <c r="B57" s="1112"/>
      <c r="C57" s="1112"/>
      <c r="D57" s="1112"/>
      <c r="E57" s="1112"/>
      <c r="F57" s="1112"/>
      <c r="G57" s="1112"/>
      <c r="H57" s="1112"/>
      <c r="I57" s="1112"/>
      <c r="J57" s="1112"/>
      <c r="K57" s="1112"/>
      <c r="L57" s="1112"/>
      <c r="M57" s="1112"/>
      <c r="N57" s="1112"/>
      <c r="O57" s="1112"/>
      <c r="P57" s="1112"/>
      <c r="Q57" s="1112"/>
      <c r="R57" s="1112"/>
      <c r="S57" s="1112"/>
      <c r="T57" s="1140"/>
      <c r="AF57" s="1161">
        <v>2</v>
      </c>
    </row>
    <row r="58" spans="1:32" x14ac:dyDescent="0.25">
      <c r="A58" s="1719" t="s">
        <v>8000</v>
      </c>
      <c r="B58" s="1719"/>
      <c r="C58" s="1719"/>
      <c r="D58" s="1719"/>
      <c r="E58" s="1719"/>
      <c r="F58" s="1719"/>
      <c r="G58" s="1719"/>
      <c r="H58" s="1719"/>
      <c r="I58" s="1719"/>
      <c r="J58" s="1719"/>
      <c r="K58" s="1719"/>
      <c r="L58" s="1719"/>
      <c r="M58" s="1719"/>
      <c r="N58" s="1719"/>
      <c r="O58" s="1719"/>
      <c r="P58" s="1719"/>
      <c r="Q58" s="1719"/>
      <c r="R58" s="1719"/>
      <c r="S58" s="1719"/>
      <c r="T58" s="1146"/>
      <c r="AF58" s="1161">
        <v>3</v>
      </c>
    </row>
    <row r="59" spans="1:32" ht="5.0999999999999996" customHeight="1" x14ac:dyDescent="0.25">
      <c r="A59" s="1112"/>
      <c r="B59" s="1112"/>
      <c r="C59" s="1112"/>
      <c r="D59" s="1112"/>
      <c r="E59" s="1112"/>
      <c r="F59" s="1112"/>
      <c r="G59" s="1112"/>
      <c r="H59" s="1112"/>
      <c r="I59" s="1112"/>
      <c r="J59" s="1112"/>
      <c r="K59" s="1112"/>
      <c r="L59" s="1112"/>
      <c r="M59" s="1112"/>
      <c r="N59" s="1112"/>
      <c r="O59" s="1112"/>
      <c r="P59" s="1112"/>
      <c r="Q59" s="1112"/>
      <c r="R59" s="1112"/>
      <c r="S59" s="1112"/>
      <c r="T59" s="1140"/>
      <c r="AF59" s="1161">
        <v>3</v>
      </c>
    </row>
    <row r="60" spans="1:32" x14ac:dyDescent="0.25">
      <c r="A60" s="1112" t="s">
        <v>271</v>
      </c>
      <c r="B60" s="1112"/>
      <c r="C60" s="1109"/>
      <c r="D60" s="1711" t="s">
        <v>8147</v>
      </c>
      <c r="E60" s="1711"/>
      <c r="F60" s="1711"/>
      <c r="G60" s="1112"/>
      <c r="H60" s="1112"/>
      <c r="I60" s="1112"/>
      <c r="J60" s="1209" t="s">
        <v>582</v>
      </c>
      <c r="K60" s="1209"/>
      <c r="L60" s="1159"/>
      <c r="M60" s="1711"/>
      <c r="N60" s="1711"/>
      <c r="O60" s="1711"/>
      <c r="P60" s="1112" t="s">
        <v>68</v>
      </c>
      <c r="Q60" s="1112"/>
      <c r="R60" s="1112"/>
      <c r="S60" s="1112"/>
      <c r="T60" s="1140"/>
      <c r="AF60" s="1161">
        <v>3</v>
      </c>
    </row>
    <row r="61" spans="1:32" x14ac:dyDescent="0.25">
      <c r="A61" s="1112" t="s">
        <v>240</v>
      </c>
      <c r="B61" s="1112"/>
      <c r="C61" s="1109"/>
      <c r="D61" s="1711" t="s">
        <v>8145</v>
      </c>
      <c r="E61" s="1711"/>
      <c r="F61" s="1711"/>
      <c r="G61" s="1112"/>
      <c r="H61" s="1112"/>
      <c r="I61" s="1112"/>
      <c r="J61" s="1112" t="s">
        <v>767</v>
      </c>
      <c r="K61" s="1112"/>
      <c r="L61" s="1109"/>
      <c r="M61" s="1711"/>
      <c r="N61" s="1711"/>
      <c r="O61" s="1711"/>
      <c r="P61" s="1112"/>
      <c r="Q61" s="1112"/>
      <c r="R61" s="1112"/>
      <c r="S61" s="1112"/>
      <c r="T61" s="1140"/>
      <c r="AF61" s="1161">
        <v>3</v>
      </c>
    </row>
    <row r="62" spans="1:32" x14ac:dyDescent="0.25">
      <c r="A62" s="1112" t="s">
        <v>265</v>
      </c>
      <c r="B62" s="1112"/>
      <c r="C62" s="1109"/>
      <c r="D62" s="1715" t="s">
        <v>8152</v>
      </c>
      <c r="E62" s="1716"/>
      <c r="F62" s="1716"/>
      <c r="G62" s="1112"/>
      <c r="H62" s="1112"/>
      <c r="I62" s="1112"/>
      <c r="J62" s="1710" t="s">
        <v>3161</v>
      </c>
      <c r="K62" s="1710"/>
      <c r="L62" s="1710"/>
      <c r="M62" s="1717" t="str">
        <f>IF(ISERROR(SUM(C72,F72,I72,L72,O72,R72)/COUNT(C72,F72,I72,L72,O72,R72)),"",-((SUM(C72,F72,I72,L72,O72,R72)/COUNT(C72,F72,I72,L72,O72,R72))))</f>
        <v/>
      </c>
      <c r="N62" s="1717"/>
      <c r="O62" s="1717"/>
      <c r="P62" s="1109"/>
      <c r="Q62" s="1112"/>
      <c r="R62" s="1112"/>
      <c r="S62" s="1112"/>
      <c r="T62" s="1140"/>
      <c r="AF62" s="1161">
        <v>3</v>
      </c>
    </row>
    <row r="63" spans="1:32" x14ac:dyDescent="0.25">
      <c r="A63" s="1710" t="s">
        <v>90</v>
      </c>
      <c r="B63" s="1710"/>
      <c r="C63" s="1109"/>
      <c r="D63" s="1711" t="s">
        <v>68</v>
      </c>
      <c r="E63" s="1711"/>
      <c r="F63" s="1711"/>
      <c r="G63" s="1109"/>
      <c r="H63" s="1112"/>
      <c r="I63" s="1112"/>
      <c r="J63" s="1112" t="s">
        <v>2979</v>
      </c>
      <c r="K63" s="1112"/>
      <c r="L63" s="1109"/>
      <c r="M63" s="1712" t="str">
        <f>IF(ISERROR(SUM(C72,F72,I72,L72,O72,R72)/COUNT(C72,F72,I72,L72,O72,R72)),"",-((SUM(C72,F72,I72,L72,O72,R72)/COUNT(C72,F72,I72,L72,O72,R72)))/M61)</f>
        <v/>
      </c>
      <c r="N63" s="1712"/>
      <c r="O63" s="1712"/>
      <c r="P63" s="1112"/>
      <c r="Q63" s="1112"/>
      <c r="R63" s="1112"/>
      <c r="S63" s="1112"/>
      <c r="T63" s="1140"/>
      <c r="AF63" s="1161">
        <v>3</v>
      </c>
    </row>
    <row r="64" spans="1:32" x14ac:dyDescent="0.25">
      <c r="A64" s="1112"/>
      <c r="B64" s="1112"/>
      <c r="C64" s="1117"/>
      <c r="D64" s="1117"/>
      <c r="E64" s="1112"/>
      <c r="F64" s="1112"/>
      <c r="G64" s="1112"/>
      <c r="H64" s="1112"/>
      <c r="I64" s="1112"/>
      <c r="J64" s="1115"/>
      <c r="K64" s="1115"/>
      <c r="L64" s="1115"/>
      <c r="M64" s="1115"/>
      <c r="N64" s="1115"/>
      <c r="O64" s="1115"/>
      <c r="P64" s="1115"/>
      <c r="Q64" s="1115"/>
      <c r="R64" s="1115"/>
      <c r="S64" s="1113" t="s">
        <v>29</v>
      </c>
      <c r="T64" s="1148"/>
      <c r="AF64" s="1161">
        <v>3</v>
      </c>
    </row>
    <row r="65" spans="1:32" x14ac:dyDescent="0.25">
      <c r="A65" s="1208" t="s">
        <v>266</v>
      </c>
      <c r="B65" s="1714">
        <f>$B$31</f>
        <v>43094</v>
      </c>
      <c r="C65" s="1714"/>
      <c r="D65" s="1714"/>
      <c r="E65" s="1714">
        <f>$E$31</f>
        <v>43125</v>
      </c>
      <c r="F65" s="1714"/>
      <c r="G65" s="1714"/>
      <c r="H65" s="1714">
        <f>$H$31</f>
        <v>43156</v>
      </c>
      <c r="I65" s="1714"/>
      <c r="J65" s="1714"/>
      <c r="K65" s="1714">
        <f>$K$31</f>
        <v>43187</v>
      </c>
      <c r="L65" s="1714"/>
      <c r="M65" s="1714"/>
      <c r="N65" s="1714">
        <f>$N$31</f>
        <v>43218</v>
      </c>
      <c r="O65" s="1714"/>
      <c r="P65" s="1714"/>
      <c r="Q65" s="1714">
        <f>$Q$31</f>
        <v>43249</v>
      </c>
      <c r="R65" s="1714"/>
      <c r="S65" s="1714"/>
      <c r="T65" s="1149"/>
      <c r="AF65" s="1161">
        <v>3</v>
      </c>
    </row>
    <row r="66" spans="1:32" x14ac:dyDescent="0.25">
      <c r="A66" s="1208" t="s">
        <v>8</v>
      </c>
      <c r="B66" s="1208" t="s">
        <v>26</v>
      </c>
      <c r="C66" s="1208" t="s">
        <v>268</v>
      </c>
      <c r="D66" s="1208" t="s">
        <v>2972</v>
      </c>
      <c r="E66" s="1208" t="s">
        <v>26</v>
      </c>
      <c r="F66" s="1208" t="s">
        <v>268</v>
      </c>
      <c r="G66" s="1208" t="s">
        <v>2972</v>
      </c>
      <c r="H66" s="1208" t="s">
        <v>26</v>
      </c>
      <c r="I66" s="1208" t="s">
        <v>268</v>
      </c>
      <c r="J66" s="1208" t="s">
        <v>2972</v>
      </c>
      <c r="K66" s="1208" t="s">
        <v>26</v>
      </c>
      <c r="L66" s="1208" t="s">
        <v>268</v>
      </c>
      <c r="M66" s="1208" t="s">
        <v>2972</v>
      </c>
      <c r="N66" s="1208" t="s">
        <v>26</v>
      </c>
      <c r="O66" s="1208" t="s">
        <v>268</v>
      </c>
      <c r="P66" s="1208" t="s">
        <v>2972</v>
      </c>
      <c r="Q66" s="1208" t="s">
        <v>26</v>
      </c>
      <c r="R66" s="1208" t="s">
        <v>268</v>
      </c>
      <c r="S66" s="1208" t="s">
        <v>2972</v>
      </c>
      <c r="T66" s="1150"/>
      <c r="AF66" s="1161">
        <v>3</v>
      </c>
    </row>
    <row r="67" spans="1:32" x14ac:dyDescent="0.25">
      <c r="A67" s="1124">
        <v>1</v>
      </c>
      <c r="B67" s="1124">
        <v>7</v>
      </c>
      <c r="C67" s="1127"/>
      <c r="D67" s="1166" t="str">
        <f>IF(C67&lt;&gt;"",IF(-C67&gt;$M$61,1,"0"),"")</f>
        <v/>
      </c>
      <c r="E67" s="1124">
        <v>7</v>
      </c>
      <c r="F67" s="1127"/>
      <c r="G67" s="1166" t="str">
        <f>IF(F67&lt;&gt;"",IF(-F67&gt;$M$61,1,"0"),"")</f>
        <v/>
      </c>
      <c r="H67" s="1124">
        <v>7</v>
      </c>
      <c r="I67" s="1127"/>
      <c r="J67" s="1166" t="str">
        <f>IF(I67&lt;&gt;"",IF(-I67&gt;$M$61,1,"0"),"")</f>
        <v/>
      </c>
      <c r="K67" s="1124">
        <v>7</v>
      </c>
      <c r="L67" s="1127"/>
      <c r="M67" s="1166" t="str">
        <f>IF(L67&lt;&gt;"",IF(-L67&gt;$M$61,1,"0"),"")</f>
        <v/>
      </c>
      <c r="N67" s="1124">
        <v>7</v>
      </c>
      <c r="O67" s="1127"/>
      <c r="P67" s="1166" t="str">
        <f>IF(O67&lt;&gt;"",IF(-O67&gt;$M$61,1,"0"),"")</f>
        <v/>
      </c>
      <c r="Q67" s="1124">
        <v>7</v>
      </c>
      <c r="R67" s="1127"/>
      <c r="S67" s="1166" t="str">
        <f>IF(R67&lt;&gt;"",IF(-R67&gt;$M$61,1,"0"),"")</f>
        <v/>
      </c>
      <c r="T67" s="1150"/>
      <c r="AF67" s="1161">
        <v>3</v>
      </c>
    </row>
    <row r="68" spans="1:32" x14ac:dyDescent="0.25">
      <c r="A68" s="1125">
        <v>2</v>
      </c>
      <c r="B68" s="1125">
        <v>14</v>
      </c>
      <c r="C68" s="1126"/>
      <c r="D68" s="1167" t="str">
        <f>IF(C68&lt;&gt;"",IF(-C68&gt;$M$61,1,"0"),"")</f>
        <v/>
      </c>
      <c r="E68" s="1125">
        <v>14</v>
      </c>
      <c r="F68" s="1126"/>
      <c r="G68" s="1167" t="str">
        <f>IF(F68&lt;&gt;"",IF(-F68&gt;$M$61,1,"0"),"")</f>
        <v/>
      </c>
      <c r="H68" s="1125">
        <v>14</v>
      </c>
      <c r="I68" s="1126"/>
      <c r="J68" s="1167" t="str">
        <f>IF(I68&lt;&gt;"",IF(-I68&gt;$M$61,1,"0"),"")</f>
        <v/>
      </c>
      <c r="K68" s="1125">
        <v>14</v>
      </c>
      <c r="L68" s="1126"/>
      <c r="M68" s="1167" t="str">
        <f>IF(L68&lt;&gt;"",IF(-L68&gt;$M$61,1,"0"),"")</f>
        <v/>
      </c>
      <c r="N68" s="1125">
        <v>14</v>
      </c>
      <c r="O68" s="1126"/>
      <c r="P68" s="1167" t="str">
        <f>IF(O68&lt;&gt;"",IF(-O68&gt;$M$61,1,"0"),"")</f>
        <v/>
      </c>
      <c r="Q68" s="1125">
        <v>14</v>
      </c>
      <c r="R68" s="1126"/>
      <c r="S68" s="1167" t="str">
        <f>IF(R68&lt;&gt;"",IF(-R68&gt;$M$61,1,"0"),"")</f>
        <v/>
      </c>
      <c r="T68" s="1150"/>
      <c r="AF68" s="1161">
        <v>3</v>
      </c>
    </row>
    <row r="69" spans="1:32" x14ac:dyDescent="0.25">
      <c r="A69" s="1125">
        <v>3</v>
      </c>
      <c r="B69" s="1125">
        <v>22</v>
      </c>
      <c r="C69" s="1126"/>
      <c r="D69" s="1167" t="str">
        <f>IF(C69&lt;&gt;"",IF(-C69&gt;$M$61,1,"0"),"")</f>
        <v/>
      </c>
      <c r="E69" s="1125">
        <v>22</v>
      </c>
      <c r="F69" s="1126"/>
      <c r="G69" s="1167" t="str">
        <f>IF(F69&lt;&gt;"",IF(-F69&gt;$M$61,1,"0"),"")</f>
        <v/>
      </c>
      <c r="H69" s="1125">
        <v>22</v>
      </c>
      <c r="I69" s="1126"/>
      <c r="J69" s="1167" t="str">
        <f>IF(I69&lt;&gt;"",IF(-I69&gt;$M$61,1,"0"),"")</f>
        <v/>
      </c>
      <c r="K69" s="1125">
        <v>22</v>
      </c>
      <c r="L69" s="1126"/>
      <c r="M69" s="1167" t="str">
        <f>IF(L69&lt;&gt;"",IF(-L69&gt;$M$61,1,"0"),"")</f>
        <v/>
      </c>
      <c r="N69" s="1125">
        <v>22</v>
      </c>
      <c r="O69" s="1126"/>
      <c r="P69" s="1167" t="str">
        <f>IF(O69&lt;&gt;"",IF(-O69&gt;$M$61,1,"0"),"")</f>
        <v/>
      </c>
      <c r="Q69" s="1125">
        <v>22</v>
      </c>
      <c r="R69" s="1126"/>
      <c r="S69" s="1167" t="str">
        <f>IF(R69&lt;&gt;"",IF(-R69&gt;$M$61,1,"0"),"")</f>
        <v/>
      </c>
      <c r="T69" s="1150"/>
      <c r="AF69" s="1161">
        <v>3</v>
      </c>
    </row>
    <row r="70" spans="1:32" x14ac:dyDescent="0.25">
      <c r="A70" s="1125">
        <v>4</v>
      </c>
      <c r="B70" s="1125">
        <v>31</v>
      </c>
      <c r="C70" s="1126"/>
      <c r="D70" s="1167" t="str">
        <f>IF(C70&lt;&gt;"",IF(-C70&gt;$M$61,1,"0"),"")</f>
        <v/>
      </c>
      <c r="E70" s="1125">
        <v>31</v>
      </c>
      <c r="F70" s="1126"/>
      <c r="G70" s="1167" t="str">
        <f>IF(F70&lt;&gt;"",IF(-F70&gt;$M$61,1,"0"),"")</f>
        <v/>
      </c>
      <c r="H70" s="1125">
        <v>31</v>
      </c>
      <c r="I70" s="1126"/>
      <c r="J70" s="1167" t="str">
        <f>IF(I70&lt;&gt;"",IF(-I70&gt;$M$61,1,"0"),"")</f>
        <v/>
      </c>
      <c r="K70" s="1125">
        <v>31</v>
      </c>
      <c r="L70" s="1126"/>
      <c r="M70" s="1167" t="str">
        <f>IF(L70&lt;&gt;"",IF(-L70&gt;$M$61,1,"0"),"")</f>
        <v/>
      </c>
      <c r="N70" s="1125">
        <v>31</v>
      </c>
      <c r="O70" s="1126"/>
      <c r="P70" s="1167" t="str">
        <f>IF(O70&lt;&gt;"",IF(-O70&gt;$M$61,1,"0"),"")</f>
        <v/>
      </c>
      <c r="Q70" s="1125">
        <v>31</v>
      </c>
      <c r="R70" s="1126"/>
      <c r="S70" s="1167" t="str">
        <f>IF(R70&lt;&gt;"",IF(-R70&gt;$M$61,1,"0"),"")</f>
        <v/>
      </c>
      <c r="T70" s="1150"/>
      <c r="AF70" s="1161">
        <v>3</v>
      </c>
    </row>
    <row r="71" spans="1:32" x14ac:dyDescent="0.25">
      <c r="A71" s="1720" t="s">
        <v>267</v>
      </c>
      <c r="B71" s="1720"/>
      <c r="C71" s="1114">
        <f>SUM(C67:C70)</f>
        <v>0</v>
      </c>
      <c r="D71" s="1721"/>
      <c r="E71" s="1722"/>
      <c r="F71" s="1114">
        <f>SUM(F67:F70)</f>
        <v>0</v>
      </c>
      <c r="G71" s="1721"/>
      <c r="H71" s="1722"/>
      <c r="I71" s="1114">
        <f>SUM(I67:I70)</f>
        <v>0</v>
      </c>
      <c r="J71" s="1721"/>
      <c r="K71" s="1722"/>
      <c r="L71" s="1114">
        <f>SUM(L67:L70)</f>
        <v>0</v>
      </c>
      <c r="M71" s="1721"/>
      <c r="N71" s="1722"/>
      <c r="O71" s="1114">
        <f>SUM(O67:O70)</f>
        <v>0</v>
      </c>
      <c r="P71" s="1721"/>
      <c r="Q71" s="1722"/>
      <c r="R71" s="1114">
        <f>SUM(R67:R70)</f>
        <v>0</v>
      </c>
      <c r="S71" s="1132"/>
      <c r="T71" s="1150"/>
      <c r="AF71" s="1161">
        <v>3</v>
      </c>
    </row>
    <row r="72" spans="1:32" x14ac:dyDescent="0.25">
      <c r="A72" s="1720" t="s">
        <v>7997</v>
      </c>
      <c r="B72" s="1720"/>
      <c r="C72" s="1114" t="str">
        <f>IF(COUNT(C67:C70)=0,"",AVERAGE(C67:C70))</f>
        <v/>
      </c>
      <c r="D72" s="1723"/>
      <c r="E72" s="1724"/>
      <c r="F72" s="1114" t="str">
        <f>IF(COUNT(F67:F70)=0,"",AVERAGE(F67:F70))</f>
        <v/>
      </c>
      <c r="G72" s="1723"/>
      <c r="H72" s="1724"/>
      <c r="I72" s="1114" t="str">
        <f>IF(COUNT(I67:I70)=0,"",AVERAGE(I67:I70))</f>
        <v/>
      </c>
      <c r="J72" s="1723"/>
      <c r="K72" s="1724"/>
      <c r="L72" s="1114" t="str">
        <f>IF(COUNT(L67:L70)=0,"",AVERAGE(L67:L70))</f>
        <v/>
      </c>
      <c r="M72" s="1723"/>
      <c r="N72" s="1724"/>
      <c r="O72" s="1114" t="str">
        <f>IF(COUNT(O67:O70)=0,"",AVERAGE(O67:O70))</f>
        <v/>
      </c>
      <c r="P72" s="1723"/>
      <c r="Q72" s="1724"/>
      <c r="R72" s="1114" t="str">
        <f>IF(COUNT(R67:R70)=0,"",AVERAGE(R67:R70))</f>
        <v/>
      </c>
      <c r="S72" s="1133"/>
      <c r="T72" s="1150"/>
      <c r="AF72" s="1161">
        <v>3</v>
      </c>
    </row>
    <row r="73" spans="1:32" ht="15" customHeight="1" x14ac:dyDescent="0.25">
      <c r="A73" s="1727" t="s">
        <v>7999</v>
      </c>
      <c r="B73" s="1728"/>
      <c r="C73" s="1165">
        <f>SUM(D67:D70)</f>
        <v>0</v>
      </c>
      <c r="D73" s="1725"/>
      <c r="E73" s="1726"/>
      <c r="F73" s="1165">
        <f>SUM(G67:G70)</f>
        <v>0</v>
      </c>
      <c r="G73" s="1725"/>
      <c r="H73" s="1726"/>
      <c r="I73" s="1208">
        <f>SUM(J67:J70)</f>
        <v>0</v>
      </c>
      <c r="J73" s="1725"/>
      <c r="K73" s="1726"/>
      <c r="L73" s="1165">
        <f>SUM(M67:M70)</f>
        <v>0</v>
      </c>
      <c r="M73" s="1725"/>
      <c r="N73" s="1726"/>
      <c r="O73" s="1165">
        <f>SUM(P67:P70)</f>
        <v>0</v>
      </c>
      <c r="P73" s="1725"/>
      <c r="Q73" s="1726"/>
      <c r="R73" s="1208">
        <f>SUM(S67:S70)</f>
        <v>0</v>
      </c>
      <c r="S73" s="1134"/>
      <c r="T73" s="1150"/>
      <c r="AF73" s="1161">
        <v>3</v>
      </c>
    </row>
    <row r="74" spans="1:32" x14ac:dyDescent="0.25">
      <c r="A74" s="1115" t="s">
        <v>2973</v>
      </c>
      <c r="B74" s="1112"/>
      <c r="C74" s="1112"/>
      <c r="D74" s="1112"/>
      <c r="E74" s="1112"/>
      <c r="F74" s="1112"/>
      <c r="G74" s="1112"/>
      <c r="H74" s="1112"/>
      <c r="I74" s="1112"/>
      <c r="J74" s="1112"/>
      <c r="K74" s="1112"/>
      <c r="L74" s="1112"/>
      <c r="M74" s="1112"/>
      <c r="N74" s="1112"/>
      <c r="O74" s="1112"/>
      <c r="P74" s="1112"/>
      <c r="Q74" s="1112"/>
      <c r="R74" s="1112"/>
      <c r="S74" s="1112"/>
      <c r="T74" s="1140"/>
      <c r="AF74" s="1161">
        <v>3</v>
      </c>
    </row>
    <row r="75" spans="1:32" hidden="1" x14ac:dyDescent="0.25">
      <c r="A75" s="1719" t="s">
        <v>8001</v>
      </c>
      <c r="B75" s="1719"/>
      <c r="C75" s="1719"/>
      <c r="D75" s="1719"/>
      <c r="E75" s="1719"/>
      <c r="F75" s="1719"/>
      <c r="G75" s="1719"/>
      <c r="H75" s="1719"/>
      <c r="I75" s="1719"/>
      <c r="J75" s="1719"/>
      <c r="K75" s="1719"/>
      <c r="L75" s="1719"/>
      <c r="M75" s="1719"/>
      <c r="N75" s="1719"/>
      <c r="O75" s="1719"/>
      <c r="P75" s="1719"/>
      <c r="Q75" s="1719"/>
      <c r="R75" s="1719"/>
      <c r="S75" s="1719"/>
      <c r="T75" s="1146"/>
      <c r="AF75" s="1161">
        <v>4</v>
      </c>
    </row>
    <row r="76" spans="1:32" ht="5.0999999999999996" hidden="1" customHeight="1" x14ac:dyDescent="0.25">
      <c r="A76" s="1112"/>
      <c r="B76" s="1112"/>
      <c r="C76" s="1112"/>
      <c r="D76" s="1112"/>
      <c r="E76" s="1112"/>
      <c r="F76" s="1112"/>
      <c r="G76" s="1112"/>
      <c r="H76" s="1112"/>
      <c r="I76" s="1112"/>
      <c r="J76" s="1112"/>
      <c r="K76" s="1112"/>
      <c r="L76" s="1112"/>
      <c r="M76" s="1112"/>
      <c r="N76" s="1112"/>
      <c r="O76" s="1112"/>
      <c r="P76" s="1112"/>
      <c r="Q76" s="1112"/>
      <c r="R76" s="1112"/>
      <c r="S76" s="1112"/>
      <c r="T76" s="1140"/>
      <c r="AF76" s="1161">
        <v>4</v>
      </c>
    </row>
    <row r="77" spans="1:32" hidden="1" x14ac:dyDescent="0.25">
      <c r="A77" s="1112" t="s">
        <v>271</v>
      </c>
      <c r="B77" s="1112"/>
      <c r="C77" s="1109"/>
      <c r="D77" s="1711"/>
      <c r="E77" s="1711"/>
      <c r="F77" s="1711"/>
      <c r="G77" s="1112"/>
      <c r="H77" s="1112"/>
      <c r="I77" s="1112"/>
      <c r="J77" s="1209" t="s">
        <v>582</v>
      </c>
      <c r="K77" s="1209"/>
      <c r="L77" s="1159"/>
      <c r="M77" s="1711"/>
      <c r="N77" s="1711"/>
      <c r="O77" s="1711"/>
      <c r="P77" s="1112" t="s">
        <v>68</v>
      </c>
      <c r="Q77" s="1112"/>
      <c r="R77" s="1112"/>
      <c r="S77" s="1112"/>
      <c r="T77" s="1140"/>
      <c r="AF77" s="1161">
        <v>4</v>
      </c>
    </row>
    <row r="78" spans="1:32" hidden="1" x14ac:dyDescent="0.25">
      <c r="A78" s="1112" t="s">
        <v>240</v>
      </c>
      <c r="B78" s="1112"/>
      <c r="C78" s="1109"/>
      <c r="D78" s="1711"/>
      <c r="E78" s="1711"/>
      <c r="F78" s="1711"/>
      <c r="G78" s="1112"/>
      <c r="H78" s="1112"/>
      <c r="I78" s="1112"/>
      <c r="J78" s="1128" t="s">
        <v>767</v>
      </c>
      <c r="K78" s="1128"/>
      <c r="L78" s="1159"/>
      <c r="M78" s="1711"/>
      <c r="N78" s="1711"/>
      <c r="O78" s="1711"/>
      <c r="P78" s="1112"/>
      <c r="Q78" s="1112"/>
      <c r="R78" s="1112"/>
      <c r="S78" s="1112"/>
      <c r="T78" s="1140"/>
      <c r="AF78" s="1161">
        <v>4</v>
      </c>
    </row>
    <row r="79" spans="1:32" hidden="1" x14ac:dyDescent="0.25">
      <c r="A79" s="1112" t="s">
        <v>265</v>
      </c>
      <c r="B79" s="1112"/>
      <c r="C79" s="1109"/>
      <c r="D79" s="1715"/>
      <c r="E79" s="1716"/>
      <c r="F79" s="1716"/>
      <c r="G79" s="1112"/>
      <c r="H79" s="1112"/>
      <c r="I79" s="1112"/>
      <c r="J79" s="1729" t="s">
        <v>3161</v>
      </c>
      <c r="K79" s="1729"/>
      <c r="L79" s="1729"/>
      <c r="M79" s="1717" t="str">
        <f>IF(ISERROR(SUM(C89,F89,I89,L89,O89,R89)/COUNT(C89,F89,I89,L89,O89,R89)),"",-((SUM(C89,F89,I89,L89,O89,R89)/COUNT(C89,F89,I89,L89,O89,R89))))</f>
        <v/>
      </c>
      <c r="N79" s="1717"/>
      <c r="O79" s="1717"/>
      <c r="P79" s="1109"/>
      <c r="Q79" s="1112"/>
      <c r="R79" s="1112"/>
      <c r="S79" s="1112"/>
      <c r="T79" s="1140"/>
      <c r="AF79" s="1161">
        <v>4</v>
      </c>
    </row>
    <row r="80" spans="1:32" hidden="1" x14ac:dyDescent="0.25">
      <c r="A80" s="1710" t="s">
        <v>90</v>
      </c>
      <c r="B80" s="1710"/>
      <c r="C80" s="1109"/>
      <c r="D80" s="1711"/>
      <c r="E80" s="1711"/>
      <c r="F80" s="1711"/>
      <c r="G80" s="1109"/>
      <c r="H80" s="1112"/>
      <c r="I80" s="1112"/>
      <c r="J80" s="1128" t="s">
        <v>2979</v>
      </c>
      <c r="K80" s="1128"/>
      <c r="L80" s="1159"/>
      <c r="M80" s="1712" t="str">
        <f>IF(ISERROR(SUM(C89,F89,I89,L89,O89,R89)/COUNT(C89,F89,I89,L89,O89,R89)),"",-((SUM(C89,F89,I89,L89,O89,R89)/COUNT(C89,F89,I89,L89,O89,R89)))/M78)</f>
        <v/>
      </c>
      <c r="N80" s="1712"/>
      <c r="O80" s="1712"/>
      <c r="P80" s="1112"/>
      <c r="Q80" s="1112"/>
      <c r="R80" s="1112"/>
      <c r="S80" s="1112"/>
      <c r="T80" s="1140"/>
      <c r="AF80" s="1161">
        <v>4</v>
      </c>
    </row>
    <row r="81" spans="1:32" hidden="1" x14ac:dyDescent="0.25">
      <c r="A81" s="1112"/>
      <c r="B81" s="1112"/>
      <c r="C81" s="1117"/>
      <c r="D81" s="1117"/>
      <c r="E81" s="1112"/>
      <c r="F81" s="1112"/>
      <c r="G81" s="1112"/>
      <c r="H81" s="1112"/>
      <c r="I81" s="1112"/>
      <c r="J81" s="1115"/>
      <c r="K81" s="1115"/>
      <c r="L81" s="1115"/>
      <c r="M81" s="1115"/>
      <c r="N81" s="1115"/>
      <c r="O81" s="1115"/>
      <c r="P81" s="1115"/>
      <c r="Q81" s="1115"/>
      <c r="R81" s="1115"/>
      <c r="S81" s="1113" t="s">
        <v>29</v>
      </c>
      <c r="T81" s="1148"/>
      <c r="AF81" s="1161">
        <v>4</v>
      </c>
    </row>
    <row r="82" spans="1:32" hidden="1" x14ac:dyDescent="0.25">
      <c r="A82" s="1208" t="s">
        <v>266</v>
      </c>
      <c r="B82" s="1714">
        <f>$B$31</f>
        <v>43094</v>
      </c>
      <c r="C82" s="1714"/>
      <c r="D82" s="1714"/>
      <c r="E82" s="1714">
        <f>$E$31</f>
        <v>43125</v>
      </c>
      <c r="F82" s="1714"/>
      <c r="G82" s="1714"/>
      <c r="H82" s="1714">
        <f>$H$31</f>
        <v>43156</v>
      </c>
      <c r="I82" s="1714"/>
      <c r="J82" s="1714"/>
      <c r="K82" s="1714">
        <f>$K$31</f>
        <v>43187</v>
      </c>
      <c r="L82" s="1714"/>
      <c r="M82" s="1714"/>
      <c r="N82" s="1714">
        <f>$N$31</f>
        <v>43218</v>
      </c>
      <c r="O82" s="1714"/>
      <c r="P82" s="1714"/>
      <c r="Q82" s="1714">
        <f>$Q$31</f>
        <v>43249</v>
      </c>
      <c r="R82" s="1714"/>
      <c r="S82" s="1714"/>
      <c r="T82" s="1149"/>
      <c r="AF82" s="1161">
        <v>4</v>
      </c>
    </row>
    <row r="83" spans="1:32" hidden="1" x14ac:dyDescent="0.25">
      <c r="A83" s="1208" t="s">
        <v>8</v>
      </c>
      <c r="B83" s="1208" t="s">
        <v>26</v>
      </c>
      <c r="C83" s="1208" t="s">
        <v>268</v>
      </c>
      <c r="D83" s="1208" t="s">
        <v>2972</v>
      </c>
      <c r="E83" s="1208" t="s">
        <v>26</v>
      </c>
      <c r="F83" s="1208" t="s">
        <v>268</v>
      </c>
      <c r="G83" s="1208" t="s">
        <v>2972</v>
      </c>
      <c r="H83" s="1208" t="s">
        <v>26</v>
      </c>
      <c r="I83" s="1208" t="s">
        <v>268</v>
      </c>
      <c r="J83" s="1208" t="s">
        <v>2972</v>
      </c>
      <c r="K83" s="1208" t="s">
        <v>26</v>
      </c>
      <c r="L83" s="1208" t="s">
        <v>268</v>
      </c>
      <c r="M83" s="1208" t="s">
        <v>2972</v>
      </c>
      <c r="N83" s="1208" t="s">
        <v>26</v>
      </c>
      <c r="O83" s="1208" t="s">
        <v>268</v>
      </c>
      <c r="P83" s="1208" t="s">
        <v>2972</v>
      </c>
      <c r="Q83" s="1208" t="s">
        <v>26</v>
      </c>
      <c r="R83" s="1208" t="s">
        <v>268</v>
      </c>
      <c r="S83" s="1208" t="s">
        <v>2972</v>
      </c>
      <c r="T83" s="1150"/>
      <c r="AF83" s="1161">
        <v>4</v>
      </c>
    </row>
    <row r="84" spans="1:32" hidden="1" x14ac:dyDescent="0.25">
      <c r="A84" s="1124">
        <v>1</v>
      </c>
      <c r="B84" s="1124">
        <v>7</v>
      </c>
      <c r="C84" s="1127"/>
      <c r="D84" s="1166" t="str">
        <f>IF(C84&lt;&gt;"",IF(-C84&gt;$M$78,1,"0"),"")</f>
        <v/>
      </c>
      <c r="E84" s="1124">
        <v>7</v>
      </c>
      <c r="F84" s="1127"/>
      <c r="G84" s="1166" t="str">
        <f>IF(F84&lt;&gt;"",IF(-F84&gt;$M$78,1,"0"),"")</f>
        <v/>
      </c>
      <c r="H84" s="1124">
        <v>7</v>
      </c>
      <c r="I84" s="1127"/>
      <c r="J84" s="1166" t="str">
        <f>IF(I84&lt;&gt;"",IF(-I84&gt;$M$78,1,"0"),"")</f>
        <v/>
      </c>
      <c r="K84" s="1124">
        <v>7</v>
      </c>
      <c r="L84" s="1127"/>
      <c r="M84" s="1166" t="str">
        <f>IF(L84&lt;&gt;"",IF(-L84&gt;$M$78,1,"0"),"")</f>
        <v/>
      </c>
      <c r="N84" s="1124">
        <v>7</v>
      </c>
      <c r="O84" s="1127"/>
      <c r="P84" s="1166" t="str">
        <f>IF(O84&lt;&gt;"",IF(-O84&gt;$M$78,1,"0"),"")</f>
        <v/>
      </c>
      <c r="Q84" s="1124">
        <v>7</v>
      </c>
      <c r="R84" s="1127"/>
      <c r="S84" s="1166" t="str">
        <f>IF(R84&lt;&gt;"",IF(-R84&gt;$M$78,1,"0"),"")</f>
        <v/>
      </c>
      <c r="T84" s="1151"/>
      <c r="AF84" s="1161">
        <v>4</v>
      </c>
    </row>
    <row r="85" spans="1:32" hidden="1" x14ac:dyDescent="0.25">
      <c r="A85" s="1125">
        <v>2</v>
      </c>
      <c r="B85" s="1125">
        <v>14</v>
      </c>
      <c r="C85" s="1126"/>
      <c r="D85" s="1167" t="str">
        <f>IF(C85&lt;&gt;"",IF(-C85&gt;$M$78,1,"0"),"")</f>
        <v/>
      </c>
      <c r="E85" s="1125">
        <v>14</v>
      </c>
      <c r="F85" s="1126"/>
      <c r="G85" s="1167" t="str">
        <f>IF(F85&lt;&gt;"",IF(-F85&gt;$M$78,1,"0"),"")</f>
        <v/>
      </c>
      <c r="H85" s="1125">
        <v>14</v>
      </c>
      <c r="I85" s="1126"/>
      <c r="J85" s="1167" t="str">
        <f>IF(I85&lt;&gt;"",IF(-I85&gt;$M$78,1,"0"),"")</f>
        <v/>
      </c>
      <c r="K85" s="1125">
        <v>14</v>
      </c>
      <c r="L85" s="1126"/>
      <c r="M85" s="1167" t="str">
        <f>IF(L85&lt;&gt;"",IF(-L85&gt;$M$78,1,"0"),"")</f>
        <v/>
      </c>
      <c r="N85" s="1125">
        <v>14</v>
      </c>
      <c r="O85" s="1126"/>
      <c r="P85" s="1167" t="str">
        <f>IF(O85&lt;&gt;"",IF(-O85&gt;$M$78,1,"0"),"")</f>
        <v/>
      </c>
      <c r="Q85" s="1125">
        <v>14</v>
      </c>
      <c r="R85" s="1126"/>
      <c r="S85" s="1167" t="str">
        <f>IF(R85&lt;&gt;"",IF(-R85&gt;$M$78,1,"0"),"")</f>
        <v/>
      </c>
      <c r="T85" s="1151"/>
      <c r="AF85" s="1161">
        <v>4</v>
      </c>
    </row>
    <row r="86" spans="1:32" hidden="1" x14ac:dyDescent="0.25">
      <c r="A86" s="1125">
        <v>3</v>
      </c>
      <c r="B86" s="1125">
        <v>22</v>
      </c>
      <c r="C86" s="1126"/>
      <c r="D86" s="1167" t="str">
        <f>IF(C86&lt;&gt;"",IF(-C86&gt;$M$78,1,"0"),"")</f>
        <v/>
      </c>
      <c r="E86" s="1125">
        <v>22</v>
      </c>
      <c r="F86" s="1126"/>
      <c r="G86" s="1167" t="str">
        <f>IF(F86&lt;&gt;"",IF(-F86&gt;$M$78,1,"0"),"")</f>
        <v/>
      </c>
      <c r="H86" s="1125">
        <v>22</v>
      </c>
      <c r="I86" s="1126"/>
      <c r="J86" s="1167" t="str">
        <f>IF(I86&lt;&gt;"",IF(-I86&gt;$M$78,1,"0"),"")</f>
        <v/>
      </c>
      <c r="K86" s="1125">
        <v>22</v>
      </c>
      <c r="L86" s="1126"/>
      <c r="M86" s="1167" t="str">
        <f>IF(L86&lt;&gt;"",IF(-L86&gt;$M$78,1,"0"),"")</f>
        <v/>
      </c>
      <c r="N86" s="1125">
        <v>22</v>
      </c>
      <c r="O86" s="1126"/>
      <c r="P86" s="1167" t="str">
        <f>IF(O86&lt;&gt;"",IF(-O86&gt;$M$78,1,"0"),"")</f>
        <v/>
      </c>
      <c r="Q86" s="1125">
        <v>22</v>
      </c>
      <c r="R86" s="1126"/>
      <c r="S86" s="1167" t="str">
        <f>IF(R86&lt;&gt;"",IF(-R86&gt;$M$78,1,"0"),"")</f>
        <v/>
      </c>
      <c r="T86" s="1151"/>
      <c r="AF86" s="1161">
        <v>4</v>
      </c>
    </row>
    <row r="87" spans="1:32" hidden="1" x14ac:dyDescent="0.25">
      <c r="A87" s="1125">
        <v>4</v>
      </c>
      <c r="B87" s="1125">
        <v>31</v>
      </c>
      <c r="C87" s="1126"/>
      <c r="D87" s="1167" t="str">
        <f>IF(C87&lt;&gt;"",IF(-C87&gt;$M$78,1,"0"),"")</f>
        <v/>
      </c>
      <c r="E87" s="1125">
        <v>31</v>
      </c>
      <c r="F87" s="1126"/>
      <c r="G87" s="1167" t="str">
        <f>IF(F87&lt;&gt;"",IF(-F87&gt;$M$78,1,"0"),"")</f>
        <v/>
      </c>
      <c r="H87" s="1125">
        <v>31</v>
      </c>
      <c r="I87" s="1126"/>
      <c r="J87" s="1167" t="str">
        <f>IF(I87&lt;&gt;"",IF(-I87&gt;$M$78,1,"0"),"")</f>
        <v/>
      </c>
      <c r="K87" s="1125">
        <v>31</v>
      </c>
      <c r="L87" s="1126"/>
      <c r="M87" s="1167" t="str">
        <f>IF(L87&lt;&gt;"",IF(-L87&gt;$M$78,1,"0"),"")</f>
        <v/>
      </c>
      <c r="N87" s="1125">
        <v>31</v>
      </c>
      <c r="O87" s="1126"/>
      <c r="P87" s="1167" t="str">
        <f>IF(O87&lt;&gt;"",IF(-O87&gt;$M$78,1,"0"),"")</f>
        <v/>
      </c>
      <c r="Q87" s="1125">
        <v>31</v>
      </c>
      <c r="R87" s="1126"/>
      <c r="S87" s="1167" t="str">
        <f>IF(R87&lt;&gt;"",IF(-R87&gt;$M$78,1,"0"),"")</f>
        <v/>
      </c>
      <c r="T87" s="1151"/>
      <c r="AF87" s="1161">
        <v>4</v>
      </c>
    </row>
    <row r="88" spans="1:32" hidden="1" x14ac:dyDescent="0.25">
      <c r="A88" s="1720" t="s">
        <v>267</v>
      </c>
      <c r="B88" s="1720"/>
      <c r="C88" s="1114">
        <f>SUM(C84:C87)</f>
        <v>0</v>
      </c>
      <c r="D88" s="1721"/>
      <c r="E88" s="1722"/>
      <c r="F88" s="1114">
        <f>SUM(F84:F87)</f>
        <v>0</v>
      </c>
      <c r="G88" s="1721"/>
      <c r="H88" s="1722"/>
      <c r="I88" s="1114">
        <f>SUM(I84:I87)</f>
        <v>0</v>
      </c>
      <c r="J88" s="1721"/>
      <c r="K88" s="1722"/>
      <c r="L88" s="1114">
        <f>SUM(L84:L87)</f>
        <v>0</v>
      </c>
      <c r="M88" s="1721"/>
      <c r="N88" s="1722"/>
      <c r="O88" s="1114">
        <f>SUM(O84:O87)</f>
        <v>0</v>
      </c>
      <c r="P88" s="1721"/>
      <c r="Q88" s="1722"/>
      <c r="R88" s="1114">
        <f>SUM(R84:R87)</f>
        <v>0</v>
      </c>
      <c r="S88" s="1132"/>
      <c r="T88" s="1150"/>
      <c r="AF88" s="1161">
        <v>4</v>
      </c>
    </row>
    <row r="89" spans="1:32" hidden="1" x14ac:dyDescent="0.25">
      <c r="A89" s="1720" t="s">
        <v>7997</v>
      </c>
      <c r="B89" s="1720"/>
      <c r="C89" s="1114" t="str">
        <f>IF(COUNT(C84:C87)=0,"",AVERAGE(C84:C87))</f>
        <v/>
      </c>
      <c r="D89" s="1723"/>
      <c r="E89" s="1724"/>
      <c r="F89" s="1114" t="str">
        <f>IF(COUNT(F84:F87)=0,"",AVERAGE(F84:F87))</f>
        <v/>
      </c>
      <c r="G89" s="1723"/>
      <c r="H89" s="1724"/>
      <c r="I89" s="1114" t="str">
        <f>IF(COUNT(I84:I87)=0,"",AVERAGE(I84:I87))</f>
        <v/>
      </c>
      <c r="J89" s="1723"/>
      <c r="K89" s="1724"/>
      <c r="L89" s="1114" t="str">
        <f>IF(COUNT(L84:L87)=0,"",AVERAGE(L84:L87))</f>
        <v/>
      </c>
      <c r="M89" s="1723"/>
      <c r="N89" s="1724"/>
      <c r="O89" s="1114" t="str">
        <f>IF(COUNT(O84:O87)=0,"",AVERAGE(O84:O87))</f>
        <v/>
      </c>
      <c r="P89" s="1723"/>
      <c r="Q89" s="1724"/>
      <c r="R89" s="1114" t="str">
        <f>IF(COUNT(R84:R87)=0,"",AVERAGE(R84:R87))</f>
        <v/>
      </c>
      <c r="S89" s="1133"/>
      <c r="T89" s="1150"/>
      <c r="AF89" s="1161">
        <v>4</v>
      </c>
    </row>
    <row r="90" spans="1:32" ht="15" hidden="1" customHeight="1" x14ac:dyDescent="0.25">
      <c r="A90" s="1727" t="s">
        <v>7999</v>
      </c>
      <c r="B90" s="1728"/>
      <c r="C90" s="1165">
        <f>SUM(D84:D87)</f>
        <v>0</v>
      </c>
      <c r="D90" s="1725"/>
      <c r="E90" s="1726"/>
      <c r="F90" s="1165">
        <f>SUM(G84:G87)</f>
        <v>0</v>
      </c>
      <c r="G90" s="1725"/>
      <c r="H90" s="1726"/>
      <c r="I90" s="1208">
        <f>SUM(J84:J87)</f>
        <v>0</v>
      </c>
      <c r="J90" s="1725"/>
      <c r="K90" s="1726"/>
      <c r="L90" s="1165">
        <f>SUM(M84:M87)</f>
        <v>0</v>
      </c>
      <c r="M90" s="1725"/>
      <c r="N90" s="1726"/>
      <c r="O90" s="1165">
        <f>SUM(P84:P87)</f>
        <v>0</v>
      </c>
      <c r="P90" s="1725"/>
      <c r="Q90" s="1726"/>
      <c r="R90" s="1208">
        <f>SUM(S84:S87)</f>
        <v>0</v>
      </c>
      <c r="S90" s="1134"/>
      <c r="T90" s="1150"/>
      <c r="AF90" s="1161">
        <v>4</v>
      </c>
    </row>
    <row r="91" spans="1:32" hidden="1" x14ac:dyDescent="0.25">
      <c r="A91" s="1115" t="s">
        <v>2973</v>
      </c>
      <c r="B91" s="1112"/>
      <c r="C91" s="1112"/>
      <c r="D91" s="1112"/>
      <c r="E91" s="1112"/>
      <c r="F91" s="1112"/>
      <c r="G91" s="1112"/>
      <c r="H91" s="1112"/>
      <c r="I91" s="1112"/>
      <c r="J91" s="1112"/>
      <c r="K91" s="1112"/>
      <c r="L91" s="1112"/>
      <c r="M91" s="1112"/>
      <c r="N91" s="1112"/>
      <c r="O91" s="1112"/>
      <c r="P91" s="1112"/>
      <c r="Q91" s="1112"/>
      <c r="R91" s="1112"/>
      <c r="S91" s="1112"/>
      <c r="T91" s="1140"/>
      <c r="AF91" s="1161">
        <v>4</v>
      </c>
    </row>
    <row r="92" spans="1:32" hidden="1" x14ac:dyDescent="0.25">
      <c r="A92" s="1719" t="s">
        <v>8002</v>
      </c>
      <c r="B92" s="1719"/>
      <c r="C92" s="1719"/>
      <c r="D92" s="1719"/>
      <c r="E92" s="1719"/>
      <c r="F92" s="1719"/>
      <c r="G92" s="1719"/>
      <c r="H92" s="1719"/>
      <c r="I92" s="1719"/>
      <c r="J92" s="1719"/>
      <c r="K92" s="1719"/>
      <c r="L92" s="1719"/>
      <c r="M92" s="1719"/>
      <c r="N92" s="1719"/>
      <c r="O92" s="1719"/>
      <c r="P92" s="1719"/>
      <c r="Q92" s="1719"/>
      <c r="R92" s="1719"/>
      <c r="S92" s="1719"/>
      <c r="T92" s="1146"/>
      <c r="AF92" s="1161">
        <v>5</v>
      </c>
    </row>
    <row r="93" spans="1:32" ht="5.0999999999999996" hidden="1" customHeight="1" x14ac:dyDescent="0.25">
      <c r="A93" s="1112"/>
      <c r="B93" s="1112"/>
      <c r="C93" s="1112"/>
      <c r="D93" s="1112"/>
      <c r="E93" s="1112"/>
      <c r="F93" s="1112"/>
      <c r="G93" s="1112"/>
      <c r="H93" s="1112"/>
      <c r="I93" s="1112"/>
      <c r="J93" s="1112"/>
      <c r="K93" s="1112"/>
      <c r="L93" s="1112"/>
      <c r="M93" s="1112"/>
      <c r="N93" s="1112"/>
      <c r="O93" s="1112"/>
      <c r="P93" s="1112"/>
      <c r="Q93" s="1112"/>
      <c r="R93" s="1112"/>
      <c r="S93" s="1112"/>
      <c r="T93" s="1140"/>
      <c r="AF93" s="1161">
        <v>5</v>
      </c>
    </row>
    <row r="94" spans="1:32" hidden="1" x14ac:dyDescent="0.25">
      <c r="A94" s="1112" t="s">
        <v>271</v>
      </c>
      <c r="B94" s="1112"/>
      <c r="C94" s="1109"/>
      <c r="D94" s="1711"/>
      <c r="E94" s="1711"/>
      <c r="F94" s="1711"/>
      <c r="G94" s="1112"/>
      <c r="H94" s="1112"/>
      <c r="I94" s="1112"/>
      <c r="J94" s="1209" t="s">
        <v>582</v>
      </c>
      <c r="K94" s="1209"/>
      <c r="L94" s="1159"/>
      <c r="M94" s="1711"/>
      <c r="N94" s="1711"/>
      <c r="O94" s="1711"/>
      <c r="P94" s="1112" t="s">
        <v>68</v>
      </c>
      <c r="Q94" s="1112"/>
      <c r="R94" s="1112"/>
      <c r="S94" s="1112"/>
      <c r="T94" s="1140"/>
      <c r="AF94" s="1161">
        <v>5</v>
      </c>
    </row>
    <row r="95" spans="1:32" hidden="1" x14ac:dyDescent="0.25">
      <c r="A95" s="1112" t="s">
        <v>240</v>
      </c>
      <c r="B95" s="1112"/>
      <c r="C95" s="1109"/>
      <c r="D95" s="1711"/>
      <c r="E95" s="1711"/>
      <c r="F95" s="1711"/>
      <c r="G95" s="1112"/>
      <c r="H95" s="1112"/>
      <c r="I95" s="1112"/>
      <c r="J95" s="1128" t="s">
        <v>767</v>
      </c>
      <c r="K95" s="1128"/>
      <c r="L95" s="1159"/>
      <c r="M95" s="1711"/>
      <c r="N95" s="1711"/>
      <c r="O95" s="1711"/>
      <c r="P95" s="1112"/>
      <c r="Q95" s="1112"/>
      <c r="R95" s="1112"/>
      <c r="S95" s="1112"/>
      <c r="T95" s="1140"/>
      <c r="AF95" s="1161">
        <v>5</v>
      </c>
    </row>
    <row r="96" spans="1:32" hidden="1" x14ac:dyDescent="0.25">
      <c r="A96" s="1112" t="s">
        <v>265</v>
      </c>
      <c r="B96" s="1112"/>
      <c r="C96" s="1109"/>
      <c r="D96" s="1715"/>
      <c r="E96" s="1716"/>
      <c r="F96" s="1716"/>
      <c r="G96" s="1112"/>
      <c r="H96" s="1112"/>
      <c r="I96" s="1112"/>
      <c r="J96" s="1729" t="s">
        <v>3161</v>
      </c>
      <c r="K96" s="1729"/>
      <c r="L96" s="1729"/>
      <c r="M96" s="1717" t="str">
        <f>IF(ISERROR(SUM(C106,F106,I106,L106,O106,R106)/COUNT(C106,F106,I106,L106,O106,R106)),"",-((SUM(C106,F106,I106,L106,O106,R106)/COUNT(C106,F106,I106,L106,O106,R106))))</f>
        <v/>
      </c>
      <c r="N96" s="1717"/>
      <c r="O96" s="1717"/>
      <c r="P96" s="1109"/>
      <c r="Q96" s="1112"/>
      <c r="R96" s="1112"/>
      <c r="S96" s="1112"/>
      <c r="T96" s="1140"/>
      <c r="AF96" s="1161">
        <v>5</v>
      </c>
    </row>
    <row r="97" spans="1:32" hidden="1" x14ac:dyDescent="0.25">
      <c r="A97" s="1710" t="s">
        <v>90</v>
      </c>
      <c r="B97" s="1710"/>
      <c r="C97" s="1109"/>
      <c r="D97" s="1711"/>
      <c r="E97" s="1711"/>
      <c r="F97" s="1711"/>
      <c r="G97" s="1109"/>
      <c r="H97" s="1112"/>
      <c r="I97" s="1112"/>
      <c r="J97" s="1128" t="s">
        <v>2979</v>
      </c>
      <c r="K97" s="1128"/>
      <c r="L97" s="1159"/>
      <c r="M97" s="1712" t="str">
        <f>IF(ISERROR(SUM(C106,F106,I106,L106,O106,R106)/COUNT(C106,F106,I106,L106,O106,R106)),"",-((SUM(C106,F106,I106,L106,O106,R106)/COUNT(C106,F106,I106,L106,O106,R106)))/M95)</f>
        <v/>
      </c>
      <c r="N97" s="1712"/>
      <c r="O97" s="1712"/>
      <c r="P97" s="1112"/>
      <c r="Q97" s="1112"/>
      <c r="R97" s="1112"/>
      <c r="S97" s="1112"/>
      <c r="T97" s="1140"/>
      <c r="AF97" s="1161">
        <v>5</v>
      </c>
    </row>
    <row r="98" spans="1:32" hidden="1" x14ac:dyDescent="0.25">
      <c r="A98" s="1112"/>
      <c r="B98" s="1112"/>
      <c r="C98" s="1117"/>
      <c r="D98" s="1117"/>
      <c r="E98" s="1112"/>
      <c r="F98" s="1112"/>
      <c r="G98" s="1112"/>
      <c r="H98" s="1112"/>
      <c r="I98" s="1112"/>
      <c r="J98" s="1115"/>
      <c r="K98" s="1115"/>
      <c r="L98" s="1115"/>
      <c r="M98" s="1115"/>
      <c r="N98" s="1115"/>
      <c r="O98" s="1115"/>
      <c r="P98" s="1115"/>
      <c r="Q98" s="1115"/>
      <c r="R98" s="1115"/>
      <c r="S98" s="1113" t="s">
        <v>29</v>
      </c>
      <c r="T98" s="1148"/>
      <c r="AF98" s="1161">
        <v>5</v>
      </c>
    </row>
    <row r="99" spans="1:32" hidden="1" x14ac:dyDescent="0.25">
      <c r="A99" s="1208" t="s">
        <v>266</v>
      </c>
      <c r="B99" s="1714">
        <f>$B$31</f>
        <v>43094</v>
      </c>
      <c r="C99" s="1714"/>
      <c r="D99" s="1714"/>
      <c r="E99" s="1714">
        <f>$E$31</f>
        <v>43125</v>
      </c>
      <c r="F99" s="1714"/>
      <c r="G99" s="1714"/>
      <c r="H99" s="1714">
        <f>$H$31</f>
        <v>43156</v>
      </c>
      <c r="I99" s="1714"/>
      <c r="J99" s="1714"/>
      <c r="K99" s="1714">
        <f>$K$31</f>
        <v>43187</v>
      </c>
      <c r="L99" s="1714"/>
      <c r="M99" s="1714"/>
      <c r="N99" s="1714">
        <f>$N$31</f>
        <v>43218</v>
      </c>
      <c r="O99" s="1714"/>
      <c r="P99" s="1714"/>
      <c r="Q99" s="1714">
        <f>$Q$31</f>
        <v>43249</v>
      </c>
      <c r="R99" s="1714"/>
      <c r="S99" s="1714"/>
      <c r="T99" s="1149"/>
      <c r="AF99" s="1161">
        <v>5</v>
      </c>
    </row>
    <row r="100" spans="1:32" hidden="1" x14ac:dyDescent="0.25">
      <c r="A100" s="1208" t="s">
        <v>8</v>
      </c>
      <c r="B100" s="1208" t="s">
        <v>26</v>
      </c>
      <c r="C100" s="1208" t="s">
        <v>268</v>
      </c>
      <c r="D100" s="1208" t="s">
        <v>2972</v>
      </c>
      <c r="E100" s="1208" t="s">
        <v>26</v>
      </c>
      <c r="F100" s="1208" t="s">
        <v>268</v>
      </c>
      <c r="G100" s="1208" t="s">
        <v>2972</v>
      </c>
      <c r="H100" s="1208" t="s">
        <v>26</v>
      </c>
      <c r="I100" s="1208" t="s">
        <v>268</v>
      </c>
      <c r="J100" s="1208" t="s">
        <v>2972</v>
      </c>
      <c r="K100" s="1208" t="s">
        <v>26</v>
      </c>
      <c r="L100" s="1208" t="s">
        <v>268</v>
      </c>
      <c r="M100" s="1208" t="s">
        <v>2972</v>
      </c>
      <c r="N100" s="1208" t="s">
        <v>26</v>
      </c>
      <c r="O100" s="1208" t="s">
        <v>268</v>
      </c>
      <c r="P100" s="1208" t="s">
        <v>2972</v>
      </c>
      <c r="Q100" s="1208" t="s">
        <v>26</v>
      </c>
      <c r="R100" s="1208" t="s">
        <v>268</v>
      </c>
      <c r="S100" s="1208" t="s">
        <v>2972</v>
      </c>
      <c r="T100" s="1150"/>
      <c r="AF100" s="1161">
        <v>5</v>
      </c>
    </row>
    <row r="101" spans="1:32" hidden="1" x14ac:dyDescent="0.25">
      <c r="A101" s="1124">
        <v>1</v>
      </c>
      <c r="B101" s="1124">
        <v>7</v>
      </c>
      <c r="C101" s="1127"/>
      <c r="D101" s="1166" t="str">
        <f>IF(C101&lt;&gt;"",IF(-C101&gt;$M$95,1,"0"),"")</f>
        <v/>
      </c>
      <c r="E101" s="1124">
        <v>7</v>
      </c>
      <c r="F101" s="1127"/>
      <c r="G101" s="1166" t="str">
        <f>IF(F101&lt;&gt;"",IF(-F101&gt;$M$95,1,"0"),"")</f>
        <v/>
      </c>
      <c r="H101" s="1124">
        <v>7</v>
      </c>
      <c r="I101" s="1127"/>
      <c r="J101" s="1166" t="str">
        <f>IF(I101&lt;&gt;"",IF(-I101&gt;$M$95,1,"0"),"")</f>
        <v/>
      </c>
      <c r="K101" s="1124">
        <v>7</v>
      </c>
      <c r="L101" s="1127"/>
      <c r="M101" s="1166" t="str">
        <f>IF(L101&lt;&gt;"",IF(-L101&gt;$M$95,1,"0"),"")</f>
        <v/>
      </c>
      <c r="N101" s="1124">
        <v>7</v>
      </c>
      <c r="O101" s="1127"/>
      <c r="P101" s="1166" t="str">
        <f>IF(O101&lt;&gt;"",IF(-O101&gt;$M$95,1,"0"),"")</f>
        <v/>
      </c>
      <c r="Q101" s="1124">
        <v>7</v>
      </c>
      <c r="R101" s="1127"/>
      <c r="S101" s="1166" t="str">
        <f>IF(R101&lt;&gt;"",IF(-R101&gt;$M$95,1,"0"),"")</f>
        <v/>
      </c>
      <c r="T101" s="1151"/>
      <c r="AF101" s="1161">
        <v>5</v>
      </c>
    </row>
    <row r="102" spans="1:32" hidden="1" x14ac:dyDescent="0.25">
      <c r="A102" s="1125">
        <v>2</v>
      </c>
      <c r="B102" s="1125">
        <v>14</v>
      </c>
      <c r="C102" s="1126"/>
      <c r="D102" s="1167" t="str">
        <f>IF(C102&lt;&gt;"",IF(-C102&gt;$M$95,1,"0"),"")</f>
        <v/>
      </c>
      <c r="E102" s="1125">
        <v>14</v>
      </c>
      <c r="F102" s="1126"/>
      <c r="G102" s="1167" t="str">
        <f>IF(F102&lt;&gt;"",IF(-F102&gt;$M$95,1,"0"),"")</f>
        <v/>
      </c>
      <c r="H102" s="1125">
        <v>14</v>
      </c>
      <c r="I102" s="1126"/>
      <c r="J102" s="1167" t="str">
        <f>IF(I102&lt;&gt;"",IF(-I102&gt;$M$95,1,"0"),"")</f>
        <v/>
      </c>
      <c r="K102" s="1125">
        <v>14</v>
      </c>
      <c r="L102" s="1126"/>
      <c r="M102" s="1167" t="str">
        <f>IF(L102&lt;&gt;"",IF(-L102&gt;$M$95,1,"0"),"")</f>
        <v/>
      </c>
      <c r="N102" s="1125">
        <v>14</v>
      </c>
      <c r="O102" s="1126"/>
      <c r="P102" s="1167" t="str">
        <f>IF(O102&lt;&gt;"",IF(-O102&gt;$M$95,1,"0"),"")</f>
        <v/>
      </c>
      <c r="Q102" s="1125">
        <v>14</v>
      </c>
      <c r="R102" s="1126"/>
      <c r="S102" s="1167" t="str">
        <f>IF(R102&lt;&gt;"",IF(-R102&gt;$M$95,1,"0"),"")</f>
        <v/>
      </c>
      <c r="T102" s="1151"/>
      <c r="AF102" s="1161">
        <v>5</v>
      </c>
    </row>
    <row r="103" spans="1:32" hidden="1" x14ac:dyDescent="0.25">
      <c r="A103" s="1125">
        <v>3</v>
      </c>
      <c r="B103" s="1125">
        <v>22</v>
      </c>
      <c r="C103" s="1126"/>
      <c r="D103" s="1167" t="str">
        <f>IF(C103&lt;&gt;"",IF(-C103&gt;$M$95,1,"0"),"")</f>
        <v/>
      </c>
      <c r="E103" s="1125">
        <v>22</v>
      </c>
      <c r="F103" s="1126"/>
      <c r="G103" s="1167" t="str">
        <f>IF(F103&lt;&gt;"",IF(-F103&gt;$M$95,1,"0"),"")</f>
        <v/>
      </c>
      <c r="H103" s="1125">
        <v>22</v>
      </c>
      <c r="I103" s="1126"/>
      <c r="J103" s="1167" t="str">
        <f>IF(I103&lt;&gt;"",IF(-I103&gt;$M$95,1,"0"),"")</f>
        <v/>
      </c>
      <c r="K103" s="1125">
        <v>22</v>
      </c>
      <c r="L103" s="1126"/>
      <c r="M103" s="1167" t="str">
        <f>IF(L103&lt;&gt;"",IF(-L103&gt;$M$95,1,"0"),"")</f>
        <v/>
      </c>
      <c r="N103" s="1125">
        <v>22</v>
      </c>
      <c r="O103" s="1126"/>
      <c r="P103" s="1167" t="str">
        <f>IF(O103&lt;&gt;"",IF(-O103&gt;$M$95,1,"0"),"")</f>
        <v/>
      </c>
      <c r="Q103" s="1125">
        <v>22</v>
      </c>
      <c r="R103" s="1126"/>
      <c r="S103" s="1167" t="str">
        <f>IF(R103&lt;&gt;"",IF(-R103&gt;$M$95,1,"0"),"")</f>
        <v/>
      </c>
      <c r="T103" s="1151"/>
      <c r="AF103" s="1161">
        <v>5</v>
      </c>
    </row>
    <row r="104" spans="1:32" hidden="1" x14ac:dyDescent="0.25">
      <c r="A104" s="1125">
        <v>4</v>
      </c>
      <c r="B104" s="1125">
        <v>31</v>
      </c>
      <c r="C104" s="1126"/>
      <c r="D104" s="1167" t="str">
        <f>IF(C104&lt;&gt;"",IF(-C104&gt;$M$95,1,"0"),"")</f>
        <v/>
      </c>
      <c r="E104" s="1125">
        <v>31</v>
      </c>
      <c r="F104" s="1126"/>
      <c r="G104" s="1167" t="str">
        <f>IF(F104&lt;&gt;"",IF(-F104&gt;$M$95,1,"0"),"")</f>
        <v/>
      </c>
      <c r="H104" s="1125">
        <v>31</v>
      </c>
      <c r="I104" s="1126"/>
      <c r="J104" s="1167" t="str">
        <f>IF(I104&lt;&gt;"",IF(-I104&gt;$M$95,1,"0"),"")</f>
        <v/>
      </c>
      <c r="K104" s="1125">
        <v>31</v>
      </c>
      <c r="L104" s="1126"/>
      <c r="M104" s="1167" t="str">
        <f>IF(L104&lt;&gt;"",IF(-L104&gt;$M$95,1,"0"),"")</f>
        <v/>
      </c>
      <c r="N104" s="1125">
        <v>31</v>
      </c>
      <c r="O104" s="1126"/>
      <c r="P104" s="1167" t="str">
        <f>IF(O104&lt;&gt;"",IF(-O104&gt;$M$95,1,"0"),"")</f>
        <v/>
      </c>
      <c r="Q104" s="1125">
        <v>31</v>
      </c>
      <c r="R104" s="1126"/>
      <c r="S104" s="1167" t="str">
        <f>IF(R104&lt;&gt;"",IF(-R104&gt;$M$95,1,"0"),"")</f>
        <v/>
      </c>
      <c r="T104" s="1151"/>
      <c r="AF104" s="1161">
        <v>5</v>
      </c>
    </row>
    <row r="105" spans="1:32" hidden="1" x14ac:dyDescent="0.25">
      <c r="A105" s="1720" t="s">
        <v>267</v>
      </c>
      <c r="B105" s="1720"/>
      <c r="C105" s="1114">
        <f>SUM(C101:C104)</f>
        <v>0</v>
      </c>
      <c r="D105" s="1721"/>
      <c r="E105" s="1722"/>
      <c r="F105" s="1114">
        <f>SUM(F101:F104)</f>
        <v>0</v>
      </c>
      <c r="G105" s="1721"/>
      <c r="H105" s="1722"/>
      <c r="I105" s="1114">
        <f>SUM(I101:I104)</f>
        <v>0</v>
      </c>
      <c r="J105" s="1721"/>
      <c r="K105" s="1722"/>
      <c r="L105" s="1114">
        <f>SUM(L101:L104)</f>
        <v>0</v>
      </c>
      <c r="M105" s="1721"/>
      <c r="N105" s="1722"/>
      <c r="O105" s="1114">
        <f>SUM(O101:O104)</f>
        <v>0</v>
      </c>
      <c r="P105" s="1721"/>
      <c r="Q105" s="1722"/>
      <c r="R105" s="1114">
        <f>SUM(R101:R104)</f>
        <v>0</v>
      </c>
      <c r="S105" s="1132"/>
      <c r="T105" s="1150"/>
      <c r="AF105" s="1161">
        <v>5</v>
      </c>
    </row>
    <row r="106" spans="1:32" hidden="1" x14ac:dyDescent="0.25">
      <c r="A106" s="1720" t="s">
        <v>7997</v>
      </c>
      <c r="B106" s="1720"/>
      <c r="C106" s="1114" t="str">
        <f>IF(COUNT(C101:C104)=0,"",AVERAGE(C101:C104))</f>
        <v/>
      </c>
      <c r="D106" s="1723"/>
      <c r="E106" s="1724"/>
      <c r="F106" s="1114" t="str">
        <f>IF(COUNT(F101:F104)=0,"",AVERAGE(F101:F104))</f>
        <v/>
      </c>
      <c r="G106" s="1723"/>
      <c r="H106" s="1724"/>
      <c r="I106" s="1114" t="str">
        <f>IF(COUNT(I101:I104)=0,"",AVERAGE(I101:I104))</f>
        <v/>
      </c>
      <c r="J106" s="1723"/>
      <c r="K106" s="1724"/>
      <c r="L106" s="1114" t="str">
        <f>IF(COUNT(L101:L104)=0,"",AVERAGE(L101:L104))</f>
        <v/>
      </c>
      <c r="M106" s="1723"/>
      <c r="N106" s="1724"/>
      <c r="O106" s="1114" t="str">
        <f>IF(COUNT(O101:O104)=0,"",AVERAGE(O101:O104))</f>
        <v/>
      </c>
      <c r="P106" s="1723"/>
      <c r="Q106" s="1724"/>
      <c r="R106" s="1114" t="str">
        <f>IF(COUNT(R101:R104)=0,"",AVERAGE(R101:R104))</f>
        <v/>
      </c>
      <c r="S106" s="1133"/>
      <c r="T106" s="1150"/>
      <c r="AF106" s="1161">
        <v>5</v>
      </c>
    </row>
    <row r="107" spans="1:32" ht="15" hidden="1" customHeight="1" x14ac:dyDescent="0.25">
      <c r="A107" s="1727" t="s">
        <v>7999</v>
      </c>
      <c r="B107" s="1728"/>
      <c r="C107" s="1165">
        <f>SUM(D101:D104)</f>
        <v>0</v>
      </c>
      <c r="D107" s="1725"/>
      <c r="E107" s="1726"/>
      <c r="F107" s="1165">
        <f>SUM(G101:G104)</f>
        <v>0</v>
      </c>
      <c r="G107" s="1725"/>
      <c r="H107" s="1726"/>
      <c r="I107" s="1208">
        <f>SUM(J101:J104)</f>
        <v>0</v>
      </c>
      <c r="J107" s="1725"/>
      <c r="K107" s="1726"/>
      <c r="L107" s="1165">
        <f>SUM(M101:M104)</f>
        <v>0</v>
      </c>
      <c r="M107" s="1725"/>
      <c r="N107" s="1726"/>
      <c r="O107" s="1165">
        <f>SUM(P101:P104)</f>
        <v>0</v>
      </c>
      <c r="P107" s="1725"/>
      <c r="Q107" s="1726"/>
      <c r="R107" s="1208">
        <f>SUM(S101:S104)</f>
        <v>0</v>
      </c>
      <c r="S107" s="1134"/>
      <c r="T107" s="1150"/>
      <c r="AF107" s="1161">
        <v>5</v>
      </c>
    </row>
    <row r="108" spans="1:32" hidden="1" x14ac:dyDescent="0.25">
      <c r="A108" s="1115" t="s">
        <v>2973</v>
      </c>
      <c r="B108" s="1112"/>
      <c r="C108" s="1112"/>
      <c r="D108" s="1112"/>
      <c r="E108" s="1112"/>
      <c r="F108" s="1112"/>
      <c r="G108" s="1112"/>
      <c r="H108" s="1112"/>
      <c r="I108" s="1112"/>
      <c r="J108" s="1112"/>
      <c r="K108" s="1112"/>
      <c r="L108" s="1112"/>
      <c r="M108" s="1112"/>
      <c r="N108" s="1112"/>
      <c r="O108" s="1112"/>
      <c r="P108" s="1112"/>
      <c r="Q108" s="1112"/>
      <c r="R108" s="1112"/>
      <c r="S108" s="1112"/>
      <c r="T108" s="1140"/>
      <c r="AF108" s="1161">
        <v>5</v>
      </c>
    </row>
    <row r="109" spans="1:32" hidden="1" x14ac:dyDescent="0.25">
      <c r="A109" s="1719" t="s">
        <v>8003</v>
      </c>
      <c r="B109" s="1719"/>
      <c r="C109" s="1719"/>
      <c r="D109" s="1719"/>
      <c r="E109" s="1719"/>
      <c r="F109" s="1719"/>
      <c r="G109" s="1719"/>
      <c r="H109" s="1719"/>
      <c r="I109" s="1719"/>
      <c r="J109" s="1719"/>
      <c r="K109" s="1719"/>
      <c r="L109" s="1719"/>
      <c r="M109" s="1719"/>
      <c r="N109" s="1719"/>
      <c r="O109" s="1719"/>
      <c r="P109" s="1719"/>
      <c r="Q109" s="1719"/>
      <c r="R109" s="1719"/>
      <c r="S109" s="1719"/>
      <c r="T109" s="1146"/>
      <c r="AF109" s="1161">
        <v>6</v>
      </c>
    </row>
    <row r="110" spans="1:32" ht="5.0999999999999996" hidden="1" customHeight="1" x14ac:dyDescent="0.25">
      <c r="A110" s="1112"/>
      <c r="B110" s="1112"/>
      <c r="C110" s="1112"/>
      <c r="D110" s="1112"/>
      <c r="E110" s="1112"/>
      <c r="F110" s="1112"/>
      <c r="G110" s="1112"/>
      <c r="H110" s="1112"/>
      <c r="I110" s="1112"/>
      <c r="J110" s="1112"/>
      <c r="K110" s="1112"/>
      <c r="L110" s="1112"/>
      <c r="M110" s="1112"/>
      <c r="N110" s="1112"/>
      <c r="O110" s="1112"/>
      <c r="P110" s="1112"/>
      <c r="Q110" s="1112"/>
      <c r="R110" s="1112"/>
      <c r="S110" s="1112"/>
      <c r="T110" s="1140"/>
      <c r="AF110" s="1161">
        <v>6</v>
      </c>
    </row>
    <row r="111" spans="1:32" hidden="1" x14ac:dyDescent="0.25">
      <c r="A111" s="1112" t="s">
        <v>271</v>
      </c>
      <c r="B111" s="1112"/>
      <c r="C111" s="1109"/>
      <c r="D111" s="1711"/>
      <c r="E111" s="1711"/>
      <c r="F111" s="1711"/>
      <c r="G111" s="1112"/>
      <c r="H111" s="1112"/>
      <c r="I111" s="1112"/>
      <c r="J111" s="1209" t="s">
        <v>582</v>
      </c>
      <c r="K111" s="1209"/>
      <c r="L111" s="1159"/>
      <c r="M111" s="1711"/>
      <c r="N111" s="1711"/>
      <c r="O111" s="1711"/>
      <c r="P111" s="1112" t="s">
        <v>68</v>
      </c>
      <c r="Q111" s="1112"/>
      <c r="R111" s="1112"/>
      <c r="S111" s="1112"/>
      <c r="T111" s="1140"/>
      <c r="AF111" s="1161">
        <v>6</v>
      </c>
    </row>
    <row r="112" spans="1:32" hidden="1" x14ac:dyDescent="0.25">
      <c r="A112" s="1112" t="s">
        <v>240</v>
      </c>
      <c r="B112" s="1112"/>
      <c r="C112" s="1109"/>
      <c r="D112" s="1711"/>
      <c r="E112" s="1711"/>
      <c r="F112" s="1711"/>
      <c r="G112" s="1112"/>
      <c r="H112" s="1112"/>
      <c r="I112" s="1112"/>
      <c r="J112" s="1128" t="s">
        <v>767</v>
      </c>
      <c r="K112" s="1128"/>
      <c r="L112" s="1159"/>
      <c r="M112" s="1711"/>
      <c r="N112" s="1711"/>
      <c r="O112" s="1711"/>
      <c r="P112" s="1112"/>
      <c r="Q112" s="1112"/>
      <c r="R112" s="1112"/>
      <c r="S112" s="1112"/>
      <c r="T112" s="1140"/>
      <c r="AF112" s="1161">
        <v>6</v>
      </c>
    </row>
    <row r="113" spans="1:32" hidden="1" x14ac:dyDescent="0.25">
      <c r="A113" s="1112" t="s">
        <v>265</v>
      </c>
      <c r="B113" s="1112"/>
      <c r="C113" s="1109"/>
      <c r="D113" s="1715"/>
      <c r="E113" s="1716"/>
      <c r="F113" s="1716"/>
      <c r="G113" s="1112"/>
      <c r="H113" s="1112"/>
      <c r="I113" s="1112"/>
      <c r="J113" s="1729" t="s">
        <v>3161</v>
      </c>
      <c r="K113" s="1729"/>
      <c r="L113" s="1729"/>
      <c r="M113" s="1717" t="str">
        <f>IF(ISERROR(SUM(C123,F123,I123,L123,O123,R123)/COUNT(C123,F123,I123,L123,O123,R123)),"",-((SUM(C123,F123,I123,L123,O123,R123)/COUNT(C123,F123,I123,L123,O123,R123))))</f>
        <v/>
      </c>
      <c r="N113" s="1717"/>
      <c r="O113" s="1717"/>
      <c r="P113" s="1109"/>
      <c r="Q113" s="1112"/>
      <c r="R113" s="1112"/>
      <c r="S113" s="1112"/>
      <c r="T113" s="1140"/>
      <c r="AF113" s="1161">
        <v>6</v>
      </c>
    </row>
    <row r="114" spans="1:32" hidden="1" x14ac:dyDescent="0.25">
      <c r="A114" s="1710" t="s">
        <v>90</v>
      </c>
      <c r="B114" s="1710"/>
      <c r="C114" s="1109"/>
      <c r="D114" s="1711"/>
      <c r="E114" s="1711"/>
      <c r="F114" s="1711"/>
      <c r="G114" s="1109"/>
      <c r="H114" s="1112"/>
      <c r="I114" s="1112"/>
      <c r="J114" s="1128" t="s">
        <v>2979</v>
      </c>
      <c r="K114" s="1128"/>
      <c r="L114" s="1159"/>
      <c r="M114" s="1712" t="str">
        <f>IF(ISERROR(SUM(C123,F123,I123,L123,O123,R123)/COUNT(C123,F123,I123,L123,O123,R123)),"",-((SUM(C123,F123,I123,L123,O123,R123)/COUNT(C123,F123,I123,L123,O123,R123)))/M112)</f>
        <v/>
      </c>
      <c r="N114" s="1712"/>
      <c r="O114" s="1712"/>
      <c r="P114" s="1112"/>
      <c r="Q114" s="1112"/>
      <c r="R114" s="1112"/>
      <c r="S114" s="1112"/>
      <c r="T114" s="1140"/>
      <c r="AF114" s="1161">
        <v>6</v>
      </c>
    </row>
    <row r="115" spans="1:32" hidden="1" x14ac:dyDescent="0.25">
      <c r="A115" s="1112"/>
      <c r="B115" s="1112"/>
      <c r="C115" s="1117"/>
      <c r="D115" s="1117"/>
      <c r="E115" s="1112"/>
      <c r="F115" s="1112"/>
      <c r="G115" s="1112"/>
      <c r="H115" s="1112"/>
      <c r="I115" s="1112"/>
      <c r="J115" s="1115"/>
      <c r="K115" s="1115"/>
      <c r="L115" s="1115"/>
      <c r="M115" s="1115"/>
      <c r="N115" s="1115"/>
      <c r="O115" s="1115"/>
      <c r="P115" s="1115"/>
      <c r="Q115" s="1115"/>
      <c r="R115" s="1115"/>
      <c r="S115" s="1113" t="s">
        <v>29</v>
      </c>
      <c r="T115" s="1148"/>
      <c r="AF115" s="1161">
        <v>6</v>
      </c>
    </row>
    <row r="116" spans="1:32" hidden="1" x14ac:dyDescent="0.25">
      <c r="A116" s="1208" t="s">
        <v>266</v>
      </c>
      <c r="B116" s="1714">
        <f>$B$31</f>
        <v>43094</v>
      </c>
      <c r="C116" s="1714"/>
      <c r="D116" s="1714"/>
      <c r="E116" s="1714">
        <f>$E$31</f>
        <v>43125</v>
      </c>
      <c r="F116" s="1714"/>
      <c r="G116" s="1714"/>
      <c r="H116" s="1714">
        <f>$H$31</f>
        <v>43156</v>
      </c>
      <c r="I116" s="1714"/>
      <c r="J116" s="1714"/>
      <c r="K116" s="1714">
        <f>$K$31</f>
        <v>43187</v>
      </c>
      <c r="L116" s="1714"/>
      <c r="M116" s="1714"/>
      <c r="N116" s="1714">
        <f>$N$31</f>
        <v>43218</v>
      </c>
      <c r="O116" s="1714"/>
      <c r="P116" s="1714"/>
      <c r="Q116" s="1714">
        <f>$Q$31</f>
        <v>43249</v>
      </c>
      <c r="R116" s="1714"/>
      <c r="S116" s="1714"/>
      <c r="T116" s="1149"/>
      <c r="AF116" s="1161">
        <v>6</v>
      </c>
    </row>
    <row r="117" spans="1:32" hidden="1" x14ac:dyDescent="0.25">
      <c r="A117" s="1208" t="s">
        <v>8</v>
      </c>
      <c r="B117" s="1208" t="s">
        <v>26</v>
      </c>
      <c r="C117" s="1208" t="s">
        <v>268</v>
      </c>
      <c r="D117" s="1208" t="s">
        <v>2972</v>
      </c>
      <c r="E117" s="1208" t="s">
        <v>26</v>
      </c>
      <c r="F117" s="1208" t="s">
        <v>268</v>
      </c>
      <c r="G117" s="1208" t="s">
        <v>2972</v>
      </c>
      <c r="H117" s="1208" t="s">
        <v>26</v>
      </c>
      <c r="I117" s="1208" t="s">
        <v>268</v>
      </c>
      <c r="J117" s="1208" t="s">
        <v>2972</v>
      </c>
      <c r="K117" s="1208" t="s">
        <v>26</v>
      </c>
      <c r="L117" s="1208" t="s">
        <v>268</v>
      </c>
      <c r="M117" s="1208" t="s">
        <v>2972</v>
      </c>
      <c r="N117" s="1208" t="s">
        <v>26</v>
      </c>
      <c r="O117" s="1208" t="s">
        <v>268</v>
      </c>
      <c r="P117" s="1208" t="s">
        <v>2972</v>
      </c>
      <c r="Q117" s="1208" t="s">
        <v>26</v>
      </c>
      <c r="R117" s="1208" t="s">
        <v>268</v>
      </c>
      <c r="S117" s="1208" t="s">
        <v>2972</v>
      </c>
      <c r="T117" s="1150"/>
      <c r="AF117" s="1161">
        <v>6</v>
      </c>
    </row>
    <row r="118" spans="1:32" hidden="1" x14ac:dyDescent="0.25">
      <c r="A118" s="1124">
        <v>1</v>
      </c>
      <c r="B118" s="1124">
        <v>7</v>
      </c>
      <c r="C118" s="1127"/>
      <c r="D118" s="1166" t="str">
        <f>IF(C118&lt;&gt;"",IF(-C118&gt;$M$112,1,"0"),"")</f>
        <v/>
      </c>
      <c r="E118" s="1124">
        <v>7</v>
      </c>
      <c r="F118" s="1127"/>
      <c r="G118" s="1166" t="str">
        <f>IF(F118&lt;&gt;"",IF(-F118&gt;$M$112,1,"0"),"")</f>
        <v/>
      </c>
      <c r="H118" s="1124">
        <v>7</v>
      </c>
      <c r="I118" s="1127"/>
      <c r="J118" s="1166" t="str">
        <f>IF(I118&lt;&gt;"",IF(-I118&gt;$M$112,1,"0"),"")</f>
        <v/>
      </c>
      <c r="K118" s="1124">
        <v>7</v>
      </c>
      <c r="L118" s="1127"/>
      <c r="M118" s="1166" t="str">
        <f>IF(L118&lt;&gt;"",IF(-L118&gt;$M$112,1,"0"),"")</f>
        <v/>
      </c>
      <c r="N118" s="1124">
        <v>7</v>
      </c>
      <c r="O118" s="1127"/>
      <c r="P118" s="1166" t="str">
        <f>IF(O118&lt;&gt;"",IF(-O118&gt;$M$112,1,"0"),"")</f>
        <v/>
      </c>
      <c r="Q118" s="1124">
        <v>7</v>
      </c>
      <c r="R118" s="1127"/>
      <c r="S118" s="1166" t="str">
        <f>IF(R118&lt;&gt;"",IF(-R118&gt;$M$112,1,"0"),"")</f>
        <v/>
      </c>
      <c r="T118" s="1151"/>
      <c r="AF118" s="1161">
        <v>6</v>
      </c>
    </row>
    <row r="119" spans="1:32" hidden="1" x14ac:dyDescent="0.25">
      <c r="A119" s="1125">
        <v>2</v>
      </c>
      <c r="B119" s="1125">
        <v>14</v>
      </c>
      <c r="C119" s="1126"/>
      <c r="D119" s="1167" t="str">
        <f>IF(C119&lt;&gt;"",IF(-C119&gt;$M$112,1,"0"),"")</f>
        <v/>
      </c>
      <c r="E119" s="1125">
        <v>14</v>
      </c>
      <c r="F119" s="1126"/>
      <c r="G119" s="1167" t="str">
        <f>IF(F119&lt;&gt;"",IF(-F119&gt;$M$112,1,"0"),"")</f>
        <v/>
      </c>
      <c r="H119" s="1125">
        <v>14</v>
      </c>
      <c r="I119" s="1126"/>
      <c r="J119" s="1167" t="str">
        <f>IF(I119&lt;&gt;"",IF(-I119&gt;$M$112,1,"0"),"")</f>
        <v/>
      </c>
      <c r="K119" s="1125">
        <v>14</v>
      </c>
      <c r="L119" s="1126"/>
      <c r="M119" s="1167" t="str">
        <f>IF(L119&lt;&gt;"",IF(-L119&gt;$M$112,1,"0"),"")</f>
        <v/>
      </c>
      <c r="N119" s="1125">
        <v>14</v>
      </c>
      <c r="O119" s="1126"/>
      <c r="P119" s="1167" t="str">
        <f>IF(O119&lt;&gt;"",IF(-O119&gt;$M$112,1,"0"),"")</f>
        <v/>
      </c>
      <c r="Q119" s="1125">
        <v>14</v>
      </c>
      <c r="R119" s="1126"/>
      <c r="S119" s="1167" t="str">
        <f>IF(R119&lt;&gt;"",IF(-R119&gt;$M$112,1,"0"),"")</f>
        <v/>
      </c>
      <c r="T119" s="1151"/>
      <c r="AF119" s="1161">
        <v>6</v>
      </c>
    </row>
    <row r="120" spans="1:32" hidden="1" x14ac:dyDescent="0.25">
      <c r="A120" s="1125">
        <v>3</v>
      </c>
      <c r="B120" s="1125">
        <v>22</v>
      </c>
      <c r="C120" s="1126"/>
      <c r="D120" s="1167" t="str">
        <f>IF(C120&lt;&gt;"",IF(-C120&gt;$M$112,1,"0"),"")</f>
        <v/>
      </c>
      <c r="E120" s="1125">
        <v>22</v>
      </c>
      <c r="F120" s="1126"/>
      <c r="G120" s="1167" t="str">
        <f>IF(F120&lt;&gt;"",IF(-F120&gt;$M$112,1,"0"),"")</f>
        <v/>
      </c>
      <c r="H120" s="1125">
        <v>22</v>
      </c>
      <c r="I120" s="1126"/>
      <c r="J120" s="1167" t="str">
        <f>IF(I120&lt;&gt;"",IF(-I120&gt;$M$112,1,"0"),"")</f>
        <v/>
      </c>
      <c r="K120" s="1125">
        <v>22</v>
      </c>
      <c r="L120" s="1126"/>
      <c r="M120" s="1167" t="str">
        <f>IF(L120&lt;&gt;"",IF(-L120&gt;$M$112,1,"0"),"")</f>
        <v/>
      </c>
      <c r="N120" s="1125">
        <v>22</v>
      </c>
      <c r="O120" s="1126"/>
      <c r="P120" s="1167" t="str">
        <f>IF(O120&lt;&gt;"",IF(-O120&gt;$M$112,1,"0"),"")</f>
        <v/>
      </c>
      <c r="Q120" s="1125">
        <v>22</v>
      </c>
      <c r="R120" s="1126"/>
      <c r="S120" s="1167" t="str">
        <f>IF(R120&lt;&gt;"",IF(-R120&gt;$M$112,1,"0"),"")</f>
        <v/>
      </c>
      <c r="T120" s="1151"/>
      <c r="AF120" s="1161">
        <v>6</v>
      </c>
    </row>
    <row r="121" spans="1:32" hidden="1" x14ac:dyDescent="0.25">
      <c r="A121" s="1125">
        <v>4</v>
      </c>
      <c r="B121" s="1125">
        <v>31</v>
      </c>
      <c r="C121" s="1126"/>
      <c r="D121" s="1167" t="str">
        <f>IF(C121&lt;&gt;"",IF(-C121&gt;$M$112,1,"0"),"")</f>
        <v/>
      </c>
      <c r="E121" s="1125">
        <v>31</v>
      </c>
      <c r="F121" s="1126"/>
      <c r="G121" s="1167" t="str">
        <f>IF(F121&lt;&gt;"",IF(-F121&gt;$M$112,1,"0"),"")</f>
        <v/>
      </c>
      <c r="H121" s="1125">
        <v>31</v>
      </c>
      <c r="I121" s="1126"/>
      <c r="J121" s="1167" t="str">
        <f>IF(I121&lt;&gt;"",IF(-I121&gt;$M$112,1,"0"),"")</f>
        <v/>
      </c>
      <c r="K121" s="1125">
        <v>31</v>
      </c>
      <c r="L121" s="1126"/>
      <c r="M121" s="1167" t="str">
        <f>IF(L121&lt;&gt;"",IF(-L121&gt;$M$112,1,"0"),"")</f>
        <v/>
      </c>
      <c r="N121" s="1125">
        <v>31</v>
      </c>
      <c r="O121" s="1126"/>
      <c r="P121" s="1167" t="str">
        <f>IF(O121&lt;&gt;"",IF(-O121&gt;$M$112,1,"0"),"")</f>
        <v/>
      </c>
      <c r="Q121" s="1125">
        <v>31</v>
      </c>
      <c r="R121" s="1126"/>
      <c r="S121" s="1167" t="str">
        <f>IF(R121&lt;&gt;"",IF(-R121&gt;$M$112,1,"0"),"")</f>
        <v/>
      </c>
      <c r="T121" s="1151"/>
      <c r="AF121" s="1161">
        <v>6</v>
      </c>
    </row>
    <row r="122" spans="1:32" hidden="1" x14ac:dyDescent="0.25">
      <c r="A122" s="1720" t="s">
        <v>267</v>
      </c>
      <c r="B122" s="1720"/>
      <c r="C122" s="1114">
        <f>SUM(C118:C121)</f>
        <v>0</v>
      </c>
      <c r="D122" s="1721"/>
      <c r="E122" s="1722"/>
      <c r="F122" s="1114">
        <f>SUM(F118:F121)</f>
        <v>0</v>
      </c>
      <c r="G122" s="1721"/>
      <c r="H122" s="1722"/>
      <c r="I122" s="1114">
        <f>SUM(I118:I121)</f>
        <v>0</v>
      </c>
      <c r="J122" s="1721"/>
      <c r="K122" s="1722"/>
      <c r="L122" s="1114">
        <f>SUM(L118:L121)</f>
        <v>0</v>
      </c>
      <c r="M122" s="1721"/>
      <c r="N122" s="1722"/>
      <c r="O122" s="1114">
        <f>SUM(O118:O121)</f>
        <v>0</v>
      </c>
      <c r="P122" s="1721"/>
      <c r="Q122" s="1722"/>
      <c r="R122" s="1114">
        <f>SUM(R118:R121)</f>
        <v>0</v>
      </c>
      <c r="S122" s="1132"/>
      <c r="T122" s="1150"/>
      <c r="AF122" s="1161">
        <v>6</v>
      </c>
    </row>
    <row r="123" spans="1:32" hidden="1" x14ac:dyDescent="0.25">
      <c r="A123" s="1720" t="s">
        <v>7997</v>
      </c>
      <c r="B123" s="1720"/>
      <c r="C123" s="1114" t="str">
        <f>IF(COUNT(C118:C121)=0,"",AVERAGE(C118:C121))</f>
        <v/>
      </c>
      <c r="D123" s="1723"/>
      <c r="E123" s="1724"/>
      <c r="F123" s="1114" t="str">
        <f>IF(COUNT(F118:F121)=0,"",AVERAGE(F118:F121))</f>
        <v/>
      </c>
      <c r="G123" s="1723"/>
      <c r="H123" s="1724"/>
      <c r="I123" s="1114" t="str">
        <f>IF(COUNT(I118:I121)=0,"",AVERAGE(I118:I121))</f>
        <v/>
      </c>
      <c r="J123" s="1723"/>
      <c r="K123" s="1724"/>
      <c r="L123" s="1114" t="str">
        <f>IF(COUNT(L118:L121)=0,"",AVERAGE(L118:L121))</f>
        <v/>
      </c>
      <c r="M123" s="1723"/>
      <c r="N123" s="1724"/>
      <c r="O123" s="1114" t="str">
        <f>IF(COUNT(O118:O121)=0,"",AVERAGE(O118:O121))</f>
        <v/>
      </c>
      <c r="P123" s="1723"/>
      <c r="Q123" s="1724"/>
      <c r="R123" s="1114" t="str">
        <f>IF(COUNT(R118:R121)=0,"",AVERAGE(R118:R121))</f>
        <v/>
      </c>
      <c r="S123" s="1133"/>
      <c r="T123" s="1150"/>
      <c r="AF123" s="1161">
        <v>6</v>
      </c>
    </row>
    <row r="124" spans="1:32" ht="15" hidden="1" customHeight="1" x14ac:dyDescent="0.25">
      <c r="A124" s="1727" t="s">
        <v>7999</v>
      </c>
      <c r="B124" s="1728"/>
      <c r="C124" s="1165">
        <f>SUM(D118:D121)</f>
        <v>0</v>
      </c>
      <c r="D124" s="1725"/>
      <c r="E124" s="1726"/>
      <c r="F124" s="1165">
        <f>SUM(G118:G121)</f>
        <v>0</v>
      </c>
      <c r="G124" s="1725"/>
      <c r="H124" s="1726"/>
      <c r="I124" s="1208">
        <f>SUM(J118:J121)</f>
        <v>0</v>
      </c>
      <c r="J124" s="1725"/>
      <c r="K124" s="1726"/>
      <c r="L124" s="1165">
        <f>SUM(M118:M121)</f>
        <v>0</v>
      </c>
      <c r="M124" s="1725"/>
      <c r="N124" s="1726"/>
      <c r="O124" s="1165">
        <f>SUM(P118:P121)</f>
        <v>0</v>
      </c>
      <c r="P124" s="1725"/>
      <c r="Q124" s="1726"/>
      <c r="R124" s="1208">
        <f>SUM(S118:S121)</f>
        <v>0</v>
      </c>
      <c r="S124" s="1134"/>
      <c r="T124" s="1150"/>
      <c r="AF124" s="1161">
        <v>6</v>
      </c>
    </row>
    <row r="125" spans="1:32" hidden="1" x14ac:dyDescent="0.25">
      <c r="A125" s="1115" t="s">
        <v>2973</v>
      </c>
      <c r="B125" s="1112"/>
      <c r="C125" s="1112"/>
      <c r="D125" s="1112"/>
      <c r="E125" s="1112"/>
      <c r="F125" s="1112"/>
      <c r="G125" s="1112"/>
      <c r="H125" s="1112"/>
      <c r="I125" s="1112"/>
      <c r="J125" s="1112"/>
      <c r="K125" s="1112"/>
      <c r="L125" s="1112"/>
      <c r="M125" s="1112"/>
      <c r="N125" s="1112"/>
      <c r="O125" s="1112"/>
      <c r="P125" s="1112"/>
      <c r="Q125" s="1112"/>
      <c r="R125" s="1112"/>
      <c r="S125" s="1112"/>
      <c r="T125" s="1140"/>
      <c r="AF125" s="1161">
        <v>6</v>
      </c>
    </row>
    <row r="126" spans="1:32" hidden="1" x14ac:dyDescent="0.25">
      <c r="A126" s="1719" t="s">
        <v>8004</v>
      </c>
      <c r="B126" s="1719"/>
      <c r="C126" s="1719"/>
      <c r="D126" s="1719"/>
      <c r="E126" s="1719"/>
      <c r="F126" s="1719"/>
      <c r="G126" s="1719"/>
      <c r="H126" s="1719"/>
      <c r="I126" s="1719"/>
      <c r="J126" s="1719"/>
      <c r="K126" s="1719"/>
      <c r="L126" s="1719"/>
      <c r="M126" s="1719"/>
      <c r="N126" s="1719"/>
      <c r="O126" s="1719"/>
      <c r="P126" s="1719"/>
      <c r="Q126" s="1719"/>
      <c r="R126" s="1719"/>
      <c r="S126" s="1719"/>
      <c r="T126" s="1146"/>
      <c r="AF126" s="1161">
        <v>7</v>
      </c>
    </row>
    <row r="127" spans="1:32" ht="5.0999999999999996" hidden="1" customHeight="1" x14ac:dyDescent="0.25">
      <c r="A127" s="1112"/>
      <c r="B127" s="1112"/>
      <c r="C127" s="1112"/>
      <c r="D127" s="1112"/>
      <c r="E127" s="1112"/>
      <c r="F127" s="1112"/>
      <c r="G127" s="1112"/>
      <c r="H127" s="1112"/>
      <c r="I127" s="1112"/>
      <c r="J127" s="1112"/>
      <c r="K127" s="1112"/>
      <c r="L127" s="1112"/>
      <c r="M127" s="1112"/>
      <c r="N127" s="1112"/>
      <c r="O127" s="1112"/>
      <c r="P127" s="1112"/>
      <c r="Q127" s="1112"/>
      <c r="R127" s="1112"/>
      <c r="S127" s="1112"/>
      <c r="T127" s="1140"/>
      <c r="AF127" s="1161">
        <v>7</v>
      </c>
    </row>
    <row r="128" spans="1:32" hidden="1" x14ac:dyDescent="0.25">
      <c r="A128" s="1112" t="s">
        <v>271</v>
      </c>
      <c r="B128" s="1112"/>
      <c r="C128" s="1109"/>
      <c r="D128" s="1711"/>
      <c r="E128" s="1711"/>
      <c r="F128" s="1711"/>
      <c r="G128" s="1112"/>
      <c r="H128" s="1112"/>
      <c r="I128" s="1112"/>
      <c r="J128" s="1209" t="s">
        <v>582</v>
      </c>
      <c r="K128" s="1209"/>
      <c r="L128" s="1159"/>
      <c r="M128" s="1711"/>
      <c r="N128" s="1711"/>
      <c r="O128" s="1711"/>
      <c r="P128" s="1112" t="s">
        <v>68</v>
      </c>
      <c r="Q128" s="1112"/>
      <c r="R128" s="1112"/>
      <c r="S128" s="1112"/>
      <c r="T128" s="1140"/>
      <c r="AF128" s="1161">
        <v>7</v>
      </c>
    </row>
    <row r="129" spans="1:32" hidden="1" x14ac:dyDescent="0.25">
      <c r="A129" s="1112" t="s">
        <v>240</v>
      </c>
      <c r="B129" s="1112"/>
      <c r="C129" s="1109"/>
      <c r="D129" s="1711"/>
      <c r="E129" s="1711"/>
      <c r="F129" s="1711"/>
      <c r="G129" s="1112"/>
      <c r="H129" s="1112"/>
      <c r="I129" s="1112"/>
      <c r="J129" s="1128" t="s">
        <v>767</v>
      </c>
      <c r="K129" s="1128"/>
      <c r="L129" s="1159"/>
      <c r="M129" s="1711"/>
      <c r="N129" s="1711"/>
      <c r="O129" s="1711"/>
      <c r="P129" s="1112"/>
      <c r="Q129" s="1112"/>
      <c r="R129" s="1112"/>
      <c r="S129" s="1112"/>
      <c r="T129" s="1140"/>
      <c r="AF129" s="1161">
        <v>7</v>
      </c>
    </row>
    <row r="130" spans="1:32" hidden="1" x14ac:dyDescent="0.25">
      <c r="A130" s="1112" t="s">
        <v>265</v>
      </c>
      <c r="B130" s="1112"/>
      <c r="C130" s="1109"/>
      <c r="D130" s="1716"/>
      <c r="E130" s="1716"/>
      <c r="F130" s="1716"/>
      <c r="G130" s="1112"/>
      <c r="H130" s="1112"/>
      <c r="I130" s="1112"/>
      <c r="J130" s="1729" t="s">
        <v>3161</v>
      </c>
      <c r="K130" s="1729"/>
      <c r="L130" s="1729"/>
      <c r="M130" s="1717" t="str">
        <f>IF(ISERROR(SUM(C140,F140,I140,L140,O140,R140)/COUNT(C140,F140,I140,L140,O140,R140)),"",-((SUM(C140,F140,I140,L140,O140,R140)/COUNT(C140,F140,I140,L140,O140,R140))))</f>
        <v/>
      </c>
      <c r="N130" s="1717"/>
      <c r="O130" s="1717"/>
      <c r="P130" s="1109"/>
      <c r="Q130" s="1112"/>
      <c r="R130" s="1112"/>
      <c r="S130" s="1112"/>
      <c r="T130" s="1140"/>
      <c r="AF130" s="1161">
        <v>7</v>
      </c>
    </row>
    <row r="131" spans="1:32" hidden="1" x14ac:dyDescent="0.25">
      <c r="A131" s="1710" t="s">
        <v>90</v>
      </c>
      <c r="B131" s="1710"/>
      <c r="C131" s="1109"/>
      <c r="D131" s="1711"/>
      <c r="E131" s="1711"/>
      <c r="F131" s="1711"/>
      <c r="G131" s="1109"/>
      <c r="H131" s="1112"/>
      <c r="I131" s="1112"/>
      <c r="J131" s="1128" t="s">
        <v>2979</v>
      </c>
      <c r="K131" s="1128"/>
      <c r="L131" s="1159"/>
      <c r="M131" s="1712" t="str">
        <f>IF(ISERROR(SUM(C140,F140,I140,L140,O140,R140)/COUNT(C140,F140,I140,L140,O140,R140)),"",-((SUM(C140,F140,I140,L140,O140,R140)/COUNT(C140,F140,I140,L140,O140,R140)))/M129)</f>
        <v/>
      </c>
      <c r="N131" s="1712"/>
      <c r="O131" s="1712"/>
      <c r="P131" s="1112"/>
      <c r="Q131" s="1112"/>
      <c r="R131" s="1112"/>
      <c r="S131" s="1112"/>
      <c r="T131" s="1140"/>
      <c r="AF131" s="1161">
        <v>7</v>
      </c>
    </row>
    <row r="132" spans="1:32" hidden="1" x14ac:dyDescent="0.25">
      <c r="A132" s="1112"/>
      <c r="B132" s="1112"/>
      <c r="C132" s="1117"/>
      <c r="D132" s="1117"/>
      <c r="E132" s="1112"/>
      <c r="F132" s="1112"/>
      <c r="G132" s="1112"/>
      <c r="H132" s="1112"/>
      <c r="I132" s="1112"/>
      <c r="J132" s="1115"/>
      <c r="K132" s="1115"/>
      <c r="L132" s="1115"/>
      <c r="M132" s="1115"/>
      <c r="N132" s="1115"/>
      <c r="O132" s="1115"/>
      <c r="P132" s="1115"/>
      <c r="Q132" s="1115"/>
      <c r="R132" s="1115"/>
      <c r="S132" s="1113" t="s">
        <v>29</v>
      </c>
      <c r="T132" s="1148"/>
      <c r="AF132" s="1161">
        <v>7</v>
      </c>
    </row>
    <row r="133" spans="1:32" hidden="1" x14ac:dyDescent="0.25">
      <c r="A133" s="1208" t="s">
        <v>266</v>
      </c>
      <c r="B133" s="1714">
        <f>$B$31</f>
        <v>43094</v>
      </c>
      <c r="C133" s="1714"/>
      <c r="D133" s="1714"/>
      <c r="E133" s="1714">
        <f>$E$31</f>
        <v>43125</v>
      </c>
      <c r="F133" s="1714"/>
      <c r="G133" s="1714"/>
      <c r="H133" s="1714">
        <f>$H$31</f>
        <v>43156</v>
      </c>
      <c r="I133" s="1714"/>
      <c r="J133" s="1714"/>
      <c r="K133" s="1714">
        <f>$K$31</f>
        <v>43187</v>
      </c>
      <c r="L133" s="1714"/>
      <c r="M133" s="1714"/>
      <c r="N133" s="1714">
        <f>$N$31</f>
        <v>43218</v>
      </c>
      <c r="O133" s="1714"/>
      <c r="P133" s="1714"/>
      <c r="Q133" s="1714">
        <f>$Q$31</f>
        <v>43249</v>
      </c>
      <c r="R133" s="1714"/>
      <c r="S133" s="1714"/>
      <c r="T133" s="1149"/>
      <c r="AF133" s="1161">
        <v>7</v>
      </c>
    </row>
    <row r="134" spans="1:32" hidden="1" x14ac:dyDescent="0.25">
      <c r="A134" s="1208" t="s">
        <v>8</v>
      </c>
      <c r="B134" s="1208" t="s">
        <v>26</v>
      </c>
      <c r="C134" s="1208" t="s">
        <v>268</v>
      </c>
      <c r="D134" s="1208" t="s">
        <v>2972</v>
      </c>
      <c r="E134" s="1208" t="s">
        <v>26</v>
      </c>
      <c r="F134" s="1208" t="s">
        <v>268</v>
      </c>
      <c r="G134" s="1208" t="s">
        <v>2972</v>
      </c>
      <c r="H134" s="1208" t="s">
        <v>26</v>
      </c>
      <c r="I134" s="1208" t="s">
        <v>268</v>
      </c>
      <c r="J134" s="1208" t="s">
        <v>2972</v>
      </c>
      <c r="K134" s="1208" t="s">
        <v>26</v>
      </c>
      <c r="L134" s="1208" t="s">
        <v>268</v>
      </c>
      <c r="M134" s="1208" t="s">
        <v>2972</v>
      </c>
      <c r="N134" s="1208" t="s">
        <v>26</v>
      </c>
      <c r="O134" s="1208" t="s">
        <v>268</v>
      </c>
      <c r="P134" s="1208" t="s">
        <v>2972</v>
      </c>
      <c r="Q134" s="1208" t="s">
        <v>26</v>
      </c>
      <c r="R134" s="1208" t="s">
        <v>268</v>
      </c>
      <c r="S134" s="1208" t="s">
        <v>2972</v>
      </c>
      <c r="T134" s="1150"/>
      <c r="AF134" s="1161">
        <v>7</v>
      </c>
    </row>
    <row r="135" spans="1:32" hidden="1" x14ac:dyDescent="0.25">
      <c r="A135" s="1124">
        <v>1</v>
      </c>
      <c r="B135" s="1124">
        <v>7</v>
      </c>
      <c r="C135" s="1127"/>
      <c r="D135" s="1166" t="str">
        <f>IF(C135&lt;&gt;"",IF(-C135&gt;$M$129,1,"0"),"")</f>
        <v/>
      </c>
      <c r="E135" s="1124">
        <v>7</v>
      </c>
      <c r="F135" s="1127"/>
      <c r="G135" s="1166" t="str">
        <f>IF(F135&lt;&gt;"",IF(-F135&gt;$M$129,1,"0"),"")</f>
        <v/>
      </c>
      <c r="H135" s="1124">
        <v>7</v>
      </c>
      <c r="I135" s="1127"/>
      <c r="J135" s="1166" t="str">
        <f>IF(I135&lt;&gt;"",IF(-I135&gt;$M$129,1,"0"),"")</f>
        <v/>
      </c>
      <c r="K135" s="1124">
        <v>7</v>
      </c>
      <c r="L135" s="1127"/>
      <c r="M135" s="1166" t="str">
        <f>IF(L135&lt;&gt;"",IF(-L135&gt;$M$129,1,"0"),"")</f>
        <v/>
      </c>
      <c r="N135" s="1124">
        <v>7</v>
      </c>
      <c r="O135" s="1127"/>
      <c r="P135" s="1166" t="str">
        <f>IF(O135&lt;&gt;"",IF(-O135&gt;$M$129,1,"0"),"")</f>
        <v/>
      </c>
      <c r="Q135" s="1124">
        <v>7</v>
      </c>
      <c r="R135" s="1127"/>
      <c r="S135" s="1166" t="str">
        <f>IF(R135&lt;&gt;"",IF(-R135&gt;$M$129,1,"0"),"")</f>
        <v/>
      </c>
      <c r="T135" s="1151"/>
      <c r="AF135" s="1161">
        <v>7</v>
      </c>
    </row>
    <row r="136" spans="1:32" hidden="1" x14ac:dyDescent="0.25">
      <c r="A136" s="1125">
        <v>2</v>
      </c>
      <c r="B136" s="1125">
        <v>14</v>
      </c>
      <c r="C136" s="1126"/>
      <c r="D136" s="1167" t="str">
        <f>IF(C136&lt;&gt;"",IF(-C136&gt;$M$129,1,"0"),"")</f>
        <v/>
      </c>
      <c r="E136" s="1125">
        <v>14</v>
      </c>
      <c r="F136" s="1126"/>
      <c r="G136" s="1167" t="str">
        <f>IF(F136&lt;&gt;"",IF(-F136&gt;$M$129,1,"0"),"")</f>
        <v/>
      </c>
      <c r="H136" s="1125">
        <v>14</v>
      </c>
      <c r="I136" s="1126"/>
      <c r="J136" s="1167" t="str">
        <f>IF(I136&lt;&gt;"",IF(-I136&gt;$M$129,1,"0"),"")</f>
        <v/>
      </c>
      <c r="K136" s="1125">
        <v>14</v>
      </c>
      <c r="L136" s="1126"/>
      <c r="M136" s="1167" t="str">
        <f>IF(L136&lt;&gt;"",IF(-L136&gt;$M$129,1,"0"),"")</f>
        <v/>
      </c>
      <c r="N136" s="1125">
        <v>14</v>
      </c>
      <c r="O136" s="1126"/>
      <c r="P136" s="1167" t="str">
        <f>IF(O136&lt;&gt;"",IF(-O136&gt;$M$129,1,"0"),"")</f>
        <v/>
      </c>
      <c r="Q136" s="1125">
        <v>14</v>
      </c>
      <c r="R136" s="1126"/>
      <c r="S136" s="1167" t="str">
        <f>IF(R136&lt;&gt;"",IF(-R136&gt;$M$129,1,"0"),"")</f>
        <v/>
      </c>
      <c r="T136" s="1151"/>
      <c r="AF136" s="1161">
        <v>7</v>
      </c>
    </row>
    <row r="137" spans="1:32" hidden="1" x14ac:dyDescent="0.25">
      <c r="A137" s="1125">
        <v>3</v>
      </c>
      <c r="B137" s="1125">
        <v>22</v>
      </c>
      <c r="C137" s="1126"/>
      <c r="D137" s="1167" t="str">
        <f>IF(C137&lt;&gt;"",IF(-C137&gt;$M$129,1,"0"),"")</f>
        <v/>
      </c>
      <c r="E137" s="1125">
        <v>22</v>
      </c>
      <c r="F137" s="1126"/>
      <c r="G137" s="1167" t="str">
        <f>IF(F137&lt;&gt;"",IF(-F137&gt;$M$129,1,"0"),"")</f>
        <v/>
      </c>
      <c r="H137" s="1125">
        <v>22</v>
      </c>
      <c r="I137" s="1126"/>
      <c r="J137" s="1167" t="str">
        <f>IF(I137&lt;&gt;"",IF(-I137&gt;$M$129,1,"0"),"")</f>
        <v/>
      </c>
      <c r="K137" s="1125">
        <v>22</v>
      </c>
      <c r="L137" s="1126"/>
      <c r="M137" s="1167" t="str">
        <f>IF(L137&lt;&gt;"",IF(-L137&gt;$M$129,1,"0"),"")</f>
        <v/>
      </c>
      <c r="N137" s="1125">
        <v>22</v>
      </c>
      <c r="O137" s="1126"/>
      <c r="P137" s="1167" t="str">
        <f>IF(O137&lt;&gt;"",IF(-O137&gt;$M$129,1,"0"),"")</f>
        <v/>
      </c>
      <c r="Q137" s="1125">
        <v>22</v>
      </c>
      <c r="R137" s="1126"/>
      <c r="S137" s="1167" t="str">
        <f>IF(R137&lt;&gt;"",IF(-R137&gt;$M$129,1,"0"),"")</f>
        <v/>
      </c>
      <c r="T137" s="1151"/>
      <c r="AF137" s="1161">
        <v>7</v>
      </c>
    </row>
    <row r="138" spans="1:32" hidden="1" x14ac:dyDescent="0.25">
      <c r="A138" s="1125">
        <v>4</v>
      </c>
      <c r="B138" s="1125">
        <v>31</v>
      </c>
      <c r="C138" s="1126"/>
      <c r="D138" s="1167" t="str">
        <f>IF(C138&lt;&gt;"",IF(-C138&gt;$M$129,1,"0"),"")</f>
        <v/>
      </c>
      <c r="E138" s="1125">
        <v>31</v>
      </c>
      <c r="F138" s="1126"/>
      <c r="G138" s="1167" t="str">
        <f>IF(F138&lt;&gt;"",IF(-F138&gt;$M$129,1,"0"),"")</f>
        <v/>
      </c>
      <c r="H138" s="1125">
        <v>31</v>
      </c>
      <c r="I138" s="1126"/>
      <c r="J138" s="1167" t="str">
        <f>IF(I138&lt;&gt;"",IF(-I138&gt;$M$129,1,"0"),"")</f>
        <v/>
      </c>
      <c r="K138" s="1125">
        <v>31</v>
      </c>
      <c r="L138" s="1126"/>
      <c r="M138" s="1167" t="str">
        <f>IF(L138&lt;&gt;"",IF(-L138&gt;$M$129,1,"0"),"")</f>
        <v/>
      </c>
      <c r="N138" s="1125">
        <v>31</v>
      </c>
      <c r="O138" s="1126"/>
      <c r="P138" s="1167" t="str">
        <f>IF(O138&lt;&gt;"",IF(-O138&gt;$M$129,1,"0"),"")</f>
        <v/>
      </c>
      <c r="Q138" s="1125">
        <v>31</v>
      </c>
      <c r="R138" s="1126"/>
      <c r="S138" s="1167" t="str">
        <f>IF(R138&lt;&gt;"",IF(-R138&gt;$M$129,1,"0"),"")</f>
        <v/>
      </c>
      <c r="T138" s="1151"/>
      <c r="AF138" s="1161">
        <v>7</v>
      </c>
    </row>
    <row r="139" spans="1:32" hidden="1" x14ac:dyDescent="0.25">
      <c r="A139" s="1720" t="s">
        <v>267</v>
      </c>
      <c r="B139" s="1720"/>
      <c r="C139" s="1114">
        <f>SUM(C135:C138)</f>
        <v>0</v>
      </c>
      <c r="D139" s="1721"/>
      <c r="E139" s="1722"/>
      <c r="F139" s="1114">
        <f>SUM(F135:F138)</f>
        <v>0</v>
      </c>
      <c r="G139" s="1721"/>
      <c r="H139" s="1722"/>
      <c r="I139" s="1114">
        <f>SUM(I135:I138)</f>
        <v>0</v>
      </c>
      <c r="J139" s="1721"/>
      <c r="K139" s="1722"/>
      <c r="L139" s="1114">
        <f>SUM(L135:L138)</f>
        <v>0</v>
      </c>
      <c r="M139" s="1721"/>
      <c r="N139" s="1722"/>
      <c r="O139" s="1114">
        <f>SUM(O135:O138)</f>
        <v>0</v>
      </c>
      <c r="P139" s="1721"/>
      <c r="Q139" s="1722"/>
      <c r="R139" s="1114">
        <f>SUM(R135:R138)</f>
        <v>0</v>
      </c>
      <c r="S139" s="1132"/>
      <c r="T139" s="1150"/>
      <c r="AF139" s="1161">
        <v>7</v>
      </c>
    </row>
    <row r="140" spans="1:32" hidden="1" x14ac:dyDescent="0.25">
      <c r="A140" s="1720" t="s">
        <v>7997</v>
      </c>
      <c r="B140" s="1720"/>
      <c r="C140" s="1114" t="str">
        <f>IF(COUNT(C135:C138)=0,"",AVERAGE(C135:C138))</f>
        <v/>
      </c>
      <c r="D140" s="1723"/>
      <c r="E140" s="1724"/>
      <c r="F140" s="1114" t="str">
        <f>IF(COUNT(F135:F138)=0,"",AVERAGE(F135:F138))</f>
        <v/>
      </c>
      <c r="G140" s="1723"/>
      <c r="H140" s="1724"/>
      <c r="I140" s="1114" t="str">
        <f>IF(COUNT(I135:I138)=0,"",AVERAGE(I135:I138))</f>
        <v/>
      </c>
      <c r="J140" s="1723"/>
      <c r="K140" s="1724"/>
      <c r="L140" s="1114" t="str">
        <f>IF(COUNT(L135:L138)=0,"",AVERAGE(L135:L138))</f>
        <v/>
      </c>
      <c r="M140" s="1723"/>
      <c r="N140" s="1724"/>
      <c r="O140" s="1114" t="str">
        <f>IF(COUNT(O135:O138)=0,"",AVERAGE(O135:O138))</f>
        <v/>
      </c>
      <c r="P140" s="1723"/>
      <c r="Q140" s="1724"/>
      <c r="R140" s="1114" t="str">
        <f>IF(COUNT(R135:R138)=0,"",AVERAGE(R135:R138))</f>
        <v/>
      </c>
      <c r="S140" s="1133"/>
      <c r="T140" s="1150"/>
      <c r="AF140" s="1161">
        <v>7</v>
      </c>
    </row>
    <row r="141" spans="1:32" ht="15" hidden="1" customHeight="1" x14ac:dyDescent="0.25">
      <c r="A141" s="1727" t="s">
        <v>7999</v>
      </c>
      <c r="B141" s="1728"/>
      <c r="C141" s="1165">
        <f>SUM(D135:D138)</f>
        <v>0</v>
      </c>
      <c r="D141" s="1725"/>
      <c r="E141" s="1726"/>
      <c r="F141" s="1165">
        <f>SUM(G135:G138)</f>
        <v>0</v>
      </c>
      <c r="G141" s="1725"/>
      <c r="H141" s="1726"/>
      <c r="I141" s="1208">
        <f>SUM(J135:J138)</f>
        <v>0</v>
      </c>
      <c r="J141" s="1725"/>
      <c r="K141" s="1726"/>
      <c r="L141" s="1165">
        <f>SUM(M135:M138)</f>
        <v>0</v>
      </c>
      <c r="M141" s="1725"/>
      <c r="N141" s="1726"/>
      <c r="O141" s="1165">
        <f>SUM(P135:P138)</f>
        <v>0</v>
      </c>
      <c r="P141" s="1725"/>
      <c r="Q141" s="1726"/>
      <c r="R141" s="1208">
        <f>SUM(S135:S138)</f>
        <v>0</v>
      </c>
      <c r="S141" s="1134"/>
      <c r="T141" s="1150"/>
      <c r="AF141" s="1161">
        <v>7</v>
      </c>
    </row>
    <row r="142" spans="1:32" hidden="1" x14ac:dyDescent="0.25">
      <c r="A142" s="1115" t="s">
        <v>2973</v>
      </c>
      <c r="B142" s="1112"/>
      <c r="C142" s="1112"/>
      <c r="D142" s="1112"/>
      <c r="E142" s="1112"/>
      <c r="F142" s="1112"/>
      <c r="G142" s="1112"/>
      <c r="H142" s="1112"/>
      <c r="I142" s="1112"/>
      <c r="J142" s="1112"/>
      <c r="K142" s="1112"/>
      <c r="L142" s="1112"/>
      <c r="M142" s="1112"/>
      <c r="N142" s="1112"/>
      <c r="O142" s="1112"/>
      <c r="P142" s="1112"/>
      <c r="Q142" s="1112"/>
      <c r="R142" s="1112"/>
      <c r="S142" s="1112"/>
      <c r="T142" s="1140"/>
      <c r="AF142" s="1161">
        <v>7</v>
      </c>
    </row>
    <row r="143" spans="1:32" hidden="1" x14ac:dyDescent="0.25">
      <c r="A143" s="1719" t="s">
        <v>8005</v>
      </c>
      <c r="B143" s="1719"/>
      <c r="C143" s="1719"/>
      <c r="D143" s="1719"/>
      <c r="E143" s="1719"/>
      <c r="F143" s="1719"/>
      <c r="G143" s="1719"/>
      <c r="H143" s="1719"/>
      <c r="I143" s="1719"/>
      <c r="J143" s="1719"/>
      <c r="K143" s="1719"/>
      <c r="L143" s="1719"/>
      <c r="M143" s="1719"/>
      <c r="N143" s="1719"/>
      <c r="O143" s="1719"/>
      <c r="P143" s="1719"/>
      <c r="Q143" s="1719"/>
      <c r="R143" s="1719"/>
      <c r="S143" s="1719"/>
      <c r="T143" s="1146"/>
      <c r="AF143" s="1161">
        <v>8</v>
      </c>
    </row>
    <row r="144" spans="1:32" ht="5.0999999999999996" hidden="1" customHeight="1" x14ac:dyDescent="0.25">
      <c r="A144" s="1112"/>
      <c r="B144" s="1112"/>
      <c r="C144" s="1112"/>
      <c r="D144" s="1112"/>
      <c r="E144" s="1112"/>
      <c r="F144" s="1112"/>
      <c r="G144" s="1112"/>
      <c r="H144" s="1112"/>
      <c r="I144" s="1112"/>
      <c r="J144" s="1112"/>
      <c r="K144" s="1112"/>
      <c r="L144" s="1112"/>
      <c r="M144" s="1112"/>
      <c r="N144" s="1112"/>
      <c r="O144" s="1112"/>
      <c r="P144" s="1112"/>
      <c r="Q144" s="1112"/>
      <c r="R144" s="1112"/>
      <c r="S144" s="1112"/>
      <c r="T144" s="1140"/>
      <c r="AF144" s="1161">
        <v>8</v>
      </c>
    </row>
    <row r="145" spans="1:32" hidden="1" x14ac:dyDescent="0.25">
      <c r="A145" s="1112" t="s">
        <v>271</v>
      </c>
      <c r="B145" s="1112"/>
      <c r="C145" s="1109"/>
      <c r="D145" s="1711"/>
      <c r="E145" s="1711"/>
      <c r="F145" s="1711"/>
      <c r="G145" s="1112"/>
      <c r="H145" s="1112"/>
      <c r="I145" s="1112"/>
      <c r="J145" s="1209" t="s">
        <v>582</v>
      </c>
      <c r="K145" s="1209"/>
      <c r="L145" s="1159"/>
      <c r="M145" s="1711"/>
      <c r="N145" s="1711"/>
      <c r="O145" s="1711"/>
      <c r="P145" s="1112" t="s">
        <v>68</v>
      </c>
      <c r="Q145" s="1112"/>
      <c r="R145" s="1112"/>
      <c r="S145" s="1112"/>
      <c r="T145" s="1140"/>
      <c r="AF145" s="1161">
        <v>8</v>
      </c>
    </row>
    <row r="146" spans="1:32" hidden="1" x14ac:dyDescent="0.25">
      <c r="A146" s="1112" t="s">
        <v>240</v>
      </c>
      <c r="B146" s="1112"/>
      <c r="C146" s="1109"/>
      <c r="D146" s="1711"/>
      <c r="E146" s="1711"/>
      <c r="F146" s="1711"/>
      <c r="G146" s="1112"/>
      <c r="H146" s="1112"/>
      <c r="I146" s="1112"/>
      <c r="J146" s="1128" t="s">
        <v>767</v>
      </c>
      <c r="K146" s="1128"/>
      <c r="L146" s="1159"/>
      <c r="M146" s="1711"/>
      <c r="N146" s="1711"/>
      <c r="O146" s="1711"/>
      <c r="P146" s="1112"/>
      <c r="Q146" s="1112"/>
      <c r="R146" s="1112"/>
      <c r="S146" s="1112"/>
      <c r="T146" s="1140"/>
      <c r="AF146" s="1161">
        <v>8</v>
      </c>
    </row>
    <row r="147" spans="1:32" hidden="1" x14ac:dyDescent="0.25">
      <c r="A147" s="1112" t="s">
        <v>265</v>
      </c>
      <c r="B147" s="1112"/>
      <c r="C147" s="1109"/>
      <c r="D147" s="1716"/>
      <c r="E147" s="1716"/>
      <c r="F147" s="1716"/>
      <c r="G147" s="1112"/>
      <c r="H147" s="1112"/>
      <c r="I147" s="1112"/>
      <c r="J147" s="1729" t="s">
        <v>3161</v>
      </c>
      <c r="K147" s="1729"/>
      <c r="L147" s="1729"/>
      <c r="M147" s="1717" t="str">
        <f>IF(ISERROR(SUM(C157,F157,I157,L157,O157,R157)/COUNT(C157,F157,I157,L157,O157,R157)),"",-((SUM(C157,F157,I157,L157,O157,R157)/COUNT(C157,F157,I157,L157,O157,R157))))</f>
        <v/>
      </c>
      <c r="N147" s="1717"/>
      <c r="O147" s="1717"/>
      <c r="P147" s="1109"/>
      <c r="Q147" s="1112"/>
      <c r="R147" s="1112"/>
      <c r="S147" s="1112"/>
      <c r="T147" s="1140"/>
      <c r="AF147" s="1161">
        <v>8</v>
      </c>
    </row>
    <row r="148" spans="1:32" hidden="1" x14ac:dyDescent="0.25">
      <c r="A148" s="1710" t="s">
        <v>90</v>
      </c>
      <c r="B148" s="1710"/>
      <c r="C148" s="1109"/>
      <c r="D148" s="1711"/>
      <c r="E148" s="1711"/>
      <c r="F148" s="1711"/>
      <c r="G148" s="1109"/>
      <c r="H148" s="1112"/>
      <c r="I148" s="1112"/>
      <c r="J148" s="1128" t="s">
        <v>2979</v>
      </c>
      <c r="K148" s="1128"/>
      <c r="L148" s="1159"/>
      <c r="M148" s="1712" t="str">
        <f>IF(ISERROR(SUM(C157,F157,I157,L157,O157,R157)/COUNT(C157,F157,I157,L157,O157,R157)),"",-((SUM(C157,F157,I157,L157,O157,R157)/COUNT(C157,F157,I157,L157,O157,R157)))/M146)</f>
        <v/>
      </c>
      <c r="N148" s="1712"/>
      <c r="O148" s="1712"/>
      <c r="P148" s="1112"/>
      <c r="Q148" s="1112"/>
      <c r="R148" s="1112"/>
      <c r="S148" s="1112"/>
      <c r="T148" s="1140"/>
      <c r="AF148" s="1161">
        <v>8</v>
      </c>
    </row>
    <row r="149" spans="1:32" hidden="1" x14ac:dyDescent="0.25">
      <c r="A149" s="1112"/>
      <c r="B149" s="1112"/>
      <c r="C149" s="1117"/>
      <c r="D149" s="1117"/>
      <c r="E149" s="1112"/>
      <c r="F149" s="1112"/>
      <c r="G149" s="1112"/>
      <c r="H149" s="1112"/>
      <c r="I149" s="1112"/>
      <c r="J149" s="1115"/>
      <c r="K149" s="1115"/>
      <c r="L149" s="1115"/>
      <c r="M149" s="1115"/>
      <c r="N149" s="1115"/>
      <c r="O149" s="1115"/>
      <c r="P149" s="1115"/>
      <c r="Q149" s="1115"/>
      <c r="R149" s="1115"/>
      <c r="S149" s="1113" t="s">
        <v>29</v>
      </c>
      <c r="T149" s="1148"/>
      <c r="AF149" s="1161">
        <v>8</v>
      </c>
    </row>
    <row r="150" spans="1:32" hidden="1" x14ac:dyDescent="0.25">
      <c r="A150" s="1208" t="s">
        <v>266</v>
      </c>
      <c r="B150" s="1714">
        <f>$B$31</f>
        <v>43094</v>
      </c>
      <c r="C150" s="1714"/>
      <c r="D150" s="1714"/>
      <c r="E150" s="1714">
        <f>$E$31</f>
        <v>43125</v>
      </c>
      <c r="F150" s="1714"/>
      <c r="G150" s="1714"/>
      <c r="H150" s="1714">
        <f>$H$31</f>
        <v>43156</v>
      </c>
      <c r="I150" s="1714"/>
      <c r="J150" s="1714"/>
      <c r="K150" s="1714">
        <f>$K$31</f>
        <v>43187</v>
      </c>
      <c r="L150" s="1714"/>
      <c r="M150" s="1714"/>
      <c r="N150" s="1714">
        <f>$N$31</f>
        <v>43218</v>
      </c>
      <c r="O150" s="1714"/>
      <c r="P150" s="1714"/>
      <c r="Q150" s="1714">
        <f>$Q$31</f>
        <v>43249</v>
      </c>
      <c r="R150" s="1714"/>
      <c r="S150" s="1714"/>
      <c r="T150" s="1149"/>
      <c r="AF150" s="1161">
        <v>8</v>
      </c>
    </row>
    <row r="151" spans="1:32" hidden="1" x14ac:dyDescent="0.25">
      <c r="A151" s="1208" t="s">
        <v>8</v>
      </c>
      <c r="B151" s="1208" t="s">
        <v>26</v>
      </c>
      <c r="C151" s="1208" t="s">
        <v>268</v>
      </c>
      <c r="D151" s="1208" t="s">
        <v>2972</v>
      </c>
      <c r="E151" s="1208" t="s">
        <v>26</v>
      </c>
      <c r="F151" s="1208" t="s">
        <v>268</v>
      </c>
      <c r="G151" s="1208" t="s">
        <v>2972</v>
      </c>
      <c r="H151" s="1208" t="s">
        <v>26</v>
      </c>
      <c r="I151" s="1208" t="s">
        <v>268</v>
      </c>
      <c r="J151" s="1208" t="s">
        <v>2972</v>
      </c>
      <c r="K151" s="1208" t="s">
        <v>26</v>
      </c>
      <c r="L151" s="1208" t="s">
        <v>268</v>
      </c>
      <c r="M151" s="1208" t="s">
        <v>2972</v>
      </c>
      <c r="N151" s="1208" t="s">
        <v>26</v>
      </c>
      <c r="O151" s="1208" t="s">
        <v>268</v>
      </c>
      <c r="P151" s="1208" t="s">
        <v>2972</v>
      </c>
      <c r="Q151" s="1208" t="s">
        <v>26</v>
      </c>
      <c r="R151" s="1208" t="s">
        <v>268</v>
      </c>
      <c r="S151" s="1208" t="s">
        <v>2972</v>
      </c>
      <c r="T151" s="1150"/>
      <c r="AF151" s="1161">
        <v>8</v>
      </c>
    </row>
    <row r="152" spans="1:32" hidden="1" x14ac:dyDescent="0.25">
      <c r="A152" s="1124">
        <v>1</v>
      </c>
      <c r="B152" s="1124">
        <v>7</v>
      </c>
      <c r="C152" s="1127"/>
      <c r="D152" s="1166" t="str">
        <f>IF(C152&lt;&gt;"",IF(-C152&gt;$M$146,1,"0"),"")</f>
        <v/>
      </c>
      <c r="E152" s="1124">
        <v>7</v>
      </c>
      <c r="F152" s="1127"/>
      <c r="G152" s="1166" t="str">
        <f>IF(F152&lt;&gt;"",IF(-F152&gt;$M$146,1,"0"),"")</f>
        <v/>
      </c>
      <c r="H152" s="1124">
        <v>7</v>
      </c>
      <c r="I152" s="1127"/>
      <c r="J152" s="1166" t="str">
        <f>IF(I152&lt;&gt;"",IF(-I152&gt;$M$146,1,"0"),"")</f>
        <v/>
      </c>
      <c r="K152" s="1124">
        <v>7</v>
      </c>
      <c r="L152" s="1127"/>
      <c r="M152" s="1166" t="str">
        <f>IF(L152&lt;&gt;"",IF(-L152&gt;$M$146,1,"0"),"")</f>
        <v/>
      </c>
      <c r="N152" s="1124">
        <v>7</v>
      </c>
      <c r="O152" s="1127"/>
      <c r="P152" s="1166" t="str">
        <f>IF(O152&lt;&gt;"",IF(-O152&gt;$M$146,1,"0"),"")</f>
        <v/>
      </c>
      <c r="Q152" s="1124">
        <v>7</v>
      </c>
      <c r="R152" s="1127"/>
      <c r="S152" s="1166" t="str">
        <f>IF(R152&lt;&gt;"",IF(-R152&gt;$M$146,1,"0"),"")</f>
        <v/>
      </c>
      <c r="T152" s="1151"/>
      <c r="AF152" s="1161">
        <v>8</v>
      </c>
    </row>
    <row r="153" spans="1:32" hidden="1" x14ac:dyDescent="0.25">
      <c r="A153" s="1125">
        <v>2</v>
      </c>
      <c r="B153" s="1125">
        <v>14</v>
      </c>
      <c r="C153" s="1126"/>
      <c r="D153" s="1167" t="str">
        <f>IF(C153&lt;&gt;"",IF(-C153&gt;$M$146,1,"0"),"")</f>
        <v/>
      </c>
      <c r="E153" s="1125">
        <v>14</v>
      </c>
      <c r="F153" s="1126"/>
      <c r="G153" s="1167" t="str">
        <f>IF(F153&lt;&gt;"",IF(-F153&gt;$M$146,1,"0"),"")</f>
        <v/>
      </c>
      <c r="H153" s="1125">
        <v>14</v>
      </c>
      <c r="I153" s="1126"/>
      <c r="J153" s="1167" t="str">
        <f>IF(I153&lt;&gt;"",IF(-I153&gt;$M$146,1,"0"),"")</f>
        <v/>
      </c>
      <c r="K153" s="1125">
        <v>14</v>
      </c>
      <c r="L153" s="1126"/>
      <c r="M153" s="1167" t="str">
        <f>IF(L153&lt;&gt;"",IF(-L153&gt;$M$146,1,"0"),"")</f>
        <v/>
      </c>
      <c r="N153" s="1125">
        <v>14</v>
      </c>
      <c r="O153" s="1126"/>
      <c r="P153" s="1167" t="str">
        <f>IF(O153&lt;&gt;"",IF(-O153&gt;$M$146,1,"0"),"")</f>
        <v/>
      </c>
      <c r="Q153" s="1125">
        <v>14</v>
      </c>
      <c r="R153" s="1126"/>
      <c r="S153" s="1167" t="str">
        <f>IF(R153&lt;&gt;"",IF(-R153&gt;$M$146,1,"0"),"")</f>
        <v/>
      </c>
      <c r="T153" s="1151"/>
      <c r="AF153" s="1161">
        <v>8</v>
      </c>
    </row>
    <row r="154" spans="1:32" hidden="1" x14ac:dyDescent="0.25">
      <c r="A154" s="1125">
        <v>3</v>
      </c>
      <c r="B154" s="1125">
        <v>22</v>
      </c>
      <c r="C154" s="1126"/>
      <c r="D154" s="1167" t="str">
        <f>IF(C154&lt;&gt;"",IF(-C154&gt;$M$146,1,"0"),"")</f>
        <v/>
      </c>
      <c r="E154" s="1125">
        <v>22</v>
      </c>
      <c r="F154" s="1126"/>
      <c r="G154" s="1167" t="str">
        <f>IF(F154&lt;&gt;"",IF(-F154&gt;$M$146,1,"0"),"")</f>
        <v/>
      </c>
      <c r="H154" s="1125">
        <v>22</v>
      </c>
      <c r="I154" s="1126"/>
      <c r="J154" s="1167" t="str">
        <f>IF(I154&lt;&gt;"",IF(-I154&gt;$M$146,1,"0"),"")</f>
        <v/>
      </c>
      <c r="K154" s="1125">
        <v>22</v>
      </c>
      <c r="L154" s="1126"/>
      <c r="M154" s="1167" t="str">
        <f>IF(L154&lt;&gt;"",IF(-L154&gt;$M$146,1,"0"),"")</f>
        <v/>
      </c>
      <c r="N154" s="1125">
        <v>22</v>
      </c>
      <c r="O154" s="1126"/>
      <c r="P154" s="1167" t="str">
        <f>IF(O154&lt;&gt;"",IF(-O154&gt;$M$146,1,"0"),"")</f>
        <v/>
      </c>
      <c r="Q154" s="1125">
        <v>22</v>
      </c>
      <c r="R154" s="1126"/>
      <c r="S154" s="1167" t="str">
        <f>IF(R154&lt;&gt;"",IF(-R154&gt;$M$146,1,"0"),"")</f>
        <v/>
      </c>
      <c r="T154" s="1151"/>
      <c r="AF154" s="1161">
        <v>8</v>
      </c>
    </row>
    <row r="155" spans="1:32" hidden="1" x14ac:dyDescent="0.25">
      <c r="A155" s="1125">
        <v>4</v>
      </c>
      <c r="B155" s="1125">
        <v>31</v>
      </c>
      <c r="C155" s="1126"/>
      <c r="D155" s="1167" t="str">
        <f>IF(C155&lt;&gt;"",IF(-C155&gt;$M$146,1,"0"),"")</f>
        <v/>
      </c>
      <c r="E155" s="1125">
        <v>31</v>
      </c>
      <c r="F155" s="1126"/>
      <c r="G155" s="1167" t="str">
        <f>IF(F155&lt;&gt;"",IF(-F155&gt;$M$146,1,"0"),"")</f>
        <v/>
      </c>
      <c r="H155" s="1125">
        <v>31</v>
      </c>
      <c r="I155" s="1126"/>
      <c r="J155" s="1167" t="str">
        <f>IF(I155&lt;&gt;"",IF(-I155&gt;$M$146,1,"0"),"")</f>
        <v/>
      </c>
      <c r="K155" s="1125">
        <v>31</v>
      </c>
      <c r="L155" s="1126"/>
      <c r="M155" s="1167" t="str">
        <f>IF(L155&lt;&gt;"",IF(-L155&gt;$M$146,1,"0"),"")</f>
        <v/>
      </c>
      <c r="N155" s="1125">
        <v>31</v>
      </c>
      <c r="O155" s="1126"/>
      <c r="P155" s="1167" t="str">
        <f>IF(O155&lt;&gt;"",IF(-O155&gt;$M$146,1,"0"),"")</f>
        <v/>
      </c>
      <c r="Q155" s="1125">
        <v>31</v>
      </c>
      <c r="R155" s="1126"/>
      <c r="S155" s="1167" t="str">
        <f>IF(R155&lt;&gt;"",IF(-R155&gt;$M$146,1,"0"),"")</f>
        <v/>
      </c>
      <c r="T155" s="1151"/>
      <c r="AF155" s="1161">
        <v>8</v>
      </c>
    </row>
    <row r="156" spans="1:32" hidden="1" x14ac:dyDescent="0.25">
      <c r="A156" s="1720" t="s">
        <v>267</v>
      </c>
      <c r="B156" s="1720"/>
      <c r="C156" s="1114">
        <f>SUM(C152:C155)</f>
        <v>0</v>
      </c>
      <c r="D156" s="1721"/>
      <c r="E156" s="1722"/>
      <c r="F156" s="1114">
        <f>SUM(F152:F155)</f>
        <v>0</v>
      </c>
      <c r="G156" s="1721"/>
      <c r="H156" s="1722"/>
      <c r="I156" s="1114">
        <f>SUM(I152:I155)</f>
        <v>0</v>
      </c>
      <c r="J156" s="1721"/>
      <c r="K156" s="1722"/>
      <c r="L156" s="1114">
        <f>SUM(L152:L155)</f>
        <v>0</v>
      </c>
      <c r="M156" s="1721"/>
      <c r="N156" s="1722"/>
      <c r="O156" s="1114">
        <f>SUM(O152:O155)</f>
        <v>0</v>
      </c>
      <c r="P156" s="1721"/>
      <c r="Q156" s="1722"/>
      <c r="R156" s="1114">
        <f>SUM(R152:R155)</f>
        <v>0</v>
      </c>
      <c r="S156" s="1132"/>
      <c r="T156" s="1150"/>
      <c r="AF156" s="1161">
        <v>8</v>
      </c>
    </row>
    <row r="157" spans="1:32" hidden="1" x14ac:dyDescent="0.25">
      <c r="A157" s="1720" t="s">
        <v>7997</v>
      </c>
      <c r="B157" s="1720"/>
      <c r="C157" s="1114" t="str">
        <f>IF(COUNT(C152:C155)=0,"",AVERAGE(C152:C155))</f>
        <v/>
      </c>
      <c r="D157" s="1723"/>
      <c r="E157" s="1724"/>
      <c r="F157" s="1114" t="str">
        <f>IF(COUNT(F152:F155)=0,"",AVERAGE(F152:F155))</f>
        <v/>
      </c>
      <c r="G157" s="1723"/>
      <c r="H157" s="1724"/>
      <c r="I157" s="1114" t="str">
        <f>IF(COUNT(I152:I155)=0,"",AVERAGE(I152:I155))</f>
        <v/>
      </c>
      <c r="J157" s="1723"/>
      <c r="K157" s="1724"/>
      <c r="L157" s="1114" t="str">
        <f>IF(COUNT(L152:L155)=0,"",AVERAGE(L152:L155))</f>
        <v/>
      </c>
      <c r="M157" s="1723"/>
      <c r="N157" s="1724"/>
      <c r="O157" s="1114" t="str">
        <f>IF(COUNT(O152:O155)=0,"",AVERAGE(O152:O155))</f>
        <v/>
      </c>
      <c r="P157" s="1723"/>
      <c r="Q157" s="1724"/>
      <c r="R157" s="1114" t="str">
        <f>IF(COUNT(R152:R155)=0,"",AVERAGE(R152:R155))</f>
        <v/>
      </c>
      <c r="S157" s="1133"/>
      <c r="T157" s="1150"/>
      <c r="AF157" s="1161">
        <v>8</v>
      </c>
    </row>
    <row r="158" spans="1:32" ht="15" hidden="1" customHeight="1" x14ac:dyDescent="0.25">
      <c r="A158" s="1727" t="s">
        <v>7999</v>
      </c>
      <c r="B158" s="1728"/>
      <c r="C158" s="1165">
        <f>SUM(D152:D155)</f>
        <v>0</v>
      </c>
      <c r="D158" s="1725"/>
      <c r="E158" s="1726"/>
      <c r="F158" s="1165">
        <f>SUM(G152:G155)</f>
        <v>0</v>
      </c>
      <c r="G158" s="1725"/>
      <c r="H158" s="1726"/>
      <c r="I158" s="1208">
        <f>SUM(J152:J155)</f>
        <v>0</v>
      </c>
      <c r="J158" s="1725"/>
      <c r="K158" s="1726"/>
      <c r="L158" s="1165">
        <f>SUM(M152:M155)</f>
        <v>0</v>
      </c>
      <c r="M158" s="1725"/>
      <c r="N158" s="1726"/>
      <c r="O158" s="1165">
        <f>SUM(P152:P155)</f>
        <v>0</v>
      </c>
      <c r="P158" s="1725"/>
      <c r="Q158" s="1726"/>
      <c r="R158" s="1208">
        <f>SUM(S152:S155)</f>
        <v>0</v>
      </c>
      <c r="S158" s="1134"/>
      <c r="T158" s="1150"/>
      <c r="AF158" s="1161">
        <v>8</v>
      </c>
    </row>
    <row r="159" spans="1:32" hidden="1" x14ac:dyDescent="0.25">
      <c r="A159" s="1115" t="s">
        <v>2973</v>
      </c>
      <c r="B159" s="1112"/>
      <c r="C159" s="1112"/>
      <c r="D159" s="1112"/>
      <c r="E159" s="1112"/>
      <c r="F159" s="1112"/>
      <c r="G159" s="1112"/>
      <c r="H159" s="1112"/>
      <c r="I159" s="1112"/>
      <c r="J159" s="1112"/>
      <c r="K159" s="1112"/>
      <c r="L159" s="1112"/>
      <c r="M159" s="1112"/>
      <c r="N159" s="1112"/>
      <c r="O159" s="1112"/>
      <c r="P159" s="1112"/>
      <c r="Q159" s="1112"/>
      <c r="R159" s="1112"/>
      <c r="S159" s="1112"/>
      <c r="T159" s="1140"/>
      <c r="AF159" s="1161">
        <v>8</v>
      </c>
    </row>
    <row r="160" spans="1:32" hidden="1" x14ac:dyDescent="0.25">
      <c r="A160" s="1719" t="s">
        <v>8006</v>
      </c>
      <c r="B160" s="1719"/>
      <c r="C160" s="1719"/>
      <c r="D160" s="1719"/>
      <c r="E160" s="1719"/>
      <c r="F160" s="1719"/>
      <c r="G160" s="1719"/>
      <c r="H160" s="1719"/>
      <c r="I160" s="1719"/>
      <c r="J160" s="1719"/>
      <c r="K160" s="1719"/>
      <c r="L160" s="1719"/>
      <c r="M160" s="1719"/>
      <c r="N160" s="1719"/>
      <c r="O160" s="1719"/>
      <c r="P160" s="1719"/>
      <c r="Q160" s="1719"/>
      <c r="R160" s="1719"/>
      <c r="S160" s="1719"/>
      <c r="T160" s="1151"/>
      <c r="AF160" s="1161">
        <v>9</v>
      </c>
    </row>
    <row r="161" spans="1:32" ht="5.0999999999999996" hidden="1" customHeight="1" x14ac:dyDescent="0.25">
      <c r="A161" s="1112"/>
      <c r="B161" s="1112"/>
      <c r="C161" s="1112"/>
      <c r="D161" s="1112"/>
      <c r="E161" s="1112"/>
      <c r="F161" s="1112"/>
      <c r="G161" s="1112"/>
      <c r="H161" s="1112"/>
      <c r="I161" s="1112"/>
      <c r="J161" s="1112"/>
      <c r="K161" s="1112"/>
      <c r="L161" s="1112"/>
      <c r="M161" s="1112"/>
      <c r="N161" s="1112"/>
      <c r="O161" s="1112"/>
      <c r="P161" s="1112"/>
      <c r="Q161" s="1112"/>
      <c r="R161" s="1112"/>
      <c r="S161" s="1112"/>
      <c r="T161" s="1140"/>
      <c r="AF161" s="1161">
        <v>9</v>
      </c>
    </row>
    <row r="162" spans="1:32" hidden="1" x14ac:dyDescent="0.25">
      <c r="A162" s="1112" t="s">
        <v>271</v>
      </c>
      <c r="B162" s="1112"/>
      <c r="C162" s="1109"/>
      <c r="D162" s="1711"/>
      <c r="E162" s="1711"/>
      <c r="F162" s="1711"/>
      <c r="G162" s="1112"/>
      <c r="H162" s="1112"/>
      <c r="I162" s="1112"/>
      <c r="J162" s="1209" t="s">
        <v>582</v>
      </c>
      <c r="K162" s="1209"/>
      <c r="L162" s="1159"/>
      <c r="M162" s="1711"/>
      <c r="N162" s="1711"/>
      <c r="O162" s="1711"/>
      <c r="P162" s="1112" t="s">
        <v>68</v>
      </c>
      <c r="Q162" s="1112"/>
      <c r="R162" s="1112"/>
      <c r="S162" s="1112"/>
      <c r="T162" s="1140"/>
      <c r="AF162" s="1161">
        <v>9</v>
      </c>
    </row>
    <row r="163" spans="1:32" hidden="1" x14ac:dyDescent="0.25">
      <c r="A163" s="1112" t="s">
        <v>240</v>
      </c>
      <c r="B163" s="1112"/>
      <c r="C163" s="1109"/>
      <c r="D163" s="1711"/>
      <c r="E163" s="1711"/>
      <c r="F163" s="1711"/>
      <c r="G163" s="1112"/>
      <c r="H163" s="1112"/>
      <c r="I163" s="1112"/>
      <c r="J163" s="1128" t="s">
        <v>767</v>
      </c>
      <c r="K163" s="1128"/>
      <c r="L163" s="1159"/>
      <c r="M163" s="1711"/>
      <c r="N163" s="1711"/>
      <c r="O163" s="1711"/>
      <c r="P163" s="1112"/>
      <c r="Q163" s="1112"/>
      <c r="R163" s="1112"/>
      <c r="S163" s="1112"/>
      <c r="T163" s="1140"/>
      <c r="AF163" s="1161">
        <v>9</v>
      </c>
    </row>
    <row r="164" spans="1:32" hidden="1" x14ac:dyDescent="0.25">
      <c r="A164" s="1112" t="s">
        <v>265</v>
      </c>
      <c r="B164" s="1112"/>
      <c r="C164" s="1109"/>
      <c r="D164" s="1716"/>
      <c r="E164" s="1716"/>
      <c r="F164" s="1716"/>
      <c r="G164" s="1112"/>
      <c r="H164" s="1112"/>
      <c r="I164" s="1112"/>
      <c r="J164" s="1729" t="s">
        <v>3161</v>
      </c>
      <c r="K164" s="1729"/>
      <c r="L164" s="1729"/>
      <c r="M164" s="1717" t="str">
        <f>IF(ISERROR(SUM(C174,F174,I174,L174,O174,R174)/COUNT(C174,F174,I174,L174,O174,R174)),"",-((SUM(C174,F174,I174,L174,O174,R174)/COUNT(C174,F174,I174,L174,O174,R174))))</f>
        <v/>
      </c>
      <c r="N164" s="1717"/>
      <c r="O164" s="1717"/>
      <c r="P164" s="1109"/>
      <c r="Q164" s="1112"/>
      <c r="R164" s="1112"/>
      <c r="S164" s="1112"/>
      <c r="T164" s="1140"/>
      <c r="AF164" s="1161">
        <v>9</v>
      </c>
    </row>
    <row r="165" spans="1:32" hidden="1" x14ac:dyDescent="0.25">
      <c r="A165" s="1710" t="s">
        <v>90</v>
      </c>
      <c r="B165" s="1710"/>
      <c r="C165" s="1109"/>
      <c r="D165" s="1711"/>
      <c r="E165" s="1711"/>
      <c r="F165" s="1711"/>
      <c r="G165" s="1109"/>
      <c r="H165" s="1112"/>
      <c r="I165" s="1112"/>
      <c r="J165" s="1128" t="s">
        <v>2979</v>
      </c>
      <c r="K165" s="1128"/>
      <c r="L165" s="1159"/>
      <c r="M165" s="1712" t="str">
        <f>IF(ISERROR(SUM(C174,F174,I174,L174,O174,R174)/COUNT(C174,F174,I174,L174,O174,R174)),"",-((SUM(C174,F174,I174,L174,O174,R174)/COUNT(C174,F174,I174,L174,O174,R174)))/M163)</f>
        <v/>
      </c>
      <c r="N165" s="1712"/>
      <c r="O165" s="1712"/>
      <c r="P165" s="1112"/>
      <c r="Q165" s="1112"/>
      <c r="R165" s="1112"/>
      <c r="S165" s="1112"/>
      <c r="T165" s="1140"/>
      <c r="AF165" s="1161">
        <v>9</v>
      </c>
    </row>
    <row r="166" spans="1:32" hidden="1" x14ac:dyDescent="0.25">
      <c r="A166" s="1112"/>
      <c r="B166" s="1112"/>
      <c r="C166" s="1117"/>
      <c r="D166" s="1117"/>
      <c r="E166" s="1112"/>
      <c r="F166" s="1112"/>
      <c r="G166" s="1112"/>
      <c r="H166" s="1112"/>
      <c r="I166" s="1112"/>
      <c r="J166" s="1115"/>
      <c r="K166" s="1115"/>
      <c r="L166" s="1115"/>
      <c r="M166" s="1115"/>
      <c r="N166" s="1115"/>
      <c r="O166" s="1115"/>
      <c r="P166" s="1115"/>
      <c r="Q166" s="1115"/>
      <c r="R166" s="1115"/>
      <c r="S166" s="1113" t="s">
        <v>29</v>
      </c>
      <c r="T166" s="1148"/>
      <c r="AF166" s="1161">
        <v>9</v>
      </c>
    </row>
    <row r="167" spans="1:32" hidden="1" x14ac:dyDescent="0.25">
      <c r="A167" s="1208" t="s">
        <v>266</v>
      </c>
      <c r="B167" s="1714">
        <f>$B$31</f>
        <v>43094</v>
      </c>
      <c r="C167" s="1714"/>
      <c r="D167" s="1714"/>
      <c r="E167" s="1714">
        <f>$E$31</f>
        <v>43125</v>
      </c>
      <c r="F167" s="1714"/>
      <c r="G167" s="1714"/>
      <c r="H167" s="1714">
        <f>$H$31</f>
        <v>43156</v>
      </c>
      <c r="I167" s="1714"/>
      <c r="J167" s="1714"/>
      <c r="K167" s="1714">
        <f>$K$31</f>
        <v>43187</v>
      </c>
      <c r="L167" s="1714"/>
      <c r="M167" s="1714"/>
      <c r="N167" s="1714">
        <f>$N$31</f>
        <v>43218</v>
      </c>
      <c r="O167" s="1714"/>
      <c r="P167" s="1714"/>
      <c r="Q167" s="1714">
        <f>$Q$31</f>
        <v>43249</v>
      </c>
      <c r="R167" s="1714"/>
      <c r="S167" s="1714"/>
      <c r="T167" s="1149"/>
      <c r="AF167" s="1161">
        <v>9</v>
      </c>
    </row>
    <row r="168" spans="1:32" hidden="1" x14ac:dyDescent="0.25">
      <c r="A168" s="1208" t="s">
        <v>8</v>
      </c>
      <c r="B168" s="1208" t="s">
        <v>26</v>
      </c>
      <c r="C168" s="1208" t="s">
        <v>268</v>
      </c>
      <c r="D168" s="1208" t="s">
        <v>2972</v>
      </c>
      <c r="E168" s="1208" t="s">
        <v>26</v>
      </c>
      <c r="F168" s="1208" t="s">
        <v>268</v>
      </c>
      <c r="G168" s="1208" t="s">
        <v>2972</v>
      </c>
      <c r="H168" s="1208" t="s">
        <v>26</v>
      </c>
      <c r="I168" s="1208" t="s">
        <v>268</v>
      </c>
      <c r="J168" s="1208" t="s">
        <v>2972</v>
      </c>
      <c r="K168" s="1208" t="s">
        <v>26</v>
      </c>
      <c r="L168" s="1208" t="s">
        <v>268</v>
      </c>
      <c r="M168" s="1208" t="s">
        <v>2972</v>
      </c>
      <c r="N168" s="1208" t="s">
        <v>26</v>
      </c>
      <c r="O168" s="1208" t="s">
        <v>268</v>
      </c>
      <c r="P168" s="1208" t="s">
        <v>2972</v>
      </c>
      <c r="Q168" s="1208" t="s">
        <v>26</v>
      </c>
      <c r="R168" s="1208" t="s">
        <v>268</v>
      </c>
      <c r="S168" s="1208" t="s">
        <v>2972</v>
      </c>
      <c r="T168" s="1150"/>
      <c r="AF168" s="1161">
        <v>9</v>
      </c>
    </row>
    <row r="169" spans="1:32" hidden="1" x14ac:dyDescent="0.25">
      <c r="A169" s="1124">
        <v>1</v>
      </c>
      <c r="B169" s="1124">
        <v>7</v>
      </c>
      <c r="C169" s="1127"/>
      <c r="D169" s="1166" t="str">
        <f>IF(C169&lt;&gt;"",IF(-C169&gt;$M$163,1,"0"),"")</f>
        <v/>
      </c>
      <c r="E169" s="1124">
        <v>7</v>
      </c>
      <c r="F169" s="1127"/>
      <c r="G169" s="1166" t="str">
        <f>IF(F169&lt;&gt;"",IF(-F169&gt;$M$163,1,"0"),"")</f>
        <v/>
      </c>
      <c r="H169" s="1124">
        <v>7</v>
      </c>
      <c r="I169" s="1127"/>
      <c r="J169" s="1166" t="str">
        <f>IF(I169&lt;&gt;"",IF(-I169&gt;$M$163,1,"0"),"")</f>
        <v/>
      </c>
      <c r="K169" s="1124">
        <v>7</v>
      </c>
      <c r="L169" s="1127"/>
      <c r="M169" s="1166" t="str">
        <f>IF(L169&lt;&gt;"",IF(-L169&gt;$M$163,1,"0"),"")</f>
        <v/>
      </c>
      <c r="N169" s="1124">
        <v>7</v>
      </c>
      <c r="O169" s="1127"/>
      <c r="P169" s="1166" t="str">
        <f>IF(O169&lt;&gt;"",IF(-O169&gt;$M$163,1,"0"),"")</f>
        <v/>
      </c>
      <c r="Q169" s="1124">
        <v>7</v>
      </c>
      <c r="R169" s="1127"/>
      <c r="S169" s="1166" t="str">
        <f>IF(R169&lt;&gt;"",IF(-R169&gt;$M$163,1,"0"),"")</f>
        <v/>
      </c>
      <c r="T169" s="1151"/>
      <c r="AF169" s="1161">
        <v>9</v>
      </c>
    </row>
    <row r="170" spans="1:32" hidden="1" x14ac:dyDescent="0.25">
      <c r="A170" s="1125">
        <v>2</v>
      </c>
      <c r="B170" s="1125">
        <v>14</v>
      </c>
      <c r="C170" s="1126"/>
      <c r="D170" s="1167" t="str">
        <f>IF(C170&lt;&gt;"",IF(-C170&gt;$M$163,1,"0"),"")</f>
        <v/>
      </c>
      <c r="E170" s="1125">
        <v>14</v>
      </c>
      <c r="F170" s="1126"/>
      <c r="G170" s="1167" t="str">
        <f>IF(F170&lt;&gt;"",IF(-F170&gt;$M$163,1,"0"),"")</f>
        <v/>
      </c>
      <c r="H170" s="1125">
        <v>14</v>
      </c>
      <c r="I170" s="1126"/>
      <c r="J170" s="1167" t="str">
        <f>IF(I170&lt;&gt;"",IF(-I170&gt;$M$163,1,"0"),"")</f>
        <v/>
      </c>
      <c r="K170" s="1125">
        <v>14</v>
      </c>
      <c r="L170" s="1126"/>
      <c r="M170" s="1167" t="str">
        <f>IF(L170&lt;&gt;"",IF(-L170&gt;$M$163,1,"0"),"")</f>
        <v/>
      </c>
      <c r="N170" s="1125">
        <v>14</v>
      </c>
      <c r="O170" s="1126"/>
      <c r="P170" s="1167" t="str">
        <f>IF(O170&lt;&gt;"",IF(-O170&gt;$M$163,1,"0"),"")</f>
        <v/>
      </c>
      <c r="Q170" s="1125">
        <v>14</v>
      </c>
      <c r="R170" s="1126"/>
      <c r="S170" s="1167" t="str">
        <f>IF(R170&lt;&gt;"",IF(-R170&gt;$M$163,1,"0"),"")</f>
        <v/>
      </c>
      <c r="T170" s="1151"/>
      <c r="AF170" s="1161">
        <v>9</v>
      </c>
    </row>
    <row r="171" spans="1:32" hidden="1" x14ac:dyDescent="0.25">
      <c r="A171" s="1125">
        <v>3</v>
      </c>
      <c r="B171" s="1125">
        <v>22</v>
      </c>
      <c r="C171" s="1126"/>
      <c r="D171" s="1167" t="str">
        <f>IF(C171&lt;&gt;"",IF(-C171&gt;$M$163,1,"0"),"")</f>
        <v/>
      </c>
      <c r="E171" s="1125">
        <v>22</v>
      </c>
      <c r="F171" s="1126"/>
      <c r="G171" s="1167" t="str">
        <f>IF(F171&lt;&gt;"",IF(-F171&gt;$M$163,1,"0"),"")</f>
        <v/>
      </c>
      <c r="H171" s="1125">
        <v>22</v>
      </c>
      <c r="I171" s="1126"/>
      <c r="J171" s="1167" t="str">
        <f>IF(I171&lt;&gt;"",IF(-I171&gt;$M$163,1,"0"),"")</f>
        <v/>
      </c>
      <c r="K171" s="1125">
        <v>22</v>
      </c>
      <c r="L171" s="1126"/>
      <c r="M171" s="1167" t="str">
        <f>IF(L171&lt;&gt;"",IF(-L171&gt;$M$163,1,"0"),"")</f>
        <v/>
      </c>
      <c r="N171" s="1125">
        <v>22</v>
      </c>
      <c r="O171" s="1126"/>
      <c r="P171" s="1167" t="str">
        <f>IF(O171&lt;&gt;"",IF(-O171&gt;$M$163,1,"0"),"")</f>
        <v/>
      </c>
      <c r="Q171" s="1125">
        <v>22</v>
      </c>
      <c r="R171" s="1126"/>
      <c r="S171" s="1167" t="str">
        <f>IF(R171&lt;&gt;"",IF(-R171&gt;$M$163,1,"0"),"")</f>
        <v/>
      </c>
      <c r="T171" s="1151"/>
      <c r="AF171" s="1161">
        <v>9</v>
      </c>
    </row>
    <row r="172" spans="1:32" hidden="1" x14ac:dyDescent="0.25">
      <c r="A172" s="1125">
        <v>4</v>
      </c>
      <c r="B172" s="1125">
        <v>31</v>
      </c>
      <c r="C172" s="1126"/>
      <c r="D172" s="1167" t="str">
        <f>IF(C172&lt;&gt;"",IF(-C172&gt;$M$163,1,"0"),"")</f>
        <v/>
      </c>
      <c r="E172" s="1125">
        <v>31</v>
      </c>
      <c r="F172" s="1126"/>
      <c r="G172" s="1167" t="str">
        <f>IF(F172&lt;&gt;"",IF(-F172&gt;$M$163,1,"0"),"")</f>
        <v/>
      </c>
      <c r="H172" s="1125">
        <v>31</v>
      </c>
      <c r="I172" s="1126"/>
      <c r="J172" s="1167" t="str">
        <f>IF(I172&lt;&gt;"",IF(-I172&gt;$M$163,1,"0"),"")</f>
        <v/>
      </c>
      <c r="K172" s="1125">
        <v>31</v>
      </c>
      <c r="L172" s="1126"/>
      <c r="M172" s="1167" t="str">
        <f>IF(L172&lt;&gt;"",IF(-L172&gt;$M$163,1,"0"),"")</f>
        <v/>
      </c>
      <c r="N172" s="1125">
        <v>31</v>
      </c>
      <c r="O172" s="1126"/>
      <c r="P172" s="1167" t="str">
        <f>IF(O172&lt;&gt;"",IF(-O172&gt;$M$163,1,"0"),"")</f>
        <v/>
      </c>
      <c r="Q172" s="1125">
        <v>31</v>
      </c>
      <c r="R172" s="1126"/>
      <c r="S172" s="1167" t="str">
        <f>IF(R172&lt;&gt;"",IF(-R172&gt;$M$163,1,"0"),"")</f>
        <v/>
      </c>
      <c r="T172" s="1151"/>
      <c r="AF172" s="1161">
        <v>9</v>
      </c>
    </row>
    <row r="173" spans="1:32" hidden="1" x14ac:dyDescent="0.25">
      <c r="A173" s="1720" t="s">
        <v>267</v>
      </c>
      <c r="B173" s="1720"/>
      <c r="C173" s="1114">
        <f>SUM(C169:C172)</f>
        <v>0</v>
      </c>
      <c r="D173" s="1721"/>
      <c r="E173" s="1722"/>
      <c r="F173" s="1114">
        <f>SUM(F169:F172)</f>
        <v>0</v>
      </c>
      <c r="G173" s="1721"/>
      <c r="H173" s="1722"/>
      <c r="I173" s="1114">
        <f>SUM(I169:I172)</f>
        <v>0</v>
      </c>
      <c r="J173" s="1721"/>
      <c r="K173" s="1722"/>
      <c r="L173" s="1114">
        <f>SUM(L169:L172)</f>
        <v>0</v>
      </c>
      <c r="M173" s="1721"/>
      <c r="N173" s="1722"/>
      <c r="O173" s="1114">
        <f>SUM(O169:O172)</f>
        <v>0</v>
      </c>
      <c r="P173" s="1721"/>
      <c r="Q173" s="1722"/>
      <c r="R173" s="1114">
        <f>SUM(R169:R172)</f>
        <v>0</v>
      </c>
      <c r="S173" s="1132"/>
      <c r="T173" s="1150"/>
      <c r="AF173" s="1161">
        <v>9</v>
      </c>
    </row>
    <row r="174" spans="1:32" hidden="1" x14ac:dyDescent="0.25">
      <c r="A174" s="1720" t="s">
        <v>7997</v>
      </c>
      <c r="B174" s="1720"/>
      <c r="C174" s="1114" t="str">
        <f>IF(COUNT(C169:C172)=0,"",AVERAGE(C169:C172))</f>
        <v/>
      </c>
      <c r="D174" s="1723"/>
      <c r="E174" s="1724"/>
      <c r="F174" s="1114" t="str">
        <f>IF(COUNT(F169:F172)=0,"",AVERAGE(F169:F172))</f>
        <v/>
      </c>
      <c r="G174" s="1723"/>
      <c r="H174" s="1724"/>
      <c r="I174" s="1114" t="str">
        <f>IF(COUNT(I169:I172)=0,"",AVERAGE(I169:I172))</f>
        <v/>
      </c>
      <c r="J174" s="1723"/>
      <c r="K174" s="1724"/>
      <c r="L174" s="1114" t="str">
        <f>IF(COUNT(L169:L172)=0,"",AVERAGE(L169:L172))</f>
        <v/>
      </c>
      <c r="M174" s="1723"/>
      <c r="N174" s="1724"/>
      <c r="O174" s="1114" t="str">
        <f>IF(COUNT(O169:O172)=0,"",AVERAGE(O169:O172))</f>
        <v/>
      </c>
      <c r="P174" s="1723"/>
      <c r="Q174" s="1724"/>
      <c r="R174" s="1114" t="str">
        <f>IF(COUNT(R169:R172)=0,"",AVERAGE(R169:R172))</f>
        <v/>
      </c>
      <c r="S174" s="1133"/>
      <c r="T174" s="1150"/>
      <c r="AF174" s="1161">
        <v>9</v>
      </c>
    </row>
    <row r="175" spans="1:32" ht="15" hidden="1" customHeight="1" x14ac:dyDescent="0.25">
      <c r="A175" s="1727" t="s">
        <v>7999</v>
      </c>
      <c r="B175" s="1728"/>
      <c r="C175" s="1165">
        <f>SUM(D169:D172)</f>
        <v>0</v>
      </c>
      <c r="D175" s="1725"/>
      <c r="E175" s="1726"/>
      <c r="F175" s="1165">
        <f>SUM(G169:G172)</f>
        <v>0</v>
      </c>
      <c r="G175" s="1725"/>
      <c r="H175" s="1726"/>
      <c r="I175" s="1208">
        <f>SUM(J169:J172)</f>
        <v>0</v>
      </c>
      <c r="J175" s="1725"/>
      <c r="K175" s="1726"/>
      <c r="L175" s="1165">
        <f>SUM(M169:M172)</f>
        <v>0</v>
      </c>
      <c r="M175" s="1725"/>
      <c r="N175" s="1726"/>
      <c r="O175" s="1165">
        <f>SUM(P169:P172)</f>
        <v>0</v>
      </c>
      <c r="P175" s="1725"/>
      <c r="Q175" s="1726"/>
      <c r="R175" s="1208">
        <f>SUM(S169:S172)</f>
        <v>0</v>
      </c>
      <c r="S175" s="1134"/>
      <c r="T175" s="1150"/>
      <c r="AF175" s="1161">
        <v>9</v>
      </c>
    </row>
    <row r="176" spans="1:32" ht="15" hidden="1" customHeight="1" x14ac:dyDescent="0.25">
      <c r="A176" s="1115" t="s">
        <v>2973</v>
      </c>
      <c r="B176" s="1112"/>
      <c r="C176" s="1112"/>
      <c r="D176" s="1112"/>
      <c r="E176" s="1112"/>
      <c r="F176" s="1112"/>
      <c r="G176" s="1112"/>
      <c r="H176" s="1112"/>
      <c r="I176" s="1112"/>
      <c r="J176" s="1112"/>
      <c r="K176" s="1112"/>
      <c r="L176" s="1112"/>
      <c r="M176" s="1112"/>
      <c r="N176" s="1112"/>
      <c r="O176" s="1112"/>
      <c r="P176" s="1112"/>
      <c r="Q176" s="1112"/>
      <c r="R176" s="1112"/>
      <c r="S176" s="1112"/>
      <c r="T176" s="1140"/>
      <c r="AF176" s="1161">
        <v>9</v>
      </c>
    </row>
    <row r="177" spans="1:32" hidden="1" x14ac:dyDescent="0.25">
      <c r="A177" s="1719" t="s">
        <v>8007</v>
      </c>
      <c r="B177" s="1719"/>
      <c r="C177" s="1719"/>
      <c r="D177" s="1719"/>
      <c r="E177" s="1719"/>
      <c r="F177" s="1719"/>
      <c r="G177" s="1719"/>
      <c r="H177" s="1719"/>
      <c r="I177" s="1719"/>
      <c r="J177" s="1719"/>
      <c r="K177" s="1719"/>
      <c r="L177" s="1719"/>
      <c r="M177" s="1719"/>
      <c r="N177" s="1719"/>
      <c r="O177" s="1719"/>
      <c r="P177" s="1719"/>
      <c r="Q177" s="1719"/>
      <c r="R177" s="1719"/>
      <c r="S177" s="1719"/>
      <c r="T177" s="1146"/>
      <c r="AF177" s="1161">
        <v>10</v>
      </c>
    </row>
    <row r="178" spans="1:32" ht="5.0999999999999996" hidden="1" customHeight="1" x14ac:dyDescent="0.25">
      <c r="A178" s="1112"/>
      <c r="B178" s="1112"/>
      <c r="C178" s="1112"/>
      <c r="D178" s="1112"/>
      <c r="E178" s="1112"/>
      <c r="F178" s="1112"/>
      <c r="G178" s="1112"/>
      <c r="H178" s="1112"/>
      <c r="I178" s="1112"/>
      <c r="J178" s="1112"/>
      <c r="K178" s="1112"/>
      <c r="L178" s="1112"/>
      <c r="M178" s="1112"/>
      <c r="N178" s="1112"/>
      <c r="O178" s="1112"/>
      <c r="P178" s="1112"/>
      <c r="Q178" s="1112"/>
      <c r="R178" s="1112"/>
      <c r="S178" s="1112"/>
      <c r="T178" s="1140"/>
      <c r="AF178" s="1161">
        <v>10</v>
      </c>
    </row>
    <row r="179" spans="1:32" hidden="1" x14ac:dyDescent="0.25">
      <c r="A179" s="1112" t="s">
        <v>271</v>
      </c>
      <c r="B179" s="1112"/>
      <c r="C179" s="1109"/>
      <c r="D179" s="1711"/>
      <c r="E179" s="1711"/>
      <c r="F179" s="1711"/>
      <c r="G179" s="1112"/>
      <c r="H179" s="1112"/>
      <c r="I179" s="1112"/>
      <c r="J179" s="1209" t="s">
        <v>582</v>
      </c>
      <c r="K179" s="1209"/>
      <c r="L179" s="1159"/>
      <c r="M179" s="1711"/>
      <c r="N179" s="1711"/>
      <c r="O179" s="1711"/>
      <c r="P179" s="1112" t="s">
        <v>68</v>
      </c>
      <c r="Q179" s="1112"/>
      <c r="R179" s="1112"/>
      <c r="S179" s="1112"/>
      <c r="T179" s="1140"/>
      <c r="AF179" s="1161">
        <v>10</v>
      </c>
    </row>
    <row r="180" spans="1:32" hidden="1" x14ac:dyDescent="0.25">
      <c r="A180" s="1112" t="s">
        <v>240</v>
      </c>
      <c r="B180" s="1112"/>
      <c r="C180" s="1109"/>
      <c r="D180" s="1711"/>
      <c r="E180" s="1711"/>
      <c r="F180" s="1711"/>
      <c r="G180" s="1112"/>
      <c r="H180" s="1112"/>
      <c r="I180" s="1112"/>
      <c r="J180" s="1128" t="s">
        <v>767</v>
      </c>
      <c r="K180" s="1128"/>
      <c r="L180" s="1159"/>
      <c r="M180" s="1711"/>
      <c r="N180" s="1711"/>
      <c r="O180" s="1711"/>
      <c r="P180" s="1112"/>
      <c r="Q180" s="1112"/>
      <c r="R180" s="1112"/>
      <c r="S180" s="1112"/>
      <c r="T180" s="1140"/>
      <c r="AF180" s="1161">
        <v>10</v>
      </c>
    </row>
    <row r="181" spans="1:32" hidden="1" x14ac:dyDescent="0.25">
      <c r="A181" s="1112" t="s">
        <v>265</v>
      </c>
      <c r="B181" s="1112"/>
      <c r="C181" s="1109"/>
      <c r="D181" s="1716"/>
      <c r="E181" s="1716"/>
      <c r="F181" s="1716"/>
      <c r="G181" s="1112"/>
      <c r="H181" s="1112"/>
      <c r="I181" s="1112"/>
      <c r="J181" s="1729" t="s">
        <v>3161</v>
      </c>
      <c r="K181" s="1729"/>
      <c r="L181" s="1729"/>
      <c r="M181" s="1717" t="str">
        <f>IF(ISERROR(SUM(C191,F191,I191,L191,O191,R191)/COUNT(C191,F191,I191,L191,O191,R191)),"",-((SUM(C191,F191,I191,L191,O191,R191)/COUNT(C191,F191,I191,L191,O191,R191))))</f>
        <v/>
      </c>
      <c r="N181" s="1717"/>
      <c r="O181" s="1717"/>
      <c r="P181" s="1109"/>
      <c r="Q181" s="1112"/>
      <c r="R181" s="1112"/>
      <c r="S181" s="1112"/>
      <c r="T181" s="1140"/>
      <c r="AF181" s="1161">
        <v>10</v>
      </c>
    </row>
    <row r="182" spans="1:32" hidden="1" x14ac:dyDescent="0.25">
      <c r="A182" s="1710" t="s">
        <v>90</v>
      </c>
      <c r="B182" s="1710"/>
      <c r="C182" s="1109"/>
      <c r="D182" s="1711"/>
      <c r="E182" s="1711"/>
      <c r="F182" s="1711"/>
      <c r="G182" s="1109"/>
      <c r="H182" s="1112"/>
      <c r="I182" s="1112"/>
      <c r="J182" s="1128" t="s">
        <v>2979</v>
      </c>
      <c r="K182" s="1128"/>
      <c r="L182" s="1159"/>
      <c r="M182" s="1712" t="str">
        <f>IF(ISERROR(SUM(C191,F191,I191,L191,O191,R191)/COUNT(C191,F191,I191,L191,O191,R191)),"",-((SUM(C191,F191,I191,L191,O191,R191)/COUNT(C191,F191,I191,L191,O191,R191)))/M180)</f>
        <v/>
      </c>
      <c r="N182" s="1712"/>
      <c r="O182" s="1712"/>
      <c r="P182" s="1112"/>
      <c r="Q182" s="1112"/>
      <c r="R182" s="1112"/>
      <c r="S182" s="1112"/>
      <c r="T182" s="1140"/>
      <c r="AF182" s="1161">
        <v>10</v>
      </c>
    </row>
    <row r="183" spans="1:32" hidden="1" x14ac:dyDescent="0.25">
      <c r="A183" s="1112"/>
      <c r="B183" s="1112"/>
      <c r="C183" s="1117"/>
      <c r="D183" s="1117"/>
      <c r="E183" s="1112"/>
      <c r="F183" s="1112"/>
      <c r="G183" s="1112"/>
      <c r="H183" s="1112"/>
      <c r="I183" s="1112"/>
      <c r="J183" s="1115"/>
      <c r="K183" s="1115"/>
      <c r="L183" s="1115"/>
      <c r="M183" s="1115"/>
      <c r="N183" s="1115"/>
      <c r="O183" s="1115"/>
      <c r="P183" s="1115"/>
      <c r="Q183" s="1115"/>
      <c r="R183" s="1115"/>
      <c r="S183" s="1113" t="s">
        <v>29</v>
      </c>
      <c r="T183" s="1148"/>
      <c r="AF183" s="1161">
        <v>10</v>
      </c>
    </row>
    <row r="184" spans="1:32" hidden="1" x14ac:dyDescent="0.25">
      <c r="A184" s="1208" t="s">
        <v>266</v>
      </c>
      <c r="B184" s="1714">
        <f>$B$31</f>
        <v>43094</v>
      </c>
      <c r="C184" s="1714"/>
      <c r="D184" s="1714"/>
      <c r="E184" s="1714">
        <f>$E$31</f>
        <v>43125</v>
      </c>
      <c r="F184" s="1714"/>
      <c r="G184" s="1714"/>
      <c r="H184" s="1714">
        <f>$H$31</f>
        <v>43156</v>
      </c>
      <c r="I184" s="1714"/>
      <c r="J184" s="1714"/>
      <c r="K184" s="1714">
        <f>$K$31</f>
        <v>43187</v>
      </c>
      <c r="L184" s="1714"/>
      <c r="M184" s="1714"/>
      <c r="N184" s="1714">
        <f>$N$31</f>
        <v>43218</v>
      </c>
      <c r="O184" s="1714"/>
      <c r="P184" s="1714"/>
      <c r="Q184" s="1714">
        <f>$Q$31</f>
        <v>43249</v>
      </c>
      <c r="R184" s="1714"/>
      <c r="S184" s="1714"/>
      <c r="T184" s="1149"/>
      <c r="AF184" s="1161">
        <v>10</v>
      </c>
    </row>
    <row r="185" spans="1:32" hidden="1" x14ac:dyDescent="0.25">
      <c r="A185" s="1208" t="s">
        <v>8</v>
      </c>
      <c r="B185" s="1208" t="s">
        <v>26</v>
      </c>
      <c r="C185" s="1208" t="s">
        <v>268</v>
      </c>
      <c r="D185" s="1208" t="s">
        <v>2972</v>
      </c>
      <c r="E185" s="1208" t="s">
        <v>26</v>
      </c>
      <c r="F185" s="1208" t="s">
        <v>268</v>
      </c>
      <c r="G185" s="1208" t="s">
        <v>2972</v>
      </c>
      <c r="H185" s="1208" t="s">
        <v>26</v>
      </c>
      <c r="I185" s="1208" t="s">
        <v>268</v>
      </c>
      <c r="J185" s="1208" t="s">
        <v>2972</v>
      </c>
      <c r="K185" s="1208" t="s">
        <v>26</v>
      </c>
      <c r="L185" s="1208" t="s">
        <v>268</v>
      </c>
      <c r="M185" s="1208" t="s">
        <v>2972</v>
      </c>
      <c r="N185" s="1208" t="s">
        <v>26</v>
      </c>
      <c r="O185" s="1208" t="s">
        <v>268</v>
      </c>
      <c r="P185" s="1208" t="s">
        <v>2972</v>
      </c>
      <c r="Q185" s="1208" t="s">
        <v>26</v>
      </c>
      <c r="R185" s="1208" t="s">
        <v>268</v>
      </c>
      <c r="S185" s="1208" t="s">
        <v>2972</v>
      </c>
      <c r="T185" s="1150"/>
      <c r="AF185" s="1161">
        <v>10</v>
      </c>
    </row>
    <row r="186" spans="1:32" hidden="1" x14ac:dyDescent="0.25">
      <c r="A186" s="1124">
        <v>1</v>
      </c>
      <c r="B186" s="1124">
        <v>7</v>
      </c>
      <c r="C186" s="1127"/>
      <c r="D186" s="1166" t="str">
        <f>IF(C186&lt;&gt;"",IF(-C186&gt;$M$180,1,"0"),"")</f>
        <v/>
      </c>
      <c r="E186" s="1124">
        <v>7</v>
      </c>
      <c r="F186" s="1127"/>
      <c r="G186" s="1166" t="str">
        <f>IF(F186&lt;&gt;"",IF(-F186&gt;$M$180,1,"0"),"")</f>
        <v/>
      </c>
      <c r="H186" s="1124">
        <v>7</v>
      </c>
      <c r="I186" s="1127"/>
      <c r="J186" s="1166" t="str">
        <f>IF(I186&lt;&gt;"",IF(-I186&gt;$M$180,1,"0"),"")</f>
        <v/>
      </c>
      <c r="K186" s="1124">
        <v>7</v>
      </c>
      <c r="L186" s="1127"/>
      <c r="M186" s="1166" t="str">
        <f>IF(L186&lt;&gt;"",IF(-L186&gt;$M$180,1,"0"),"")</f>
        <v/>
      </c>
      <c r="N186" s="1124">
        <v>7</v>
      </c>
      <c r="O186" s="1127"/>
      <c r="P186" s="1166" t="str">
        <f>IF(O186&lt;&gt;"",IF(-O186&gt;$M$180,1,"0"),"")</f>
        <v/>
      </c>
      <c r="Q186" s="1124">
        <v>7</v>
      </c>
      <c r="R186" s="1127"/>
      <c r="S186" s="1166" t="str">
        <f>IF(R186&lt;&gt;"",IF(-R186&gt;$M$180,1,"0"),"")</f>
        <v/>
      </c>
      <c r="T186" s="1151"/>
      <c r="AF186" s="1161">
        <v>10</v>
      </c>
    </row>
    <row r="187" spans="1:32" hidden="1" x14ac:dyDescent="0.25">
      <c r="A187" s="1125">
        <v>2</v>
      </c>
      <c r="B187" s="1125">
        <v>14</v>
      </c>
      <c r="C187" s="1126"/>
      <c r="D187" s="1167" t="str">
        <f>IF(C187&lt;&gt;"",IF(-C187&gt;$M$180,1,"0"),"")</f>
        <v/>
      </c>
      <c r="E187" s="1125">
        <v>14</v>
      </c>
      <c r="F187" s="1126"/>
      <c r="G187" s="1167" t="str">
        <f>IF(F187&lt;&gt;"",IF(-F187&gt;$M$180,1,"0"),"")</f>
        <v/>
      </c>
      <c r="H187" s="1125">
        <v>14</v>
      </c>
      <c r="I187" s="1126"/>
      <c r="J187" s="1167" t="str">
        <f>IF(I187&lt;&gt;"",IF(-I187&gt;$M$180,1,"0"),"")</f>
        <v/>
      </c>
      <c r="K187" s="1125">
        <v>14</v>
      </c>
      <c r="L187" s="1126"/>
      <c r="M187" s="1167" t="str">
        <f>IF(L187&lt;&gt;"",IF(-L187&gt;$M$180,1,"0"),"")</f>
        <v/>
      </c>
      <c r="N187" s="1125">
        <v>14</v>
      </c>
      <c r="O187" s="1126"/>
      <c r="P187" s="1167" t="str">
        <f>IF(O187&lt;&gt;"",IF(-O187&gt;$M$180,1,"0"),"")</f>
        <v/>
      </c>
      <c r="Q187" s="1125">
        <v>14</v>
      </c>
      <c r="R187" s="1126"/>
      <c r="S187" s="1167" t="str">
        <f>IF(R187&lt;&gt;"",IF(-R187&gt;$M$180,1,"0"),"")</f>
        <v/>
      </c>
      <c r="T187" s="1151"/>
      <c r="AF187" s="1161">
        <v>10</v>
      </c>
    </row>
    <row r="188" spans="1:32" hidden="1" x14ac:dyDescent="0.25">
      <c r="A188" s="1125">
        <v>3</v>
      </c>
      <c r="B188" s="1125">
        <v>22</v>
      </c>
      <c r="C188" s="1126"/>
      <c r="D188" s="1167" t="str">
        <f>IF(C188&lt;&gt;"",IF(-C188&gt;$M$180,1,"0"),"")</f>
        <v/>
      </c>
      <c r="E188" s="1125">
        <v>22</v>
      </c>
      <c r="F188" s="1126"/>
      <c r="G188" s="1167" t="str">
        <f>IF(F188&lt;&gt;"",IF(-F188&gt;$M$180,1,"0"),"")</f>
        <v/>
      </c>
      <c r="H188" s="1125">
        <v>22</v>
      </c>
      <c r="I188" s="1126"/>
      <c r="J188" s="1167" t="str">
        <f>IF(I188&lt;&gt;"",IF(-I188&gt;$M$180,1,"0"),"")</f>
        <v/>
      </c>
      <c r="K188" s="1125">
        <v>22</v>
      </c>
      <c r="L188" s="1126"/>
      <c r="M188" s="1167" t="str">
        <f>IF(L188&lt;&gt;"",IF(-L188&gt;$M$180,1,"0"),"")</f>
        <v/>
      </c>
      <c r="N188" s="1125">
        <v>22</v>
      </c>
      <c r="O188" s="1126"/>
      <c r="P188" s="1167" t="str">
        <f>IF(O188&lt;&gt;"",IF(-O188&gt;$M$180,1,"0"),"")</f>
        <v/>
      </c>
      <c r="Q188" s="1125">
        <v>22</v>
      </c>
      <c r="R188" s="1126"/>
      <c r="S188" s="1167" t="str">
        <f>IF(R188&lt;&gt;"",IF(-R188&gt;$M$180,1,"0"),"")</f>
        <v/>
      </c>
      <c r="T188" s="1151"/>
      <c r="AF188" s="1161">
        <v>10</v>
      </c>
    </row>
    <row r="189" spans="1:32" hidden="1" x14ac:dyDescent="0.25">
      <c r="A189" s="1125">
        <v>4</v>
      </c>
      <c r="B189" s="1125">
        <v>31</v>
      </c>
      <c r="C189" s="1126"/>
      <c r="D189" s="1167" t="str">
        <f>IF(C189&lt;&gt;"",IF(-C189&gt;$M$180,1,"0"),"")</f>
        <v/>
      </c>
      <c r="E189" s="1125">
        <v>31</v>
      </c>
      <c r="F189" s="1126"/>
      <c r="G189" s="1167" t="str">
        <f>IF(F189&lt;&gt;"",IF(-F189&gt;$M$180,1,"0"),"")</f>
        <v/>
      </c>
      <c r="H189" s="1125">
        <v>31</v>
      </c>
      <c r="I189" s="1126"/>
      <c r="J189" s="1167" t="str">
        <f>IF(I189&lt;&gt;"",IF(-I189&gt;$M$180,1,"0"),"")</f>
        <v/>
      </c>
      <c r="K189" s="1125">
        <v>31</v>
      </c>
      <c r="L189" s="1126"/>
      <c r="M189" s="1167" t="str">
        <f>IF(L189&lt;&gt;"",IF(-L189&gt;$M$180,1,"0"),"")</f>
        <v/>
      </c>
      <c r="N189" s="1125">
        <v>31</v>
      </c>
      <c r="O189" s="1126"/>
      <c r="P189" s="1167" t="str">
        <f>IF(O189&lt;&gt;"",IF(-O189&gt;$M$180,1,"0"),"")</f>
        <v/>
      </c>
      <c r="Q189" s="1125">
        <v>31</v>
      </c>
      <c r="R189" s="1126"/>
      <c r="S189" s="1167" t="str">
        <f>IF(R189&lt;&gt;"",IF(-R189&gt;$M$180,1,"0"),"")</f>
        <v/>
      </c>
      <c r="T189" s="1151"/>
      <c r="AF189" s="1161">
        <v>10</v>
      </c>
    </row>
    <row r="190" spans="1:32" hidden="1" x14ac:dyDescent="0.25">
      <c r="A190" s="1720" t="s">
        <v>267</v>
      </c>
      <c r="B190" s="1720"/>
      <c r="C190" s="1114">
        <f>SUM(C186:C189)</f>
        <v>0</v>
      </c>
      <c r="D190" s="1721"/>
      <c r="E190" s="1722"/>
      <c r="F190" s="1114">
        <f>SUM(F186:F189)</f>
        <v>0</v>
      </c>
      <c r="G190" s="1721"/>
      <c r="H190" s="1722"/>
      <c r="I190" s="1114">
        <f>SUM(I186:I189)</f>
        <v>0</v>
      </c>
      <c r="J190" s="1721"/>
      <c r="K190" s="1722"/>
      <c r="L190" s="1114">
        <f>SUM(L186:L189)</f>
        <v>0</v>
      </c>
      <c r="M190" s="1721"/>
      <c r="N190" s="1722"/>
      <c r="O190" s="1114">
        <f>SUM(O186:O189)</f>
        <v>0</v>
      </c>
      <c r="P190" s="1721"/>
      <c r="Q190" s="1722"/>
      <c r="R190" s="1114">
        <f>SUM(R186:R189)</f>
        <v>0</v>
      </c>
      <c r="S190" s="1132"/>
      <c r="T190" s="1150"/>
      <c r="AF190" s="1161">
        <v>10</v>
      </c>
    </row>
    <row r="191" spans="1:32" hidden="1" x14ac:dyDescent="0.25">
      <c r="A191" s="1720" t="s">
        <v>7997</v>
      </c>
      <c r="B191" s="1720"/>
      <c r="C191" s="1114" t="str">
        <f>IF(COUNT(C186:C189)=0,"",AVERAGE(C186:C189))</f>
        <v/>
      </c>
      <c r="D191" s="1723"/>
      <c r="E191" s="1724"/>
      <c r="F191" s="1114" t="str">
        <f>IF(COUNT(F186:F189)=0,"",AVERAGE(F186:F189))</f>
        <v/>
      </c>
      <c r="G191" s="1723"/>
      <c r="H191" s="1724"/>
      <c r="I191" s="1114" t="str">
        <f>IF(COUNT(I186:I189)=0,"",AVERAGE(I186:I189))</f>
        <v/>
      </c>
      <c r="J191" s="1723"/>
      <c r="K191" s="1724"/>
      <c r="L191" s="1114" t="str">
        <f>IF(COUNT(L186:L189)=0,"",AVERAGE(L186:L189))</f>
        <v/>
      </c>
      <c r="M191" s="1723"/>
      <c r="N191" s="1724"/>
      <c r="O191" s="1114" t="str">
        <f>IF(COUNT(O186:O189)=0,"",AVERAGE(O186:O189))</f>
        <v/>
      </c>
      <c r="P191" s="1723"/>
      <c r="Q191" s="1724"/>
      <c r="R191" s="1114" t="str">
        <f>IF(COUNT(R186:R189)=0,"",AVERAGE(R186:R189))</f>
        <v/>
      </c>
      <c r="S191" s="1133"/>
      <c r="T191" s="1150"/>
      <c r="AF191" s="1161">
        <v>10</v>
      </c>
    </row>
    <row r="192" spans="1:32" ht="15" hidden="1" customHeight="1" x14ac:dyDescent="0.25">
      <c r="A192" s="1727" t="s">
        <v>7999</v>
      </c>
      <c r="B192" s="1728"/>
      <c r="C192" s="1165">
        <f>SUM(D186:D189)</f>
        <v>0</v>
      </c>
      <c r="D192" s="1725"/>
      <c r="E192" s="1726"/>
      <c r="F192" s="1165">
        <f>SUM(G186:G189)</f>
        <v>0</v>
      </c>
      <c r="G192" s="1725"/>
      <c r="H192" s="1726"/>
      <c r="I192" s="1208">
        <f>SUM(J186:J189)</f>
        <v>0</v>
      </c>
      <c r="J192" s="1725"/>
      <c r="K192" s="1726"/>
      <c r="L192" s="1165">
        <f>SUM(M186:M189)</f>
        <v>0</v>
      </c>
      <c r="M192" s="1725"/>
      <c r="N192" s="1726"/>
      <c r="O192" s="1165">
        <f>SUM(P186:P189)</f>
        <v>0</v>
      </c>
      <c r="P192" s="1725"/>
      <c r="Q192" s="1726"/>
      <c r="R192" s="1208">
        <f>SUM(S186:S189)</f>
        <v>0</v>
      </c>
      <c r="S192" s="1134"/>
      <c r="T192" s="1150"/>
      <c r="AF192" s="1161">
        <v>10</v>
      </c>
    </row>
    <row r="193" spans="1:32" hidden="1" x14ac:dyDescent="0.25">
      <c r="A193" s="1115" t="s">
        <v>2973</v>
      </c>
      <c r="B193" s="1112"/>
      <c r="C193" s="1112"/>
      <c r="D193" s="1112"/>
      <c r="E193" s="1112"/>
      <c r="F193" s="1112"/>
      <c r="G193" s="1112"/>
      <c r="H193" s="1112"/>
      <c r="I193" s="1112"/>
      <c r="J193" s="1112"/>
      <c r="K193" s="1112"/>
      <c r="L193" s="1112"/>
      <c r="M193" s="1112"/>
      <c r="N193" s="1112"/>
      <c r="O193" s="1112"/>
      <c r="P193" s="1112"/>
      <c r="Q193" s="1112"/>
      <c r="R193" s="1112"/>
      <c r="S193" s="1112"/>
      <c r="T193" s="1140"/>
      <c r="AF193" s="1161">
        <v>10</v>
      </c>
    </row>
    <row r="194" spans="1:32" hidden="1" x14ac:dyDescent="0.25">
      <c r="A194" s="1719" t="s">
        <v>8008</v>
      </c>
      <c r="B194" s="1719"/>
      <c r="C194" s="1719"/>
      <c r="D194" s="1719"/>
      <c r="E194" s="1719"/>
      <c r="F194" s="1719"/>
      <c r="G194" s="1719"/>
      <c r="H194" s="1719"/>
      <c r="I194" s="1719"/>
      <c r="J194" s="1719"/>
      <c r="K194" s="1719"/>
      <c r="L194" s="1719"/>
      <c r="M194" s="1719"/>
      <c r="N194" s="1719"/>
      <c r="O194" s="1719"/>
      <c r="P194" s="1719"/>
      <c r="Q194" s="1719"/>
      <c r="R194" s="1719"/>
      <c r="S194" s="1719"/>
      <c r="T194" s="1146"/>
      <c r="AF194" s="1161">
        <v>11</v>
      </c>
    </row>
    <row r="195" spans="1:32" ht="5.0999999999999996" hidden="1" customHeight="1" x14ac:dyDescent="0.25">
      <c r="A195" s="1112"/>
      <c r="B195" s="1112"/>
      <c r="C195" s="1112"/>
      <c r="D195" s="1112"/>
      <c r="E195" s="1112"/>
      <c r="F195" s="1112"/>
      <c r="G195" s="1112"/>
      <c r="H195" s="1112"/>
      <c r="I195" s="1112"/>
      <c r="J195" s="1112"/>
      <c r="K195" s="1112"/>
      <c r="L195" s="1112"/>
      <c r="M195" s="1112"/>
      <c r="N195" s="1112"/>
      <c r="O195" s="1112"/>
      <c r="P195" s="1112"/>
      <c r="Q195" s="1112"/>
      <c r="R195" s="1112"/>
      <c r="S195" s="1112"/>
      <c r="T195" s="1140"/>
      <c r="AF195" s="1161">
        <v>11</v>
      </c>
    </row>
    <row r="196" spans="1:32" hidden="1" x14ac:dyDescent="0.25">
      <c r="A196" s="1112" t="s">
        <v>271</v>
      </c>
      <c r="B196" s="1112"/>
      <c r="C196" s="1109"/>
      <c r="D196" s="1711"/>
      <c r="E196" s="1711"/>
      <c r="F196" s="1711"/>
      <c r="G196" s="1112"/>
      <c r="H196" s="1112"/>
      <c r="I196" s="1112"/>
      <c r="J196" s="1209" t="s">
        <v>582</v>
      </c>
      <c r="K196" s="1209"/>
      <c r="L196" s="1159"/>
      <c r="M196" s="1711"/>
      <c r="N196" s="1711"/>
      <c r="O196" s="1711"/>
      <c r="P196" s="1112" t="s">
        <v>68</v>
      </c>
      <c r="Q196" s="1112"/>
      <c r="R196" s="1112"/>
      <c r="S196" s="1112"/>
      <c r="T196" s="1140"/>
      <c r="AF196" s="1161">
        <v>11</v>
      </c>
    </row>
    <row r="197" spans="1:32" hidden="1" x14ac:dyDescent="0.25">
      <c r="A197" s="1112" t="s">
        <v>240</v>
      </c>
      <c r="B197" s="1112"/>
      <c r="C197" s="1109"/>
      <c r="D197" s="1711"/>
      <c r="E197" s="1711"/>
      <c r="F197" s="1711"/>
      <c r="G197" s="1112"/>
      <c r="H197" s="1112"/>
      <c r="I197" s="1112"/>
      <c r="J197" s="1128" t="s">
        <v>767</v>
      </c>
      <c r="K197" s="1128"/>
      <c r="L197" s="1159"/>
      <c r="M197" s="1711"/>
      <c r="N197" s="1711"/>
      <c r="O197" s="1711"/>
      <c r="P197" s="1112"/>
      <c r="Q197" s="1112"/>
      <c r="R197" s="1112"/>
      <c r="S197" s="1112"/>
      <c r="T197" s="1140"/>
      <c r="AF197" s="1161">
        <v>11</v>
      </c>
    </row>
    <row r="198" spans="1:32" hidden="1" x14ac:dyDescent="0.25">
      <c r="A198" s="1112" t="s">
        <v>265</v>
      </c>
      <c r="B198" s="1112"/>
      <c r="C198" s="1109"/>
      <c r="D198" s="1716"/>
      <c r="E198" s="1716"/>
      <c r="F198" s="1716"/>
      <c r="G198" s="1112"/>
      <c r="H198" s="1112"/>
      <c r="I198" s="1112"/>
      <c r="J198" s="1729" t="s">
        <v>3161</v>
      </c>
      <c r="K198" s="1729"/>
      <c r="L198" s="1729"/>
      <c r="M198" s="1717" t="str">
        <f>IF(ISERROR(SUM(C208,F208,I208,L208,O208,R208)/COUNT(C208,F208,I208,L208,O208,R208)),"",-((SUM(C208,F208,I208,L208,O208,R208)/COUNT(C208,F208,I208,L208,O208,R208))))</f>
        <v/>
      </c>
      <c r="N198" s="1717"/>
      <c r="O198" s="1717"/>
      <c r="P198" s="1109"/>
      <c r="Q198" s="1112"/>
      <c r="R198" s="1112"/>
      <c r="S198" s="1112"/>
      <c r="T198" s="1140"/>
      <c r="AF198" s="1161">
        <v>11</v>
      </c>
    </row>
    <row r="199" spans="1:32" hidden="1" x14ac:dyDescent="0.25">
      <c r="A199" s="1710" t="s">
        <v>90</v>
      </c>
      <c r="B199" s="1710"/>
      <c r="C199" s="1109"/>
      <c r="D199" s="1711"/>
      <c r="E199" s="1711"/>
      <c r="F199" s="1711"/>
      <c r="G199" s="1109"/>
      <c r="H199" s="1112"/>
      <c r="I199" s="1112"/>
      <c r="J199" s="1128" t="s">
        <v>2979</v>
      </c>
      <c r="K199" s="1128"/>
      <c r="L199" s="1159"/>
      <c r="M199" s="1712" t="str">
        <f>IF(ISERROR(SUM(C208,F208,I208,L208,O208,R208)/COUNT(C208,F208,I208,L208,O208,R208)),"",-((SUM(C208,F208,I208,L208,O208,R208)/COUNT(C208,F208,I208,L208,O208,R208)))/M197)</f>
        <v/>
      </c>
      <c r="N199" s="1712"/>
      <c r="O199" s="1712"/>
      <c r="P199" s="1112"/>
      <c r="Q199" s="1112"/>
      <c r="R199" s="1112"/>
      <c r="S199" s="1112"/>
      <c r="T199" s="1140"/>
      <c r="AF199" s="1161">
        <v>11</v>
      </c>
    </row>
    <row r="200" spans="1:32" hidden="1" x14ac:dyDescent="0.25">
      <c r="A200" s="1112"/>
      <c r="B200" s="1112"/>
      <c r="C200" s="1117"/>
      <c r="D200" s="1117"/>
      <c r="E200" s="1112"/>
      <c r="F200" s="1112"/>
      <c r="G200" s="1112"/>
      <c r="H200" s="1112"/>
      <c r="I200" s="1112"/>
      <c r="J200" s="1115"/>
      <c r="K200" s="1115"/>
      <c r="L200" s="1115"/>
      <c r="M200" s="1115"/>
      <c r="N200" s="1115"/>
      <c r="O200" s="1115"/>
      <c r="P200" s="1115"/>
      <c r="Q200" s="1115"/>
      <c r="R200" s="1115"/>
      <c r="S200" s="1113" t="s">
        <v>29</v>
      </c>
      <c r="T200" s="1148"/>
      <c r="AF200" s="1161">
        <v>11</v>
      </c>
    </row>
    <row r="201" spans="1:32" hidden="1" x14ac:dyDescent="0.25">
      <c r="A201" s="1208" t="s">
        <v>266</v>
      </c>
      <c r="B201" s="1714">
        <f>$B$31</f>
        <v>43094</v>
      </c>
      <c r="C201" s="1714"/>
      <c r="D201" s="1714"/>
      <c r="E201" s="1714">
        <f>$E$31</f>
        <v>43125</v>
      </c>
      <c r="F201" s="1714"/>
      <c r="G201" s="1714"/>
      <c r="H201" s="1714">
        <f>$H$31</f>
        <v>43156</v>
      </c>
      <c r="I201" s="1714"/>
      <c r="J201" s="1714"/>
      <c r="K201" s="1714">
        <f>$K$31</f>
        <v>43187</v>
      </c>
      <c r="L201" s="1714"/>
      <c r="M201" s="1714"/>
      <c r="N201" s="1714">
        <f>$N$31</f>
        <v>43218</v>
      </c>
      <c r="O201" s="1714"/>
      <c r="P201" s="1714"/>
      <c r="Q201" s="1714">
        <f>$Q$31</f>
        <v>43249</v>
      </c>
      <c r="R201" s="1714"/>
      <c r="S201" s="1714"/>
      <c r="T201" s="1149"/>
      <c r="AF201" s="1161">
        <v>11</v>
      </c>
    </row>
    <row r="202" spans="1:32" hidden="1" x14ac:dyDescent="0.25">
      <c r="A202" s="1208" t="s">
        <v>8</v>
      </c>
      <c r="B202" s="1208" t="s">
        <v>26</v>
      </c>
      <c r="C202" s="1208" t="s">
        <v>268</v>
      </c>
      <c r="D202" s="1208" t="s">
        <v>2972</v>
      </c>
      <c r="E202" s="1208" t="s">
        <v>26</v>
      </c>
      <c r="F202" s="1208" t="s">
        <v>268</v>
      </c>
      <c r="G202" s="1208" t="s">
        <v>2972</v>
      </c>
      <c r="H202" s="1208" t="s">
        <v>26</v>
      </c>
      <c r="I202" s="1208" t="s">
        <v>268</v>
      </c>
      <c r="J202" s="1208" t="s">
        <v>2972</v>
      </c>
      <c r="K202" s="1208" t="s">
        <v>26</v>
      </c>
      <c r="L202" s="1208" t="s">
        <v>268</v>
      </c>
      <c r="M202" s="1208" t="s">
        <v>2972</v>
      </c>
      <c r="N202" s="1208" t="s">
        <v>26</v>
      </c>
      <c r="O202" s="1208" t="s">
        <v>268</v>
      </c>
      <c r="P202" s="1208" t="s">
        <v>2972</v>
      </c>
      <c r="Q202" s="1208" t="s">
        <v>26</v>
      </c>
      <c r="R202" s="1208" t="s">
        <v>268</v>
      </c>
      <c r="S202" s="1208" t="s">
        <v>2972</v>
      </c>
      <c r="T202" s="1150"/>
      <c r="AF202" s="1161">
        <v>11</v>
      </c>
    </row>
    <row r="203" spans="1:32" hidden="1" x14ac:dyDescent="0.25">
      <c r="A203" s="1124">
        <v>1</v>
      </c>
      <c r="B203" s="1124">
        <v>7</v>
      </c>
      <c r="C203" s="1127"/>
      <c r="D203" s="1166" t="str">
        <f>IF(C203&lt;&gt;"",IF(-C203&gt;$M$197,1,"0"),"")</f>
        <v/>
      </c>
      <c r="E203" s="1124">
        <v>7</v>
      </c>
      <c r="F203" s="1127"/>
      <c r="G203" s="1166" t="str">
        <f>IF(F203&lt;&gt;"",IF(-F203&gt;$M$197,1,"0"),"")</f>
        <v/>
      </c>
      <c r="H203" s="1124">
        <v>7</v>
      </c>
      <c r="I203" s="1127"/>
      <c r="J203" s="1166" t="str">
        <f>IF(I203&lt;&gt;"",IF(-I203&gt;$M$197,1,"0"),"")</f>
        <v/>
      </c>
      <c r="K203" s="1124">
        <v>7</v>
      </c>
      <c r="L203" s="1127"/>
      <c r="M203" s="1166" t="str">
        <f>IF(L203&lt;&gt;"",IF(-L203&gt;$M$197,1,"0"),"")</f>
        <v/>
      </c>
      <c r="N203" s="1124">
        <v>7</v>
      </c>
      <c r="O203" s="1127"/>
      <c r="P203" s="1166" t="str">
        <f>IF(O203&lt;&gt;"",IF(-O203&gt;$M$197,1,"0"),"")</f>
        <v/>
      </c>
      <c r="Q203" s="1124">
        <v>7</v>
      </c>
      <c r="R203" s="1127"/>
      <c r="S203" s="1166" t="str">
        <f>IF(R203&lt;&gt;"",IF(-R203&gt;$M$197,1,"0"),"")</f>
        <v/>
      </c>
      <c r="T203" s="1151"/>
      <c r="AF203" s="1161">
        <v>11</v>
      </c>
    </row>
    <row r="204" spans="1:32" hidden="1" x14ac:dyDescent="0.25">
      <c r="A204" s="1125">
        <v>2</v>
      </c>
      <c r="B204" s="1125">
        <v>14</v>
      </c>
      <c r="C204" s="1126"/>
      <c r="D204" s="1167" t="str">
        <f>IF(C204&lt;&gt;"",IF(-C204&gt;$M$197,1,"0"),"")</f>
        <v/>
      </c>
      <c r="E204" s="1125">
        <v>14</v>
      </c>
      <c r="F204" s="1126"/>
      <c r="G204" s="1167" t="str">
        <f>IF(F204&lt;&gt;"",IF(-F204&gt;$M$197,1,"0"),"")</f>
        <v/>
      </c>
      <c r="H204" s="1125">
        <v>14</v>
      </c>
      <c r="I204" s="1126"/>
      <c r="J204" s="1167" t="str">
        <f>IF(I204&lt;&gt;"",IF(-I204&gt;$M$197,1,"0"),"")</f>
        <v/>
      </c>
      <c r="K204" s="1125">
        <v>14</v>
      </c>
      <c r="L204" s="1126"/>
      <c r="M204" s="1167" t="str">
        <f>IF(L204&lt;&gt;"",IF(-L204&gt;$M$197,1,"0"),"")</f>
        <v/>
      </c>
      <c r="N204" s="1125">
        <v>14</v>
      </c>
      <c r="O204" s="1126"/>
      <c r="P204" s="1167" t="str">
        <f>IF(O204&lt;&gt;"",IF(-O204&gt;$M$197,1,"0"),"")</f>
        <v/>
      </c>
      <c r="Q204" s="1125">
        <v>14</v>
      </c>
      <c r="R204" s="1126"/>
      <c r="S204" s="1167" t="str">
        <f>IF(R204&lt;&gt;"",IF(-R204&gt;$M$197,1,"0"),"")</f>
        <v/>
      </c>
      <c r="T204" s="1151"/>
      <c r="AF204" s="1161">
        <v>11</v>
      </c>
    </row>
    <row r="205" spans="1:32" hidden="1" x14ac:dyDescent="0.25">
      <c r="A205" s="1125">
        <v>3</v>
      </c>
      <c r="B205" s="1125">
        <v>22</v>
      </c>
      <c r="C205" s="1126"/>
      <c r="D205" s="1167" t="str">
        <f>IF(C205&lt;&gt;"",IF(-C205&gt;$M$197,1,"0"),"")</f>
        <v/>
      </c>
      <c r="E205" s="1125">
        <v>22</v>
      </c>
      <c r="F205" s="1126"/>
      <c r="G205" s="1167" t="str">
        <f>IF(F205&lt;&gt;"",IF(-F205&gt;$M$197,1,"0"),"")</f>
        <v/>
      </c>
      <c r="H205" s="1125">
        <v>22</v>
      </c>
      <c r="I205" s="1126"/>
      <c r="J205" s="1167" t="str">
        <f>IF(I205&lt;&gt;"",IF(-I205&gt;$M$197,1,"0"),"")</f>
        <v/>
      </c>
      <c r="K205" s="1125">
        <v>22</v>
      </c>
      <c r="L205" s="1126"/>
      <c r="M205" s="1167" t="str">
        <f>IF(L205&lt;&gt;"",IF(-L205&gt;$M$197,1,"0"),"")</f>
        <v/>
      </c>
      <c r="N205" s="1125">
        <v>22</v>
      </c>
      <c r="O205" s="1126"/>
      <c r="P205" s="1167" t="str">
        <f>IF(O205&lt;&gt;"",IF(-O205&gt;$M$197,1,"0"),"")</f>
        <v/>
      </c>
      <c r="Q205" s="1125">
        <v>22</v>
      </c>
      <c r="R205" s="1126"/>
      <c r="S205" s="1167" t="str">
        <f>IF(R205&lt;&gt;"",IF(-R205&gt;$M$197,1,"0"),"")</f>
        <v/>
      </c>
      <c r="T205" s="1151"/>
      <c r="AF205" s="1161">
        <v>11</v>
      </c>
    </row>
    <row r="206" spans="1:32" hidden="1" x14ac:dyDescent="0.25">
      <c r="A206" s="1125">
        <v>4</v>
      </c>
      <c r="B206" s="1125">
        <v>31</v>
      </c>
      <c r="C206" s="1126"/>
      <c r="D206" s="1167" t="str">
        <f>IF(C206&lt;&gt;"",IF(-C206&gt;$M$197,1,"0"),"")</f>
        <v/>
      </c>
      <c r="E206" s="1125">
        <v>31</v>
      </c>
      <c r="F206" s="1126"/>
      <c r="G206" s="1167" t="str">
        <f>IF(F206&lt;&gt;"",IF(-F206&gt;$M$197,1,"0"),"")</f>
        <v/>
      </c>
      <c r="H206" s="1125">
        <v>31</v>
      </c>
      <c r="I206" s="1126"/>
      <c r="J206" s="1167" t="str">
        <f>IF(I206&lt;&gt;"",IF(-I206&gt;$M$197,1,"0"),"")</f>
        <v/>
      </c>
      <c r="K206" s="1125">
        <v>31</v>
      </c>
      <c r="L206" s="1126"/>
      <c r="M206" s="1167" t="str">
        <f>IF(L206&lt;&gt;"",IF(-L206&gt;$M$197,1,"0"),"")</f>
        <v/>
      </c>
      <c r="N206" s="1125">
        <v>31</v>
      </c>
      <c r="O206" s="1126"/>
      <c r="P206" s="1167" t="str">
        <f>IF(O206&lt;&gt;"",IF(-O206&gt;$M$197,1,"0"),"")</f>
        <v/>
      </c>
      <c r="Q206" s="1125">
        <v>31</v>
      </c>
      <c r="R206" s="1126"/>
      <c r="S206" s="1167" t="str">
        <f>IF(R206&lt;&gt;"",IF(-R206&gt;$M$197,1,"0"),"")</f>
        <v/>
      </c>
      <c r="T206" s="1151"/>
      <c r="AF206" s="1161">
        <v>11</v>
      </c>
    </row>
    <row r="207" spans="1:32" hidden="1" x14ac:dyDescent="0.25">
      <c r="A207" s="1720" t="s">
        <v>267</v>
      </c>
      <c r="B207" s="1720"/>
      <c r="C207" s="1114">
        <f>SUM(C203:C206)</f>
        <v>0</v>
      </c>
      <c r="D207" s="1721"/>
      <c r="E207" s="1722"/>
      <c r="F207" s="1114">
        <f>SUM(F203:F206)</f>
        <v>0</v>
      </c>
      <c r="G207" s="1721"/>
      <c r="H207" s="1722"/>
      <c r="I207" s="1114">
        <f>SUM(I203:I206)</f>
        <v>0</v>
      </c>
      <c r="J207" s="1721"/>
      <c r="K207" s="1722"/>
      <c r="L207" s="1114">
        <f>SUM(L203:L206)</f>
        <v>0</v>
      </c>
      <c r="M207" s="1721"/>
      <c r="N207" s="1722"/>
      <c r="O207" s="1114">
        <f>SUM(O203:O206)</f>
        <v>0</v>
      </c>
      <c r="P207" s="1721"/>
      <c r="Q207" s="1722"/>
      <c r="R207" s="1114">
        <f>SUM(R203:R206)</f>
        <v>0</v>
      </c>
      <c r="S207" s="1132"/>
      <c r="T207" s="1150"/>
      <c r="AF207" s="1161">
        <v>11</v>
      </c>
    </row>
    <row r="208" spans="1:32" hidden="1" x14ac:dyDescent="0.25">
      <c r="A208" s="1720" t="s">
        <v>7997</v>
      </c>
      <c r="B208" s="1720"/>
      <c r="C208" s="1114" t="str">
        <f>IF(COUNT(C203:C206)=0,"",AVERAGE(C203:C206))</f>
        <v/>
      </c>
      <c r="D208" s="1723"/>
      <c r="E208" s="1724"/>
      <c r="F208" s="1114" t="str">
        <f>IF(COUNT(F203:F206)=0,"",AVERAGE(F203:F206))</f>
        <v/>
      </c>
      <c r="G208" s="1723"/>
      <c r="H208" s="1724"/>
      <c r="I208" s="1114" t="str">
        <f>IF(COUNT(I203:I206)=0,"",AVERAGE(I203:I206))</f>
        <v/>
      </c>
      <c r="J208" s="1723"/>
      <c r="K208" s="1724"/>
      <c r="L208" s="1114" t="str">
        <f>IF(COUNT(L203:L206)=0,"",AVERAGE(L203:L206))</f>
        <v/>
      </c>
      <c r="M208" s="1723"/>
      <c r="N208" s="1724"/>
      <c r="O208" s="1114" t="str">
        <f>IF(COUNT(O203:O206)=0,"",AVERAGE(O203:O206))</f>
        <v/>
      </c>
      <c r="P208" s="1723"/>
      <c r="Q208" s="1724"/>
      <c r="R208" s="1114" t="str">
        <f>IF(COUNT(R203:R206)=0,"",AVERAGE(R203:R206))</f>
        <v/>
      </c>
      <c r="S208" s="1133"/>
      <c r="T208" s="1150"/>
      <c r="AF208" s="1161">
        <v>11</v>
      </c>
    </row>
    <row r="209" spans="1:32" ht="15" hidden="1" customHeight="1" x14ac:dyDescent="0.25">
      <c r="A209" s="1727" t="s">
        <v>7999</v>
      </c>
      <c r="B209" s="1728"/>
      <c r="C209" s="1165">
        <f>SUM(D203:D206)</f>
        <v>0</v>
      </c>
      <c r="D209" s="1725"/>
      <c r="E209" s="1726"/>
      <c r="F209" s="1165">
        <f>SUM(G203:G206)</f>
        <v>0</v>
      </c>
      <c r="G209" s="1725"/>
      <c r="H209" s="1726"/>
      <c r="I209" s="1208">
        <f>SUM(J203:J206)</f>
        <v>0</v>
      </c>
      <c r="J209" s="1725"/>
      <c r="K209" s="1726"/>
      <c r="L209" s="1165">
        <f>SUM(M203:M206)</f>
        <v>0</v>
      </c>
      <c r="M209" s="1725"/>
      <c r="N209" s="1726"/>
      <c r="O209" s="1165">
        <f>SUM(P203:P206)</f>
        <v>0</v>
      </c>
      <c r="P209" s="1725"/>
      <c r="Q209" s="1726"/>
      <c r="R209" s="1208">
        <f>SUM(S203:S206)</f>
        <v>0</v>
      </c>
      <c r="S209" s="1134"/>
      <c r="T209" s="1150"/>
      <c r="AF209" s="1161">
        <v>11</v>
      </c>
    </row>
    <row r="210" spans="1:32" hidden="1" x14ac:dyDescent="0.25">
      <c r="A210" s="1115" t="s">
        <v>2973</v>
      </c>
      <c r="B210" s="1112"/>
      <c r="C210" s="1112"/>
      <c r="D210" s="1112"/>
      <c r="E210" s="1112"/>
      <c r="F210" s="1112"/>
      <c r="G210" s="1112"/>
      <c r="H210" s="1112"/>
      <c r="I210" s="1112"/>
      <c r="J210" s="1112"/>
      <c r="K210" s="1112"/>
      <c r="L210" s="1112"/>
      <c r="M210" s="1112"/>
      <c r="N210" s="1112"/>
      <c r="O210" s="1112"/>
      <c r="P210" s="1112"/>
      <c r="Q210" s="1112"/>
      <c r="R210" s="1112"/>
      <c r="S210" s="1112"/>
      <c r="T210" s="1140"/>
      <c r="AF210" s="1161">
        <v>11</v>
      </c>
    </row>
    <row r="211" spans="1:32" hidden="1" x14ac:dyDescent="0.25">
      <c r="A211" s="1719" t="s">
        <v>8009</v>
      </c>
      <c r="B211" s="1719"/>
      <c r="C211" s="1719"/>
      <c r="D211" s="1719"/>
      <c r="E211" s="1719"/>
      <c r="F211" s="1719"/>
      <c r="G211" s="1719"/>
      <c r="H211" s="1719"/>
      <c r="I211" s="1719"/>
      <c r="J211" s="1719"/>
      <c r="K211" s="1719"/>
      <c r="L211" s="1719"/>
      <c r="M211" s="1719"/>
      <c r="N211" s="1719"/>
      <c r="O211" s="1719"/>
      <c r="P211" s="1719"/>
      <c r="Q211" s="1719"/>
      <c r="R211" s="1719"/>
      <c r="S211" s="1719"/>
      <c r="T211" s="1146"/>
      <c r="AF211" s="1161">
        <v>12</v>
      </c>
    </row>
    <row r="212" spans="1:32" ht="5.0999999999999996" hidden="1" customHeight="1" x14ac:dyDescent="0.25">
      <c r="A212" s="1112"/>
      <c r="B212" s="1112"/>
      <c r="C212" s="1112"/>
      <c r="D212" s="1112"/>
      <c r="E212" s="1112"/>
      <c r="F212" s="1112"/>
      <c r="G212" s="1112"/>
      <c r="H212" s="1112"/>
      <c r="I212" s="1112"/>
      <c r="J212" s="1112"/>
      <c r="K212" s="1112"/>
      <c r="L212" s="1112"/>
      <c r="M212" s="1112"/>
      <c r="N212" s="1112"/>
      <c r="O212" s="1112"/>
      <c r="P212" s="1112"/>
      <c r="Q212" s="1112"/>
      <c r="R212" s="1112"/>
      <c r="S212" s="1112"/>
      <c r="T212" s="1140"/>
      <c r="AF212" s="1161">
        <v>12</v>
      </c>
    </row>
    <row r="213" spans="1:32" hidden="1" x14ac:dyDescent="0.25">
      <c r="A213" s="1112" t="s">
        <v>271</v>
      </c>
      <c r="B213" s="1112"/>
      <c r="C213" s="1109"/>
      <c r="D213" s="1711"/>
      <c r="E213" s="1711"/>
      <c r="F213" s="1711"/>
      <c r="G213" s="1112"/>
      <c r="H213" s="1112"/>
      <c r="I213" s="1112"/>
      <c r="J213" s="1209" t="s">
        <v>582</v>
      </c>
      <c r="K213" s="1209"/>
      <c r="L213" s="1159"/>
      <c r="M213" s="1711"/>
      <c r="N213" s="1711"/>
      <c r="O213" s="1711"/>
      <c r="P213" s="1112" t="s">
        <v>68</v>
      </c>
      <c r="Q213" s="1112"/>
      <c r="R213" s="1112"/>
      <c r="S213" s="1112"/>
      <c r="T213" s="1140"/>
      <c r="AF213" s="1161">
        <v>12</v>
      </c>
    </row>
    <row r="214" spans="1:32" hidden="1" x14ac:dyDescent="0.25">
      <c r="A214" s="1112" t="s">
        <v>240</v>
      </c>
      <c r="B214" s="1112"/>
      <c r="C214" s="1109"/>
      <c r="D214" s="1711"/>
      <c r="E214" s="1711"/>
      <c r="F214" s="1711"/>
      <c r="G214" s="1112"/>
      <c r="H214" s="1112"/>
      <c r="I214" s="1112"/>
      <c r="J214" s="1128" t="s">
        <v>767</v>
      </c>
      <c r="K214" s="1128"/>
      <c r="L214" s="1159"/>
      <c r="M214" s="1711"/>
      <c r="N214" s="1711"/>
      <c r="O214" s="1711"/>
      <c r="P214" s="1112"/>
      <c r="Q214" s="1112"/>
      <c r="R214" s="1112"/>
      <c r="S214" s="1112"/>
      <c r="T214" s="1140"/>
      <c r="AF214" s="1161">
        <v>12</v>
      </c>
    </row>
    <row r="215" spans="1:32" hidden="1" x14ac:dyDescent="0.25">
      <c r="A215" s="1112" t="s">
        <v>265</v>
      </c>
      <c r="B215" s="1112"/>
      <c r="C215" s="1109"/>
      <c r="D215" s="1716"/>
      <c r="E215" s="1716"/>
      <c r="F215" s="1716"/>
      <c r="G215" s="1112"/>
      <c r="H215" s="1112"/>
      <c r="I215" s="1112"/>
      <c r="J215" s="1729" t="s">
        <v>3161</v>
      </c>
      <c r="K215" s="1729"/>
      <c r="L215" s="1729"/>
      <c r="M215" s="1717" t="str">
        <f>IF(ISERROR(SUM(C225,F225,I225,L225,O225,R225)/COUNT(C225,F225,I225,L225,O225,R225)),"",-((SUM(C225,F225,I225,L225,O225,R225)/COUNT(C225,F225,I225,L225,O225,R225))))</f>
        <v/>
      </c>
      <c r="N215" s="1717"/>
      <c r="O215" s="1717"/>
      <c r="P215" s="1109"/>
      <c r="Q215" s="1112"/>
      <c r="R215" s="1112"/>
      <c r="S215" s="1112"/>
      <c r="T215" s="1140"/>
      <c r="AF215" s="1161">
        <v>12</v>
      </c>
    </row>
    <row r="216" spans="1:32" hidden="1" x14ac:dyDescent="0.25">
      <c r="A216" s="1710" t="s">
        <v>90</v>
      </c>
      <c r="B216" s="1710"/>
      <c r="C216" s="1109"/>
      <c r="D216" s="1711"/>
      <c r="E216" s="1711"/>
      <c r="F216" s="1711"/>
      <c r="G216" s="1109"/>
      <c r="H216" s="1112"/>
      <c r="I216" s="1112"/>
      <c r="J216" s="1128" t="s">
        <v>2979</v>
      </c>
      <c r="K216" s="1128"/>
      <c r="L216" s="1159"/>
      <c r="M216" s="1712" t="str">
        <f>IF(ISERROR(SUM(C225,F225,I225,L225,O225,R225)/COUNT(C225,F225,I225,L225,O225,R225)),"",-((SUM(C225,F225,I225,L225,O225,R225)/COUNT(C225,F225,I225,L225,O225,R225)))/M214)</f>
        <v/>
      </c>
      <c r="N216" s="1712"/>
      <c r="O216" s="1712"/>
      <c r="P216" s="1112"/>
      <c r="Q216" s="1112"/>
      <c r="R216" s="1112"/>
      <c r="S216" s="1112"/>
      <c r="T216" s="1140"/>
      <c r="AF216" s="1161">
        <v>12</v>
      </c>
    </row>
    <row r="217" spans="1:32" hidden="1" x14ac:dyDescent="0.25">
      <c r="A217" s="1112"/>
      <c r="B217" s="1112"/>
      <c r="C217" s="1117"/>
      <c r="D217" s="1117"/>
      <c r="E217" s="1112"/>
      <c r="F217" s="1112"/>
      <c r="G217" s="1112"/>
      <c r="H217" s="1112"/>
      <c r="I217" s="1112"/>
      <c r="J217" s="1115"/>
      <c r="K217" s="1115"/>
      <c r="L217" s="1115"/>
      <c r="M217" s="1115"/>
      <c r="N217" s="1115"/>
      <c r="O217" s="1115"/>
      <c r="P217" s="1115"/>
      <c r="Q217" s="1115"/>
      <c r="R217" s="1115"/>
      <c r="S217" s="1113" t="s">
        <v>29</v>
      </c>
      <c r="T217" s="1148"/>
      <c r="AF217" s="1161">
        <v>12</v>
      </c>
    </row>
    <row r="218" spans="1:32" hidden="1" x14ac:dyDescent="0.25">
      <c r="A218" s="1208" t="s">
        <v>266</v>
      </c>
      <c r="B218" s="1714">
        <f>$B$31</f>
        <v>43094</v>
      </c>
      <c r="C218" s="1714"/>
      <c r="D218" s="1714"/>
      <c r="E218" s="1714">
        <f>$E$31</f>
        <v>43125</v>
      </c>
      <c r="F218" s="1714"/>
      <c r="G218" s="1714"/>
      <c r="H218" s="1714">
        <f>$H$31</f>
        <v>43156</v>
      </c>
      <c r="I218" s="1714"/>
      <c r="J218" s="1714"/>
      <c r="K218" s="1714">
        <f>$K$31</f>
        <v>43187</v>
      </c>
      <c r="L218" s="1714"/>
      <c r="M218" s="1714"/>
      <c r="N218" s="1714">
        <f>$N$31</f>
        <v>43218</v>
      </c>
      <c r="O218" s="1714"/>
      <c r="P218" s="1714"/>
      <c r="Q218" s="1714">
        <f>$Q$31</f>
        <v>43249</v>
      </c>
      <c r="R218" s="1714"/>
      <c r="S218" s="1714"/>
      <c r="T218" s="1149"/>
      <c r="AF218" s="1161">
        <v>12</v>
      </c>
    </row>
    <row r="219" spans="1:32" hidden="1" x14ac:dyDescent="0.25">
      <c r="A219" s="1208" t="s">
        <v>8</v>
      </c>
      <c r="B219" s="1208" t="s">
        <v>26</v>
      </c>
      <c r="C219" s="1208" t="s">
        <v>268</v>
      </c>
      <c r="D219" s="1208" t="s">
        <v>2972</v>
      </c>
      <c r="E219" s="1208" t="s">
        <v>26</v>
      </c>
      <c r="F219" s="1208" t="s">
        <v>268</v>
      </c>
      <c r="G219" s="1208" t="s">
        <v>2972</v>
      </c>
      <c r="H219" s="1208" t="s">
        <v>26</v>
      </c>
      <c r="I219" s="1208" t="s">
        <v>268</v>
      </c>
      <c r="J219" s="1208" t="s">
        <v>2972</v>
      </c>
      <c r="K219" s="1208" t="s">
        <v>26</v>
      </c>
      <c r="L219" s="1208" t="s">
        <v>268</v>
      </c>
      <c r="M219" s="1208" t="s">
        <v>2972</v>
      </c>
      <c r="N219" s="1208" t="s">
        <v>26</v>
      </c>
      <c r="O219" s="1208" t="s">
        <v>268</v>
      </c>
      <c r="P219" s="1208" t="s">
        <v>2972</v>
      </c>
      <c r="Q219" s="1208" t="s">
        <v>26</v>
      </c>
      <c r="R219" s="1208" t="s">
        <v>268</v>
      </c>
      <c r="S219" s="1208" t="s">
        <v>2972</v>
      </c>
      <c r="T219" s="1150"/>
      <c r="AF219" s="1161">
        <v>12</v>
      </c>
    </row>
    <row r="220" spans="1:32" hidden="1" x14ac:dyDescent="0.25">
      <c r="A220" s="1124">
        <v>1</v>
      </c>
      <c r="B220" s="1124">
        <v>7</v>
      </c>
      <c r="C220" s="1127"/>
      <c r="D220" s="1166" t="str">
        <f>IF(C220&lt;&gt;"",IF(-C220&gt;$M$214,1,"0"),"")</f>
        <v/>
      </c>
      <c r="E220" s="1124">
        <v>7</v>
      </c>
      <c r="F220" s="1127"/>
      <c r="G220" s="1166" t="str">
        <f>IF(F220&lt;&gt;"",IF(-F220&gt;$M$214,1,"0"),"")</f>
        <v/>
      </c>
      <c r="H220" s="1124">
        <v>7</v>
      </c>
      <c r="I220" s="1127"/>
      <c r="J220" s="1166" t="str">
        <f>IF(I220&lt;&gt;"",IF(-I220&gt;$M$214,1,"0"),"")</f>
        <v/>
      </c>
      <c r="K220" s="1124">
        <v>7</v>
      </c>
      <c r="L220" s="1127"/>
      <c r="M220" s="1166" t="str">
        <f>IF(L220&lt;&gt;"",IF(-L220&gt;$M$214,1,"0"),"")</f>
        <v/>
      </c>
      <c r="N220" s="1124">
        <v>7</v>
      </c>
      <c r="O220" s="1127"/>
      <c r="P220" s="1166" t="str">
        <f>IF(O220&lt;&gt;"",IF(-O220&gt;$M$214,1,"0"),"")</f>
        <v/>
      </c>
      <c r="Q220" s="1124">
        <v>7</v>
      </c>
      <c r="R220" s="1127"/>
      <c r="S220" s="1166" t="str">
        <f>IF(R220&lt;&gt;"",IF(-R220&gt;$M$214,1,"0"),"")</f>
        <v/>
      </c>
      <c r="T220" s="1151"/>
      <c r="AF220" s="1161">
        <v>12</v>
      </c>
    </row>
    <row r="221" spans="1:32" hidden="1" x14ac:dyDescent="0.25">
      <c r="A221" s="1125">
        <v>2</v>
      </c>
      <c r="B221" s="1125">
        <v>14</v>
      </c>
      <c r="C221" s="1126"/>
      <c r="D221" s="1167" t="str">
        <f>IF(C221&lt;&gt;"",IF(-C221&gt;$M$214,1,"0"),"")</f>
        <v/>
      </c>
      <c r="E221" s="1125">
        <v>14</v>
      </c>
      <c r="F221" s="1126"/>
      <c r="G221" s="1167" t="str">
        <f>IF(F221&lt;&gt;"",IF(-F221&gt;$M$214,1,"0"),"")</f>
        <v/>
      </c>
      <c r="H221" s="1125">
        <v>14</v>
      </c>
      <c r="I221" s="1126"/>
      <c r="J221" s="1167" t="str">
        <f>IF(I221&lt;&gt;"",IF(-I221&gt;$M$214,1,"0"),"")</f>
        <v/>
      </c>
      <c r="K221" s="1125">
        <v>14</v>
      </c>
      <c r="L221" s="1126"/>
      <c r="M221" s="1167" t="str">
        <f>IF(L221&lt;&gt;"",IF(-L221&gt;$M$214,1,"0"),"")</f>
        <v/>
      </c>
      <c r="N221" s="1125">
        <v>14</v>
      </c>
      <c r="O221" s="1126"/>
      <c r="P221" s="1167" t="str">
        <f>IF(O221&lt;&gt;"",IF(-O221&gt;$M$214,1,"0"),"")</f>
        <v/>
      </c>
      <c r="Q221" s="1125">
        <v>14</v>
      </c>
      <c r="R221" s="1126"/>
      <c r="S221" s="1167" t="str">
        <f>IF(R221&lt;&gt;"",IF(-R221&gt;$M$214,1,"0"),"")</f>
        <v/>
      </c>
      <c r="T221" s="1151"/>
      <c r="AF221" s="1161">
        <v>12</v>
      </c>
    </row>
    <row r="222" spans="1:32" hidden="1" x14ac:dyDescent="0.25">
      <c r="A222" s="1125">
        <v>3</v>
      </c>
      <c r="B222" s="1125">
        <v>22</v>
      </c>
      <c r="C222" s="1126"/>
      <c r="D222" s="1167" t="str">
        <f>IF(C222&lt;&gt;"",IF(-C222&gt;$M$214,1,"0"),"")</f>
        <v/>
      </c>
      <c r="E222" s="1125">
        <v>22</v>
      </c>
      <c r="F222" s="1126"/>
      <c r="G222" s="1167" t="str">
        <f>IF(F222&lt;&gt;"",IF(-F222&gt;$M$214,1,"0"),"")</f>
        <v/>
      </c>
      <c r="H222" s="1125">
        <v>22</v>
      </c>
      <c r="I222" s="1126"/>
      <c r="J222" s="1167" t="str">
        <f>IF(I222&lt;&gt;"",IF(-I222&gt;$M$214,1,"0"),"")</f>
        <v/>
      </c>
      <c r="K222" s="1125">
        <v>22</v>
      </c>
      <c r="L222" s="1126"/>
      <c r="M222" s="1167" t="str">
        <f>IF(L222&lt;&gt;"",IF(-L222&gt;$M$214,1,"0"),"")</f>
        <v/>
      </c>
      <c r="N222" s="1125">
        <v>22</v>
      </c>
      <c r="O222" s="1126"/>
      <c r="P222" s="1167" t="str">
        <f>IF(O222&lt;&gt;"",IF(-O222&gt;$M$214,1,"0"),"")</f>
        <v/>
      </c>
      <c r="Q222" s="1125">
        <v>22</v>
      </c>
      <c r="R222" s="1126"/>
      <c r="S222" s="1167" t="str">
        <f>IF(R222&lt;&gt;"",IF(-R222&gt;$M$214,1,"0"),"")</f>
        <v/>
      </c>
      <c r="T222" s="1151"/>
      <c r="AF222" s="1161">
        <v>12</v>
      </c>
    </row>
    <row r="223" spans="1:32" hidden="1" x14ac:dyDescent="0.25">
      <c r="A223" s="1125">
        <v>4</v>
      </c>
      <c r="B223" s="1125">
        <v>31</v>
      </c>
      <c r="C223" s="1126"/>
      <c r="D223" s="1167" t="str">
        <f>IF(C223&lt;&gt;"",IF(-C223&gt;$M$214,1,"0"),"")</f>
        <v/>
      </c>
      <c r="E223" s="1125">
        <v>31</v>
      </c>
      <c r="F223" s="1126"/>
      <c r="G223" s="1167" t="str">
        <f>IF(F223&lt;&gt;"",IF(-F223&gt;$M$214,1,"0"),"")</f>
        <v/>
      </c>
      <c r="H223" s="1125">
        <v>31</v>
      </c>
      <c r="I223" s="1126"/>
      <c r="J223" s="1167" t="str">
        <f>IF(I223&lt;&gt;"",IF(-I223&gt;$M$214,1,"0"),"")</f>
        <v/>
      </c>
      <c r="K223" s="1125">
        <v>31</v>
      </c>
      <c r="L223" s="1126"/>
      <c r="M223" s="1167" t="str">
        <f>IF(L223&lt;&gt;"",IF(-L223&gt;$M$214,1,"0"),"")</f>
        <v/>
      </c>
      <c r="N223" s="1125">
        <v>31</v>
      </c>
      <c r="O223" s="1126"/>
      <c r="P223" s="1167" t="str">
        <f>IF(O223&lt;&gt;"",IF(-O223&gt;$M$214,1,"0"),"")</f>
        <v/>
      </c>
      <c r="Q223" s="1125">
        <v>31</v>
      </c>
      <c r="R223" s="1126"/>
      <c r="S223" s="1167" t="str">
        <f>IF(R223&lt;&gt;"",IF(-R223&gt;$M$214,1,"0"),"")</f>
        <v/>
      </c>
      <c r="T223" s="1151"/>
      <c r="AF223" s="1161">
        <v>12</v>
      </c>
    </row>
    <row r="224" spans="1:32" hidden="1" x14ac:dyDescent="0.25">
      <c r="A224" s="1720" t="s">
        <v>267</v>
      </c>
      <c r="B224" s="1720"/>
      <c r="C224" s="1114">
        <f>SUM(C220:C223)</f>
        <v>0</v>
      </c>
      <c r="D224" s="1721"/>
      <c r="E224" s="1722"/>
      <c r="F224" s="1114">
        <f>SUM(F220:F223)</f>
        <v>0</v>
      </c>
      <c r="G224" s="1721"/>
      <c r="H224" s="1722"/>
      <c r="I224" s="1114">
        <f>SUM(I220:I223)</f>
        <v>0</v>
      </c>
      <c r="J224" s="1721"/>
      <c r="K224" s="1722"/>
      <c r="L224" s="1114">
        <f>SUM(L220:L223)</f>
        <v>0</v>
      </c>
      <c r="M224" s="1721"/>
      <c r="N224" s="1722"/>
      <c r="O224" s="1114">
        <f>SUM(O220:O223)</f>
        <v>0</v>
      </c>
      <c r="P224" s="1721"/>
      <c r="Q224" s="1722"/>
      <c r="R224" s="1114">
        <f>SUM(R220:R223)</f>
        <v>0</v>
      </c>
      <c r="S224" s="1132"/>
      <c r="T224" s="1150"/>
      <c r="AF224" s="1161">
        <v>12</v>
      </c>
    </row>
    <row r="225" spans="1:32" hidden="1" x14ac:dyDescent="0.25">
      <c r="A225" s="1720" t="s">
        <v>7997</v>
      </c>
      <c r="B225" s="1720"/>
      <c r="C225" s="1114" t="str">
        <f>IF(COUNT(C220:C223)=0,"",AVERAGE(C220:C223))</f>
        <v/>
      </c>
      <c r="D225" s="1723"/>
      <c r="E225" s="1724"/>
      <c r="F225" s="1114" t="str">
        <f>IF(COUNT(F220:F223)=0,"",AVERAGE(F220:F223))</f>
        <v/>
      </c>
      <c r="G225" s="1723"/>
      <c r="H225" s="1724"/>
      <c r="I225" s="1114" t="str">
        <f>IF(COUNT(I220:I223)=0,"",AVERAGE(I220:I223))</f>
        <v/>
      </c>
      <c r="J225" s="1723"/>
      <c r="K225" s="1724"/>
      <c r="L225" s="1114" t="str">
        <f>IF(COUNT(L220:L223)=0,"",AVERAGE(L220:L223))</f>
        <v/>
      </c>
      <c r="M225" s="1723"/>
      <c r="N225" s="1724"/>
      <c r="O225" s="1114" t="str">
        <f>IF(COUNT(O220:O223)=0,"",AVERAGE(O220:O223))</f>
        <v/>
      </c>
      <c r="P225" s="1723"/>
      <c r="Q225" s="1724"/>
      <c r="R225" s="1114" t="str">
        <f>IF(COUNT(R220:R223)=0,"",AVERAGE(R220:R223))</f>
        <v/>
      </c>
      <c r="S225" s="1133"/>
      <c r="T225" s="1150"/>
      <c r="AF225" s="1161">
        <v>12</v>
      </c>
    </row>
    <row r="226" spans="1:32" ht="15" hidden="1" customHeight="1" x14ac:dyDescent="0.25">
      <c r="A226" s="1727" t="s">
        <v>7999</v>
      </c>
      <c r="B226" s="1728"/>
      <c r="C226" s="1165">
        <f>SUM(D220:D223)</f>
        <v>0</v>
      </c>
      <c r="D226" s="1725"/>
      <c r="E226" s="1726"/>
      <c r="F226" s="1165">
        <f>SUM(G220:G223)</f>
        <v>0</v>
      </c>
      <c r="G226" s="1725"/>
      <c r="H226" s="1726"/>
      <c r="I226" s="1208">
        <f>SUM(J220:J223)</f>
        <v>0</v>
      </c>
      <c r="J226" s="1725"/>
      <c r="K226" s="1726"/>
      <c r="L226" s="1165">
        <f>SUM(M220:M223)</f>
        <v>0</v>
      </c>
      <c r="M226" s="1725"/>
      <c r="N226" s="1726"/>
      <c r="O226" s="1165">
        <f>SUM(P220:P223)</f>
        <v>0</v>
      </c>
      <c r="P226" s="1725"/>
      <c r="Q226" s="1726"/>
      <c r="R226" s="1208">
        <f>SUM(S220:S223)</f>
        <v>0</v>
      </c>
      <c r="S226" s="1134"/>
      <c r="T226" s="1150"/>
      <c r="AF226" s="1161">
        <v>12</v>
      </c>
    </row>
    <row r="227" spans="1:32" hidden="1" x14ac:dyDescent="0.25">
      <c r="A227" s="1115" t="s">
        <v>2973</v>
      </c>
      <c r="B227" s="1112"/>
      <c r="C227" s="1112"/>
      <c r="D227" s="1112"/>
      <c r="E227" s="1112"/>
      <c r="F227" s="1112"/>
      <c r="G227" s="1112"/>
      <c r="H227" s="1112"/>
      <c r="I227" s="1112"/>
      <c r="J227" s="1112"/>
      <c r="K227" s="1112"/>
      <c r="L227" s="1112"/>
      <c r="M227" s="1112"/>
      <c r="N227" s="1112"/>
      <c r="O227" s="1112"/>
      <c r="P227" s="1112"/>
      <c r="Q227" s="1112"/>
      <c r="R227" s="1112"/>
      <c r="S227" s="1112"/>
      <c r="T227" s="1140"/>
      <c r="AF227" s="1161">
        <v>12</v>
      </c>
    </row>
    <row r="228" spans="1:32" hidden="1" x14ac:dyDescent="0.25">
      <c r="A228" s="1719" t="s">
        <v>8010</v>
      </c>
      <c r="B228" s="1719"/>
      <c r="C228" s="1719"/>
      <c r="D228" s="1719"/>
      <c r="E228" s="1719"/>
      <c r="F228" s="1719"/>
      <c r="G228" s="1719"/>
      <c r="H228" s="1719"/>
      <c r="I228" s="1719"/>
      <c r="J228" s="1719"/>
      <c r="K228" s="1719"/>
      <c r="L228" s="1719"/>
      <c r="M228" s="1719"/>
      <c r="N228" s="1719"/>
      <c r="O228" s="1719"/>
      <c r="P228" s="1719"/>
      <c r="Q228" s="1719"/>
      <c r="R228" s="1719"/>
      <c r="S228" s="1719"/>
      <c r="T228" s="1146"/>
      <c r="AF228" s="1161">
        <v>13</v>
      </c>
    </row>
    <row r="229" spans="1:32" ht="5.0999999999999996" hidden="1" customHeight="1" x14ac:dyDescent="0.25">
      <c r="A229" s="1112"/>
      <c r="B229" s="1112"/>
      <c r="C229" s="1112"/>
      <c r="D229" s="1112"/>
      <c r="E229" s="1112"/>
      <c r="F229" s="1112"/>
      <c r="G229" s="1112"/>
      <c r="H229" s="1112"/>
      <c r="I229" s="1112"/>
      <c r="J229" s="1112"/>
      <c r="K229" s="1112"/>
      <c r="L229" s="1112"/>
      <c r="M229" s="1112"/>
      <c r="N229" s="1112"/>
      <c r="O229" s="1112"/>
      <c r="P229" s="1112"/>
      <c r="Q229" s="1112"/>
      <c r="R229" s="1112"/>
      <c r="S229" s="1112"/>
      <c r="T229" s="1140"/>
      <c r="AF229" s="1161">
        <v>13</v>
      </c>
    </row>
    <row r="230" spans="1:32" hidden="1" x14ac:dyDescent="0.25">
      <c r="A230" s="1112" t="s">
        <v>271</v>
      </c>
      <c r="B230" s="1112"/>
      <c r="C230" s="1109"/>
      <c r="D230" s="1711"/>
      <c r="E230" s="1711"/>
      <c r="F230" s="1711"/>
      <c r="G230" s="1112"/>
      <c r="H230" s="1112"/>
      <c r="I230" s="1112"/>
      <c r="J230" s="1209" t="s">
        <v>582</v>
      </c>
      <c r="K230" s="1209"/>
      <c r="L230" s="1159"/>
      <c r="M230" s="1711"/>
      <c r="N230" s="1711"/>
      <c r="O230" s="1711"/>
      <c r="P230" s="1112" t="s">
        <v>68</v>
      </c>
      <c r="Q230" s="1112"/>
      <c r="R230" s="1112"/>
      <c r="S230" s="1112"/>
      <c r="T230" s="1140"/>
      <c r="AF230" s="1161">
        <v>13</v>
      </c>
    </row>
    <row r="231" spans="1:32" hidden="1" x14ac:dyDescent="0.25">
      <c r="A231" s="1112" t="s">
        <v>240</v>
      </c>
      <c r="B231" s="1112"/>
      <c r="C231" s="1109"/>
      <c r="D231" s="1711"/>
      <c r="E231" s="1711"/>
      <c r="F231" s="1711"/>
      <c r="G231" s="1112"/>
      <c r="H231" s="1112"/>
      <c r="I231" s="1112"/>
      <c r="J231" s="1128" t="s">
        <v>767</v>
      </c>
      <c r="K231" s="1128"/>
      <c r="L231" s="1159"/>
      <c r="M231" s="1711"/>
      <c r="N231" s="1711"/>
      <c r="O231" s="1711"/>
      <c r="P231" s="1112"/>
      <c r="Q231" s="1112"/>
      <c r="R231" s="1112"/>
      <c r="S231" s="1112"/>
      <c r="T231" s="1140"/>
      <c r="AF231" s="1161">
        <v>13</v>
      </c>
    </row>
    <row r="232" spans="1:32" hidden="1" x14ac:dyDescent="0.25">
      <c r="A232" s="1112" t="s">
        <v>265</v>
      </c>
      <c r="B232" s="1112"/>
      <c r="C232" s="1109"/>
      <c r="D232" s="1716"/>
      <c r="E232" s="1716"/>
      <c r="F232" s="1716"/>
      <c r="G232" s="1112"/>
      <c r="H232" s="1112"/>
      <c r="I232" s="1112"/>
      <c r="J232" s="1729" t="s">
        <v>3161</v>
      </c>
      <c r="K232" s="1729"/>
      <c r="L232" s="1729"/>
      <c r="M232" s="1717" t="str">
        <f>IF(ISERROR(SUM(C242,F242,I242,L242,O242,R242)/COUNT(C242,F242,I242,L242,O242,R242)),"",-((SUM(C242,F242,I242,L242,O242,R242)/COUNT(C242,F242,I242,L242,O242,R242))))</f>
        <v/>
      </c>
      <c r="N232" s="1717"/>
      <c r="O232" s="1717"/>
      <c r="P232" s="1109"/>
      <c r="Q232" s="1112"/>
      <c r="R232" s="1112"/>
      <c r="S232" s="1112"/>
      <c r="T232" s="1140"/>
      <c r="AF232" s="1161">
        <v>13</v>
      </c>
    </row>
    <row r="233" spans="1:32" hidden="1" x14ac:dyDescent="0.25">
      <c r="A233" s="1710" t="s">
        <v>90</v>
      </c>
      <c r="B233" s="1710"/>
      <c r="C233" s="1109"/>
      <c r="D233" s="1711"/>
      <c r="E233" s="1711"/>
      <c r="F233" s="1711"/>
      <c r="G233" s="1109"/>
      <c r="H233" s="1112"/>
      <c r="I233" s="1112"/>
      <c r="J233" s="1128" t="s">
        <v>2979</v>
      </c>
      <c r="K233" s="1128"/>
      <c r="L233" s="1159"/>
      <c r="M233" s="1712" t="str">
        <f>IF(ISERROR(SUM(C242,F242,I242,L242,O242,R242)/COUNT(C242,F242,I242,L242,O242,R242)),"",-((SUM(C242,F242,I242,L242,O242,R242)/COUNT(C242,F242,I242,L242,O242,R242)))/M231)</f>
        <v/>
      </c>
      <c r="N233" s="1712"/>
      <c r="O233" s="1712"/>
      <c r="P233" s="1112"/>
      <c r="Q233" s="1112"/>
      <c r="R233" s="1112"/>
      <c r="S233" s="1112"/>
      <c r="T233" s="1140"/>
      <c r="AF233" s="1161">
        <v>13</v>
      </c>
    </row>
    <row r="234" spans="1:32" hidden="1" x14ac:dyDescent="0.25">
      <c r="A234" s="1112"/>
      <c r="B234" s="1112"/>
      <c r="C234" s="1117"/>
      <c r="D234" s="1117"/>
      <c r="E234" s="1112"/>
      <c r="F234" s="1112"/>
      <c r="G234" s="1112"/>
      <c r="H234" s="1112"/>
      <c r="I234" s="1112"/>
      <c r="J234" s="1115"/>
      <c r="K234" s="1115"/>
      <c r="L234" s="1115"/>
      <c r="M234" s="1115"/>
      <c r="N234" s="1115"/>
      <c r="O234" s="1115"/>
      <c r="P234" s="1115"/>
      <c r="Q234" s="1115"/>
      <c r="R234" s="1115"/>
      <c r="S234" s="1113" t="s">
        <v>29</v>
      </c>
      <c r="T234" s="1148"/>
      <c r="AF234" s="1161">
        <v>13</v>
      </c>
    </row>
    <row r="235" spans="1:32" hidden="1" x14ac:dyDescent="0.25">
      <c r="A235" s="1208" t="s">
        <v>266</v>
      </c>
      <c r="B235" s="1714">
        <f>$B$31</f>
        <v>43094</v>
      </c>
      <c r="C235" s="1714"/>
      <c r="D235" s="1714"/>
      <c r="E235" s="1714">
        <f>$E$31</f>
        <v>43125</v>
      </c>
      <c r="F235" s="1714"/>
      <c r="G235" s="1714"/>
      <c r="H235" s="1714">
        <f>$H$31</f>
        <v>43156</v>
      </c>
      <c r="I235" s="1714"/>
      <c r="J235" s="1714"/>
      <c r="K235" s="1714">
        <f>$K$31</f>
        <v>43187</v>
      </c>
      <c r="L235" s="1714"/>
      <c r="M235" s="1714"/>
      <c r="N235" s="1714">
        <f>$N$31</f>
        <v>43218</v>
      </c>
      <c r="O235" s="1714"/>
      <c r="P235" s="1714"/>
      <c r="Q235" s="1714">
        <f>$Q$31</f>
        <v>43249</v>
      </c>
      <c r="R235" s="1714"/>
      <c r="S235" s="1714"/>
      <c r="T235" s="1149"/>
      <c r="AF235" s="1161">
        <v>13</v>
      </c>
    </row>
    <row r="236" spans="1:32" hidden="1" x14ac:dyDescent="0.25">
      <c r="A236" s="1208" t="s">
        <v>8</v>
      </c>
      <c r="B236" s="1208" t="s">
        <v>26</v>
      </c>
      <c r="C236" s="1208" t="s">
        <v>268</v>
      </c>
      <c r="D236" s="1208" t="s">
        <v>2972</v>
      </c>
      <c r="E236" s="1208" t="s">
        <v>26</v>
      </c>
      <c r="F236" s="1208" t="s">
        <v>268</v>
      </c>
      <c r="G236" s="1208" t="s">
        <v>2972</v>
      </c>
      <c r="H236" s="1208" t="s">
        <v>26</v>
      </c>
      <c r="I236" s="1208" t="s">
        <v>268</v>
      </c>
      <c r="J236" s="1208" t="s">
        <v>2972</v>
      </c>
      <c r="K236" s="1208" t="s">
        <v>26</v>
      </c>
      <c r="L236" s="1208" t="s">
        <v>268</v>
      </c>
      <c r="M236" s="1208" t="s">
        <v>2972</v>
      </c>
      <c r="N236" s="1208" t="s">
        <v>26</v>
      </c>
      <c r="O236" s="1208" t="s">
        <v>268</v>
      </c>
      <c r="P236" s="1208" t="s">
        <v>2972</v>
      </c>
      <c r="Q236" s="1208" t="s">
        <v>26</v>
      </c>
      <c r="R236" s="1208" t="s">
        <v>268</v>
      </c>
      <c r="S236" s="1208" t="s">
        <v>2972</v>
      </c>
      <c r="T236" s="1150"/>
      <c r="AF236" s="1161">
        <v>13</v>
      </c>
    </row>
    <row r="237" spans="1:32" hidden="1" x14ac:dyDescent="0.25">
      <c r="A237" s="1124">
        <v>1</v>
      </c>
      <c r="B237" s="1124">
        <v>7</v>
      </c>
      <c r="C237" s="1127"/>
      <c r="D237" s="1166" t="str">
        <f>IF(C237&lt;&gt;"",IF(-C237&gt;$M$231,1,"0"),"")</f>
        <v/>
      </c>
      <c r="E237" s="1124">
        <v>7</v>
      </c>
      <c r="F237" s="1127"/>
      <c r="G237" s="1166" t="str">
        <f>IF(F237&lt;&gt;"",IF(-F237&gt;$M$231,1,"0"),"")</f>
        <v/>
      </c>
      <c r="H237" s="1124">
        <v>7</v>
      </c>
      <c r="I237" s="1127"/>
      <c r="J237" s="1166" t="str">
        <f>IF(I237&lt;&gt;"",IF(-I237&gt;$M$231,1,"0"),"")</f>
        <v/>
      </c>
      <c r="K237" s="1124">
        <v>7</v>
      </c>
      <c r="L237" s="1127"/>
      <c r="M237" s="1166" t="str">
        <f>IF(L237&lt;&gt;"",IF(-L237&gt;$M$231,1,"0"),"")</f>
        <v/>
      </c>
      <c r="N237" s="1124">
        <v>7</v>
      </c>
      <c r="O237" s="1127"/>
      <c r="P237" s="1166" t="str">
        <f>IF(O237&lt;&gt;"",IF(-O237&gt;$M$231,1,"0"),"")</f>
        <v/>
      </c>
      <c r="Q237" s="1124">
        <v>7</v>
      </c>
      <c r="R237" s="1127"/>
      <c r="S237" s="1166" t="str">
        <f>IF(R237&lt;&gt;"",IF(-R237&gt;$M$231,1,"0"),"")</f>
        <v/>
      </c>
      <c r="T237" s="1151"/>
      <c r="AF237" s="1161">
        <v>13</v>
      </c>
    </row>
    <row r="238" spans="1:32" hidden="1" x14ac:dyDescent="0.25">
      <c r="A238" s="1125">
        <v>2</v>
      </c>
      <c r="B238" s="1125">
        <v>14</v>
      </c>
      <c r="C238" s="1126"/>
      <c r="D238" s="1167" t="str">
        <f>IF(C238&lt;&gt;"",IF(-C238&gt;$M$231,1,"0"),"")</f>
        <v/>
      </c>
      <c r="E238" s="1125">
        <v>14</v>
      </c>
      <c r="F238" s="1126"/>
      <c r="G238" s="1167" t="str">
        <f>IF(F238&lt;&gt;"",IF(-F238&gt;$M$231,1,"0"),"")</f>
        <v/>
      </c>
      <c r="H238" s="1125">
        <v>14</v>
      </c>
      <c r="I238" s="1126"/>
      <c r="J238" s="1167" t="str">
        <f>IF(I238&lt;&gt;"",IF(-I238&gt;$M$231,1,"0"),"")</f>
        <v/>
      </c>
      <c r="K238" s="1125">
        <v>14</v>
      </c>
      <c r="L238" s="1126"/>
      <c r="M238" s="1167" t="str">
        <f>IF(L238&lt;&gt;"",IF(-L238&gt;$M$231,1,"0"),"")</f>
        <v/>
      </c>
      <c r="N238" s="1125">
        <v>14</v>
      </c>
      <c r="O238" s="1126"/>
      <c r="P238" s="1167" t="str">
        <f>IF(O238&lt;&gt;"",IF(-O238&gt;$M$231,1,"0"),"")</f>
        <v/>
      </c>
      <c r="Q238" s="1125">
        <v>14</v>
      </c>
      <c r="R238" s="1126"/>
      <c r="S238" s="1167" t="str">
        <f>IF(R238&lt;&gt;"",IF(-R238&gt;$M$231,1,"0"),"")</f>
        <v/>
      </c>
      <c r="T238" s="1151"/>
      <c r="AF238" s="1161">
        <v>13</v>
      </c>
    </row>
    <row r="239" spans="1:32" hidden="1" x14ac:dyDescent="0.25">
      <c r="A239" s="1125">
        <v>3</v>
      </c>
      <c r="B239" s="1125">
        <v>22</v>
      </c>
      <c r="C239" s="1126"/>
      <c r="D239" s="1167" t="str">
        <f>IF(C239&lt;&gt;"",IF(-C239&gt;$M$231,1,"0"),"")</f>
        <v/>
      </c>
      <c r="E239" s="1125">
        <v>22</v>
      </c>
      <c r="F239" s="1126"/>
      <c r="G239" s="1167" t="str">
        <f>IF(F239&lt;&gt;"",IF(-F239&gt;$M$231,1,"0"),"")</f>
        <v/>
      </c>
      <c r="H239" s="1125">
        <v>22</v>
      </c>
      <c r="I239" s="1126"/>
      <c r="J239" s="1167" t="str">
        <f>IF(I239&lt;&gt;"",IF(-I239&gt;$M$231,1,"0"),"")</f>
        <v/>
      </c>
      <c r="K239" s="1125">
        <v>22</v>
      </c>
      <c r="L239" s="1126"/>
      <c r="M239" s="1167" t="str">
        <f>IF(L239&lt;&gt;"",IF(-L239&gt;$M$231,1,"0"),"")</f>
        <v/>
      </c>
      <c r="N239" s="1125">
        <v>22</v>
      </c>
      <c r="O239" s="1126"/>
      <c r="P239" s="1167" t="str">
        <f>IF(O239&lt;&gt;"",IF(-O239&gt;$M$231,1,"0"),"")</f>
        <v/>
      </c>
      <c r="Q239" s="1125">
        <v>22</v>
      </c>
      <c r="R239" s="1126"/>
      <c r="S239" s="1167" t="str">
        <f>IF(R239&lt;&gt;"",IF(-R239&gt;$M$231,1,"0"),"")</f>
        <v/>
      </c>
      <c r="T239" s="1151"/>
      <c r="AF239" s="1161">
        <v>13</v>
      </c>
    </row>
    <row r="240" spans="1:32" hidden="1" x14ac:dyDescent="0.25">
      <c r="A240" s="1125">
        <v>4</v>
      </c>
      <c r="B240" s="1125">
        <v>31</v>
      </c>
      <c r="C240" s="1126"/>
      <c r="D240" s="1167" t="str">
        <f>IF(C240&lt;&gt;"",IF(-C240&gt;$M$231,1,"0"),"")</f>
        <v/>
      </c>
      <c r="E240" s="1125">
        <v>31</v>
      </c>
      <c r="F240" s="1126"/>
      <c r="G240" s="1167" t="str">
        <f>IF(F240&lt;&gt;"",IF(-F240&gt;$M$231,1,"0"),"")</f>
        <v/>
      </c>
      <c r="H240" s="1125">
        <v>31</v>
      </c>
      <c r="I240" s="1126"/>
      <c r="J240" s="1167" t="str">
        <f>IF(I240&lt;&gt;"",IF(-I240&gt;$M$231,1,"0"),"")</f>
        <v/>
      </c>
      <c r="K240" s="1125">
        <v>31</v>
      </c>
      <c r="L240" s="1126"/>
      <c r="M240" s="1167" t="str">
        <f>IF(L240&lt;&gt;"",IF(-L240&gt;$M$231,1,"0"),"")</f>
        <v/>
      </c>
      <c r="N240" s="1125">
        <v>31</v>
      </c>
      <c r="O240" s="1126"/>
      <c r="P240" s="1167" t="str">
        <f>IF(O240&lt;&gt;"",IF(-O240&gt;$M$231,1,"0"),"")</f>
        <v/>
      </c>
      <c r="Q240" s="1125">
        <v>31</v>
      </c>
      <c r="R240" s="1126"/>
      <c r="S240" s="1167" t="str">
        <f>IF(R240&lt;&gt;"",IF(-R240&gt;$M$231,1,"0"),"")</f>
        <v/>
      </c>
      <c r="T240" s="1151"/>
      <c r="AF240" s="1161">
        <v>13</v>
      </c>
    </row>
    <row r="241" spans="1:32" hidden="1" x14ac:dyDescent="0.25">
      <c r="A241" s="1720" t="s">
        <v>267</v>
      </c>
      <c r="B241" s="1720"/>
      <c r="C241" s="1114">
        <f>SUM(C237:C240)</f>
        <v>0</v>
      </c>
      <c r="D241" s="1721"/>
      <c r="E241" s="1722"/>
      <c r="F241" s="1114">
        <f>SUM(F237:F240)</f>
        <v>0</v>
      </c>
      <c r="G241" s="1721"/>
      <c r="H241" s="1722"/>
      <c r="I241" s="1114">
        <f>SUM(I237:I240)</f>
        <v>0</v>
      </c>
      <c r="J241" s="1721"/>
      <c r="K241" s="1722"/>
      <c r="L241" s="1114">
        <f>SUM(L237:L240)</f>
        <v>0</v>
      </c>
      <c r="M241" s="1721"/>
      <c r="N241" s="1722"/>
      <c r="O241" s="1114">
        <f>SUM(O237:O240)</f>
        <v>0</v>
      </c>
      <c r="P241" s="1721"/>
      <c r="Q241" s="1722"/>
      <c r="R241" s="1114">
        <f>SUM(R237:R240)</f>
        <v>0</v>
      </c>
      <c r="S241" s="1132"/>
      <c r="T241" s="1150"/>
      <c r="AF241" s="1161">
        <v>13</v>
      </c>
    </row>
    <row r="242" spans="1:32" hidden="1" x14ac:dyDescent="0.25">
      <c r="A242" s="1720" t="s">
        <v>7997</v>
      </c>
      <c r="B242" s="1720"/>
      <c r="C242" s="1114" t="str">
        <f>IF(COUNT(C237:C240)=0,"",AVERAGE(C237:C240))</f>
        <v/>
      </c>
      <c r="D242" s="1723"/>
      <c r="E242" s="1724"/>
      <c r="F242" s="1114" t="str">
        <f>IF(COUNT(F237:F240)=0,"",AVERAGE(F237:F240))</f>
        <v/>
      </c>
      <c r="G242" s="1723"/>
      <c r="H242" s="1724"/>
      <c r="I242" s="1114" t="str">
        <f>IF(COUNT(I237:I240)=0,"",AVERAGE(I237:I240))</f>
        <v/>
      </c>
      <c r="J242" s="1723"/>
      <c r="K242" s="1724"/>
      <c r="L242" s="1114" t="str">
        <f>IF(COUNT(L237:L240)=0,"",AVERAGE(L237:L240))</f>
        <v/>
      </c>
      <c r="M242" s="1723"/>
      <c r="N242" s="1724"/>
      <c r="O242" s="1114" t="str">
        <f>IF(COUNT(O237:O240)=0,"",AVERAGE(O237:O240))</f>
        <v/>
      </c>
      <c r="P242" s="1723"/>
      <c r="Q242" s="1724"/>
      <c r="R242" s="1114" t="str">
        <f>IF(COUNT(R237:R240)=0,"",AVERAGE(R237:R240))</f>
        <v/>
      </c>
      <c r="S242" s="1133"/>
      <c r="T242" s="1150"/>
      <c r="AF242" s="1161">
        <v>13</v>
      </c>
    </row>
    <row r="243" spans="1:32" ht="15" hidden="1" customHeight="1" x14ac:dyDescent="0.25">
      <c r="A243" s="1727" t="s">
        <v>7999</v>
      </c>
      <c r="B243" s="1728"/>
      <c r="C243" s="1165">
        <f>SUM(D237:D240)</f>
        <v>0</v>
      </c>
      <c r="D243" s="1725"/>
      <c r="E243" s="1726"/>
      <c r="F243" s="1165">
        <f>SUM(G237:G240)</f>
        <v>0</v>
      </c>
      <c r="G243" s="1725"/>
      <c r="H243" s="1726"/>
      <c r="I243" s="1208">
        <f>SUM(J237:J240)</f>
        <v>0</v>
      </c>
      <c r="J243" s="1725"/>
      <c r="K243" s="1726"/>
      <c r="L243" s="1165">
        <f>SUM(M237:M240)</f>
        <v>0</v>
      </c>
      <c r="M243" s="1725"/>
      <c r="N243" s="1726"/>
      <c r="O243" s="1165">
        <f>SUM(P237:P240)</f>
        <v>0</v>
      </c>
      <c r="P243" s="1725"/>
      <c r="Q243" s="1726"/>
      <c r="R243" s="1208">
        <f>SUM(S237:S240)</f>
        <v>0</v>
      </c>
      <c r="S243" s="1134"/>
      <c r="T243" s="1150"/>
      <c r="AF243" s="1161">
        <v>13</v>
      </c>
    </row>
    <row r="244" spans="1:32" hidden="1" x14ac:dyDescent="0.25">
      <c r="A244" s="1115" t="s">
        <v>2973</v>
      </c>
      <c r="B244" s="1112"/>
      <c r="C244" s="1112"/>
      <c r="D244" s="1112"/>
      <c r="E244" s="1112"/>
      <c r="F244" s="1112"/>
      <c r="G244" s="1112"/>
      <c r="H244" s="1112"/>
      <c r="I244" s="1112"/>
      <c r="J244" s="1112"/>
      <c r="K244" s="1112"/>
      <c r="L244" s="1112"/>
      <c r="M244" s="1112"/>
      <c r="N244" s="1112"/>
      <c r="O244" s="1112"/>
      <c r="P244" s="1112"/>
      <c r="Q244" s="1112"/>
      <c r="R244" s="1112"/>
      <c r="S244" s="1112"/>
      <c r="T244" s="1140"/>
      <c r="AF244" s="1161">
        <v>13</v>
      </c>
    </row>
    <row r="245" spans="1:32" hidden="1" x14ac:dyDescent="0.25">
      <c r="A245" s="1719" t="s">
        <v>8011</v>
      </c>
      <c r="B245" s="1719"/>
      <c r="C245" s="1719"/>
      <c r="D245" s="1719"/>
      <c r="E245" s="1719"/>
      <c r="F245" s="1719"/>
      <c r="G245" s="1719"/>
      <c r="H245" s="1719"/>
      <c r="I245" s="1719"/>
      <c r="J245" s="1719"/>
      <c r="K245" s="1719"/>
      <c r="L245" s="1719"/>
      <c r="M245" s="1719"/>
      <c r="N245" s="1719"/>
      <c r="O245" s="1719"/>
      <c r="P245" s="1719"/>
      <c r="Q245" s="1719"/>
      <c r="R245" s="1719"/>
      <c r="S245" s="1719"/>
      <c r="T245" s="1151"/>
      <c r="AF245" s="1161">
        <v>14</v>
      </c>
    </row>
    <row r="246" spans="1:32" ht="5.0999999999999996" hidden="1" customHeight="1" x14ac:dyDescent="0.25">
      <c r="A246" s="1112"/>
      <c r="B246" s="1112"/>
      <c r="C246" s="1112"/>
      <c r="D246" s="1112"/>
      <c r="E246" s="1112"/>
      <c r="F246" s="1112"/>
      <c r="G246" s="1112"/>
      <c r="H246" s="1112"/>
      <c r="I246" s="1112"/>
      <c r="J246" s="1112"/>
      <c r="K246" s="1112"/>
      <c r="L246" s="1112"/>
      <c r="M246" s="1112"/>
      <c r="N246" s="1112"/>
      <c r="O246" s="1112"/>
      <c r="P246" s="1112"/>
      <c r="Q246" s="1112"/>
      <c r="R246" s="1112"/>
      <c r="S246" s="1112"/>
      <c r="T246" s="1140"/>
      <c r="AF246" s="1161">
        <v>14</v>
      </c>
    </row>
    <row r="247" spans="1:32" hidden="1" x14ac:dyDescent="0.25">
      <c r="A247" s="1112" t="s">
        <v>271</v>
      </c>
      <c r="B247" s="1112"/>
      <c r="C247" s="1109"/>
      <c r="D247" s="1711"/>
      <c r="E247" s="1711"/>
      <c r="F247" s="1711"/>
      <c r="G247" s="1112"/>
      <c r="H247" s="1112"/>
      <c r="I247" s="1112"/>
      <c r="J247" s="1209" t="s">
        <v>582</v>
      </c>
      <c r="K247" s="1209"/>
      <c r="L247" s="1159"/>
      <c r="M247" s="1711"/>
      <c r="N247" s="1711"/>
      <c r="O247" s="1711"/>
      <c r="P247" s="1112" t="s">
        <v>68</v>
      </c>
      <c r="Q247" s="1112"/>
      <c r="R247" s="1112"/>
      <c r="S247" s="1112"/>
      <c r="T247" s="1140"/>
      <c r="AF247" s="1161">
        <v>14</v>
      </c>
    </row>
    <row r="248" spans="1:32" hidden="1" x14ac:dyDescent="0.25">
      <c r="A248" s="1112" t="s">
        <v>240</v>
      </c>
      <c r="B248" s="1112"/>
      <c r="C248" s="1109"/>
      <c r="D248" s="1711"/>
      <c r="E248" s="1711"/>
      <c r="F248" s="1711"/>
      <c r="G248" s="1112"/>
      <c r="H248" s="1112"/>
      <c r="I248" s="1112"/>
      <c r="J248" s="1128" t="s">
        <v>767</v>
      </c>
      <c r="K248" s="1128"/>
      <c r="L248" s="1159"/>
      <c r="M248" s="1711"/>
      <c r="N248" s="1711"/>
      <c r="O248" s="1711"/>
      <c r="P248" s="1112"/>
      <c r="Q248" s="1112"/>
      <c r="R248" s="1112"/>
      <c r="S248" s="1112"/>
      <c r="T248" s="1140"/>
      <c r="AF248" s="1161">
        <v>14</v>
      </c>
    </row>
    <row r="249" spans="1:32" hidden="1" x14ac:dyDescent="0.25">
      <c r="A249" s="1112" t="s">
        <v>265</v>
      </c>
      <c r="B249" s="1112"/>
      <c r="C249" s="1109"/>
      <c r="D249" s="1716"/>
      <c r="E249" s="1716"/>
      <c r="F249" s="1716"/>
      <c r="G249" s="1112"/>
      <c r="H249" s="1112"/>
      <c r="I249" s="1112"/>
      <c r="J249" s="1729" t="s">
        <v>3161</v>
      </c>
      <c r="K249" s="1729"/>
      <c r="L249" s="1729"/>
      <c r="M249" s="1717" t="str">
        <f>IF(ISERROR(SUM(C259,F259,I259,L259,O259,R259)/COUNT(C259,F259,I259,L259,O259,R259)),"",-((SUM(C259,F259,I259,L259,O259,R259)/COUNT(C259,F259,I259,L259,O259,R259))))</f>
        <v/>
      </c>
      <c r="N249" s="1717"/>
      <c r="O249" s="1717"/>
      <c r="P249" s="1109"/>
      <c r="Q249" s="1112"/>
      <c r="R249" s="1112"/>
      <c r="S249" s="1112"/>
      <c r="T249" s="1140"/>
      <c r="AF249" s="1161">
        <v>14</v>
      </c>
    </row>
    <row r="250" spans="1:32" hidden="1" x14ac:dyDescent="0.25">
      <c r="A250" s="1710" t="s">
        <v>90</v>
      </c>
      <c r="B250" s="1710"/>
      <c r="C250" s="1109"/>
      <c r="D250" s="1711"/>
      <c r="E250" s="1711"/>
      <c r="F250" s="1711"/>
      <c r="G250" s="1109"/>
      <c r="H250" s="1112"/>
      <c r="I250" s="1112"/>
      <c r="J250" s="1128" t="s">
        <v>2979</v>
      </c>
      <c r="K250" s="1128"/>
      <c r="L250" s="1159"/>
      <c r="M250" s="1712" t="str">
        <f>IF(ISERROR(SUM(C259,F259,I259,L259,O259,R259)/COUNT(C259,F259,I259,L259,O259,R259)),"",-((SUM(C259,F259,I259,L259,O259,R259)/COUNT(C259,F259,I259,L259,O259,R259)))/M248)</f>
        <v/>
      </c>
      <c r="N250" s="1712"/>
      <c r="O250" s="1712"/>
      <c r="P250" s="1112"/>
      <c r="Q250" s="1112"/>
      <c r="R250" s="1112"/>
      <c r="S250" s="1112"/>
      <c r="T250" s="1140"/>
      <c r="AF250" s="1161">
        <v>14</v>
      </c>
    </row>
    <row r="251" spans="1:32" hidden="1" x14ac:dyDescent="0.25">
      <c r="A251" s="1112"/>
      <c r="B251" s="1112"/>
      <c r="C251" s="1117"/>
      <c r="D251" s="1117"/>
      <c r="E251" s="1112"/>
      <c r="F251" s="1112"/>
      <c r="G251" s="1112"/>
      <c r="H251" s="1112"/>
      <c r="I251" s="1112"/>
      <c r="J251" s="1115"/>
      <c r="K251" s="1115"/>
      <c r="L251" s="1115"/>
      <c r="M251" s="1115"/>
      <c r="N251" s="1115"/>
      <c r="O251" s="1115"/>
      <c r="P251" s="1115"/>
      <c r="Q251" s="1115"/>
      <c r="R251" s="1115"/>
      <c r="S251" s="1113" t="s">
        <v>29</v>
      </c>
      <c r="T251" s="1148"/>
      <c r="AF251" s="1161">
        <v>14</v>
      </c>
    </row>
    <row r="252" spans="1:32" hidden="1" x14ac:dyDescent="0.25">
      <c r="A252" s="1208" t="s">
        <v>266</v>
      </c>
      <c r="B252" s="1714">
        <f>$B$31</f>
        <v>43094</v>
      </c>
      <c r="C252" s="1714"/>
      <c r="D252" s="1714"/>
      <c r="E252" s="1714">
        <f>$E$31</f>
        <v>43125</v>
      </c>
      <c r="F252" s="1714"/>
      <c r="G252" s="1714"/>
      <c r="H252" s="1714">
        <f>$H$31</f>
        <v>43156</v>
      </c>
      <c r="I252" s="1714"/>
      <c r="J252" s="1714"/>
      <c r="K252" s="1714">
        <f>$K$31</f>
        <v>43187</v>
      </c>
      <c r="L252" s="1714"/>
      <c r="M252" s="1714"/>
      <c r="N252" s="1714">
        <f>$N$31</f>
        <v>43218</v>
      </c>
      <c r="O252" s="1714"/>
      <c r="P252" s="1714"/>
      <c r="Q252" s="1714">
        <f>$Q$31</f>
        <v>43249</v>
      </c>
      <c r="R252" s="1714"/>
      <c r="S252" s="1714"/>
      <c r="T252" s="1149"/>
      <c r="AF252" s="1161">
        <v>14</v>
      </c>
    </row>
    <row r="253" spans="1:32" hidden="1" x14ac:dyDescent="0.25">
      <c r="A253" s="1208" t="s">
        <v>8</v>
      </c>
      <c r="B253" s="1208" t="s">
        <v>26</v>
      </c>
      <c r="C253" s="1208" t="s">
        <v>268</v>
      </c>
      <c r="D253" s="1208" t="s">
        <v>2972</v>
      </c>
      <c r="E253" s="1208" t="s">
        <v>26</v>
      </c>
      <c r="F253" s="1208" t="s">
        <v>268</v>
      </c>
      <c r="G253" s="1208" t="s">
        <v>2972</v>
      </c>
      <c r="H253" s="1208" t="s">
        <v>26</v>
      </c>
      <c r="I253" s="1208" t="s">
        <v>268</v>
      </c>
      <c r="J253" s="1208" t="s">
        <v>2972</v>
      </c>
      <c r="K253" s="1208" t="s">
        <v>26</v>
      </c>
      <c r="L253" s="1208" t="s">
        <v>268</v>
      </c>
      <c r="M253" s="1208" t="s">
        <v>2972</v>
      </c>
      <c r="N253" s="1208" t="s">
        <v>26</v>
      </c>
      <c r="O253" s="1208" t="s">
        <v>268</v>
      </c>
      <c r="P253" s="1208" t="s">
        <v>2972</v>
      </c>
      <c r="Q253" s="1208" t="s">
        <v>26</v>
      </c>
      <c r="R253" s="1208" t="s">
        <v>268</v>
      </c>
      <c r="S253" s="1208" t="s">
        <v>2972</v>
      </c>
      <c r="T253" s="1150"/>
      <c r="AF253" s="1161">
        <v>14</v>
      </c>
    </row>
    <row r="254" spans="1:32" hidden="1" x14ac:dyDescent="0.25">
      <c r="A254" s="1124">
        <v>1</v>
      </c>
      <c r="B254" s="1124">
        <v>7</v>
      </c>
      <c r="C254" s="1127"/>
      <c r="D254" s="1166" t="str">
        <f>IF(C254&lt;&gt;"",IF(-C254&gt;$M$248,1,"0"),"")</f>
        <v/>
      </c>
      <c r="E254" s="1124">
        <v>7</v>
      </c>
      <c r="F254" s="1127"/>
      <c r="G254" s="1166" t="str">
        <f>IF(F254&lt;&gt;"",IF(-F254&gt;$M$248,1,"0"),"")</f>
        <v/>
      </c>
      <c r="H254" s="1124">
        <v>7</v>
      </c>
      <c r="I254" s="1127"/>
      <c r="J254" s="1166" t="str">
        <f>IF(I254&lt;&gt;"",IF(-I254&gt;$M$248,1,"0"),"")</f>
        <v/>
      </c>
      <c r="K254" s="1124">
        <v>7</v>
      </c>
      <c r="L254" s="1127"/>
      <c r="M254" s="1166" t="str">
        <f>IF(L254&lt;&gt;"",IF(-L254&gt;$M$248,1,"0"),"")</f>
        <v/>
      </c>
      <c r="N254" s="1124">
        <v>7</v>
      </c>
      <c r="O254" s="1127"/>
      <c r="P254" s="1166" t="str">
        <f>IF(O254&lt;&gt;"",IF(-O254&gt;$M$248,1,"0"),"")</f>
        <v/>
      </c>
      <c r="Q254" s="1124">
        <v>7</v>
      </c>
      <c r="R254" s="1127"/>
      <c r="S254" s="1166" t="str">
        <f>IF(R254&lt;&gt;"",IF(-R254&gt;$M$248,1,"0"),"")</f>
        <v/>
      </c>
      <c r="T254" s="1151"/>
      <c r="AF254" s="1161">
        <v>14</v>
      </c>
    </row>
    <row r="255" spans="1:32" hidden="1" x14ac:dyDescent="0.25">
      <c r="A255" s="1125">
        <v>2</v>
      </c>
      <c r="B255" s="1125">
        <v>14</v>
      </c>
      <c r="C255" s="1126"/>
      <c r="D255" s="1167" t="str">
        <f>IF(C255&lt;&gt;"",IF(-C255&gt;$M$248,1,"0"),"")</f>
        <v/>
      </c>
      <c r="E255" s="1125">
        <v>14</v>
      </c>
      <c r="F255" s="1126"/>
      <c r="G255" s="1167" t="str">
        <f>IF(F255&lt;&gt;"",IF(-F255&gt;$M$248,1,"0"),"")</f>
        <v/>
      </c>
      <c r="H255" s="1125">
        <v>14</v>
      </c>
      <c r="I255" s="1126"/>
      <c r="J255" s="1167" t="str">
        <f>IF(I255&lt;&gt;"",IF(-I255&gt;$M$248,1,"0"),"")</f>
        <v/>
      </c>
      <c r="K255" s="1125">
        <v>14</v>
      </c>
      <c r="L255" s="1126"/>
      <c r="M255" s="1167" t="str">
        <f>IF(L255&lt;&gt;"",IF(-L255&gt;$M$248,1,"0"),"")</f>
        <v/>
      </c>
      <c r="N255" s="1125">
        <v>14</v>
      </c>
      <c r="O255" s="1126"/>
      <c r="P255" s="1167" t="str">
        <f>IF(O255&lt;&gt;"",IF(-O255&gt;$M$248,1,"0"),"")</f>
        <v/>
      </c>
      <c r="Q255" s="1125">
        <v>14</v>
      </c>
      <c r="R255" s="1126"/>
      <c r="S255" s="1167" t="str">
        <f>IF(R255&lt;&gt;"",IF(-R255&gt;$M$248,1,"0"),"")</f>
        <v/>
      </c>
      <c r="T255" s="1151"/>
      <c r="AF255" s="1161">
        <v>14</v>
      </c>
    </row>
    <row r="256" spans="1:32" hidden="1" x14ac:dyDescent="0.25">
      <c r="A256" s="1125">
        <v>3</v>
      </c>
      <c r="B256" s="1125">
        <v>22</v>
      </c>
      <c r="C256" s="1126"/>
      <c r="D256" s="1167" t="str">
        <f>IF(C256&lt;&gt;"",IF(-C256&gt;$M$248,1,"0"),"")</f>
        <v/>
      </c>
      <c r="E256" s="1125">
        <v>22</v>
      </c>
      <c r="F256" s="1126"/>
      <c r="G256" s="1167" t="str">
        <f>IF(F256&lt;&gt;"",IF(-F256&gt;$M$248,1,"0"),"")</f>
        <v/>
      </c>
      <c r="H256" s="1125">
        <v>22</v>
      </c>
      <c r="I256" s="1126"/>
      <c r="J256" s="1167" t="str">
        <f>IF(I256&lt;&gt;"",IF(-I256&gt;$M$248,1,"0"),"")</f>
        <v/>
      </c>
      <c r="K256" s="1125">
        <v>22</v>
      </c>
      <c r="L256" s="1126"/>
      <c r="M256" s="1167" t="str">
        <f>IF(L256&lt;&gt;"",IF(-L256&gt;$M$248,1,"0"),"")</f>
        <v/>
      </c>
      <c r="N256" s="1125">
        <v>22</v>
      </c>
      <c r="O256" s="1126"/>
      <c r="P256" s="1167" t="str">
        <f>IF(O256&lt;&gt;"",IF(-O256&gt;$M$248,1,"0"),"")</f>
        <v/>
      </c>
      <c r="Q256" s="1125">
        <v>22</v>
      </c>
      <c r="R256" s="1126"/>
      <c r="S256" s="1167" t="str">
        <f>IF(R256&lt;&gt;"",IF(-R256&gt;$M$248,1,"0"),"")</f>
        <v/>
      </c>
      <c r="T256" s="1151"/>
      <c r="AF256" s="1161">
        <v>14</v>
      </c>
    </row>
    <row r="257" spans="1:32" hidden="1" x14ac:dyDescent="0.25">
      <c r="A257" s="1125">
        <v>4</v>
      </c>
      <c r="B257" s="1125">
        <v>31</v>
      </c>
      <c r="C257" s="1126"/>
      <c r="D257" s="1167" t="str">
        <f>IF(C257&lt;&gt;"",IF(-C257&gt;$M$248,1,"0"),"")</f>
        <v/>
      </c>
      <c r="E257" s="1125">
        <v>31</v>
      </c>
      <c r="F257" s="1126"/>
      <c r="G257" s="1167" t="str">
        <f>IF(F257&lt;&gt;"",IF(-F257&gt;$M$248,1,"0"),"")</f>
        <v/>
      </c>
      <c r="H257" s="1125">
        <v>31</v>
      </c>
      <c r="I257" s="1126"/>
      <c r="J257" s="1167" t="str">
        <f>IF(I257&lt;&gt;"",IF(-I257&gt;$M$248,1,"0"),"")</f>
        <v/>
      </c>
      <c r="K257" s="1125">
        <v>31</v>
      </c>
      <c r="L257" s="1126"/>
      <c r="M257" s="1167" t="str">
        <f>IF(L257&lt;&gt;"",IF(-L257&gt;$M$248,1,"0"),"")</f>
        <v/>
      </c>
      <c r="N257" s="1125">
        <v>31</v>
      </c>
      <c r="O257" s="1126"/>
      <c r="P257" s="1167" t="str">
        <f>IF(O257&lt;&gt;"",IF(-O257&gt;$M$248,1,"0"),"")</f>
        <v/>
      </c>
      <c r="Q257" s="1125">
        <v>31</v>
      </c>
      <c r="R257" s="1126"/>
      <c r="S257" s="1167" t="str">
        <f>IF(R257&lt;&gt;"",IF(-R257&gt;$M$248,1,"0"),"")</f>
        <v/>
      </c>
      <c r="T257" s="1151"/>
      <c r="AF257" s="1161">
        <v>14</v>
      </c>
    </row>
    <row r="258" spans="1:32" hidden="1" x14ac:dyDescent="0.25">
      <c r="A258" s="1720" t="s">
        <v>267</v>
      </c>
      <c r="B258" s="1720"/>
      <c r="C258" s="1114">
        <f>SUM(C254:C257)</f>
        <v>0</v>
      </c>
      <c r="D258" s="1721"/>
      <c r="E258" s="1722"/>
      <c r="F258" s="1114">
        <f>SUM(F254:F257)</f>
        <v>0</v>
      </c>
      <c r="G258" s="1721"/>
      <c r="H258" s="1722"/>
      <c r="I258" s="1114">
        <f>SUM(I254:I257)</f>
        <v>0</v>
      </c>
      <c r="J258" s="1721"/>
      <c r="K258" s="1722"/>
      <c r="L258" s="1114">
        <f>SUM(L254:L257)</f>
        <v>0</v>
      </c>
      <c r="M258" s="1721"/>
      <c r="N258" s="1722"/>
      <c r="O258" s="1114">
        <f>SUM(O254:O257)</f>
        <v>0</v>
      </c>
      <c r="P258" s="1721"/>
      <c r="Q258" s="1722"/>
      <c r="R258" s="1114">
        <f>SUM(R254:R257)</f>
        <v>0</v>
      </c>
      <c r="S258" s="1132"/>
      <c r="T258" s="1150"/>
      <c r="AF258" s="1161">
        <v>14</v>
      </c>
    </row>
    <row r="259" spans="1:32" hidden="1" x14ac:dyDescent="0.25">
      <c r="A259" s="1720" t="s">
        <v>7997</v>
      </c>
      <c r="B259" s="1720"/>
      <c r="C259" s="1114" t="str">
        <f>IF(COUNT(C254:C257)=0,"",AVERAGE(C254:C257))</f>
        <v/>
      </c>
      <c r="D259" s="1723"/>
      <c r="E259" s="1724"/>
      <c r="F259" s="1114" t="str">
        <f>IF(COUNT(F254:F257)=0,"",AVERAGE(F254:F257))</f>
        <v/>
      </c>
      <c r="G259" s="1723"/>
      <c r="H259" s="1724"/>
      <c r="I259" s="1114" t="str">
        <f>IF(COUNT(I254:I257)=0,"",AVERAGE(I254:I257))</f>
        <v/>
      </c>
      <c r="J259" s="1723"/>
      <c r="K259" s="1724"/>
      <c r="L259" s="1114" t="str">
        <f>IF(COUNT(L254:L257)=0,"",AVERAGE(L254:L257))</f>
        <v/>
      </c>
      <c r="M259" s="1723"/>
      <c r="N259" s="1724"/>
      <c r="O259" s="1114" t="str">
        <f>IF(COUNT(O254:O257)=0,"",AVERAGE(O254:O257))</f>
        <v/>
      </c>
      <c r="P259" s="1723"/>
      <c r="Q259" s="1724"/>
      <c r="R259" s="1114" t="str">
        <f>IF(COUNT(R254:R257)=0,"",AVERAGE(R254:R257))</f>
        <v/>
      </c>
      <c r="S259" s="1133"/>
      <c r="T259" s="1150"/>
      <c r="AF259" s="1161">
        <v>14</v>
      </c>
    </row>
    <row r="260" spans="1:32" ht="15" hidden="1" customHeight="1" x14ac:dyDescent="0.25">
      <c r="A260" s="1727" t="s">
        <v>7999</v>
      </c>
      <c r="B260" s="1728"/>
      <c r="C260" s="1165">
        <f>SUM(D254:D257)</f>
        <v>0</v>
      </c>
      <c r="D260" s="1725"/>
      <c r="E260" s="1726"/>
      <c r="F260" s="1165">
        <f>SUM(G254:G257)</f>
        <v>0</v>
      </c>
      <c r="G260" s="1725"/>
      <c r="H260" s="1726"/>
      <c r="I260" s="1208">
        <f>SUM(J254:J257)</f>
        <v>0</v>
      </c>
      <c r="J260" s="1725"/>
      <c r="K260" s="1726"/>
      <c r="L260" s="1165">
        <f>SUM(M254:M257)</f>
        <v>0</v>
      </c>
      <c r="M260" s="1725"/>
      <c r="N260" s="1726"/>
      <c r="O260" s="1165">
        <f>SUM(P254:P257)</f>
        <v>0</v>
      </c>
      <c r="P260" s="1725"/>
      <c r="Q260" s="1726"/>
      <c r="R260" s="1208">
        <f>SUM(S254:S257)</f>
        <v>0</v>
      </c>
      <c r="S260" s="1134"/>
      <c r="T260" s="1150"/>
      <c r="AF260" s="1161">
        <v>14</v>
      </c>
    </row>
    <row r="261" spans="1:32" ht="15" hidden="1" customHeight="1" x14ac:dyDescent="0.25">
      <c r="A261" s="1115" t="s">
        <v>2973</v>
      </c>
      <c r="B261" s="1112"/>
      <c r="C261" s="1112"/>
      <c r="D261" s="1112"/>
      <c r="E261" s="1112"/>
      <c r="F261" s="1112"/>
      <c r="G261" s="1112"/>
      <c r="H261" s="1112"/>
      <c r="I261" s="1112"/>
      <c r="J261" s="1112"/>
      <c r="K261" s="1112"/>
      <c r="L261" s="1112"/>
      <c r="M261" s="1112"/>
      <c r="N261" s="1112"/>
      <c r="O261" s="1112"/>
      <c r="P261" s="1112"/>
      <c r="Q261" s="1112"/>
      <c r="R261" s="1112"/>
      <c r="S261" s="1112"/>
      <c r="T261" s="1140"/>
      <c r="AF261" s="1161">
        <v>14</v>
      </c>
    </row>
    <row r="262" spans="1:32" hidden="1" x14ac:dyDescent="0.25">
      <c r="A262" s="1719" t="s">
        <v>8012</v>
      </c>
      <c r="B262" s="1719"/>
      <c r="C262" s="1719"/>
      <c r="D262" s="1719"/>
      <c r="E262" s="1719"/>
      <c r="F262" s="1719"/>
      <c r="G262" s="1719"/>
      <c r="H262" s="1719"/>
      <c r="I262" s="1719"/>
      <c r="J262" s="1719"/>
      <c r="K262" s="1719"/>
      <c r="L262" s="1719"/>
      <c r="M262" s="1719"/>
      <c r="N262" s="1719"/>
      <c r="O262" s="1719"/>
      <c r="P262" s="1719"/>
      <c r="Q262" s="1719"/>
      <c r="R262" s="1719"/>
      <c r="S262" s="1719"/>
      <c r="T262" s="1146"/>
      <c r="AF262" s="1161">
        <v>15</v>
      </c>
    </row>
    <row r="263" spans="1:32" ht="5.0999999999999996" hidden="1" customHeight="1" x14ac:dyDescent="0.25">
      <c r="A263" s="1112"/>
      <c r="B263" s="1112"/>
      <c r="C263" s="1112"/>
      <c r="D263" s="1112"/>
      <c r="E263" s="1112"/>
      <c r="F263" s="1112"/>
      <c r="G263" s="1112"/>
      <c r="H263" s="1112"/>
      <c r="I263" s="1112"/>
      <c r="J263" s="1112"/>
      <c r="K263" s="1112"/>
      <c r="L263" s="1112"/>
      <c r="M263" s="1112"/>
      <c r="N263" s="1112"/>
      <c r="O263" s="1112"/>
      <c r="P263" s="1112"/>
      <c r="Q263" s="1112"/>
      <c r="R263" s="1112"/>
      <c r="S263" s="1112"/>
      <c r="T263" s="1140"/>
      <c r="AF263" s="1161">
        <v>15</v>
      </c>
    </row>
    <row r="264" spans="1:32" hidden="1" x14ac:dyDescent="0.25">
      <c r="A264" s="1112" t="s">
        <v>271</v>
      </c>
      <c r="B264" s="1112"/>
      <c r="C264" s="1109"/>
      <c r="D264" s="1711"/>
      <c r="E264" s="1711"/>
      <c r="F264" s="1711"/>
      <c r="G264" s="1112"/>
      <c r="H264" s="1112"/>
      <c r="I264" s="1112"/>
      <c r="J264" s="1209" t="s">
        <v>582</v>
      </c>
      <c r="K264" s="1209"/>
      <c r="L264" s="1159"/>
      <c r="M264" s="1711"/>
      <c r="N264" s="1711"/>
      <c r="O264" s="1711"/>
      <c r="P264" s="1112" t="s">
        <v>68</v>
      </c>
      <c r="Q264" s="1112"/>
      <c r="R264" s="1112"/>
      <c r="S264" s="1112"/>
      <c r="T264" s="1140"/>
      <c r="AF264" s="1161">
        <v>15</v>
      </c>
    </row>
    <row r="265" spans="1:32" hidden="1" x14ac:dyDescent="0.25">
      <c r="A265" s="1112" t="s">
        <v>240</v>
      </c>
      <c r="B265" s="1112"/>
      <c r="C265" s="1109"/>
      <c r="D265" s="1711"/>
      <c r="E265" s="1711"/>
      <c r="F265" s="1711"/>
      <c r="G265" s="1112"/>
      <c r="H265" s="1112"/>
      <c r="I265" s="1112"/>
      <c r="J265" s="1128" t="s">
        <v>767</v>
      </c>
      <c r="K265" s="1128"/>
      <c r="L265" s="1159"/>
      <c r="M265" s="1711"/>
      <c r="N265" s="1711"/>
      <c r="O265" s="1711"/>
      <c r="P265" s="1112"/>
      <c r="Q265" s="1112"/>
      <c r="R265" s="1112"/>
      <c r="S265" s="1112"/>
      <c r="T265" s="1140"/>
      <c r="AF265" s="1161">
        <v>15</v>
      </c>
    </row>
    <row r="266" spans="1:32" hidden="1" x14ac:dyDescent="0.25">
      <c r="A266" s="1112" t="s">
        <v>265</v>
      </c>
      <c r="B266" s="1112"/>
      <c r="C266" s="1109"/>
      <c r="D266" s="1716"/>
      <c r="E266" s="1716"/>
      <c r="F266" s="1716"/>
      <c r="G266" s="1112"/>
      <c r="H266" s="1112"/>
      <c r="I266" s="1112"/>
      <c r="J266" s="1729" t="s">
        <v>3161</v>
      </c>
      <c r="K266" s="1729"/>
      <c r="L266" s="1729"/>
      <c r="M266" s="1717" t="str">
        <f>IF(ISERROR(SUM(C276,F276,I276,L276,O276,R276)/COUNT(C276,F276,I276,L276,O276,R276)),"",-((SUM(C276,F276,I276,L276,O276,R276)/COUNT(C276,F276,I276,L276,O276,R276))))</f>
        <v/>
      </c>
      <c r="N266" s="1717"/>
      <c r="O266" s="1717"/>
      <c r="P266" s="1109"/>
      <c r="Q266" s="1112"/>
      <c r="R266" s="1112"/>
      <c r="S266" s="1112"/>
      <c r="T266" s="1140"/>
      <c r="AF266" s="1161">
        <v>15</v>
      </c>
    </row>
    <row r="267" spans="1:32" hidden="1" x14ac:dyDescent="0.25">
      <c r="A267" s="1710" t="s">
        <v>90</v>
      </c>
      <c r="B267" s="1710"/>
      <c r="C267" s="1109"/>
      <c r="D267" s="1711"/>
      <c r="E267" s="1711"/>
      <c r="F267" s="1711"/>
      <c r="G267" s="1109"/>
      <c r="H267" s="1112"/>
      <c r="I267" s="1112"/>
      <c r="J267" s="1128" t="s">
        <v>2979</v>
      </c>
      <c r="K267" s="1128"/>
      <c r="L267" s="1159"/>
      <c r="M267" s="1712" t="str">
        <f>IF(ISERROR(SUM(C276,F276,I276,L276,O276,R276)/COUNT(C276,F276,I276,L276,O276,R276)),"",-((SUM(C276,F276,I276,L276,O276,R276)/COUNT(C276,F276,I276,L276,O276,R276)))/M265)</f>
        <v/>
      </c>
      <c r="N267" s="1712"/>
      <c r="O267" s="1712"/>
      <c r="P267" s="1112"/>
      <c r="Q267" s="1112"/>
      <c r="R267" s="1112"/>
      <c r="S267" s="1112"/>
      <c r="T267" s="1140"/>
      <c r="AF267" s="1161">
        <v>15</v>
      </c>
    </row>
    <row r="268" spans="1:32" hidden="1" x14ac:dyDescent="0.25">
      <c r="A268" s="1112"/>
      <c r="B268" s="1112"/>
      <c r="C268" s="1117"/>
      <c r="D268" s="1117"/>
      <c r="E268" s="1112"/>
      <c r="F268" s="1112"/>
      <c r="G268" s="1112"/>
      <c r="H268" s="1112"/>
      <c r="I268" s="1112"/>
      <c r="J268" s="1115"/>
      <c r="K268" s="1115"/>
      <c r="L268" s="1115"/>
      <c r="M268" s="1115"/>
      <c r="N268" s="1115"/>
      <c r="O268" s="1115"/>
      <c r="P268" s="1115"/>
      <c r="Q268" s="1115"/>
      <c r="R268" s="1115"/>
      <c r="S268" s="1113" t="s">
        <v>29</v>
      </c>
      <c r="T268" s="1148"/>
      <c r="AF268" s="1161">
        <v>15</v>
      </c>
    </row>
    <row r="269" spans="1:32" hidden="1" x14ac:dyDescent="0.25">
      <c r="A269" s="1208" t="s">
        <v>266</v>
      </c>
      <c r="B269" s="1714">
        <f>$B$31</f>
        <v>43094</v>
      </c>
      <c r="C269" s="1714"/>
      <c r="D269" s="1714"/>
      <c r="E269" s="1714">
        <f>$E$31</f>
        <v>43125</v>
      </c>
      <c r="F269" s="1714"/>
      <c r="G269" s="1714"/>
      <c r="H269" s="1714">
        <f>$H$31</f>
        <v>43156</v>
      </c>
      <c r="I269" s="1714"/>
      <c r="J269" s="1714"/>
      <c r="K269" s="1714">
        <f>$K$31</f>
        <v>43187</v>
      </c>
      <c r="L269" s="1714"/>
      <c r="M269" s="1714"/>
      <c r="N269" s="1714">
        <f>$N$31</f>
        <v>43218</v>
      </c>
      <c r="O269" s="1714"/>
      <c r="P269" s="1714"/>
      <c r="Q269" s="1714">
        <f>$Q$31</f>
        <v>43249</v>
      </c>
      <c r="R269" s="1714"/>
      <c r="S269" s="1714"/>
      <c r="T269" s="1149"/>
      <c r="AF269" s="1161">
        <v>15</v>
      </c>
    </row>
    <row r="270" spans="1:32" hidden="1" x14ac:dyDescent="0.25">
      <c r="A270" s="1208" t="s">
        <v>8</v>
      </c>
      <c r="B270" s="1208" t="s">
        <v>26</v>
      </c>
      <c r="C270" s="1208" t="s">
        <v>268</v>
      </c>
      <c r="D270" s="1208" t="s">
        <v>2972</v>
      </c>
      <c r="E270" s="1208" t="s">
        <v>26</v>
      </c>
      <c r="F270" s="1208" t="s">
        <v>268</v>
      </c>
      <c r="G270" s="1208" t="s">
        <v>2972</v>
      </c>
      <c r="H270" s="1208" t="s">
        <v>26</v>
      </c>
      <c r="I270" s="1208" t="s">
        <v>268</v>
      </c>
      <c r="J270" s="1208" t="s">
        <v>2972</v>
      </c>
      <c r="K270" s="1208" t="s">
        <v>26</v>
      </c>
      <c r="L270" s="1208" t="s">
        <v>268</v>
      </c>
      <c r="M270" s="1208" t="s">
        <v>2972</v>
      </c>
      <c r="N270" s="1208" t="s">
        <v>26</v>
      </c>
      <c r="O270" s="1208" t="s">
        <v>268</v>
      </c>
      <c r="P270" s="1208" t="s">
        <v>2972</v>
      </c>
      <c r="Q270" s="1208" t="s">
        <v>26</v>
      </c>
      <c r="R270" s="1208" t="s">
        <v>268</v>
      </c>
      <c r="S270" s="1208" t="s">
        <v>2972</v>
      </c>
      <c r="T270" s="1150"/>
      <c r="AF270" s="1161">
        <v>15</v>
      </c>
    </row>
    <row r="271" spans="1:32" hidden="1" x14ac:dyDescent="0.25">
      <c r="A271" s="1124">
        <v>1</v>
      </c>
      <c r="B271" s="1124">
        <v>7</v>
      </c>
      <c r="C271" s="1127"/>
      <c r="D271" s="1166" t="str">
        <f>IF(C271&lt;&gt;"",IF(-C271&gt;$M$265,1,"0"),"")</f>
        <v/>
      </c>
      <c r="E271" s="1124">
        <v>7</v>
      </c>
      <c r="F271" s="1127"/>
      <c r="G271" s="1166" t="str">
        <f>IF(F271&lt;&gt;"",IF(-F271&gt;$M$265,1,"0"),"")</f>
        <v/>
      </c>
      <c r="H271" s="1124">
        <v>7</v>
      </c>
      <c r="I271" s="1127"/>
      <c r="J271" s="1166" t="str">
        <f>IF(I271&lt;&gt;"",IF(-I271&gt;$M$265,1,"0"),"")</f>
        <v/>
      </c>
      <c r="K271" s="1124">
        <v>7</v>
      </c>
      <c r="L271" s="1127"/>
      <c r="M271" s="1166" t="str">
        <f>IF(L271&lt;&gt;"",IF(-L271&gt;$M$265,1,"0"),"")</f>
        <v/>
      </c>
      <c r="N271" s="1124">
        <v>7</v>
      </c>
      <c r="O271" s="1127"/>
      <c r="P271" s="1166" t="str">
        <f>IF(O271&lt;&gt;"",IF(-O271&gt;$M$265,1,"0"),"")</f>
        <v/>
      </c>
      <c r="Q271" s="1124">
        <v>7</v>
      </c>
      <c r="R271" s="1127"/>
      <c r="S271" s="1166" t="str">
        <f>IF(R271&lt;&gt;"",IF(-R271&gt;$M$265,1,"0"),"")</f>
        <v/>
      </c>
      <c r="T271" s="1151"/>
      <c r="AF271" s="1161">
        <v>15</v>
      </c>
    </row>
    <row r="272" spans="1:32" hidden="1" x14ac:dyDescent="0.25">
      <c r="A272" s="1125">
        <v>2</v>
      </c>
      <c r="B272" s="1125">
        <v>14</v>
      </c>
      <c r="C272" s="1126"/>
      <c r="D272" s="1167" t="str">
        <f>IF(C272&lt;&gt;"",IF(-C272&gt;$M$265,1,"0"),"")</f>
        <v/>
      </c>
      <c r="E272" s="1125">
        <v>14</v>
      </c>
      <c r="F272" s="1126"/>
      <c r="G272" s="1167" t="str">
        <f>IF(F272&lt;&gt;"",IF(-F272&gt;$M$265,1,"0"),"")</f>
        <v/>
      </c>
      <c r="H272" s="1125">
        <v>14</v>
      </c>
      <c r="I272" s="1126"/>
      <c r="J272" s="1167" t="str">
        <f>IF(I272&lt;&gt;"",IF(-I272&gt;$M$265,1,"0"),"")</f>
        <v/>
      </c>
      <c r="K272" s="1125">
        <v>14</v>
      </c>
      <c r="L272" s="1126"/>
      <c r="M272" s="1167" t="str">
        <f>IF(L272&lt;&gt;"",IF(-L272&gt;$M$265,1,"0"),"")</f>
        <v/>
      </c>
      <c r="N272" s="1125">
        <v>14</v>
      </c>
      <c r="O272" s="1126"/>
      <c r="P272" s="1167" t="str">
        <f>IF(O272&lt;&gt;"",IF(-O272&gt;$M$265,1,"0"),"")</f>
        <v/>
      </c>
      <c r="Q272" s="1125">
        <v>14</v>
      </c>
      <c r="R272" s="1126"/>
      <c r="S272" s="1167" t="str">
        <f>IF(R272&lt;&gt;"",IF(-R272&gt;$M$265,1,"0"),"")</f>
        <v/>
      </c>
      <c r="T272" s="1151"/>
      <c r="AF272" s="1161">
        <v>15</v>
      </c>
    </row>
    <row r="273" spans="1:32" hidden="1" x14ac:dyDescent="0.25">
      <c r="A273" s="1125">
        <v>3</v>
      </c>
      <c r="B273" s="1125">
        <v>22</v>
      </c>
      <c r="C273" s="1126"/>
      <c r="D273" s="1167" t="str">
        <f>IF(C273&lt;&gt;"",IF(-C273&gt;$M$265,1,"0"),"")</f>
        <v/>
      </c>
      <c r="E273" s="1125">
        <v>22</v>
      </c>
      <c r="F273" s="1126"/>
      <c r="G273" s="1167" t="str">
        <f>IF(F273&lt;&gt;"",IF(-F273&gt;$M$265,1,"0"),"")</f>
        <v/>
      </c>
      <c r="H273" s="1125">
        <v>22</v>
      </c>
      <c r="I273" s="1126"/>
      <c r="J273" s="1167" t="str">
        <f>IF(I273&lt;&gt;"",IF(-I273&gt;$M$265,1,"0"),"")</f>
        <v/>
      </c>
      <c r="K273" s="1125">
        <v>22</v>
      </c>
      <c r="L273" s="1126"/>
      <c r="M273" s="1167" t="str">
        <f>IF(L273&lt;&gt;"",IF(-L273&gt;$M$265,1,"0"),"")</f>
        <v/>
      </c>
      <c r="N273" s="1125">
        <v>22</v>
      </c>
      <c r="O273" s="1126"/>
      <c r="P273" s="1167" t="str">
        <f>IF(O273&lt;&gt;"",IF(-O273&gt;$M$265,1,"0"),"")</f>
        <v/>
      </c>
      <c r="Q273" s="1125">
        <v>22</v>
      </c>
      <c r="R273" s="1126"/>
      <c r="S273" s="1167" t="str">
        <f>IF(R273&lt;&gt;"",IF(-R273&gt;$M$265,1,"0"),"")</f>
        <v/>
      </c>
      <c r="T273" s="1151"/>
      <c r="AF273" s="1161">
        <v>15</v>
      </c>
    </row>
    <row r="274" spans="1:32" hidden="1" x14ac:dyDescent="0.25">
      <c r="A274" s="1125">
        <v>4</v>
      </c>
      <c r="B274" s="1125">
        <v>31</v>
      </c>
      <c r="C274" s="1126"/>
      <c r="D274" s="1167" t="str">
        <f>IF(C274&lt;&gt;"",IF(-C274&gt;$M$265,1,"0"),"")</f>
        <v/>
      </c>
      <c r="E274" s="1125">
        <v>31</v>
      </c>
      <c r="F274" s="1126"/>
      <c r="G274" s="1167" t="str">
        <f>IF(F274&lt;&gt;"",IF(-F274&gt;$M$265,1,"0"),"")</f>
        <v/>
      </c>
      <c r="H274" s="1125">
        <v>31</v>
      </c>
      <c r="I274" s="1126"/>
      <c r="J274" s="1167" t="str">
        <f>IF(I274&lt;&gt;"",IF(-I274&gt;$M$265,1,"0"),"")</f>
        <v/>
      </c>
      <c r="K274" s="1125">
        <v>31</v>
      </c>
      <c r="L274" s="1126"/>
      <c r="M274" s="1167" t="str">
        <f>IF(L274&lt;&gt;"",IF(-L274&gt;$M$265,1,"0"),"")</f>
        <v/>
      </c>
      <c r="N274" s="1125">
        <v>31</v>
      </c>
      <c r="O274" s="1126"/>
      <c r="P274" s="1167" t="str">
        <f>IF(O274&lt;&gt;"",IF(-O274&gt;$M$265,1,"0"),"")</f>
        <v/>
      </c>
      <c r="Q274" s="1125">
        <v>31</v>
      </c>
      <c r="R274" s="1126"/>
      <c r="S274" s="1167" t="str">
        <f>IF(R274&lt;&gt;"",IF(-R274&gt;$M$265,1,"0"),"")</f>
        <v/>
      </c>
      <c r="T274" s="1151"/>
      <c r="AF274" s="1161">
        <v>15</v>
      </c>
    </row>
    <row r="275" spans="1:32" hidden="1" x14ac:dyDescent="0.25">
      <c r="A275" s="1720" t="s">
        <v>267</v>
      </c>
      <c r="B275" s="1720"/>
      <c r="C275" s="1114">
        <f>SUM(C271:C274)</f>
        <v>0</v>
      </c>
      <c r="D275" s="1721"/>
      <c r="E275" s="1722"/>
      <c r="F275" s="1114">
        <f>SUM(F271:F274)</f>
        <v>0</v>
      </c>
      <c r="G275" s="1721"/>
      <c r="H275" s="1722"/>
      <c r="I275" s="1114">
        <f>SUM(I271:I274)</f>
        <v>0</v>
      </c>
      <c r="J275" s="1721"/>
      <c r="K275" s="1722"/>
      <c r="L275" s="1114">
        <f>SUM(L271:L274)</f>
        <v>0</v>
      </c>
      <c r="M275" s="1721"/>
      <c r="N275" s="1722"/>
      <c r="O275" s="1114">
        <f>SUM(O271:O274)</f>
        <v>0</v>
      </c>
      <c r="P275" s="1721"/>
      <c r="Q275" s="1722"/>
      <c r="R275" s="1114">
        <f>SUM(R271:R274)</f>
        <v>0</v>
      </c>
      <c r="S275" s="1132"/>
      <c r="T275" s="1150"/>
      <c r="AF275" s="1161">
        <v>15</v>
      </c>
    </row>
    <row r="276" spans="1:32" hidden="1" x14ac:dyDescent="0.25">
      <c r="A276" s="1720" t="s">
        <v>7997</v>
      </c>
      <c r="B276" s="1720"/>
      <c r="C276" s="1114" t="str">
        <f>IF(COUNT(C271:C274)=0,"",AVERAGE(C271:C274))</f>
        <v/>
      </c>
      <c r="D276" s="1723"/>
      <c r="E276" s="1724"/>
      <c r="F276" s="1114" t="str">
        <f>IF(COUNT(F271:F274)=0,"",AVERAGE(F271:F274))</f>
        <v/>
      </c>
      <c r="G276" s="1723"/>
      <c r="H276" s="1724"/>
      <c r="I276" s="1114" t="str">
        <f>IF(COUNT(I271:I274)=0,"",AVERAGE(I271:I274))</f>
        <v/>
      </c>
      <c r="J276" s="1723"/>
      <c r="K276" s="1724"/>
      <c r="L276" s="1114" t="str">
        <f>IF(COUNT(L271:L274)=0,"",AVERAGE(L271:L274))</f>
        <v/>
      </c>
      <c r="M276" s="1723"/>
      <c r="N276" s="1724"/>
      <c r="O276" s="1114" t="str">
        <f>IF(COUNT(O271:O274)=0,"",AVERAGE(O271:O274))</f>
        <v/>
      </c>
      <c r="P276" s="1723"/>
      <c r="Q276" s="1724"/>
      <c r="R276" s="1114" t="str">
        <f>IF(COUNT(R271:R274)=0,"",AVERAGE(R271:R274))</f>
        <v/>
      </c>
      <c r="S276" s="1133"/>
      <c r="T276" s="1150"/>
      <c r="AF276" s="1161">
        <v>15</v>
      </c>
    </row>
    <row r="277" spans="1:32" ht="15" hidden="1" customHeight="1" x14ac:dyDescent="0.25">
      <c r="A277" s="1727" t="s">
        <v>7999</v>
      </c>
      <c r="B277" s="1728"/>
      <c r="C277" s="1165">
        <f>SUM(D271:D274)</f>
        <v>0</v>
      </c>
      <c r="D277" s="1725"/>
      <c r="E277" s="1726"/>
      <c r="F277" s="1165">
        <f>SUM(G271:G274)</f>
        <v>0</v>
      </c>
      <c r="G277" s="1725"/>
      <c r="H277" s="1726"/>
      <c r="I277" s="1208">
        <f>SUM(J271:J274)</f>
        <v>0</v>
      </c>
      <c r="J277" s="1725"/>
      <c r="K277" s="1726"/>
      <c r="L277" s="1165">
        <f>SUM(M271:M274)</f>
        <v>0</v>
      </c>
      <c r="M277" s="1725"/>
      <c r="N277" s="1726"/>
      <c r="O277" s="1165">
        <f>SUM(P271:P274)</f>
        <v>0</v>
      </c>
      <c r="P277" s="1725"/>
      <c r="Q277" s="1726"/>
      <c r="R277" s="1208">
        <f>SUM(S271:S274)</f>
        <v>0</v>
      </c>
      <c r="S277" s="1134"/>
      <c r="T277" s="1150"/>
      <c r="AF277" s="1161">
        <v>15</v>
      </c>
    </row>
    <row r="278" spans="1:32" hidden="1" x14ac:dyDescent="0.25">
      <c r="A278" s="1115" t="s">
        <v>2973</v>
      </c>
      <c r="B278" s="1112"/>
      <c r="C278" s="1112"/>
      <c r="D278" s="1112"/>
      <c r="E278" s="1112"/>
      <c r="F278" s="1112"/>
      <c r="G278" s="1112"/>
      <c r="H278" s="1112"/>
      <c r="I278" s="1112"/>
      <c r="J278" s="1112"/>
      <c r="K278" s="1112"/>
      <c r="L278" s="1112"/>
      <c r="M278" s="1112"/>
      <c r="N278" s="1112"/>
      <c r="O278" s="1112"/>
      <c r="P278" s="1112"/>
      <c r="Q278" s="1112"/>
      <c r="R278" s="1112"/>
      <c r="S278" s="1112"/>
      <c r="T278" s="1140"/>
      <c r="AF278" s="1161">
        <v>15</v>
      </c>
    </row>
    <row r="279" spans="1:32" hidden="1" x14ac:dyDescent="0.25">
      <c r="A279" s="1115"/>
      <c r="B279" s="1112"/>
      <c r="C279" s="1112"/>
      <c r="D279" s="1112"/>
      <c r="E279" s="1112"/>
      <c r="F279" s="1112"/>
      <c r="G279" s="1112"/>
      <c r="H279" s="1112"/>
      <c r="I279" s="1112"/>
      <c r="J279" s="1112"/>
      <c r="K279" s="1112"/>
      <c r="L279" s="1112"/>
      <c r="M279" s="1112"/>
      <c r="N279" s="1112"/>
      <c r="O279" s="1112"/>
      <c r="P279" s="1112"/>
      <c r="Q279" s="1112"/>
      <c r="R279" s="1112"/>
      <c r="S279" s="1112"/>
      <c r="T279" s="1140"/>
      <c r="AF279" s="1161">
        <v>10</v>
      </c>
    </row>
    <row r="280" spans="1:32" x14ac:dyDescent="0.25">
      <c r="A280" s="1730" t="s">
        <v>8013</v>
      </c>
      <c r="B280" s="1731"/>
      <c r="C280" s="1731"/>
      <c r="D280" s="1731"/>
      <c r="E280" s="1731"/>
      <c r="F280" s="1731"/>
      <c r="G280" s="1731"/>
      <c r="H280" s="1731"/>
      <c r="I280" s="1731"/>
      <c r="J280" s="1731"/>
      <c r="K280" s="1731"/>
      <c r="L280" s="1731"/>
      <c r="M280" s="1731"/>
      <c r="N280" s="1731"/>
      <c r="O280" s="1731"/>
      <c r="P280" s="1731"/>
      <c r="Q280" s="1731"/>
      <c r="R280" s="1731"/>
      <c r="S280" s="1732"/>
      <c r="T280" s="1144"/>
      <c r="AF280" s="1161">
        <v>1</v>
      </c>
    </row>
    <row r="281" spans="1:32" x14ac:dyDescent="0.25">
      <c r="A281" s="1719" t="s">
        <v>8014</v>
      </c>
      <c r="B281" s="1719"/>
      <c r="C281" s="1719"/>
      <c r="D281" s="1719"/>
      <c r="E281" s="1719"/>
      <c r="F281" s="1719"/>
      <c r="G281" s="1719"/>
      <c r="H281" s="1719"/>
      <c r="I281" s="1719"/>
      <c r="J281" s="1719"/>
      <c r="K281" s="1719"/>
      <c r="L281" s="1719"/>
      <c r="M281" s="1719"/>
      <c r="N281" s="1719"/>
      <c r="O281" s="1719"/>
      <c r="P281" s="1719"/>
      <c r="Q281" s="1719"/>
      <c r="R281" s="1719"/>
      <c r="S281" s="1719"/>
      <c r="T281" s="1146"/>
      <c r="AF281" s="1161">
        <v>1</v>
      </c>
    </row>
    <row r="282" spans="1:32" ht="5.0999999999999996" customHeight="1" x14ac:dyDescent="0.25">
      <c r="A282" s="1112"/>
      <c r="B282" s="1112"/>
      <c r="C282" s="1123"/>
      <c r="D282" s="1123"/>
      <c r="E282" s="1112"/>
      <c r="F282" s="1112"/>
      <c r="G282" s="1112"/>
      <c r="H282" s="1112"/>
      <c r="I282" s="1112"/>
      <c r="J282" s="1112"/>
      <c r="K282" s="1112"/>
      <c r="L282" s="1112"/>
      <c r="M282" s="1112"/>
      <c r="N282" s="1112"/>
      <c r="O282" s="1112"/>
      <c r="P282" s="1112"/>
      <c r="Q282" s="1112"/>
      <c r="R282" s="1112"/>
      <c r="S282" s="1112"/>
      <c r="T282" s="1140"/>
      <c r="AF282" s="1161">
        <v>1</v>
      </c>
    </row>
    <row r="283" spans="1:32" x14ac:dyDescent="0.25">
      <c r="A283" s="1112" t="s">
        <v>271</v>
      </c>
      <c r="B283" s="1112"/>
      <c r="C283" s="1109"/>
      <c r="D283" s="1733" t="str">
        <f>D26</f>
        <v>BARITO INTI PERKASA</v>
      </c>
      <c r="E283" s="1733"/>
      <c r="F283" s="1733"/>
      <c r="G283" s="1109"/>
      <c r="H283" s="1117" t="s">
        <v>763</v>
      </c>
      <c r="I283" s="1117"/>
      <c r="J283" s="1109"/>
      <c r="K283" s="1733">
        <f>IF(COUNT(C295,F295,I295,L295,O295,R295)=0,"",AVERAGE(C295,F295,I295,L295,O295,R295))</f>
        <v>213.69999999999996</v>
      </c>
      <c r="L283" s="1733"/>
      <c r="M283" s="1135"/>
      <c r="N283" s="1135"/>
      <c r="O283" s="1135"/>
      <c r="P283" s="1135"/>
      <c r="Q283" s="1135"/>
      <c r="R283" s="1135"/>
      <c r="S283" s="1135"/>
      <c r="T283" s="1152"/>
      <c r="AF283" s="1161">
        <v>1</v>
      </c>
    </row>
    <row r="284" spans="1:32" x14ac:dyDescent="0.25">
      <c r="A284" s="1112" t="s">
        <v>240</v>
      </c>
      <c r="B284" s="1112"/>
      <c r="C284" s="1109"/>
      <c r="D284" s="1734" t="str">
        <f>D27</f>
        <v>BCA</v>
      </c>
      <c r="E284" s="1734"/>
      <c r="F284" s="1734"/>
      <c r="G284" s="1109"/>
      <c r="H284" s="1117" t="s">
        <v>764</v>
      </c>
      <c r="I284" s="1117"/>
      <c r="J284" s="1109"/>
      <c r="K284" s="1734">
        <f>IF(ISERROR(SUM(C298,F298,I298,L298,O298,R298)/COUNT(C295,F295,I295,L295,O295,R295)),"",SUM(C298,F298,I298,L298,O298,R298,)/COUNT(C295,F295,I295,L295,O295,R295))</f>
        <v>125.79683333333334</v>
      </c>
      <c r="L284" s="1734"/>
      <c r="M284" s="1135"/>
      <c r="N284" s="1135"/>
      <c r="O284" s="1135"/>
      <c r="P284" s="1135"/>
      <c r="Q284" s="1135"/>
      <c r="R284" s="1135"/>
      <c r="S284" s="1135"/>
      <c r="T284" s="1152"/>
      <c r="U284" s="1158"/>
      <c r="AF284" s="1161">
        <v>1</v>
      </c>
    </row>
    <row r="285" spans="1:32" x14ac:dyDescent="0.25">
      <c r="A285" s="1112" t="s">
        <v>265</v>
      </c>
      <c r="B285" s="1112"/>
      <c r="C285" s="1109"/>
      <c r="D285" s="1734" t="str">
        <f>D28</f>
        <v>7820230455</v>
      </c>
      <c r="E285" s="1734"/>
      <c r="F285" s="1734"/>
      <c r="G285" s="1109"/>
      <c r="H285" s="1117" t="s">
        <v>765</v>
      </c>
      <c r="I285" s="1117"/>
      <c r="J285" s="1109"/>
      <c r="K285" s="1770" t="str">
        <f>IF(ISERROR(K284/D286),"",K284/D286)</f>
        <v/>
      </c>
      <c r="L285" s="1770"/>
      <c r="M285" s="1136"/>
      <c r="N285" s="1136"/>
      <c r="O285" s="1136"/>
      <c r="P285" s="1136"/>
      <c r="Q285" s="1136"/>
      <c r="R285" s="1136"/>
      <c r="S285" s="1136"/>
      <c r="T285" s="1152"/>
      <c r="U285" s="1158"/>
      <c r="AF285" s="1161">
        <v>1</v>
      </c>
    </row>
    <row r="286" spans="1:32" x14ac:dyDescent="0.25">
      <c r="A286" s="1116" t="s">
        <v>767</v>
      </c>
      <c r="B286" s="1116"/>
      <c r="C286" s="1111"/>
      <c r="D286" s="1771">
        <f>M27</f>
        <v>0</v>
      </c>
      <c r="E286" s="1771"/>
      <c r="F286" s="1771"/>
      <c r="G286" s="1112"/>
      <c r="H286" s="1112" t="s">
        <v>8031</v>
      </c>
      <c r="I286" s="1112"/>
      <c r="J286" s="1122"/>
      <c r="K286" s="1734">
        <f>IF(ISERROR(SUM(C294,F294,I294,L294,O294,R294)/SUM(T294:Y294)),"",SUM(C294,F294,I294,L294,O294,R294)/SUM(T294:Y294))</f>
        <v>37.596041666666665</v>
      </c>
      <c r="L286" s="1734"/>
      <c r="M286" s="1122"/>
      <c r="N286" s="1122"/>
      <c r="O286" s="1122"/>
      <c r="P286" s="1122"/>
      <c r="Q286" s="1122"/>
      <c r="R286" s="1122"/>
      <c r="S286" s="1122"/>
      <c r="T286" s="1152"/>
      <c r="U286" s="1158"/>
      <c r="AF286" s="1161">
        <v>1</v>
      </c>
    </row>
    <row r="287" spans="1:32" x14ac:dyDescent="0.25">
      <c r="A287" s="1112"/>
      <c r="B287" s="1112"/>
      <c r="C287" s="1117"/>
      <c r="D287" s="1117"/>
      <c r="E287" s="1112"/>
      <c r="F287" s="1112"/>
      <c r="G287" s="1112"/>
      <c r="H287" s="1112"/>
      <c r="I287" s="1112"/>
      <c r="J287" s="1115"/>
      <c r="K287" s="1115"/>
      <c r="L287" s="1115"/>
      <c r="M287" s="1115"/>
      <c r="N287" s="1115"/>
      <c r="O287" s="1115"/>
      <c r="P287" s="1115"/>
      <c r="Q287" s="1115"/>
      <c r="R287" s="1115"/>
      <c r="S287" s="1113" t="s">
        <v>29</v>
      </c>
      <c r="T287" s="1152"/>
      <c r="U287" s="1158"/>
      <c r="V287" s="1158"/>
      <c r="AF287" s="1161">
        <v>1</v>
      </c>
    </row>
    <row r="288" spans="1:32" x14ac:dyDescent="0.25">
      <c r="A288" s="1208" t="s">
        <v>266</v>
      </c>
      <c r="B288" s="1714">
        <f>$B$31</f>
        <v>43094</v>
      </c>
      <c r="C288" s="1714"/>
      <c r="D288" s="1714"/>
      <c r="E288" s="1714">
        <f>$E$31</f>
        <v>43125</v>
      </c>
      <c r="F288" s="1714"/>
      <c r="G288" s="1714"/>
      <c r="H288" s="1714">
        <f>$H$31</f>
        <v>43156</v>
      </c>
      <c r="I288" s="1714"/>
      <c r="J288" s="1714"/>
      <c r="K288" s="1714">
        <f>$K$31</f>
        <v>43187</v>
      </c>
      <c r="L288" s="1714"/>
      <c r="M288" s="1714"/>
      <c r="N288" s="1714">
        <f>$N$31</f>
        <v>43218</v>
      </c>
      <c r="O288" s="1714"/>
      <c r="P288" s="1714"/>
      <c r="Q288" s="1714">
        <f>$Q$31</f>
        <v>43249</v>
      </c>
      <c r="R288" s="1714"/>
      <c r="S288" s="1714"/>
      <c r="T288" s="1152"/>
      <c r="U288" s="1158"/>
      <c r="V288" s="1158"/>
      <c r="AF288" s="1161">
        <v>1</v>
      </c>
    </row>
    <row r="289" spans="1:32" x14ac:dyDescent="0.25">
      <c r="A289" s="1208" t="s">
        <v>8</v>
      </c>
      <c r="B289" s="1208" t="s">
        <v>26</v>
      </c>
      <c r="C289" s="1675" t="s">
        <v>8030</v>
      </c>
      <c r="D289" s="1676"/>
      <c r="E289" s="1208" t="s">
        <v>26</v>
      </c>
      <c r="F289" s="1675" t="s">
        <v>8030</v>
      </c>
      <c r="G289" s="1676"/>
      <c r="H289" s="1208" t="s">
        <v>26</v>
      </c>
      <c r="I289" s="1675" t="s">
        <v>8030</v>
      </c>
      <c r="J289" s="1676"/>
      <c r="K289" s="1208" t="s">
        <v>26</v>
      </c>
      <c r="L289" s="1675" t="s">
        <v>8030</v>
      </c>
      <c r="M289" s="1676"/>
      <c r="N289" s="1208" t="s">
        <v>26</v>
      </c>
      <c r="O289" s="1675" t="s">
        <v>8030</v>
      </c>
      <c r="P289" s="1676"/>
      <c r="Q289" s="1208" t="s">
        <v>26</v>
      </c>
      <c r="R289" s="1675" t="s">
        <v>8030</v>
      </c>
      <c r="S289" s="1676"/>
      <c r="T289" s="1152"/>
      <c r="U289" s="1158"/>
      <c r="V289" s="1158"/>
      <c r="AF289" s="1161">
        <v>1</v>
      </c>
    </row>
    <row r="290" spans="1:32" x14ac:dyDescent="0.25">
      <c r="A290" s="1170">
        <v>1</v>
      </c>
      <c r="B290" s="1170">
        <v>7</v>
      </c>
      <c r="C290" s="1737">
        <v>75.531000000000006</v>
      </c>
      <c r="D290" s="1738"/>
      <c r="E290" s="1170">
        <v>7</v>
      </c>
      <c r="F290" s="1737">
        <v>75.531999999999996</v>
      </c>
      <c r="G290" s="1738"/>
      <c r="H290" s="1170">
        <v>7</v>
      </c>
      <c r="I290" s="1737">
        <v>1.9650000000000001</v>
      </c>
      <c r="J290" s="1738"/>
      <c r="K290" s="1170">
        <v>7</v>
      </c>
      <c r="L290" s="1737">
        <v>1.554</v>
      </c>
      <c r="M290" s="1738"/>
      <c r="N290" s="1170">
        <v>7</v>
      </c>
      <c r="O290" s="1737">
        <v>2.2709999999999999</v>
      </c>
      <c r="P290" s="1738"/>
      <c r="Q290" s="1170">
        <v>7</v>
      </c>
      <c r="R290" s="1737">
        <v>51.345999999999997</v>
      </c>
      <c r="S290" s="1738"/>
      <c r="T290" s="1168">
        <f>IF(C290&lt;&gt;"",IF(C290=0,0,1),0)</f>
        <v>1</v>
      </c>
      <c r="U290" s="1168">
        <f>IF(F290&lt;&gt;"",IF(F290=0,0,1),0)</f>
        <v>1</v>
      </c>
      <c r="V290" s="1169">
        <f>IF(I290&lt;&gt;"",IF(I290=0,0,1),0)</f>
        <v>1</v>
      </c>
      <c r="W290" s="1157">
        <f>IF(L290&lt;&gt;"",IF(L290=0,0,1),0)</f>
        <v>1</v>
      </c>
      <c r="X290" s="1157">
        <f>IF(O290&lt;&gt;"",IF(O290=0,0,1),0)</f>
        <v>1</v>
      </c>
      <c r="Y290" s="1157">
        <f>IF(R290&lt;&gt;"",IF(R290=0,0,1),0)</f>
        <v>1</v>
      </c>
      <c r="AF290" s="1161">
        <v>1</v>
      </c>
    </row>
    <row r="291" spans="1:32" x14ac:dyDescent="0.25">
      <c r="A291" s="1171">
        <v>2</v>
      </c>
      <c r="B291" s="1171">
        <v>14</v>
      </c>
      <c r="C291" s="1762">
        <v>17.626999999999999</v>
      </c>
      <c r="D291" s="1763"/>
      <c r="E291" s="1171">
        <v>14</v>
      </c>
      <c r="F291" s="1762">
        <v>17.626999999999999</v>
      </c>
      <c r="G291" s="1763"/>
      <c r="H291" s="1171">
        <v>14</v>
      </c>
      <c r="I291" s="1762">
        <v>1.9650000000000001</v>
      </c>
      <c r="J291" s="1763"/>
      <c r="K291" s="1171">
        <v>14</v>
      </c>
      <c r="L291" s="1762">
        <v>14.254</v>
      </c>
      <c r="M291" s="1763"/>
      <c r="N291" s="1171">
        <v>14</v>
      </c>
      <c r="O291" s="1762">
        <v>16.370999999999999</v>
      </c>
      <c r="P291" s="1763"/>
      <c r="Q291" s="1171">
        <v>14</v>
      </c>
      <c r="R291" s="1762">
        <v>19.346</v>
      </c>
      <c r="S291" s="1763"/>
      <c r="T291" s="1168">
        <f>IF(C291&lt;&gt;"",IF(C291=0,0,1),0)</f>
        <v>1</v>
      </c>
      <c r="U291" s="1168">
        <f>IF(F291&lt;&gt;"",IF(F291=0,0,1),0)</f>
        <v>1</v>
      </c>
      <c r="V291" s="1169">
        <f>IF(I291&lt;&gt;"",IF(I291=0,0,1),0)</f>
        <v>1</v>
      </c>
      <c r="W291" s="1157">
        <f>IF(L291&lt;&gt;"",IF(L291=0,0,1),0)</f>
        <v>1</v>
      </c>
      <c r="X291" s="1157">
        <f>IF(O291&lt;&gt;"",IF(O291=0,0,1),0)</f>
        <v>1</v>
      </c>
      <c r="Y291" s="1157">
        <f>IF(R291&lt;&gt;"",IF(R291=0,0,1),0)</f>
        <v>1</v>
      </c>
      <c r="AF291" s="1161">
        <v>1</v>
      </c>
    </row>
    <row r="292" spans="1:32" x14ac:dyDescent="0.25">
      <c r="A292" s="1171">
        <v>3</v>
      </c>
      <c r="B292" s="1171">
        <v>22</v>
      </c>
      <c r="C292" s="1762">
        <v>31.626999999999999</v>
      </c>
      <c r="D292" s="1763"/>
      <c r="E292" s="1171">
        <v>22</v>
      </c>
      <c r="F292" s="1762">
        <v>31.626999999999999</v>
      </c>
      <c r="G292" s="1763"/>
      <c r="H292" s="1171">
        <v>22</v>
      </c>
      <c r="I292" s="1762">
        <v>29.164999999999999</v>
      </c>
      <c r="J292" s="1763"/>
      <c r="K292" s="1171">
        <v>22</v>
      </c>
      <c r="L292" s="1762">
        <v>159.35400000000001</v>
      </c>
      <c r="M292" s="1763"/>
      <c r="N292" s="1171">
        <v>22</v>
      </c>
      <c r="O292" s="1762">
        <v>16.370999999999999</v>
      </c>
      <c r="P292" s="1763"/>
      <c r="Q292" s="1171">
        <v>22</v>
      </c>
      <c r="R292" s="1762">
        <v>33.345999999999997</v>
      </c>
      <c r="S292" s="1763"/>
      <c r="T292" s="1168">
        <f>IF(C292&lt;&gt;"",IF(C292=0,0,1),0)</f>
        <v>1</v>
      </c>
      <c r="U292" s="1168">
        <f>IF(F292&lt;&gt;"",IF(F292=0,0,1),0)</f>
        <v>1</v>
      </c>
      <c r="V292" s="1169">
        <f>IF(I292&lt;&gt;"",IF(I292=0,0,1),0)</f>
        <v>1</v>
      </c>
      <c r="W292" s="1157">
        <f>IF(L292&lt;&gt;"",IF(L292=0,0,1),0)</f>
        <v>1</v>
      </c>
      <c r="X292" s="1157">
        <f>IF(O292&lt;&gt;"",IF(O292=0,0,1),0)</f>
        <v>1</v>
      </c>
      <c r="Y292" s="1157">
        <f>IF(R292&lt;&gt;"",IF(R292=0,0,1),0)</f>
        <v>1</v>
      </c>
      <c r="AF292" s="1161">
        <v>1</v>
      </c>
    </row>
    <row r="293" spans="1:32" x14ac:dyDescent="0.25">
      <c r="A293" s="1172">
        <v>4</v>
      </c>
      <c r="B293" s="1172">
        <v>31</v>
      </c>
      <c r="C293" s="1772">
        <v>147.66499999999999</v>
      </c>
      <c r="D293" s="1773"/>
      <c r="E293" s="1172">
        <v>31</v>
      </c>
      <c r="F293" s="1772">
        <v>147.66499999999999</v>
      </c>
      <c r="G293" s="1773"/>
      <c r="H293" s="1172">
        <v>31</v>
      </c>
      <c r="I293" s="1772">
        <v>1.6539999999999999</v>
      </c>
      <c r="J293" s="1773"/>
      <c r="K293" s="1172">
        <v>31</v>
      </c>
      <c r="L293" s="1772">
        <v>2.2709999999999999</v>
      </c>
      <c r="M293" s="1773"/>
      <c r="N293" s="1172">
        <v>31</v>
      </c>
      <c r="O293" s="1772">
        <v>1.3460000000000001</v>
      </c>
      <c r="P293" s="1773"/>
      <c r="Q293" s="1172">
        <v>31</v>
      </c>
      <c r="R293" s="1772">
        <v>4.8250000000000002</v>
      </c>
      <c r="S293" s="1773"/>
      <c r="T293" s="1168">
        <f>IF(C293&lt;&gt;"",IF(C293=0,0,1),0)</f>
        <v>1</v>
      </c>
      <c r="U293" s="1168">
        <f>IF(F293&lt;&gt;"",IF(F293=0,0,1),0)</f>
        <v>1</v>
      </c>
      <c r="V293" s="1169">
        <f>IF(I293&lt;&gt;"",IF(I293=0,0,1),0)</f>
        <v>1</v>
      </c>
      <c r="W293" s="1157">
        <f>IF(L293&lt;&gt;"",IF(L293=0,0,1),0)</f>
        <v>1</v>
      </c>
      <c r="X293" s="1157">
        <f>IF(O293&lt;&gt;"",IF(O293=0,0,1),0)</f>
        <v>1</v>
      </c>
      <c r="Y293" s="1157">
        <f>IF(R293&lt;&gt;"",IF(R293=0,0,1),0)</f>
        <v>1</v>
      </c>
      <c r="AF293" s="1161">
        <v>1</v>
      </c>
    </row>
    <row r="294" spans="1:32" x14ac:dyDescent="0.25">
      <c r="A294" s="1753" t="s">
        <v>7997</v>
      </c>
      <c r="B294" s="1753"/>
      <c r="C294" s="1754">
        <f>IF(ISERROR(SUM(C290:D293)/SUM(T290:T293)),0,SUM(C290:D293)/SUM(T290:T293))</f>
        <v>68.112499999999997</v>
      </c>
      <c r="D294" s="1755"/>
      <c r="E294" s="1212"/>
      <c r="F294" s="1754">
        <f>IF(ISERROR(SUM(F290:G293)/SUM(U290:U293)),0,SUM(F290:G293)/SUM(U290:U293))</f>
        <v>68.112749999999991</v>
      </c>
      <c r="G294" s="1755"/>
      <c r="H294" s="1212"/>
      <c r="I294" s="1754">
        <f>IF(ISERROR(SUM(I290:J293)/SUM(V290:V293)),0,SUM(I290:J293)/SUM(V290:V293))</f>
        <v>8.6872499999999988</v>
      </c>
      <c r="J294" s="1755"/>
      <c r="K294" s="1212"/>
      <c r="L294" s="1754">
        <f>IF(ISERROR(SUM(L290:M293)/SUM(W290:W293)),0,SUM(L290:M293)/SUM(W290:W293))</f>
        <v>44.358249999999998</v>
      </c>
      <c r="M294" s="1755"/>
      <c r="N294" s="1212"/>
      <c r="O294" s="1754">
        <f>IF(ISERROR(SUM(O290:P293)/SUM(X290:X293)),0,SUM(O290:P293)/SUM(X290:X293))</f>
        <v>9.0897499999999987</v>
      </c>
      <c r="P294" s="1755"/>
      <c r="Q294" s="1212"/>
      <c r="R294" s="1754">
        <f>IF(ISERROR(SUM(R290:S293)/SUM(Y290:Y293)),0,SUM(R290:S293)/SUM(Y290:Y293))</f>
        <v>27.215749999999996</v>
      </c>
      <c r="S294" s="1755"/>
      <c r="T294" s="1168">
        <f t="shared" ref="T294:Y294" si="3">IF(SUM(T290:T293)&lt;&gt;0,1,0)</f>
        <v>1</v>
      </c>
      <c r="U294" s="1168">
        <f t="shared" si="3"/>
        <v>1</v>
      </c>
      <c r="V294" s="1168">
        <f t="shared" si="3"/>
        <v>1</v>
      </c>
      <c r="W294" s="1168">
        <f t="shared" si="3"/>
        <v>1</v>
      </c>
      <c r="X294" s="1168">
        <f t="shared" si="3"/>
        <v>1</v>
      </c>
      <c r="Y294" s="1168">
        <f t="shared" si="3"/>
        <v>1</v>
      </c>
      <c r="AF294" s="1161">
        <v>1</v>
      </c>
    </row>
    <row r="295" spans="1:32" ht="15" customHeight="1" x14ac:dyDescent="0.25">
      <c r="A295" s="1753" t="s">
        <v>2980</v>
      </c>
      <c r="B295" s="1753"/>
      <c r="C295" s="1748">
        <v>244.7</v>
      </c>
      <c r="D295" s="1748"/>
      <c r="E295" s="1118"/>
      <c r="F295" s="1748">
        <v>273.85000000000002</v>
      </c>
      <c r="G295" s="1748"/>
      <c r="H295" s="1118"/>
      <c r="I295" s="1748">
        <v>218.7</v>
      </c>
      <c r="J295" s="1748"/>
      <c r="K295" s="1118"/>
      <c r="L295" s="1748">
        <v>321.10000000000002</v>
      </c>
      <c r="M295" s="1748"/>
      <c r="N295" s="1118"/>
      <c r="O295" s="1748">
        <v>80.349999999999994</v>
      </c>
      <c r="P295" s="1748"/>
      <c r="Q295" s="1118"/>
      <c r="R295" s="1748">
        <v>143.5</v>
      </c>
      <c r="S295" s="1748"/>
      <c r="T295" s="1152"/>
      <c r="U295" s="1158"/>
      <c r="V295" s="1158"/>
      <c r="AF295" s="1161">
        <v>1</v>
      </c>
    </row>
    <row r="296" spans="1:32" x14ac:dyDescent="0.25">
      <c r="A296" s="1210" t="s">
        <v>272</v>
      </c>
      <c r="B296" s="1210"/>
      <c r="C296" s="1748">
        <v>81.55</v>
      </c>
      <c r="D296" s="1748"/>
      <c r="E296" s="1118"/>
      <c r="F296" s="1748">
        <v>169.62200000000001</v>
      </c>
      <c r="G296" s="1748"/>
      <c r="H296" s="1118"/>
      <c r="I296" s="1748">
        <v>191.66499999999999</v>
      </c>
      <c r="J296" s="1748"/>
      <c r="K296" s="1213"/>
      <c r="L296" s="1748">
        <v>188.35400000000001</v>
      </c>
      <c r="M296" s="1748"/>
      <c r="N296" s="1213"/>
      <c r="O296" s="1748">
        <v>57.621000000000002</v>
      </c>
      <c r="P296" s="1748"/>
      <c r="Q296" s="1213"/>
      <c r="R296" s="1748">
        <v>74.344999999999999</v>
      </c>
      <c r="S296" s="1748"/>
      <c r="T296" s="1152"/>
      <c r="U296" s="1158"/>
      <c r="V296" s="1158"/>
      <c r="AF296" s="1161">
        <v>1</v>
      </c>
    </row>
    <row r="297" spans="1:32" x14ac:dyDescent="0.25">
      <c r="A297" s="1210" t="s">
        <v>273</v>
      </c>
      <c r="B297" s="1210"/>
      <c r="C297" s="1748">
        <v>0.85</v>
      </c>
      <c r="D297" s="1748"/>
      <c r="E297" s="1118"/>
      <c r="F297" s="1748">
        <v>1.627</v>
      </c>
      <c r="G297" s="1748"/>
      <c r="H297" s="1118"/>
      <c r="I297" s="1748">
        <v>1.6539999999999999</v>
      </c>
      <c r="J297" s="1748"/>
      <c r="K297" s="1213"/>
      <c r="L297" s="1748">
        <v>1.554</v>
      </c>
      <c r="M297" s="1748"/>
      <c r="N297" s="1213"/>
      <c r="O297" s="1748">
        <v>1.3460000000000001</v>
      </c>
      <c r="P297" s="1748"/>
      <c r="Q297" s="1213"/>
      <c r="R297" s="1748">
        <v>1.345</v>
      </c>
      <c r="S297" s="1748"/>
      <c r="T297" s="1152"/>
      <c r="U297" s="1158"/>
      <c r="V297" s="1158"/>
      <c r="AF297" s="1161">
        <v>1</v>
      </c>
    </row>
    <row r="298" spans="1:32" x14ac:dyDescent="0.25">
      <c r="A298" s="1749" t="s">
        <v>274</v>
      </c>
      <c r="B298" s="1750"/>
      <c r="C298" s="1752">
        <f>C296-C297</f>
        <v>80.7</v>
      </c>
      <c r="D298" s="1752"/>
      <c r="E298" s="1118"/>
      <c r="F298" s="1752">
        <f>F296-F297</f>
        <v>167.995</v>
      </c>
      <c r="G298" s="1752"/>
      <c r="H298" s="1118"/>
      <c r="I298" s="1752">
        <f>I296-I297</f>
        <v>190.011</v>
      </c>
      <c r="J298" s="1752"/>
      <c r="K298" s="1213"/>
      <c r="L298" s="1752">
        <f>L296-L297</f>
        <v>186.8</v>
      </c>
      <c r="M298" s="1752"/>
      <c r="N298" s="1213"/>
      <c r="O298" s="1752">
        <f>O296-O297</f>
        <v>56.275000000000006</v>
      </c>
      <c r="P298" s="1752"/>
      <c r="Q298" s="1213"/>
      <c r="R298" s="1752">
        <f>R296-R297</f>
        <v>73</v>
      </c>
      <c r="S298" s="1752"/>
      <c r="T298" s="1152"/>
      <c r="U298" s="1158"/>
      <c r="V298" s="1158"/>
      <c r="AF298" s="1161">
        <v>1</v>
      </c>
    </row>
    <row r="299" spans="1:32" x14ac:dyDescent="0.25">
      <c r="A299" s="1749" t="s">
        <v>275</v>
      </c>
      <c r="B299" s="1750"/>
      <c r="C299" s="1751" t="str">
        <f>IF(SUM($D$286)=0,"",C298/$D$286)</f>
        <v/>
      </c>
      <c r="D299" s="1752"/>
      <c r="E299" s="1214"/>
      <c r="F299" s="1751" t="str">
        <f>IF(SUM($D$286)=0,"",F298/$D$286)</f>
        <v/>
      </c>
      <c r="G299" s="1752"/>
      <c r="H299" s="1214"/>
      <c r="I299" s="1751" t="str">
        <f>IF(SUM($D$286)=0,"",I298/$D$286)</f>
        <v/>
      </c>
      <c r="J299" s="1752"/>
      <c r="K299" s="1215"/>
      <c r="L299" s="1751" t="str">
        <f>IF(SUM($D$286)=0,"",L298/$D$286)</f>
        <v/>
      </c>
      <c r="M299" s="1752"/>
      <c r="N299" s="1215"/>
      <c r="O299" s="1751" t="str">
        <f>IF(SUM($D$286)=0,"",O298/$D$286)</f>
        <v/>
      </c>
      <c r="P299" s="1752"/>
      <c r="Q299" s="1215"/>
      <c r="R299" s="1751" t="str">
        <f>IF(SUM($D$286)=0,"",R298/$D$286)</f>
        <v/>
      </c>
      <c r="S299" s="1752"/>
      <c r="T299" s="1152"/>
      <c r="U299" s="1158"/>
      <c r="V299" s="1158"/>
      <c r="AF299" s="1161">
        <v>1</v>
      </c>
    </row>
    <row r="300" spans="1:32" x14ac:dyDescent="0.25">
      <c r="A300" s="1774"/>
      <c r="B300" s="1774"/>
      <c r="C300" s="1775"/>
      <c r="D300" s="1775"/>
      <c r="E300" s="1112"/>
      <c r="F300" s="1112"/>
      <c r="G300" s="1112"/>
      <c r="H300" s="1112"/>
      <c r="I300" s="1112"/>
      <c r="J300" s="1115"/>
      <c r="K300" s="1115"/>
      <c r="L300" s="1113"/>
      <c r="M300" s="1115"/>
      <c r="N300" s="1115"/>
      <c r="O300" s="1115"/>
      <c r="P300" s="1115"/>
      <c r="Q300" s="1115"/>
      <c r="R300" s="1115"/>
      <c r="S300" s="1115"/>
      <c r="T300" s="1152"/>
      <c r="U300" s="1158"/>
      <c r="AF300" s="1161">
        <v>1</v>
      </c>
    </row>
    <row r="301" spans="1:32" x14ac:dyDescent="0.25">
      <c r="A301" s="1745" t="s">
        <v>8015</v>
      </c>
      <c r="B301" s="1745"/>
      <c r="C301" s="1745"/>
      <c r="D301" s="1745"/>
      <c r="E301" s="1745"/>
      <c r="F301" s="1745"/>
      <c r="G301" s="1745"/>
      <c r="H301" s="1745"/>
      <c r="I301" s="1745"/>
      <c r="J301" s="1745"/>
      <c r="K301" s="1745"/>
      <c r="L301" s="1745"/>
      <c r="M301" s="1745"/>
      <c r="N301" s="1745"/>
      <c r="O301" s="1745"/>
      <c r="P301" s="1745"/>
      <c r="Q301" s="1745"/>
      <c r="R301" s="1745"/>
      <c r="S301" s="1745"/>
      <c r="T301" s="1152"/>
      <c r="U301" s="1158"/>
      <c r="AF301" s="1161">
        <v>2</v>
      </c>
    </row>
    <row r="302" spans="1:32" ht="5.0999999999999996" customHeight="1" x14ac:dyDescent="0.25">
      <c r="A302" s="1128"/>
      <c r="B302" s="1128"/>
      <c r="C302" s="1173"/>
      <c r="D302" s="1173"/>
      <c r="E302" s="1128"/>
      <c r="F302" s="1128"/>
      <c r="G302" s="1128"/>
      <c r="H302" s="1128"/>
      <c r="I302" s="1128"/>
      <c r="J302" s="1128"/>
      <c r="K302" s="1128"/>
      <c r="L302" s="1128"/>
      <c r="M302" s="1128"/>
      <c r="N302" s="1128"/>
      <c r="O302" s="1128"/>
      <c r="P302" s="1128"/>
      <c r="Q302" s="1128"/>
      <c r="R302" s="1128"/>
      <c r="S302" s="1128"/>
      <c r="T302" s="1152"/>
      <c r="U302" s="1158"/>
      <c r="AF302" s="1161">
        <v>2</v>
      </c>
    </row>
    <row r="303" spans="1:32" x14ac:dyDescent="0.25">
      <c r="A303" s="1128" t="s">
        <v>271</v>
      </c>
      <c r="B303" s="1128"/>
      <c r="C303" s="1159"/>
      <c r="D303" s="1746" t="str">
        <f>D43</f>
        <v>OH NJEN LIENG</v>
      </c>
      <c r="E303" s="1746"/>
      <c r="F303" s="1746"/>
      <c r="G303" s="1159"/>
      <c r="H303" s="1174" t="s">
        <v>763</v>
      </c>
      <c r="I303" s="1174"/>
      <c r="J303" s="1159"/>
      <c r="K303" s="1746">
        <f>IF(COUNT(C315,F315,I315,L315,O315,R315)=0,"",AVERAGE(C315,F315,I315,L315,O315,R315))</f>
        <v>70.291666666666671</v>
      </c>
      <c r="L303" s="1746"/>
      <c r="M303" s="1175"/>
      <c r="N303" s="1175"/>
      <c r="O303" s="1175"/>
      <c r="P303" s="1175"/>
      <c r="Q303" s="1175"/>
      <c r="R303" s="1175"/>
      <c r="S303" s="1175"/>
      <c r="T303" s="1152"/>
      <c r="U303" s="1158"/>
      <c r="AF303" s="1161">
        <v>2</v>
      </c>
    </row>
    <row r="304" spans="1:32" x14ac:dyDescent="0.25">
      <c r="A304" s="1128" t="s">
        <v>240</v>
      </c>
      <c r="B304" s="1128"/>
      <c r="C304" s="1159"/>
      <c r="D304" s="1747" t="str">
        <f>D44</f>
        <v>MANDIRI</v>
      </c>
      <c r="E304" s="1747"/>
      <c r="F304" s="1747"/>
      <c r="G304" s="1159"/>
      <c r="H304" s="1174" t="s">
        <v>764</v>
      </c>
      <c r="I304" s="1174"/>
      <c r="J304" s="1159"/>
      <c r="K304" s="1747">
        <f>IF(ISERROR(SUM(C318,F318,I318,L318,O318,R318)/COUNT(C315,F315,I315,L315,O315,R315)),"",SUM(C318,F318,I318,L318,O318,R318,)/COUNT(C315,F315,I315,L315,O315,R315))</f>
        <v>442.79683333333338</v>
      </c>
      <c r="L304" s="1747"/>
      <c r="M304" s="1175"/>
      <c r="N304" s="1175"/>
      <c r="O304" s="1175"/>
      <c r="P304" s="1175"/>
      <c r="Q304" s="1175"/>
      <c r="R304" s="1175"/>
      <c r="S304" s="1175"/>
      <c r="T304" s="1152"/>
      <c r="AF304" s="1161">
        <v>2</v>
      </c>
    </row>
    <row r="305" spans="1:32" x14ac:dyDescent="0.25">
      <c r="A305" s="1128" t="s">
        <v>265</v>
      </c>
      <c r="B305" s="1128"/>
      <c r="C305" s="1159"/>
      <c r="D305" s="1747" t="str">
        <f>D45</f>
        <v>0310000500168</v>
      </c>
      <c r="E305" s="1747"/>
      <c r="F305" s="1747"/>
      <c r="G305" s="1159"/>
      <c r="H305" s="1174" t="s">
        <v>765</v>
      </c>
      <c r="I305" s="1174"/>
      <c r="J305" s="1159"/>
      <c r="K305" s="1712" t="str">
        <f>IF(ISERROR(K304/D306),"",K304/D306)</f>
        <v/>
      </c>
      <c r="L305" s="1712"/>
      <c r="M305" s="1175"/>
      <c r="N305" s="1175"/>
      <c r="O305" s="1175"/>
      <c r="P305" s="1175"/>
      <c r="Q305" s="1175"/>
      <c r="R305" s="1175"/>
      <c r="S305" s="1175"/>
      <c r="T305" s="1152"/>
      <c r="AF305" s="1161">
        <v>2</v>
      </c>
    </row>
    <row r="306" spans="1:32" x14ac:dyDescent="0.25">
      <c r="A306" s="1176" t="s">
        <v>767</v>
      </c>
      <c r="B306" s="1176"/>
      <c r="C306" s="1177"/>
      <c r="D306" s="1744">
        <f>M44</f>
        <v>0</v>
      </c>
      <c r="E306" s="1744"/>
      <c r="F306" s="1744"/>
      <c r="G306" s="1128"/>
      <c r="H306" s="1112" t="s">
        <v>8031</v>
      </c>
      <c r="I306" s="1112"/>
      <c r="J306" s="1122"/>
      <c r="K306" s="1734">
        <f>IF(ISERROR(SUM(C314,F314,I314,L314,O314,R314)/SUM(T314:Y314)),"",SUM(C314,F314,I314,L314,O314,R314)/SUM(T314:Y314))</f>
        <v>190.26604166666667</v>
      </c>
      <c r="L306" s="1734"/>
      <c r="M306" s="1128"/>
      <c r="N306" s="1128"/>
      <c r="O306" s="1128"/>
      <c r="P306" s="1128"/>
      <c r="Q306" s="1128"/>
      <c r="R306" s="1128"/>
      <c r="S306" s="1128"/>
      <c r="T306" s="1140"/>
      <c r="AF306" s="1161">
        <v>2</v>
      </c>
    </row>
    <row r="307" spans="1:32" x14ac:dyDescent="0.25">
      <c r="A307" s="1128"/>
      <c r="B307" s="1128"/>
      <c r="C307" s="1174"/>
      <c r="D307" s="1174"/>
      <c r="E307" s="1128"/>
      <c r="F307" s="1128"/>
      <c r="G307" s="1128"/>
      <c r="H307" s="1128"/>
      <c r="I307" s="1128"/>
      <c r="J307" s="1178"/>
      <c r="K307" s="1178"/>
      <c r="L307" s="1178"/>
      <c r="M307" s="1178"/>
      <c r="N307" s="1178"/>
      <c r="O307" s="1178"/>
      <c r="P307" s="1178"/>
      <c r="Q307" s="1178"/>
      <c r="R307" s="1178"/>
      <c r="S307" s="1011" t="s">
        <v>29</v>
      </c>
      <c r="T307" s="1152"/>
      <c r="U307" s="1158"/>
      <c r="V307" s="1158"/>
      <c r="AF307" s="1161">
        <v>2</v>
      </c>
    </row>
    <row r="308" spans="1:32" x14ac:dyDescent="0.25">
      <c r="A308" s="1179" t="s">
        <v>266</v>
      </c>
      <c r="B308" s="1743">
        <f>$B$31</f>
        <v>43094</v>
      </c>
      <c r="C308" s="1743"/>
      <c r="D308" s="1743"/>
      <c r="E308" s="1743">
        <f>$E$31</f>
        <v>43125</v>
      </c>
      <c r="F308" s="1743"/>
      <c r="G308" s="1743"/>
      <c r="H308" s="1743">
        <f>$H$31</f>
        <v>43156</v>
      </c>
      <c r="I308" s="1743"/>
      <c r="J308" s="1743"/>
      <c r="K308" s="1743">
        <f>$K$31</f>
        <v>43187</v>
      </c>
      <c r="L308" s="1743"/>
      <c r="M308" s="1743"/>
      <c r="N308" s="1743">
        <f>$N$31</f>
        <v>43218</v>
      </c>
      <c r="O308" s="1743"/>
      <c r="P308" s="1743"/>
      <c r="Q308" s="1743">
        <f>$Q$31</f>
        <v>43249</v>
      </c>
      <c r="R308" s="1743"/>
      <c r="S308" s="1743"/>
      <c r="T308" s="1152"/>
      <c r="U308" s="1158"/>
      <c r="V308" s="1158"/>
      <c r="AF308" s="1161">
        <v>2</v>
      </c>
    </row>
    <row r="309" spans="1:32" x14ac:dyDescent="0.25">
      <c r="A309" s="1179" t="s">
        <v>8</v>
      </c>
      <c r="B309" s="1179" t="s">
        <v>26</v>
      </c>
      <c r="C309" s="1739" t="s">
        <v>8030</v>
      </c>
      <c r="D309" s="1740"/>
      <c r="E309" s="1179" t="s">
        <v>26</v>
      </c>
      <c r="F309" s="1741" t="s">
        <v>8030</v>
      </c>
      <c r="G309" s="1742"/>
      <c r="H309" s="1179" t="s">
        <v>26</v>
      </c>
      <c r="I309" s="1741" t="s">
        <v>8030</v>
      </c>
      <c r="J309" s="1742"/>
      <c r="K309" s="1179" t="s">
        <v>26</v>
      </c>
      <c r="L309" s="1741" t="s">
        <v>8030</v>
      </c>
      <c r="M309" s="1742"/>
      <c r="N309" s="1179" t="s">
        <v>26</v>
      </c>
      <c r="O309" s="1741" t="s">
        <v>8030</v>
      </c>
      <c r="P309" s="1742"/>
      <c r="Q309" s="1179" t="s">
        <v>26</v>
      </c>
      <c r="R309" s="1741" t="s">
        <v>8030</v>
      </c>
      <c r="S309" s="1742"/>
      <c r="T309" s="1152"/>
      <c r="U309" s="1158"/>
      <c r="V309" s="1158"/>
      <c r="AF309" s="1161">
        <v>2</v>
      </c>
    </row>
    <row r="310" spans="1:32" x14ac:dyDescent="0.25">
      <c r="A310" s="1170">
        <v>1</v>
      </c>
      <c r="B310" s="1180">
        <v>7</v>
      </c>
      <c r="C310" s="1760">
        <v>67.225999999999999</v>
      </c>
      <c r="D310" s="1761"/>
      <c r="E310" s="1181">
        <v>7</v>
      </c>
      <c r="F310" s="1760">
        <v>73.766999999999996</v>
      </c>
      <c r="G310" s="1761"/>
      <c r="H310" s="1170">
        <v>7</v>
      </c>
      <c r="I310" s="1760">
        <v>88.997</v>
      </c>
      <c r="J310" s="1761"/>
      <c r="K310" s="1170">
        <v>7</v>
      </c>
      <c r="L310" s="1760">
        <v>70.052000000000007</v>
      </c>
      <c r="M310" s="1761"/>
      <c r="N310" s="1170">
        <v>7</v>
      </c>
      <c r="O310" s="1760">
        <v>99.462999999999994</v>
      </c>
      <c r="P310" s="1761"/>
      <c r="Q310" s="1170">
        <v>7</v>
      </c>
      <c r="R310" s="1760">
        <v>566.07299999999998</v>
      </c>
      <c r="S310" s="1761"/>
      <c r="T310" s="1168">
        <f>IF(C310&lt;&gt;"",IF(C310=0,0,1),0)</f>
        <v>1</v>
      </c>
      <c r="U310" s="1168">
        <f>IF(F310&lt;&gt;"",IF(F310=0,0,1),0)</f>
        <v>1</v>
      </c>
      <c r="V310" s="1169">
        <f>IF(I310&lt;&gt;"",IF(I310=0,0,1),0)</f>
        <v>1</v>
      </c>
      <c r="W310" s="1157">
        <f>IF(L310&lt;&gt;"",IF(L310=0,0,1),0)</f>
        <v>1</v>
      </c>
      <c r="X310" s="1157">
        <f>IF(O310&lt;&gt;"",IF(O310=0,0,1),0)</f>
        <v>1</v>
      </c>
      <c r="Y310" s="1157">
        <f>IF(R310&lt;&gt;"",IF(R310=0,0,1),0)</f>
        <v>1</v>
      </c>
      <c r="AF310" s="1161">
        <v>2</v>
      </c>
    </row>
    <row r="311" spans="1:32" x14ac:dyDescent="0.25">
      <c r="A311" s="1171">
        <v>2</v>
      </c>
      <c r="B311" s="1182">
        <v>14</v>
      </c>
      <c r="C311" s="1758">
        <v>21.373999999999999</v>
      </c>
      <c r="D311" s="1759"/>
      <c r="E311" s="1183">
        <v>14</v>
      </c>
      <c r="F311" s="1758">
        <v>35.756999999999998</v>
      </c>
      <c r="G311" s="1759"/>
      <c r="H311" s="1171">
        <v>14</v>
      </c>
      <c r="I311" s="1758">
        <v>39.451000000000001</v>
      </c>
      <c r="J311" s="1759"/>
      <c r="K311" s="1171">
        <v>14</v>
      </c>
      <c r="L311" s="1758">
        <v>64.183000000000007</v>
      </c>
      <c r="M311" s="1759"/>
      <c r="N311" s="1171">
        <v>14</v>
      </c>
      <c r="O311" s="1758">
        <v>724.48900000000003</v>
      </c>
      <c r="P311" s="1759"/>
      <c r="Q311" s="1171">
        <v>14</v>
      </c>
      <c r="R311" s="1758">
        <v>409.53500000000003</v>
      </c>
      <c r="S311" s="1759"/>
      <c r="T311" s="1168">
        <f>IF(C311&lt;&gt;"",IF(C311=0,0,1),0)</f>
        <v>1</v>
      </c>
      <c r="U311" s="1168">
        <f>IF(F311&lt;&gt;"",IF(F311=0,0,1),0)</f>
        <v>1</v>
      </c>
      <c r="V311" s="1169">
        <f>IF(I311&lt;&gt;"",IF(I311=0,0,1),0)</f>
        <v>1</v>
      </c>
      <c r="W311" s="1157">
        <f>IF(L311&lt;&gt;"",IF(L311=0,0,1),0)</f>
        <v>1</v>
      </c>
      <c r="X311" s="1157">
        <f>IF(O311&lt;&gt;"",IF(O311=0,0,1),0)</f>
        <v>1</v>
      </c>
      <c r="Y311" s="1157">
        <f>IF(R311&lt;&gt;"",IF(R311=0,0,1),0)</f>
        <v>1</v>
      </c>
      <c r="AF311" s="1161">
        <v>2</v>
      </c>
    </row>
    <row r="312" spans="1:32" x14ac:dyDescent="0.25">
      <c r="A312" s="1171">
        <v>3</v>
      </c>
      <c r="B312" s="1182">
        <v>22</v>
      </c>
      <c r="C312" s="1758">
        <v>21.538</v>
      </c>
      <c r="D312" s="1759"/>
      <c r="E312" s="1183">
        <v>22</v>
      </c>
      <c r="F312" s="1758">
        <v>775.71900000000005</v>
      </c>
      <c r="G312" s="1759"/>
      <c r="H312" s="1171">
        <v>22</v>
      </c>
      <c r="I312" s="1758">
        <v>0.114</v>
      </c>
      <c r="J312" s="1759"/>
      <c r="K312" s="1171">
        <v>22</v>
      </c>
      <c r="L312" s="1758">
        <v>60.438000000000002</v>
      </c>
      <c r="M312" s="1759"/>
      <c r="N312" s="1171">
        <v>22</v>
      </c>
      <c r="O312" s="1758">
        <v>415.32100000000003</v>
      </c>
      <c r="P312" s="1759"/>
      <c r="Q312" s="1171">
        <v>22</v>
      </c>
      <c r="R312" s="1758">
        <v>430.89800000000002</v>
      </c>
      <c r="S312" s="1759"/>
      <c r="T312" s="1168">
        <f>IF(C312&lt;&gt;"",IF(C312=0,0,1),0)</f>
        <v>1</v>
      </c>
      <c r="U312" s="1168">
        <f>IF(F312&lt;&gt;"",IF(F312=0,0,1),0)</f>
        <v>1</v>
      </c>
      <c r="V312" s="1169">
        <f>IF(I312&lt;&gt;"",IF(I312=0,0,1),0)</f>
        <v>1</v>
      </c>
      <c r="W312" s="1157">
        <f>IF(L312&lt;&gt;"",IF(L312=0,0,1),0)</f>
        <v>1</v>
      </c>
      <c r="X312" s="1157">
        <f>IF(O312&lt;&gt;"",IF(O312=0,0,1),0)</f>
        <v>1</v>
      </c>
      <c r="Y312" s="1157">
        <f>IF(R312&lt;&gt;"",IF(R312=0,0,1),0)</f>
        <v>1</v>
      </c>
      <c r="AF312" s="1161">
        <v>2</v>
      </c>
    </row>
    <row r="313" spans="1:32" x14ac:dyDescent="0.25">
      <c r="A313" s="1172">
        <v>4</v>
      </c>
      <c r="B313" s="1184">
        <v>31</v>
      </c>
      <c r="C313" s="1756">
        <v>5.7670000000000003</v>
      </c>
      <c r="D313" s="1757"/>
      <c r="E313" s="1185">
        <v>31</v>
      </c>
      <c r="F313" s="1756">
        <v>84.51</v>
      </c>
      <c r="G313" s="1757"/>
      <c r="H313" s="1172">
        <v>31</v>
      </c>
      <c r="I313" s="1756">
        <v>10.058</v>
      </c>
      <c r="J313" s="1757"/>
      <c r="K313" s="1172">
        <v>31</v>
      </c>
      <c r="L313" s="1756">
        <v>19.919</v>
      </c>
      <c r="M313" s="1757"/>
      <c r="N313" s="1172">
        <v>31</v>
      </c>
      <c r="O313" s="1756">
        <v>58.271000000000001</v>
      </c>
      <c r="P313" s="1757"/>
      <c r="Q313" s="1172">
        <v>31</v>
      </c>
      <c r="R313" s="1756">
        <v>423.46499999999997</v>
      </c>
      <c r="S313" s="1757"/>
      <c r="T313" s="1168">
        <f>IF(C313&lt;&gt;"",IF(C313=0,0,1),0)</f>
        <v>1</v>
      </c>
      <c r="U313" s="1168">
        <f>IF(F313&lt;&gt;"",IF(F313=0,0,1),0)</f>
        <v>1</v>
      </c>
      <c r="V313" s="1169">
        <f>IF(I313&lt;&gt;"",IF(I313=0,0,1),0)</f>
        <v>1</v>
      </c>
      <c r="W313" s="1157">
        <f>IF(L313&lt;&gt;"",IF(L313=0,0,1),0)</f>
        <v>1</v>
      </c>
      <c r="X313" s="1157">
        <f>IF(O313&lt;&gt;"",IF(O313=0,0,1),0)</f>
        <v>1</v>
      </c>
      <c r="Y313" s="1157">
        <f>IF(R313&lt;&gt;"",IF(R313=0,0,1),0)</f>
        <v>1</v>
      </c>
      <c r="AF313" s="1161">
        <v>2</v>
      </c>
    </row>
    <row r="314" spans="1:32" x14ac:dyDescent="0.25">
      <c r="A314" s="1753" t="s">
        <v>7997</v>
      </c>
      <c r="B314" s="1753"/>
      <c r="C314" s="1754">
        <f>IF(ISERROR(SUM(C310:D313)/SUM(T310:T313)),0,SUM(C310:D313)/SUM(T310:T313))</f>
        <v>28.976249999999997</v>
      </c>
      <c r="D314" s="1755"/>
      <c r="E314" s="1212" t="s">
        <v>7373</v>
      </c>
      <c r="F314" s="1754">
        <f>IF(ISERROR(SUM(F310:G313)/SUM(U310:U313)),0,SUM(F310:G313)/SUM(U310:U313))</f>
        <v>242.43825000000001</v>
      </c>
      <c r="G314" s="1755"/>
      <c r="H314" s="1212"/>
      <c r="I314" s="1754">
        <f>IF(ISERROR(SUM(I310:J313)/SUM(V310:V313)),0,SUM(I310:J313)/SUM(V310:V313))</f>
        <v>34.655000000000001</v>
      </c>
      <c r="J314" s="1755"/>
      <c r="K314" s="1212"/>
      <c r="L314" s="1754">
        <f>IF(ISERROR(SUM(L310:M313)/SUM(W310:W313)),0,SUM(L310:M313)/SUM(W310:W313))</f>
        <v>53.648000000000003</v>
      </c>
      <c r="M314" s="1755"/>
      <c r="N314" s="1212"/>
      <c r="O314" s="1754">
        <f>IF(ISERROR(SUM(O310:P313)/SUM(X310:X313)),0,SUM(O310:P313)/SUM(X310:X313))</f>
        <v>324.38600000000002</v>
      </c>
      <c r="P314" s="1755"/>
      <c r="Q314" s="1212"/>
      <c r="R314" s="1754">
        <f>IF(ISERROR(SUM(R310:S313)/SUM(Y310:Y313)),0,SUM(R310:S313)/SUM(Y310:Y313))</f>
        <v>457.49274999999994</v>
      </c>
      <c r="S314" s="1755"/>
      <c r="T314" s="1168">
        <f t="shared" ref="T314:Y314" si="4">IF(SUM(T310:T313)&lt;&gt;0,1,0)</f>
        <v>1</v>
      </c>
      <c r="U314" s="1168">
        <f t="shared" si="4"/>
        <v>1</v>
      </c>
      <c r="V314" s="1168">
        <f t="shared" si="4"/>
        <v>1</v>
      </c>
      <c r="W314" s="1168">
        <f t="shared" si="4"/>
        <v>1</v>
      </c>
      <c r="X314" s="1168">
        <f t="shared" si="4"/>
        <v>1</v>
      </c>
      <c r="Y314" s="1168">
        <f t="shared" si="4"/>
        <v>1</v>
      </c>
      <c r="AF314" s="1161">
        <v>2</v>
      </c>
    </row>
    <row r="315" spans="1:32" ht="15" customHeight="1" x14ac:dyDescent="0.25">
      <c r="A315" s="1753" t="s">
        <v>2980</v>
      </c>
      <c r="B315" s="1753"/>
      <c r="C315" s="1748">
        <v>81.75</v>
      </c>
      <c r="D315" s="1748"/>
      <c r="E315" s="1118"/>
      <c r="F315" s="1748">
        <v>190</v>
      </c>
      <c r="G315" s="1748"/>
      <c r="H315" s="1118"/>
      <c r="I315" s="1748">
        <v>50</v>
      </c>
      <c r="J315" s="1748"/>
      <c r="K315" s="1118"/>
      <c r="L315" s="1748">
        <v>50</v>
      </c>
      <c r="M315" s="1748"/>
      <c r="N315" s="1118"/>
      <c r="O315" s="1748">
        <v>50</v>
      </c>
      <c r="P315" s="1748"/>
      <c r="Q315" s="1118"/>
      <c r="R315" s="1748">
        <v>0</v>
      </c>
      <c r="S315" s="1748"/>
      <c r="T315" s="1152"/>
      <c r="U315" s="1158"/>
      <c r="V315" s="1158"/>
      <c r="AF315" s="1161">
        <v>2</v>
      </c>
    </row>
    <row r="316" spans="1:32" x14ac:dyDescent="0.25">
      <c r="A316" s="1210" t="s">
        <v>272</v>
      </c>
      <c r="B316" s="1210"/>
      <c r="C316" s="1748">
        <v>169.37899999999999</v>
      </c>
      <c r="D316" s="1748"/>
      <c r="E316" s="1118"/>
      <c r="F316" s="1748">
        <v>775.71900000000005</v>
      </c>
      <c r="G316" s="1748"/>
      <c r="H316" s="1118"/>
      <c r="I316" s="1748">
        <v>88.997</v>
      </c>
      <c r="J316" s="1748"/>
      <c r="K316" s="1213"/>
      <c r="L316" s="1748">
        <v>347.334</v>
      </c>
      <c r="M316" s="1748"/>
      <c r="N316" s="1213"/>
      <c r="O316" s="1748">
        <v>724.49</v>
      </c>
      <c r="P316" s="1748"/>
      <c r="Q316" s="1213"/>
      <c r="R316" s="1748">
        <v>701.89800000000002</v>
      </c>
      <c r="S316" s="1748"/>
      <c r="T316" s="1152"/>
      <c r="U316" s="1158"/>
      <c r="V316" s="1158"/>
      <c r="AF316" s="1161">
        <v>2</v>
      </c>
    </row>
    <row r="317" spans="1:32" x14ac:dyDescent="0.25">
      <c r="A317" s="1210" t="s">
        <v>273</v>
      </c>
      <c r="B317" s="1210"/>
      <c r="C317" s="1748">
        <v>1.375</v>
      </c>
      <c r="D317" s="1748"/>
      <c r="E317" s="1118"/>
      <c r="F317" s="1748">
        <v>1.42</v>
      </c>
      <c r="G317" s="1748"/>
      <c r="H317" s="1118"/>
      <c r="I317" s="1748">
        <v>0.115</v>
      </c>
      <c r="J317" s="1748"/>
      <c r="K317" s="1213"/>
      <c r="L317" s="1748">
        <v>4.1900000000000004</v>
      </c>
      <c r="M317" s="1748"/>
      <c r="N317" s="1213"/>
      <c r="O317" s="1748">
        <v>3.6120000000000001</v>
      </c>
      <c r="P317" s="1748"/>
      <c r="Q317" s="1213"/>
      <c r="R317" s="1748">
        <v>140.32400000000001</v>
      </c>
      <c r="S317" s="1748"/>
      <c r="T317" s="1152"/>
      <c r="U317" s="1158"/>
      <c r="V317" s="1158"/>
      <c r="AF317" s="1161">
        <v>2</v>
      </c>
    </row>
    <row r="318" spans="1:32" x14ac:dyDescent="0.25">
      <c r="A318" s="1749" t="s">
        <v>274</v>
      </c>
      <c r="B318" s="1750"/>
      <c r="C318" s="1752">
        <f>C316-C317</f>
        <v>168.00399999999999</v>
      </c>
      <c r="D318" s="1752"/>
      <c r="E318" s="1118"/>
      <c r="F318" s="1752">
        <f>F316-F317</f>
        <v>774.29900000000009</v>
      </c>
      <c r="G318" s="1752"/>
      <c r="H318" s="1118"/>
      <c r="I318" s="1752">
        <f>I316-I317</f>
        <v>88.882000000000005</v>
      </c>
      <c r="J318" s="1752"/>
      <c r="K318" s="1213"/>
      <c r="L318" s="1752">
        <f>L316-L317</f>
        <v>343.14400000000001</v>
      </c>
      <c r="M318" s="1752"/>
      <c r="N318" s="1213"/>
      <c r="O318" s="1752">
        <f>O316-O317</f>
        <v>720.87800000000004</v>
      </c>
      <c r="P318" s="1752"/>
      <c r="Q318" s="1213"/>
      <c r="R318" s="1752">
        <f>R316-R317</f>
        <v>561.57400000000007</v>
      </c>
      <c r="S318" s="1752"/>
      <c r="T318" s="1152"/>
      <c r="U318" s="1158"/>
      <c r="V318" s="1158"/>
      <c r="AF318" s="1161">
        <v>2</v>
      </c>
    </row>
    <row r="319" spans="1:32" x14ac:dyDescent="0.25">
      <c r="A319" s="1749" t="s">
        <v>275</v>
      </c>
      <c r="B319" s="1750"/>
      <c r="C319" s="1751" t="str">
        <f>IF(SUM($D$306)=0,"",C318/$D$306)</f>
        <v/>
      </c>
      <c r="D319" s="1752"/>
      <c r="E319" s="1214"/>
      <c r="F319" s="1751" t="str">
        <f>IF(SUM($D$306)=0,"",F318/$D$306)</f>
        <v/>
      </c>
      <c r="G319" s="1752"/>
      <c r="H319" s="1214"/>
      <c r="I319" s="1751" t="str">
        <f>IF(SUM($D$306)=0,"",I318/$D$306)</f>
        <v/>
      </c>
      <c r="J319" s="1752"/>
      <c r="K319" s="1215"/>
      <c r="L319" s="1751" t="str">
        <f>IF(SUM($D$306)=0,"",L318/$D$306)</f>
        <v/>
      </c>
      <c r="M319" s="1752"/>
      <c r="N319" s="1215"/>
      <c r="O319" s="1751" t="str">
        <f>IF(SUM($D$306)=0,"",O318/$D$306)</f>
        <v/>
      </c>
      <c r="P319" s="1752"/>
      <c r="Q319" s="1215"/>
      <c r="R319" s="1751" t="str">
        <f>IF(SUM($D$306)=0,"",R318/$D$306)</f>
        <v/>
      </c>
      <c r="S319" s="1752"/>
      <c r="T319" s="1152"/>
      <c r="U319" s="1158"/>
      <c r="V319" s="1158"/>
      <c r="AF319" s="1161">
        <v>2</v>
      </c>
    </row>
    <row r="320" spans="1:32" x14ac:dyDescent="0.25">
      <c r="A320" s="1128"/>
      <c r="B320" s="1128"/>
      <c r="C320" s="1128"/>
      <c r="D320" s="1128"/>
      <c r="E320" s="1128"/>
      <c r="F320" s="1128"/>
      <c r="G320" s="1128"/>
      <c r="H320" s="1128"/>
      <c r="I320" s="1128"/>
      <c r="J320" s="1128"/>
      <c r="K320" s="1128"/>
      <c r="L320" s="1128"/>
      <c r="M320" s="1128"/>
      <c r="N320" s="1128"/>
      <c r="O320" s="1128"/>
      <c r="P320" s="1128"/>
      <c r="Q320" s="1128"/>
      <c r="R320" s="1128"/>
      <c r="S320" s="1128"/>
      <c r="T320" s="1140"/>
      <c r="AF320" s="1161">
        <v>2</v>
      </c>
    </row>
    <row r="321" spans="1:32" x14ac:dyDescent="0.25">
      <c r="A321" s="1745" t="s">
        <v>8016</v>
      </c>
      <c r="B321" s="1745"/>
      <c r="C321" s="1745"/>
      <c r="D321" s="1745"/>
      <c r="E321" s="1745"/>
      <c r="F321" s="1745"/>
      <c r="G321" s="1745"/>
      <c r="H321" s="1745"/>
      <c r="I321" s="1745"/>
      <c r="J321" s="1745"/>
      <c r="K321" s="1745"/>
      <c r="L321" s="1745"/>
      <c r="M321" s="1745"/>
      <c r="N321" s="1745"/>
      <c r="O321" s="1745"/>
      <c r="P321" s="1745"/>
      <c r="Q321" s="1745"/>
      <c r="R321" s="1745"/>
      <c r="S321" s="1745"/>
      <c r="T321" s="1146"/>
      <c r="AF321" s="1161">
        <v>3</v>
      </c>
    </row>
    <row r="322" spans="1:32" ht="5.0999999999999996" customHeight="1" x14ac:dyDescent="0.25">
      <c r="A322" s="1128"/>
      <c r="B322" s="1128"/>
      <c r="C322" s="1173"/>
      <c r="D322" s="1173"/>
      <c r="E322" s="1128"/>
      <c r="F322" s="1128"/>
      <c r="G322" s="1128"/>
      <c r="H322" s="1128"/>
      <c r="I322" s="1128"/>
      <c r="J322" s="1128"/>
      <c r="K322" s="1128"/>
      <c r="L322" s="1128"/>
      <c r="M322" s="1128"/>
      <c r="N322" s="1128"/>
      <c r="O322" s="1128"/>
      <c r="P322" s="1128"/>
      <c r="Q322" s="1128"/>
      <c r="R322" s="1128"/>
      <c r="S322" s="1128"/>
      <c r="T322" s="1140"/>
      <c r="AF322" s="1161">
        <v>3</v>
      </c>
    </row>
    <row r="323" spans="1:32" x14ac:dyDescent="0.25">
      <c r="A323" s="1128" t="s">
        <v>271</v>
      </c>
      <c r="B323" s="1128"/>
      <c r="C323" s="1159"/>
      <c r="D323" s="1746" t="str">
        <f>D60</f>
        <v>BARITO INTI PERKASA</v>
      </c>
      <c r="E323" s="1746"/>
      <c r="F323" s="1746"/>
      <c r="G323" s="1159"/>
      <c r="H323" s="1174" t="s">
        <v>763</v>
      </c>
      <c r="I323" s="1174"/>
      <c r="J323" s="1159"/>
      <c r="K323" s="1746">
        <f>IF(COUNT(C335,F335,I335,L335,O335,R335)=0,"",AVERAGE(C335,F335,I335,L335,O335,R335))</f>
        <v>257.75500000000005</v>
      </c>
      <c r="L323" s="1746"/>
      <c r="M323" s="1175"/>
      <c r="N323" s="1175"/>
      <c r="O323" s="1175"/>
      <c r="P323" s="1175"/>
      <c r="Q323" s="1175"/>
      <c r="R323" s="1175"/>
      <c r="S323" s="1175"/>
      <c r="T323" s="1152"/>
      <c r="AF323" s="1161">
        <v>3</v>
      </c>
    </row>
    <row r="324" spans="1:32" x14ac:dyDescent="0.25">
      <c r="A324" s="1128" t="s">
        <v>240</v>
      </c>
      <c r="B324" s="1128"/>
      <c r="C324" s="1159"/>
      <c r="D324" s="1747" t="str">
        <f>D61</f>
        <v>BCA</v>
      </c>
      <c r="E324" s="1747"/>
      <c r="F324" s="1747"/>
      <c r="G324" s="1159"/>
      <c r="H324" s="1174" t="s">
        <v>764</v>
      </c>
      <c r="I324" s="1174"/>
      <c r="J324" s="1159"/>
      <c r="K324" s="1747">
        <f>IF(ISERROR(SUM(C338,F338,I338,L338,O338,R338)/COUNT(C335,F335,I335,L335,O335,R335)),"",SUM(C338,F338,I338,L338,O338,R338,)/COUNT(C335,F335,I335,L335,O335,R335))</f>
        <v>245.32566666666662</v>
      </c>
      <c r="L324" s="1747"/>
      <c r="M324" s="1175"/>
      <c r="N324" s="1175"/>
      <c r="O324" s="1175"/>
      <c r="P324" s="1175"/>
      <c r="Q324" s="1175"/>
      <c r="R324" s="1175"/>
      <c r="S324" s="1175"/>
      <c r="T324" s="1152"/>
      <c r="AF324" s="1161">
        <v>3</v>
      </c>
    </row>
    <row r="325" spans="1:32" x14ac:dyDescent="0.25">
      <c r="A325" s="1128" t="s">
        <v>265</v>
      </c>
      <c r="B325" s="1128"/>
      <c r="C325" s="1159"/>
      <c r="D325" s="1747" t="str">
        <f>D62</f>
        <v>7820038449</v>
      </c>
      <c r="E325" s="1747"/>
      <c r="F325" s="1747"/>
      <c r="G325" s="1159"/>
      <c r="H325" s="1174" t="s">
        <v>765</v>
      </c>
      <c r="I325" s="1174"/>
      <c r="J325" s="1159"/>
      <c r="K325" s="1712" t="str">
        <f>IF(ISERROR(K324/D326),"",K324/D326)</f>
        <v/>
      </c>
      <c r="L325" s="1712"/>
      <c r="M325" s="1175"/>
      <c r="N325" s="1175"/>
      <c r="O325" s="1175"/>
      <c r="P325" s="1175"/>
      <c r="Q325" s="1175"/>
      <c r="R325" s="1175"/>
      <c r="S325" s="1175"/>
      <c r="T325" s="1152"/>
      <c r="AF325" s="1161">
        <v>3</v>
      </c>
    </row>
    <row r="326" spans="1:32" x14ac:dyDescent="0.25">
      <c r="A326" s="1176" t="s">
        <v>767</v>
      </c>
      <c r="B326" s="1176"/>
      <c r="C326" s="1177"/>
      <c r="D326" s="1744">
        <f>M61</f>
        <v>0</v>
      </c>
      <c r="E326" s="1744"/>
      <c r="F326" s="1744"/>
      <c r="G326" s="1128"/>
      <c r="H326" s="1112" t="s">
        <v>8031</v>
      </c>
      <c r="I326" s="1112"/>
      <c r="J326" s="1122"/>
      <c r="K326" s="1734">
        <f>IF(ISERROR(SUM(C334,F334,I334,L334,O334,R334)/SUM(T334:Y334)),"",SUM(C334,F334,I334,L334,O334,R334)/SUM(T334:Y334))</f>
        <v>88.531000000000006</v>
      </c>
      <c r="L326" s="1734"/>
      <c r="M326" s="1128"/>
      <c r="N326" s="1128"/>
      <c r="O326" s="1128"/>
      <c r="P326" s="1128"/>
      <c r="Q326" s="1128"/>
      <c r="R326" s="1128"/>
      <c r="S326" s="1128"/>
      <c r="T326" s="1140"/>
      <c r="AF326" s="1161">
        <v>3</v>
      </c>
    </row>
    <row r="327" spans="1:32" x14ac:dyDescent="0.25">
      <c r="A327" s="1128"/>
      <c r="B327" s="1128"/>
      <c r="C327" s="1174"/>
      <c r="D327" s="1174"/>
      <c r="E327" s="1128"/>
      <c r="F327" s="1128"/>
      <c r="G327" s="1128"/>
      <c r="H327" s="1128"/>
      <c r="I327" s="1128"/>
      <c r="J327" s="1178"/>
      <c r="K327" s="1178"/>
      <c r="L327" s="1178"/>
      <c r="M327" s="1178"/>
      <c r="N327" s="1178"/>
      <c r="O327" s="1178"/>
      <c r="P327" s="1178"/>
      <c r="Q327" s="1178"/>
      <c r="R327" s="1178"/>
      <c r="S327" s="1011" t="s">
        <v>29</v>
      </c>
      <c r="T327" s="1152"/>
      <c r="U327" s="1158"/>
      <c r="V327" s="1158"/>
      <c r="AF327" s="1161">
        <v>3</v>
      </c>
    </row>
    <row r="328" spans="1:32" x14ac:dyDescent="0.25">
      <c r="A328" s="1179" t="s">
        <v>266</v>
      </c>
      <c r="B328" s="1743">
        <f>$B$31</f>
        <v>43094</v>
      </c>
      <c r="C328" s="1743"/>
      <c r="D328" s="1743"/>
      <c r="E328" s="1743">
        <f>$E$31</f>
        <v>43125</v>
      </c>
      <c r="F328" s="1743"/>
      <c r="G328" s="1743"/>
      <c r="H328" s="1743">
        <f>$H$31</f>
        <v>43156</v>
      </c>
      <c r="I328" s="1743"/>
      <c r="J328" s="1743"/>
      <c r="K328" s="1743">
        <f>$K$31</f>
        <v>43187</v>
      </c>
      <c r="L328" s="1743"/>
      <c r="M328" s="1743"/>
      <c r="N328" s="1743">
        <f>$N$31</f>
        <v>43218</v>
      </c>
      <c r="O328" s="1743"/>
      <c r="P328" s="1743"/>
      <c r="Q328" s="1743">
        <f>$Q$31</f>
        <v>43249</v>
      </c>
      <c r="R328" s="1743"/>
      <c r="S328" s="1743"/>
      <c r="T328" s="1152"/>
      <c r="U328" s="1158"/>
      <c r="V328" s="1158"/>
      <c r="AF328" s="1161">
        <v>3</v>
      </c>
    </row>
    <row r="329" spans="1:32" x14ac:dyDescent="0.25">
      <c r="A329" s="1179" t="s">
        <v>8</v>
      </c>
      <c r="B329" s="1179" t="s">
        <v>26</v>
      </c>
      <c r="C329" s="1739" t="s">
        <v>8030</v>
      </c>
      <c r="D329" s="1740"/>
      <c r="E329" s="1179" t="s">
        <v>26</v>
      </c>
      <c r="F329" s="1741" t="s">
        <v>8030</v>
      </c>
      <c r="G329" s="1742"/>
      <c r="H329" s="1179" t="s">
        <v>26</v>
      </c>
      <c r="I329" s="1741" t="s">
        <v>8030</v>
      </c>
      <c r="J329" s="1742"/>
      <c r="K329" s="1179" t="s">
        <v>26</v>
      </c>
      <c r="L329" s="1741" t="s">
        <v>8030</v>
      </c>
      <c r="M329" s="1742"/>
      <c r="N329" s="1179" t="s">
        <v>26</v>
      </c>
      <c r="O329" s="1741" t="s">
        <v>8030</v>
      </c>
      <c r="P329" s="1742"/>
      <c r="Q329" s="1179" t="s">
        <v>26</v>
      </c>
      <c r="R329" s="1741" t="s">
        <v>8030</v>
      </c>
      <c r="S329" s="1742"/>
      <c r="T329" s="1152"/>
      <c r="U329" s="1158"/>
      <c r="V329" s="1158"/>
      <c r="AF329" s="1161">
        <v>3</v>
      </c>
    </row>
    <row r="330" spans="1:32" x14ac:dyDescent="0.25">
      <c r="A330" s="1170">
        <v>1</v>
      </c>
      <c r="B330" s="1180">
        <v>7</v>
      </c>
      <c r="C330" s="1737">
        <v>69.793000000000006</v>
      </c>
      <c r="D330" s="1738"/>
      <c r="E330" s="1181">
        <v>7</v>
      </c>
      <c r="F330" s="1737">
        <v>1.105</v>
      </c>
      <c r="G330" s="1738"/>
      <c r="H330" s="1170">
        <v>7</v>
      </c>
      <c r="I330" s="1737">
        <v>208.25299999999999</v>
      </c>
      <c r="J330" s="1738"/>
      <c r="K330" s="1170">
        <v>7</v>
      </c>
      <c r="L330" s="1737">
        <v>24.414999999999999</v>
      </c>
      <c r="M330" s="1738"/>
      <c r="N330" s="1170">
        <v>7</v>
      </c>
      <c r="O330" s="1737">
        <v>18.148</v>
      </c>
      <c r="P330" s="1738"/>
      <c r="Q330" s="1170">
        <v>7</v>
      </c>
      <c r="R330" s="1737">
        <v>58.841999999999999</v>
      </c>
      <c r="S330" s="1738"/>
      <c r="T330" s="1168">
        <f>IF(C330&lt;&gt;"",IF(C330=0,0,1),0)</f>
        <v>1</v>
      </c>
      <c r="U330" s="1168">
        <f>IF(F330&lt;&gt;"",IF(F330=0,0,1),0)</f>
        <v>1</v>
      </c>
      <c r="V330" s="1169">
        <f>IF(I330&lt;&gt;"",IF(I330=0,0,1),0)</f>
        <v>1</v>
      </c>
      <c r="W330" s="1157">
        <f>IF(L330&lt;&gt;"",IF(L330=0,0,1),0)</f>
        <v>1</v>
      </c>
      <c r="X330" s="1157">
        <f>IF(O330&lt;&gt;"",IF(O330=0,0,1),0)</f>
        <v>1</v>
      </c>
      <c r="Y330" s="1157">
        <f>IF(R330&lt;&gt;"",IF(R330=0,0,1),0)</f>
        <v>1</v>
      </c>
      <c r="AF330" s="1161">
        <v>3</v>
      </c>
    </row>
    <row r="331" spans="1:32" x14ac:dyDescent="0.25">
      <c r="A331" s="1171">
        <v>2</v>
      </c>
      <c r="B331" s="1182">
        <v>14</v>
      </c>
      <c r="C331" s="1735">
        <v>2.867</v>
      </c>
      <c r="D331" s="1736"/>
      <c r="E331" s="1183">
        <v>14</v>
      </c>
      <c r="F331" s="1735">
        <v>1.105</v>
      </c>
      <c r="G331" s="1736"/>
      <c r="H331" s="1171">
        <v>14</v>
      </c>
      <c r="I331" s="1735">
        <v>158.25200000000001</v>
      </c>
      <c r="J331" s="1736"/>
      <c r="K331" s="1171">
        <v>14</v>
      </c>
      <c r="L331" s="1735">
        <v>25.61</v>
      </c>
      <c r="M331" s="1736"/>
      <c r="N331" s="1171">
        <v>14</v>
      </c>
      <c r="O331" s="1735">
        <v>249.14500000000001</v>
      </c>
      <c r="P331" s="1736"/>
      <c r="Q331" s="1171">
        <v>14</v>
      </c>
      <c r="R331" s="1735">
        <v>3.2170000000000001</v>
      </c>
      <c r="S331" s="1736"/>
      <c r="T331" s="1168">
        <f>IF(C331&lt;&gt;"",IF(C331=0,0,1),0)</f>
        <v>1</v>
      </c>
      <c r="U331" s="1168">
        <f>IF(F331&lt;&gt;"",IF(F331=0,0,1),0)</f>
        <v>1</v>
      </c>
      <c r="V331" s="1169">
        <f>IF(I331&lt;&gt;"",IF(I331=0,0,1),0)</f>
        <v>1</v>
      </c>
      <c r="W331" s="1157">
        <f>IF(L331&lt;&gt;"",IF(L331=0,0,1),0)</f>
        <v>1</v>
      </c>
      <c r="X331" s="1157">
        <f>IF(O331&lt;&gt;"",IF(O331=0,0,1),0)</f>
        <v>1</v>
      </c>
      <c r="Y331" s="1157">
        <f>IF(R331&lt;&gt;"",IF(R331=0,0,1),0)</f>
        <v>1</v>
      </c>
      <c r="AF331" s="1161">
        <v>3</v>
      </c>
    </row>
    <row r="332" spans="1:32" x14ac:dyDescent="0.25">
      <c r="A332" s="1171">
        <v>3</v>
      </c>
      <c r="B332" s="1182">
        <v>22</v>
      </c>
      <c r="C332" s="1762">
        <v>547.73599999999999</v>
      </c>
      <c r="D332" s="1763"/>
      <c r="E332" s="1183">
        <v>22</v>
      </c>
      <c r="F332" s="1762">
        <v>0.89</v>
      </c>
      <c r="G332" s="1763"/>
      <c r="H332" s="1171">
        <v>22</v>
      </c>
      <c r="I332" s="1762">
        <v>122.837</v>
      </c>
      <c r="J332" s="1763"/>
      <c r="K332" s="1171">
        <v>22</v>
      </c>
      <c r="L332" s="1762">
        <v>160.102</v>
      </c>
      <c r="M332" s="1763"/>
      <c r="N332" s="1171">
        <v>22</v>
      </c>
      <c r="O332" s="1762">
        <v>4.8449999999999998</v>
      </c>
      <c r="P332" s="1763"/>
      <c r="Q332" s="1171">
        <v>22</v>
      </c>
      <c r="R332" s="1762">
        <v>174.11199999999999</v>
      </c>
      <c r="S332" s="1763"/>
      <c r="T332" s="1168">
        <f>IF(C332&lt;&gt;"",IF(C332=0,0,1),0)</f>
        <v>1</v>
      </c>
      <c r="U332" s="1168">
        <f>IF(F332&lt;&gt;"",IF(F332=0,0,1),0)</f>
        <v>1</v>
      </c>
      <c r="V332" s="1169">
        <f>IF(I332&lt;&gt;"",IF(I332=0,0,1),0)</f>
        <v>1</v>
      </c>
      <c r="W332" s="1157">
        <f>IF(L332&lt;&gt;"",IF(L332=0,0,1),0)</f>
        <v>1</v>
      </c>
      <c r="X332" s="1157">
        <f>IF(O332&lt;&gt;"",IF(O332=0,0,1),0)</f>
        <v>1</v>
      </c>
      <c r="Y332" s="1157">
        <f>IF(R332&lt;&gt;"",IF(R332=0,0,1),0)</f>
        <v>1</v>
      </c>
      <c r="AF332" s="1161">
        <v>3</v>
      </c>
    </row>
    <row r="333" spans="1:32" x14ac:dyDescent="0.25">
      <c r="A333" s="1172">
        <v>4</v>
      </c>
      <c r="B333" s="1184">
        <v>31</v>
      </c>
      <c r="C333" s="1735">
        <v>1.105</v>
      </c>
      <c r="D333" s="1736"/>
      <c r="E333" s="1185">
        <v>31</v>
      </c>
      <c r="F333" s="1735">
        <v>0.86399999999999999</v>
      </c>
      <c r="G333" s="1736"/>
      <c r="H333" s="1172">
        <v>31</v>
      </c>
      <c r="I333" s="1735">
        <v>124.41500000000001</v>
      </c>
      <c r="J333" s="1736"/>
      <c r="K333" s="1172">
        <v>31</v>
      </c>
      <c r="L333" s="1735">
        <v>160.10300000000001</v>
      </c>
      <c r="M333" s="1736"/>
      <c r="N333" s="1172">
        <v>31</v>
      </c>
      <c r="O333" s="1735">
        <v>4.8419999999999996</v>
      </c>
      <c r="P333" s="1736"/>
      <c r="Q333" s="1172">
        <v>31</v>
      </c>
      <c r="R333" s="1735">
        <v>2.141</v>
      </c>
      <c r="S333" s="1736"/>
      <c r="T333" s="1168">
        <f>IF(C333&lt;&gt;"",IF(C333=0,0,1),0)</f>
        <v>1</v>
      </c>
      <c r="U333" s="1168">
        <f>IF(F333&lt;&gt;"",IF(F333=0,0,1),0)</f>
        <v>1</v>
      </c>
      <c r="V333" s="1169">
        <f>IF(I333&lt;&gt;"",IF(I333=0,0,1),0)</f>
        <v>1</v>
      </c>
      <c r="W333" s="1157">
        <f>IF(L333&lt;&gt;"",IF(L333=0,0,1),0)</f>
        <v>1</v>
      </c>
      <c r="X333" s="1157">
        <f>IF(O333&lt;&gt;"",IF(O333=0,0,1),0)</f>
        <v>1</v>
      </c>
      <c r="Y333" s="1157">
        <f>IF(R333&lt;&gt;"",IF(R333=0,0,1),0)</f>
        <v>1</v>
      </c>
      <c r="AF333" s="1161">
        <v>3</v>
      </c>
    </row>
    <row r="334" spans="1:32" x14ac:dyDescent="0.25">
      <c r="A334" s="1753" t="s">
        <v>7997</v>
      </c>
      <c r="B334" s="1753"/>
      <c r="C334" s="1754">
        <f>IF(ISERROR(SUM(C330:D333)/SUM(T330:T333)),0,SUM(C330:D333)/SUM(T330:T333))</f>
        <v>155.37524999999999</v>
      </c>
      <c r="D334" s="1755"/>
      <c r="E334" s="1212" t="s">
        <v>7373</v>
      </c>
      <c r="F334" s="1754">
        <f>IF(ISERROR(SUM(F330:G333)/SUM(U330:U333)),0,SUM(F330:G333)/SUM(U330:U333))</f>
        <v>0.99099999999999999</v>
      </c>
      <c r="G334" s="1755"/>
      <c r="H334" s="1212"/>
      <c r="I334" s="1754">
        <f>IF(ISERROR(SUM(I330:J333)/SUM(V330:V333)),0,SUM(I330:J333)/SUM(V330:V333))</f>
        <v>153.43924999999999</v>
      </c>
      <c r="J334" s="1755"/>
      <c r="K334" s="1212"/>
      <c r="L334" s="1754">
        <f>IF(ISERROR(SUM(L330:M333)/SUM(W330:W333)),0,SUM(L330:M333)/SUM(W330:W333))</f>
        <v>92.557500000000005</v>
      </c>
      <c r="M334" s="1755"/>
      <c r="N334" s="1212"/>
      <c r="O334" s="1754">
        <f>IF(ISERROR(SUM(O330:P333)/SUM(X330:X333)),0,SUM(O330:P333)/SUM(X330:X333))</f>
        <v>69.245000000000005</v>
      </c>
      <c r="P334" s="1755"/>
      <c r="Q334" s="1212"/>
      <c r="R334" s="1754">
        <f>IF(ISERROR(SUM(R330:S333)/SUM(Y330:Y333)),0,SUM(R330:S333)/SUM(Y330:Y333))</f>
        <v>59.577999999999996</v>
      </c>
      <c r="S334" s="1755"/>
      <c r="T334" s="1168">
        <f t="shared" ref="T334:Y334" si="5">IF(SUM(T330:T333)&lt;&gt;0,1,0)</f>
        <v>1</v>
      </c>
      <c r="U334" s="1168">
        <f t="shared" si="5"/>
        <v>1</v>
      </c>
      <c r="V334" s="1168">
        <f t="shared" si="5"/>
        <v>1</v>
      </c>
      <c r="W334" s="1168">
        <f t="shared" si="5"/>
        <v>1</v>
      </c>
      <c r="X334" s="1168">
        <f t="shared" si="5"/>
        <v>1</v>
      </c>
      <c r="Y334" s="1168">
        <f t="shared" si="5"/>
        <v>1</v>
      </c>
      <c r="AF334" s="1161">
        <v>3</v>
      </c>
    </row>
    <row r="335" spans="1:32" ht="15" customHeight="1" x14ac:dyDescent="0.25">
      <c r="A335" s="1753" t="s">
        <v>2980</v>
      </c>
      <c r="B335" s="1753"/>
      <c r="C335" s="1748">
        <v>624.87</v>
      </c>
      <c r="D335" s="1748"/>
      <c r="E335" s="1118"/>
      <c r="F335" s="1748">
        <v>0</v>
      </c>
      <c r="G335" s="1748"/>
      <c r="H335" s="1118"/>
      <c r="I335" s="1748">
        <v>252.99</v>
      </c>
      <c r="J335" s="1748"/>
      <c r="K335" s="1118"/>
      <c r="L335" s="1748">
        <v>329.79</v>
      </c>
      <c r="M335" s="1748"/>
      <c r="N335" s="1118"/>
      <c r="O335" s="1748">
        <v>230.99</v>
      </c>
      <c r="P335" s="1748"/>
      <c r="Q335" s="1118"/>
      <c r="R335" s="1748">
        <v>107.89</v>
      </c>
      <c r="S335" s="1748"/>
      <c r="T335" s="1152"/>
      <c r="U335" s="1158"/>
      <c r="V335" s="1158"/>
      <c r="AF335" s="1161">
        <v>3</v>
      </c>
    </row>
    <row r="336" spans="1:32" x14ac:dyDescent="0.25">
      <c r="A336" s="1210" t="s">
        <v>272</v>
      </c>
      <c r="B336" s="1210"/>
      <c r="C336" s="1748">
        <v>627.73599999999999</v>
      </c>
      <c r="D336" s="1748"/>
      <c r="E336" s="1118"/>
      <c r="F336" s="1748">
        <v>102.605</v>
      </c>
      <c r="G336" s="1748"/>
      <c r="H336" s="1118"/>
      <c r="I336" s="1748">
        <v>158.25299999999999</v>
      </c>
      <c r="J336" s="1748"/>
      <c r="K336" s="1213"/>
      <c r="L336" s="1748">
        <v>175.60499999999999</v>
      </c>
      <c r="M336" s="1748"/>
      <c r="N336" s="1213"/>
      <c r="O336" s="1748">
        <v>249.14500000000001</v>
      </c>
      <c r="P336" s="1748"/>
      <c r="Q336" s="1213"/>
      <c r="R336" s="1748">
        <v>174.11199999999999</v>
      </c>
      <c r="S336" s="1748"/>
      <c r="T336" s="1152"/>
      <c r="U336" s="1158"/>
      <c r="V336" s="1158"/>
      <c r="AF336" s="1161">
        <v>3</v>
      </c>
    </row>
    <row r="337" spans="1:32" x14ac:dyDescent="0.25">
      <c r="A337" s="1210" t="s">
        <v>273</v>
      </c>
      <c r="B337" s="1210"/>
      <c r="C337" s="1748">
        <v>1.091</v>
      </c>
      <c r="D337" s="1748"/>
      <c r="E337" s="1118"/>
      <c r="F337" s="1748">
        <v>0.86399999999999999</v>
      </c>
      <c r="G337" s="1748"/>
      <c r="H337" s="1118"/>
      <c r="I337" s="1748">
        <v>0.95899999999999996</v>
      </c>
      <c r="J337" s="1748"/>
      <c r="K337" s="1213"/>
      <c r="L337" s="1748">
        <v>5.6050000000000004</v>
      </c>
      <c r="M337" s="1748"/>
      <c r="N337" s="1213"/>
      <c r="O337" s="1748">
        <v>4.8419999999999996</v>
      </c>
      <c r="P337" s="1748"/>
      <c r="Q337" s="1213"/>
      <c r="R337" s="1748">
        <v>2.141</v>
      </c>
      <c r="S337" s="1748"/>
      <c r="T337" s="1152"/>
      <c r="U337" s="1158"/>
      <c r="V337" s="1158"/>
      <c r="AF337" s="1161">
        <v>3</v>
      </c>
    </row>
    <row r="338" spans="1:32" x14ac:dyDescent="0.25">
      <c r="A338" s="1749" t="s">
        <v>274</v>
      </c>
      <c r="B338" s="1750"/>
      <c r="C338" s="1752">
        <f>C336-C337</f>
        <v>626.64499999999998</v>
      </c>
      <c r="D338" s="1752"/>
      <c r="E338" s="1118"/>
      <c r="F338" s="1752">
        <f>F336-F337</f>
        <v>101.741</v>
      </c>
      <c r="G338" s="1752"/>
      <c r="H338" s="1118"/>
      <c r="I338" s="1752">
        <f>I336-I337</f>
        <v>157.29399999999998</v>
      </c>
      <c r="J338" s="1752"/>
      <c r="K338" s="1213"/>
      <c r="L338" s="1752">
        <f>L336-L337</f>
        <v>170</v>
      </c>
      <c r="M338" s="1752"/>
      <c r="N338" s="1213"/>
      <c r="O338" s="1752">
        <f>O336-O337</f>
        <v>244.303</v>
      </c>
      <c r="P338" s="1752"/>
      <c r="Q338" s="1213"/>
      <c r="R338" s="1752">
        <f>R336-R337</f>
        <v>171.971</v>
      </c>
      <c r="S338" s="1752"/>
      <c r="T338" s="1152"/>
      <c r="U338" s="1158"/>
      <c r="V338" s="1158"/>
      <c r="AF338" s="1161">
        <v>3</v>
      </c>
    </row>
    <row r="339" spans="1:32" x14ac:dyDescent="0.25">
      <c r="A339" s="1749" t="s">
        <v>275</v>
      </c>
      <c r="B339" s="1750"/>
      <c r="C339" s="1751" t="str">
        <f>IF(SUM($D$326)=0,"",C338/$D$326)</f>
        <v/>
      </c>
      <c r="D339" s="1752"/>
      <c r="E339" s="1214"/>
      <c r="F339" s="1751" t="str">
        <f>IF(SUM($D$326)=0,"",F338/$D$326)</f>
        <v/>
      </c>
      <c r="G339" s="1752"/>
      <c r="H339" s="1214"/>
      <c r="I339" s="1751" t="str">
        <f>IF(SUM($D$326)=0,"",I338/$D$326)</f>
        <v/>
      </c>
      <c r="J339" s="1752"/>
      <c r="K339" s="1215"/>
      <c r="L339" s="1751" t="str">
        <f>IF(SUM($D$326)=0,"",L338/$D$326)</f>
        <v/>
      </c>
      <c r="M339" s="1752"/>
      <c r="N339" s="1215"/>
      <c r="O339" s="1751" t="str">
        <f>IF(SUM($D$326)=0,"",O338/$D$326)</f>
        <v/>
      </c>
      <c r="P339" s="1752"/>
      <c r="Q339" s="1215"/>
      <c r="R339" s="1751" t="str">
        <f>IF(SUM($D$326)=0,"",R338/$D$326)</f>
        <v/>
      </c>
      <c r="S339" s="1752"/>
      <c r="T339" s="1152"/>
      <c r="U339" s="1158"/>
      <c r="V339" s="1158"/>
      <c r="AF339" s="1161">
        <v>3</v>
      </c>
    </row>
    <row r="340" spans="1:32" x14ac:dyDescent="0.25">
      <c r="A340" s="1128"/>
      <c r="B340" s="1128"/>
      <c r="C340" s="1128"/>
      <c r="D340" s="1128"/>
      <c r="E340" s="1128"/>
      <c r="F340" s="1128"/>
      <c r="G340" s="1128"/>
      <c r="H340" s="1128"/>
      <c r="I340" s="1128"/>
      <c r="J340" s="1128"/>
      <c r="K340" s="1128"/>
      <c r="L340" s="1128"/>
      <c r="M340" s="1128"/>
      <c r="N340" s="1128"/>
      <c r="O340" s="1128"/>
      <c r="P340" s="1128"/>
      <c r="Q340" s="1128"/>
      <c r="R340" s="1128"/>
      <c r="S340" s="1128"/>
      <c r="T340" s="1140"/>
      <c r="AF340" s="1161">
        <v>3</v>
      </c>
    </row>
    <row r="341" spans="1:32" hidden="1" x14ac:dyDescent="0.25">
      <c r="A341" s="1745" t="s">
        <v>8017</v>
      </c>
      <c r="B341" s="1745"/>
      <c r="C341" s="1745"/>
      <c r="D341" s="1745"/>
      <c r="E341" s="1745"/>
      <c r="F341" s="1745"/>
      <c r="G341" s="1745"/>
      <c r="H341" s="1745"/>
      <c r="I341" s="1745"/>
      <c r="J341" s="1745"/>
      <c r="K341" s="1745"/>
      <c r="L341" s="1745"/>
      <c r="M341" s="1745"/>
      <c r="N341" s="1745"/>
      <c r="O341" s="1745"/>
      <c r="P341" s="1745"/>
      <c r="Q341" s="1745"/>
      <c r="R341" s="1745"/>
      <c r="S341" s="1745"/>
      <c r="T341" s="1146"/>
      <c r="AF341" s="1161">
        <v>4</v>
      </c>
    </row>
    <row r="342" spans="1:32" ht="5.0999999999999996" hidden="1" customHeight="1" x14ac:dyDescent="0.25">
      <c r="A342" s="1128"/>
      <c r="B342" s="1128"/>
      <c r="C342" s="1173"/>
      <c r="D342" s="1173"/>
      <c r="E342" s="1128"/>
      <c r="F342" s="1128"/>
      <c r="G342" s="1128"/>
      <c r="H342" s="1128"/>
      <c r="I342" s="1128"/>
      <c r="J342" s="1128"/>
      <c r="K342" s="1128"/>
      <c r="L342" s="1128"/>
      <c r="M342" s="1128"/>
      <c r="N342" s="1128"/>
      <c r="O342" s="1128"/>
      <c r="P342" s="1128"/>
      <c r="Q342" s="1128"/>
      <c r="R342" s="1128"/>
      <c r="S342" s="1128"/>
      <c r="T342" s="1140"/>
      <c r="AF342" s="1161">
        <v>4</v>
      </c>
    </row>
    <row r="343" spans="1:32" hidden="1" x14ac:dyDescent="0.25">
      <c r="A343" s="1128" t="s">
        <v>271</v>
      </c>
      <c r="B343" s="1128"/>
      <c r="C343" s="1159"/>
      <c r="D343" s="1746">
        <f>D77</f>
        <v>0</v>
      </c>
      <c r="E343" s="1746"/>
      <c r="F343" s="1746"/>
      <c r="G343" s="1159"/>
      <c r="H343" s="1174" t="s">
        <v>763</v>
      </c>
      <c r="I343" s="1174"/>
      <c r="J343" s="1159"/>
      <c r="K343" s="1746">
        <f>IF(COUNT(C355,F355,I355,L355,O355,R355)=0,"",AVERAGE(C355,F355,I355,L355,O355,R355))</f>
        <v>0</v>
      </c>
      <c r="L343" s="1746"/>
      <c r="M343" s="1175"/>
      <c r="N343" s="1175"/>
      <c r="O343" s="1175"/>
      <c r="P343" s="1175"/>
      <c r="Q343" s="1175"/>
      <c r="R343" s="1175"/>
      <c r="S343" s="1175"/>
      <c r="T343" s="1152"/>
      <c r="AF343" s="1161">
        <v>4</v>
      </c>
    </row>
    <row r="344" spans="1:32" hidden="1" x14ac:dyDescent="0.25">
      <c r="A344" s="1128" t="s">
        <v>240</v>
      </c>
      <c r="B344" s="1128"/>
      <c r="C344" s="1159"/>
      <c r="D344" s="1747">
        <f>D78</f>
        <v>0</v>
      </c>
      <c r="E344" s="1747"/>
      <c r="F344" s="1747"/>
      <c r="G344" s="1159"/>
      <c r="H344" s="1174" t="s">
        <v>764</v>
      </c>
      <c r="I344" s="1174"/>
      <c r="J344" s="1159"/>
      <c r="K344" s="1747">
        <f>IF(ISERROR(SUM(C358,F358,I358,L358,O358,R358)/COUNT(C355,F355,I355,L355,O355,R355)),"",SUM(C358,F358,I358,L358,O358,R358,)/COUNT(C355,F355,I355,L355,O355,R355))</f>
        <v>0</v>
      </c>
      <c r="L344" s="1747"/>
      <c r="M344" s="1175"/>
      <c r="N344" s="1175"/>
      <c r="O344" s="1175"/>
      <c r="P344" s="1175"/>
      <c r="Q344" s="1175"/>
      <c r="R344" s="1175"/>
      <c r="S344" s="1175"/>
      <c r="T344" s="1152"/>
      <c r="AF344" s="1161">
        <v>4</v>
      </c>
    </row>
    <row r="345" spans="1:32" hidden="1" x14ac:dyDescent="0.25">
      <c r="A345" s="1128" t="s">
        <v>265</v>
      </c>
      <c r="B345" s="1128"/>
      <c r="C345" s="1159"/>
      <c r="D345" s="1747">
        <f>D79</f>
        <v>0</v>
      </c>
      <c r="E345" s="1747"/>
      <c r="F345" s="1747"/>
      <c r="G345" s="1159"/>
      <c r="H345" s="1174" t="s">
        <v>765</v>
      </c>
      <c r="I345" s="1174"/>
      <c r="J345" s="1159"/>
      <c r="K345" s="1712" t="str">
        <f>IF(ISERROR(K344/D346),"",K344/D346)</f>
        <v/>
      </c>
      <c r="L345" s="1712"/>
      <c r="M345" s="1175"/>
      <c r="N345" s="1175"/>
      <c r="O345" s="1175"/>
      <c r="P345" s="1175"/>
      <c r="Q345" s="1175"/>
      <c r="R345" s="1175"/>
      <c r="S345" s="1175"/>
      <c r="T345" s="1152"/>
      <c r="AF345" s="1161">
        <v>4</v>
      </c>
    </row>
    <row r="346" spans="1:32" hidden="1" x14ac:dyDescent="0.25">
      <c r="A346" s="1176" t="s">
        <v>767</v>
      </c>
      <c r="B346" s="1176"/>
      <c r="C346" s="1177"/>
      <c r="D346" s="1744">
        <f>M78</f>
        <v>0</v>
      </c>
      <c r="E346" s="1744"/>
      <c r="F346" s="1744"/>
      <c r="G346" s="1128"/>
      <c r="H346" s="1112" t="s">
        <v>8031</v>
      </c>
      <c r="I346" s="1112"/>
      <c r="J346" s="1122"/>
      <c r="K346" s="1734" t="str">
        <f>IF(ISERROR(SUM(C354,F354,I354,L354,O354,R354)/SUM(T354:Y354)),"",SUM(C354,F354,I354,L354,O354,R354)/SUM(T354:Y354))</f>
        <v/>
      </c>
      <c r="L346" s="1734"/>
      <c r="M346" s="1128"/>
      <c r="N346" s="1128"/>
      <c r="O346" s="1128"/>
      <c r="P346" s="1128"/>
      <c r="Q346" s="1128"/>
      <c r="R346" s="1128"/>
      <c r="S346" s="1128"/>
      <c r="T346" s="1140"/>
      <c r="AF346" s="1161">
        <v>4</v>
      </c>
    </row>
    <row r="347" spans="1:32" hidden="1" x14ac:dyDescent="0.25">
      <c r="A347" s="1128"/>
      <c r="B347" s="1128"/>
      <c r="C347" s="1174"/>
      <c r="D347" s="1174"/>
      <c r="E347" s="1128"/>
      <c r="F347" s="1128"/>
      <c r="G347" s="1128"/>
      <c r="H347" s="1128"/>
      <c r="I347" s="1128"/>
      <c r="J347" s="1178"/>
      <c r="K347" s="1178"/>
      <c r="L347" s="1178"/>
      <c r="M347" s="1178"/>
      <c r="N347" s="1178"/>
      <c r="O347" s="1178"/>
      <c r="P347" s="1178"/>
      <c r="Q347" s="1178"/>
      <c r="R347" s="1178"/>
      <c r="S347" s="1011" t="s">
        <v>29</v>
      </c>
      <c r="T347" s="1152"/>
      <c r="U347" s="1158"/>
      <c r="V347" s="1158"/>
      <c r="AF347" s="1161">
        <v>4</v>
      </c>
    </row>
    <row r="348" spans="1:32" hidden="1" x14ac:dyDescent="0.25">
      <c r="A348" s="1179" t="s">
        <v>266</v>
      </c>
      <c r="B348" s="1743">
        <f>$B$31</f>
        <v>43094</v>
      </c>
      <c r="C348" s="1743"/>
      <c r="D348" s="1743"/>
      <c r="E348" s="1743">
        <f>$E$31</f>
        <v>43125</v>
      </c>
      <c r="F348" s="1743"/>
      <c r="G348" s="1743"/>
      <c r="H348" s="1743">
        <f>$H$31</f>
        <v>43156</v>
      </c>
      <c r="I348" s="1743"/>
      <c r="J348" s="1743"/>
      <c r="K348" s="1743">
        <f>$K$31</f>
        <v>43187</v>
      </c>
      <c r="L348" s="1743"/>
      <c r="M348" s="1743"/>
      <c r="N348" s="1743">
        <f>$N$31</f>
        <v>43218</v>
      </c>
      <c r="O348" s="1743"/>
      <c r="P348" s="1743"/>
      <c r="Q348" s="1743">
        <f>$Q$31</f>
        <v>43249</v>
      </c>
      <c r="R348" s="1743"/>
      <c r="S348" s="1743"/>
      <c r="T348" s="1152"/>
      <c r="U348" s="1158"/>
      <c r="V348" s="1158"/>
      <c r="AF348" s="1161">
        <v>4</v>
      </c>
    </row>
    <row r="349" spans="1:32" hidden="1" x14ac:dyDescent="0.25">
      <c r="A349" s="1179" t="s">
        <v>8</v>
      </c>
      <c r="B349" s="1179" t="s">
        <v>26</v>
      </c>
      <c r="C349" s="1739" t="s">
        <v>8030</v>
      </c>
      <c r="D349" s="1740"/>
      <c r="E349" s="1179" t="s">
        <v>26</v>
      </c>
      <c r="F349" s="1741" t="s">
        <v>8030</v>
      </c>
      <c r="G349" s="1742"/>
      <c r="H349" s="1179" t="s">
        <v>26</v>
      </c>
      <c r="I349" s="1741" t="s">
        <v>8030</v>
      </c>
      <c r="J349" s="1742"/>
      <c r="K349" s="1179" t="s">
        <v>26</v>
      </c>
      <c r="L349" s="1741" t="s">
        <v>8030</v>
      </c>
      <c r="M349" s="1742"/>
      <c r="N349" s="1179" t="s">
        <v>26</v>
      </c>
      <c r="O349" s="1741" t="s">
        <v>8030</v>
      </c>
      <c r="P349" s="1742"/>
      <c r="Q349" s="1179" t="s">
        <v>26</v>
      </c>
      <c r="R349" s="1741" t="s">
        <v>8030</v>
      </c>
      <c r="S349" s="1742"/>
      <c r="T349" s="1152"/>
      <c r="U349" s="1158"/>
      <c r="V349" s="1158"/>
      <c r="AF349" s="1161">
        <v>4</v>
      </c>
    </row>
    <row r="350" spans="1:32" hidden="1" x14ac:dyDescent="0.25">
      <c r="A350" s="1170">
        <v>1</v>
      </c>
      <c r="B350" s="1180">
        <v>7</v>
      </c>
      <c r="C350" s="1760"/>
      <c r="D350" s="1761"/>
      <c r="E350" s="1181">
        <v>7</v>
      </c>
      <c r="F350" s="1760"/>
      <c r="G350" s="1761"/>
      <c r="H350" s="1170">
        <v>7</v>
      </c>
      <c r="I350" s="1760"/>
      <c r="J350" s="1761"/>
      <c r="K350" s="1170">
        <v>7</v>
      </c>
      <c r="L350" s="1760"/>
      <c r="M350" s="1761"/>
      <c r="N350" s="1170">
        <v>7</v>
      </c>
      <c r="O350" s="1760"/>
      <c r="P350" s="1761"/>
      <c r="Q350" s="1170">
        <v>7</v>
      </c>
      <c r="R350" s="1760"/>
      <c r="S350" s="1761"/>
      <c r="T350" s="1168">
        <f>IF(C350&lt;&gt;"",IF(C350=0,0,1),0)</f>
        <v>0</v>
      </c>
      <c r="U350" s="1168">
        <f>IF(F350&lt;&gt;"",IF(F350=0,0,1),0)</f>
        <v>0</v>
      </c>
      <c r="V350" s="1169">
        <f>IF(I350&lt;&gt;"",IF(I350=0,0,1),0)</f>
        <v>0</v>
      </c>
      <c r="W350" s="1157">
        <f>IF(L350&lt;&gt;"",IF(L350=0,0,1),0)</f>
        <v>0</v>
      </c>
      <c r="X350" s="1157">
        <f>IF(O350&lt;&gt;"",IF(O350=0,0,1),0)</f>
        <v>0</v>
      </c>
      <c r="Y350" s="1157">
        <f>IF(R350&lt;&gt;"",IF(R350=0,0,1),0)</f>
        <v>0</v>
      </c>
      <c r="AF350" s="1161">
        <v>4</v>
      </c>
    </row>
    <row r="351" spans="1:32" hidden="1" x14ac:dyDescent="0.25">
      <c r="A351" s="1171">
        <v>2</v>
      </c>
      <c r="B351" s="1182">
        <v>14</v>
      </c>
      <c r="C351" s="1758"/>
      <c r="D351" s="1759"/>
      <c r="E351" s="1183">
        <v>14</v>
      </c>
      <c r="F351" s="1758"/>
      <c r="G351" s="1759"/>
      <c r="H351" s="1171">
        <v>14</v>
      </c>
      <c r="I351" s="1758"/>
      <c r="J351" s="1759"/>
      <c r="K351" s="1171">
        <v>14</v>
      </c>
      <c r="L351" s="1758"/>
      <c r="M351" s="1759"/>
      <c r="N351" s="1171">
        <v>14</v>
      </c>
      <c r="O351" s="1758"/>
      <c r="P351" s="1759"/>
      <c r="Q351" s="1171">
        <v>14</v>
      </c>
      <c r="R351" s="1758"/>
      <c r="S351" s="1759"/>
      <c r="T351" s="1168">
        <f>IF(C351&lt;&gt;"",IF(C351=0,0,1),0)</f>
        <v>0</v>
      </c>
      <c r="U351" s="1168">
        <f>IF(F351&lt;&gt;"",IF(F351=0,0,1),0)</f>
        <v>0</v>
      </c>
      <c r="V351" s="1169">
        <f>IF(I351&lt;&gt;"",IF(I351=0,0,1),0)</f>
        <v>0</v>
      </c>
      <c r="W351" s="1157">
        <f>IF(L351&lt;&gt;"",IF(L351=0,0,1),0)</f>
        <v>0</v>
      </c>
      <c r="X351" s="1157">
        <f>IF(O351&lt;&gt;"",IF(O351=0,0,1),0)</f>
        <v>0</v>
      </c>
      <c r="Y351" s="1157">
        <f>IF(R351&lt;&gt;"",IF(R351=0,0,1),0)</f>
        <v>0</v>
      </c>
      <c r="AF351" s="1161">
        <v>4</v>
      </c>
    </row>
    <row r="352" spans="1:32" hidden="1" x14ac:dyDescent="0.25">
      <c r="A352" s="1171">
        <v>3</v>
      </c>
      <c r="B352" s="1182">
        <v>22</v>
      </c>
      <c r="C352" s="1758"/>
      <c r="D352" s="1759"/>
      <c r="E352" s="1183">
        <v>22</v>
      </c>
      <c r="F352" s="1758"/>
      <c r="G352" s="1759"/>
      <c r="H352" s="1171">
        <v>22</v>
      </c>
      <c r="I352" s="1758"/>
      <c r="J352" s="1759"/>
      <c r="K352" s="1171">
        <v>22</v>
      </c>
      <c r="L352" s="1758"/>
      <c r="M352" s="1759"/>
      <c r="N352" s="1171">
        <v>22</v>
      </c>
      <c r="O352" s="1758"/>
      <c r="P352" s="1759"/>
      <c r="Q352" s="1171">
        <v>22</v>
      </c>
      <c r="R352" s="1758"/>
      <c r="S352" s="1759"/>
      <c r="T352" s="1168">
        <f>IF(C352&lt;&gt;"",IF(C352=0,0,1),0)</f>
        <v>0</v>
      </c>
      <c r="U352" s="1168">
        <f>IF(F352&lt;&gt;"",IF(F352=0,0,1),0)</f>
        <v>0</v>
      </c>
      <c r="V352" s="1169">
        <f>IF(I352&lt;&gt;"",IF(I352=0,0,1),0)</f>
        <v>0</v>
      </c>
      <c r="W352" s="1157">
        <f>IF(L352&lt;&gt;"",IF(L352=0,0,1),0)</f>
        <v>0</v>
      </c>
      <c r="X352" s="1157">
        <f>IF(O352&lt;&gt;"",IF(O352=0,0,1),0)</f>
        <v>0</v>
      </c>
      <c r="Y352" s="1157">
        <f>IF(R352&lt;&gt;"",IF(R352=0,0,1),0)</f>
        <v>0</v>
      </c>
      <c r="AF352" s="1161">
        <v>4</v>
      </c>
    </row>
    <row r="353" spans="1:32" hidden="1" x14ac:dyDescent="0.25">
      <c r="A353" s="1172">
        <v>4</v>
      </c>
      <c r="B353" s="1184">
        <v>31</v>
      </c>
      <c r="C353" s="1756"/>
      <c r="D353" s="1757"/>
      <c r="E353" s="1185">
        <v>31</v>
      </c>
      <c r="F353" s="1756"/>
      <c r="G353" s="1757"/>
      <c r="H353" s="1172">
        <v>31</v>
      </c>
      <c r="I353" s="1756"/>
      <c r="J353" s="1757"/>
      <c r="K353" s="1172">
        <v>31</v>
      </c>
      <c r="L353" s="1756"/>
      <c r="M353" s="1757"/>
      <c r="N353" s="1172">
        <v>31</v>
      </c>
      <c r="O353" s="1756"/>
      <c r="P353" s="1757"/>
      <c r="Q353" s="1172">
        <v>31</v>
      </c>
      <c r="R353" s="1756"/>
      <c r="S353" s="1757"/>
      <c r="T353" s="1168">
        <f>IF(C353&lt;&gt;"",IF(C353=0,0,1),0)</f>
        <v>0</v>
      </c>
      <c r="U353" s="1168">
        <f>IF(F353&lt;&gt;"",IF(F353=0,0,1),0)</f>
        <v>0</v>
      </c>
      <c r="V353" s="1169">
        <f>IF(I353&lt;&gt;"",IF(I353=0,0,1),0)</f>
        <v>0</v>
      </c>
      <c r="W353" s="1157">
        <f>IF(L353&lt;&gt;"",IF(L353=0,0,1),0)</f>
        <v>0</v>
      </c>
      <c r="X353" s="1157">
        <f>IF(O353&lt;&gt;"",IF(O353=0,0,1),0)</f>
        <v>0</v>
      </c>
      <c r="Y353" s="1157">
        <f>IF(R353&lt;&gt;"",IF(R353=0,0,1),0)</f>
        <v>0</v>
      </c>
      <c r="AF353" s="1161">
        <v>4</v>
      </c>
    </row>
    <row r="354" spans="1:32" hidden="1" x14ac:dyDescent="0.25">
      <c r="A354" s="1753" t="s">
        <v>7997</v>
      </c>
      <c r="B354" s="1753"/>
      <c r="C354" s="1754">
        <f>IF(ISERROR(SUM(C350:D353)/SUM(T350:T353)),0,SUM(C350:D353)/SUM(T350:T353))</f>
        <v>0</v>
      </c>
      <c r="D354" s="1755"/>
      <c r="E354" s="1212" t="s">
        <v>7373</v>
      </c>
      <c r="F354" s="1754">
        <f>IF(ISERROR(SUM(F350:G353)/SUM(U350:U353)),0,SUM(F350:G353)/SUM(U350:U353))</f>
        <v>0</v>
      </c>
      <c r="G354" s="1755"/>
      <c r="H354" s="1212"/>
      <c r="I354" s="1754">
        <f>IF(ISERROR(SUM(I350:J353)/SUM(V350:V353)),0,SUM(I350:J353)/SUM(V350:V353))</f>
        <v>0</v>
      </c>
      <c r="J354" s="1755"/>
      <c r="K354" s="1212"/>
      <c r="L354" s="1754">
        <f>IF(ISERROR(SUM(L350:M353)/SUM(W350:W353)),0,SUM(L350:M353)/SUM(W350:W353))</f>
        <v>0</v>
      </c>
      <c r="M354" s="1755"/>
      <c r="N354" s="1212"/>
      <c r="O354" s="1754">
        <f>IF(ISERROR(SUM(O350:P353)/SUM(X350:X353)),0,SUM(O350:P353)/SUM(X350:X353))</f>
        <v>0</v>
      </c>
      <c r="P354" s="1755"/>
      <c r="Q354" s="1212"/>
      <c r="R354" s="1754">
        <f>IF(ISERROR(SUM(R350:S353)/SUM(Y350:Y353)),0,SUM(R350:S353)/SUM(Y350:Y353))</f>
        <v>0</v>
      </c>
      <c r="S354" s="1755"/>
      <c r="T354" s="1168">
        <f t="shared" ref="T354:Y354" si="6">IF(SUM(T350:T353)&lt;&gt;0,1,0)</f>
        <v>0</v>
      </c>
      <c r="U354" s="1168">
        <f t="shared" si="6"/>
        <v>0</v>
      </c>
      <c r="V354" s="1168">
        <f t="shared" si="6"/>
        <v>0</v>
      </c>
      <c r="W354" s="1168">
        <f t="shared" si="6"/>
        <v>0</v>
      </c>
      <c r="X354" s="1168">
        <f t="shared" si="6"/>
        <v>0</v>
      </c>
      <c r="Y354" s="1168">
        <f t="shared" si="6"/>
        <v>0</v>
      </c>
      <c r="AF354" s="1161">
        <v>4</v>
      </c>
    </row>
    <row r="355" spans="1:32" ht="15" hidden="1" customHeight="1" x14ac:dyDescent="0.25">
      <c r="A355" s="1753" t="s">
        <v>2980</v>
      </c>
      <c r="B355" s="1753"/>
      <c r="C355" s="1748">
        <v>0</v>
      </c>
      <c r="D355" s="1748"/>
      <c r="E355" s="1118"/>
      <c r="F355" s="1748">
        <v>0</v>
      </c>
      <c r="G355" s="1748"/>
      <c r="H355" s="1118"/>
      <c r="I355" s="1748">
        <v>0</v>
      </c>
      <c r="J355" s="1748"/>
      <c r="K355" s="1118"/>
      <c r="L355" s="1748"/>
      <c r="M355" s="1748"/>
      <c r="N355" s="1118"/>
      <c r="O355" s="1748">
        <v>0</v>
      </c>
      <c r="P355" s="1748"/>
      <c r="Q355" s="1118"/>
      <c r="R355" s="1748">
        <v>0</v>
      </c>
      <c r="S355" s="1748"/>
      <c r="T355" s="1152"/>
      <c r="U355" s="1158"/>
      <c r="V355" s="1158"/>
      <c r="AF355" s="1161">
        <v>4</v>
      </c>
    </row>
    <row r="356" spans="1:32" hidden="1" x14ac:dyDescent="0.25">
      <c r="A356" s="1210" t="s">
        <v>272</v>
      </c>
      <c r="B356" s="1210"/>
      <c r="C356" s="1748"/>
      <c r="D356" s="1748"/>
      <c r="E356" s="1118"/>
      <c r="F356" s="1748"/>
      <c r="G356" s="1748"/>
      <c r="H356" s="1118"/>
      <c r="I356" s="1748"/>
      <c r="J356" s="1748"/>
      <c r="K356" s="1213"/>
      <c r="L356" s="1748"/>
      <c r="M356" s="1748"/>
      <c r="N356" s="1213"/>
      <c r="O356" s="1748"/>
      <c r="P356" s="1748"/>
      <c r="Q356" s="1213"/>
      <c r="R356" s="1748"/>
      <c r="S356" s="1748"/>
      <c r="T356" s="1152"/>
      <c r="U356" s="1158"/>
      <c r="V356" s="1158"/>
      <c r="AF356" s="1161">
        <v>4</v>
      </c>
    </row>
    <row r="357" spans="1:32" hidden="1" x14ac:dyDescent="0.25">
      <c r="A357" s="1210" t="s">
        <v>273</v>
      </c>
      <c r="B357" s="1210"/>
      <c r="C357" s="1748"/>
      <c r="D357" s="1748"/>
      <c r="E357" s="1118"/>
      <c r="F357" s="1748"/>
      <c r="G357" s="1748"/>
      <c r="H357" s="1118"/>
      <c r="I357" s="1748"/>
      <c r="J357" s="1748"/>
      <c r="K357" s="1213"/>
      <c r="L357" s="1748"/>
      <c r="M357" s="1748"/>
      <c r="N357" s="1213"/>
      <c r="O357" s="1748"/>
      <c r="P357" s="1748"/>
      <c r="Q357" s="1213"/>
      <c r="R357" s="1748"/>
      <c r="S357" s="1748"/>
      <c r="T357" s="1152"/>
      <c r="U357" s="1158"/>
      <c r="V357" s="1158"/>
      <c r="AF357" s="1161">
        <v>4</v>
      </c>
    </row>
    <row r="358" spans="1:32" hidden="1" x14ac:dyDescent="0.25">
      <c r="A358" s="1749" t="s">
        <v>274</v>
      </c>
      <c r="B358" s="1750"/>
      <c r="C358" s="1752">
        <f>C356-C357</f>
        <v>0</v>
      </c>
      <c r="D358" s="1752"/>
      <c r="E358" s="1118"/>
      <c r="F358" s="1752">
        <f>F356-F357</f>
        <v>0</v>
      </c>
      <c r="G358" s="1752"/>
      <c r="H358" s="1118"/>
      <c r="I358" s="1752">
        <f>I356-I357</f>
        <v>0</v>
      </c>
      <c r="J358" s="1752"/>
      <c r="K358" s="1213"/>
      <c r="L358" s="1752">
        <f>L356-L357</f>
        <v>0</v>
      </c>
      <c r="M358" s="1752"/>
      <c r="N358" s="1213"/>
      <c r="O358" s="1752">
        <f>O356-O357</f>
        <v>0</v>
      </c>
      <c r="P358" s="1752"/>
      <c r="Q358" s="1213"/>
      <c r="R358" s="1752">
        <f>R356-R357</f>
        <v>0</v>
      </c>
      <c r="S358" s="1752"/>
      <c r="T358" s="1152"/>
      <c r="U358" s="1158"/>
      <c r="V358" s="1158"/>
      <c r="AF358" s="1161">
        <v>4</v>
      </c>
    </row>
    <row r="359" spans="1:32" hidden="1" x14ac:dyDescent="0.25">
      <c r="A359" s="1749" t="s">
        <v>275</v>
      </c>
      <c r="B359" s="1750"/>
      <c r="C359" s="1751" t="str">
        <f>IF(SUM($D$346)=0,"",C358/$D$346)</f>
        <v/>
      </c>
      <c r="D359" s="1752"/>
      <c r="E359" s="1214"/>
      <c r="F359" s="1751" t="str">
        <f>IF(SUM($D$346)=0,"",F358/$D$346)</f>
        <v/>
      </c>
      <c r="G359" s="1752"/>
      <c r="H359" s="1214"/>
      <c r="I359" s="1751" t="str">
        <f>IF(SUM($D$346)=0,"",I358/$D$346)</f>
        <v/>
      </c>
      <c r="J359" s="1752"/>
      <c r="K359" s="1215"/>
      <c r="L359" s="1751" t="str">
        <f>IF(SUM($D$346)=0,"",L358/$D$346)</f>
        <v/>
      </c>
      <c r="M359" s="1752"/>
      <c r="N359" s="1215"/>
      <c r="O359" s="1751" t="str">
        <f>IF(SUM($D$346)=0,"",O358/$D$346)</f>
        <v/>
      </c>
      <c r="P359" s="1752"/>
      <c r="Q359" s="1215"/>
      <c r="R359" s="1751" t="str">
        <f>IF(SUM($D$346)=0,"",R358/$D$346)</f>
        <v/>
      </c>
      <c r="S359" s="1752"/>
      <c r="T359" s="1152"/>
      <c r="U359" s="1158"/>
      <c r="V359" s="1158"/>
      <c r="AF359" s="1161">
        <v>4</v>
      </c>
    </row>
    <row r="360" spans="1:32" hidden="1" x14ac:dyDescent="0.25">
      <c r="A360" s="1128"/>
      <c r="B360" s="1128"/>
      <c r="C360" s="1128"/>
      <c r="D360" s="1128"/>
      <c r="E360" s="1128"/>
      <c r="F360" s="1128"/>
      <c r="G360" s="1128"/>
      <c r="H360" s="1128"/>
      <c r="I360" s="1128"/>
      <c r="J360" s="1128"/>
      <c r="K360" s="1128"/>
      <c r="L360" s="1128"/>
      <c r="M360" s="1128"/>
      <c r="N360" s="1128"/>
      <c r="O360" s="1128"/>
      <c r="P360" s="1128"/>
      <c r="Q360" s="1128"/>
      <c r="R360" s="1128"/>
      <c r="S360" s="1128"/>
      <c r="T360" s="1140"/>
      <c r="AF360" s="1161">
        <v>4</v>
      </c>
    </row>
    <row r="361" spans="1:32" hidden="1" x14ac:dyDescent="0.25">
      <c r="A361" s="1745" t="s">
        <v>8018</v>
      </c>
      <c r="B361" s="1745"/>
      <c r="C361" s="1745"/>
      <c r="D361" s="1745"/>
      <c r="E361" s="1745"/>
      <c r="F361" s="1745"/>
      <c r="G361" s="1745"/>
      <c r="H361" s="1745"/>
      <c r="I361" s="1745"/>
      <c r="J361" s="1745"/>
      <c r="K361" s="1745"/>
      <c r="L361" s="1745"/>
      <c r="M361" s="1745"/>
      <c r="N361" s="1745"/>
      <c r="O361" s="1745"/>
      <c r="P361" s="1745"/>
      <c r="Q361" s="1745"/>
      <c r="R361" s="1745"/>
      <c r="S361" s="1745"/>
      <c r="T361" s="1146"/>
      <c r="AF361" s="1161">
        <v>5</v>
      </c>
    </row>
    <row r="362" spans="1:32" ht="5.0999999999999996" hidden="1" customHeight="1" x14ac:dyDescent="0.25">
      <c r="A362" s="1128"/>
      <c r="B362" s="1128"/>
      <c r="C362" s="1173"/>
      <c r="D362" s="1173"/>
      <c r="E362" s="1128"/>
      <c r="F362" s="1128"/>
      <c r="G362" s="1128"/>
      <c r="H362" s="1128"/>
      <c r="I362" s="1128"/>
      <c r="J362" s="1128"/>
      <c r="K362" s="1128"/>
      <c r="L362" s="1128"/>
      <c r="M362" s="1128"/>
      <c r="N362" s="1128"/>
      <c r="O362" s="1128"/>
      <c r="P362" s="1128"/>
      <c r="Q362" s="1128"/>
      <c r="R362" s="1128"/>
      <c r="S362" s="1128"/>
      <c r="T362" s="1140"/>
      <c r="AF362" s="1161">
        <v>5</v>
      </c>
    </row>
    <row r="363" spans="1:32" hidden="1" x14ac:dyDescent="0.25">
      <c r="A363" s="1128" t="s">
        <v>271</v>
      </c>
      <c r="B363" s="1128"/>
      <c r="C363" s="1159"/>
      <c r="D363" s="1746">
        <f>D94</f>
        <v>0</v>
      </c>
      <c r="E363" s="1746"/>
      <c r="F363" s="1746"/>
      <c r="G363" s="1159"/>
      <c r="H363" s="1174" t="s">
        <v>763</v>
      </c>
      <c r="I363" s="1174"/>
      <c r="J363" s="1159"/>
      <c r="K363" s="1746" t="str">
        <f>IF(COUNT(C375,F375,I375,L375,O375,R375)=0,"",AVERAGE(C375,F375,I375,L375,O375,R375))</f>
        <v/>
      </c>
      <c r="L363" s="1746"/>
      <c r="M363" s="1175"/>
      <c r="N363" s="1175"/>
      <c r="O363" s="1175"/>
      <c r="P363" s="1175"/>
      <c r="Q363" s="1175"/>
      <c r="R363" s="1175"/>
      <c r="S363" s="1175"/>
      <c r="T363" s="1152"/>
      <c r="AF363" s="1161">
        <v>5</v>
      </c>
    </row>
    <row r="364" spans="1:32" hidden="1" x14ac:dyDescent="0.25">
      <c r="A364" s="1128" t="s">
        <v>240</v>
      </c>
      <c r="B364" s="1128"/>
      <c r="C364" s="1159"/>
      <c r="D364" s="1747">
        <f>D95</f>
        <v>0</v>
      </c>
      <c r="E364" s="1747"/>
      <c r="F364" s="1747"/>
      <c r="G364" s="1159"/>
      <c r="H364" s="1174" t="s">
        <v>764</v>
      </c>
      <c r="I364" s="1174"/>
      <c r="J364" s="1159"/>
      <c r="K364" s="1747" t="str">
        <f>IF(ISERROR(SUM(C378,F378,I378,L378,O378,R378)/COUNT(C375,F375,I375,L375,O375,R375)),"",SUM(C378,F378,I378,L378,O378,R378,)/COUNT(C375,F375,I375,L375,O375,R375))</f>
        <v/>
      </c>
      <c r="L364" s="1747"/>
      <c r="M364" s="1175"/>
      <c r="N364" s="1175"/>
      <c r="O364" s="1175"/>
      <c r="P364" s="1175"/>
      <c r="Q364" s="1175"/>
      <c r="R364" s="1175"/>
      <c r="S364" s="1175"/>
      <c r="T364" s="1152"/>
      <c r="AF364" s="1161">
        <v>5</v>
      </c>
    </row>
    <row r="365" spans="1:32" hidden="1" x14ac:dyDescent="0.25">
      <c r="A365" s="1128" t="s">
        <v>265</v>
      </c>
      <c r="B365" s="1128"/>
      <c r="C365" s="1159"/>
      <c r="D365" s="1747">
        <f>D96</f>
        <v>0</v>
      </c>
      <c r="E365" s="1747"/>
      <c r="F365" s="1747"/>
      <c r="G365" s="1159"/>
      <c r="H365" s="1174" t="s">
        <v>765</v>
      </c>
      <c r="I365" s="1174"/>
      <c r="J365" s="1159"/>
      <c r="K365" s="1712" t="str">
        <f>IF(ISERROR(K364/D366),"",K364/D366)</f>
        <v/>
      </c>
      <c r="L365" s="1712"/>
      <c r="M365" s="1175"/>
      <c r="N365" s="1175"/>
      <c r="O365" s="1175"/>
      <c r="P365" s="1175"/>
      <c r="Q365" s="1175"/>
      <c r="R365" s="1175"/>
      <c r="S365" s="1175"/>
      <c r="T365" s="1152"/>
      <c r="AF365" s="1161">
        <v>5</v>
      </c>
    </row>
    <row r="366" spans="1:32" hidden="1" x14ac:dyDescent="0.25">
      <c r="A366" s="1176" t="s">
        <v>767</v>
      </c>
      <c r="B366" s="1176"/>
      <c r="C366" s="1177"/>
      <c r="D366" s="1744">
        <f>M95</f>
        <v>0</v>
      </c>
      <c r="E366" s="1744"/>
      <c r="F366" s="1744"/>
      <c r="G366" s="1128"/>
      <c r="H366" s="1112" t="s">
        <v>8031</v>
      </c>
      <c r="I366" s="1112"/>
      <c r="J366" s="1122"/>
      <c r="K366" s="1734" t="str">
        <f>IF(ISERROR(SUM(C374,F374,I374,L374,O374,R374)/SUM(T374:Y374)),"",SUM(C374,F374,I374,L374,O374,R374)/SUM(T374:Y374))</f>
        <v/>
      </c>
      <c r="L366" s="1734"/>
      <c r="M366" s="1128"/>
      <c r="N366" s="1128"/>
      <c r="O366" s="1128"/>
      <c r="P366" s="1128"/>
      <c r="Q366" s="1128"/>
      <c r="R366" s="1128"/>
      <c r="S366" s="1128"/>
      <c r="T366" s="1140"/>
      <c r="AF366" s="1161">
        <v>5</v>
      </c>
    </row>
    <row r="367" spans="1:32" hidden="1" x14ac:dyDescent="0.25">
      <c r="A367" s="1128"/>
      <c r="B367" s="1128"/>
      <c r="C367" s="1174"/>
      <c r="D367" s="1174"/>
      <c r="E367" s="1128"/>
      <c r="F367" s="1128"/>
      <c r="G367" s="1128"/>
      <c r="H367" s="1128"/>
      <c r="I367" s="1128"/>
      <c r="J367" s="1178"/>
      <c r="K367" s="1178"/>
      <c r="L367" s="1178"/>
      <c r="M367" s="1178"/>
      <c r="N367" s="1178"/>
      <c r="O367" s="1178"/>
      <c r="P367" s="1178"/>
      <c r="Q367" s="1178"/>
      <c r="R367" s="1178"/>
      <c r="S367" s="1011" t="s">
        <v>29</v>
      </c>
      <c r="T367" s="1152"/>
      <c r="U367" s="1158"/>
      <c r="V367" s="1158"/>
      <c r="AF367" s="1161">
        <v>5</v>
      </c>
    </row>
    <row r="368" spans="1:32" hidden="1" x14ac:dyDescent="0.25">
      <c r="A368" s="1179" t="s">
        <v>266</v>
      </c>
      <c r="B368" s="1743">
        <f>$B$31</f>
        <v>43094</v>
      </c>
      <c r="C368" s="1743"/>
      <c r="D368" s="1743"/>
      <c r="E368" s="1743">
        <f>$E$31</f>
        <v>43125</v>
      </c>
      <c r="F368" s="1743"/>
      <c r="G368" s="1743"/>
      <c r="H368" s="1743">
        <f>$H$31</f>
        <v>43156</v>
      </c>
      <c r="I368" s="1743"/>
      <c r="J368" s="1743"/>
      <c r="K368" s="1743">
        <f>$K$31</f>
        <v>43187</v>
      </c>
      <c r="L368" s="1743"/>
      <c r="M368" s="1743"/>
      <c r="N368" s="1743">
        <f>$N$31</f>
        <v>43218</v>
      </c>
      <c r="O368" s="1743"/>
      <c r="P368" s="1743"/>
      <c r="Q368" s="1743">
        <f>$Q$31</f>
        <v>43249</v>
      </c>
      <c r="R368" s="1743"/>
      <c r="S368" s="1743"/>
      <c r="T368" s="1152"/>
      <c r="U368" s="1158"/>
      <c r="V368" s="1158"/>
      <c r="AF368" s="1161">
        <v>5</v>
      </c>
    </row>
    <row r="369" spans="1:32" hidden="1" x14ac:dyDescent="0.25">
      <c r="A369" s="1179" t="s">
        <v>8</v>
      </c>
      <c r="B369" s="1179" t="s">
        <v>26</v>
      </c>
      <c r="C369" s="1739" t="s">
        <v>8030</v>
      </c>
      <c r="D369" s="1740"/>
      <c r="E369" s="1179" t="s">
        <v>26</v>
      </c>
      <c r="F369" s="1741" t="s">
        <v>8030</v>
      </c>
      <c r="G369" s="1742"/>
      <c r="H369" s="1179" t="s">
        <v>26</v>
      </c>
      <c r="I369" s="1741" t="s">
        <v>8030</v>
      </c>
      <c r="J369" s="1742"/>
      <c r="K369" s="1179" t="s">
        <v>26</v>
      </c>
      <c r="L369" s="1741" t="s">
        <v>8030</v>
      </c>
      <c r="M369" s="1742"/>
      <c r="N369" s="1179" t="s">
        <v>26</v>
      </c>
      <c r="O369" s="1741" t="s">
        <v>8030</v>
      </c>
      <c r="P369" s="1742"/>
      <c r="Q369" s="1179" t="s">
        <v>26</v>
      </c>
      <c r="R369" s="1741" t="s">
        <v>8030</v>
      </c>
      <c r="S369" s="1742"/>
      <c r="T369" s="1152"/>
      <c r="U369" s="1158"/>
      <c r="V369" s="1158"/>
      <c r="AF369" s="1161">
        <v>5</v>
      </c>
    </row>
    <row r="370" spans="1:32" hidden="1" x14ac:dyDescent="0.25">
      <c r="A370" s="1170">
        <v>1</v>
      </c>
      <c r="B370" s="1180">
        <v>7</v>
      </c>
      <c r="C370" s="1760"/>
      <c r="D370" s="1761"/>
      <c r="E370" s="1181">
        <v>7</v>
      </c>
      <c r="F370" s="1760"/>
      <c r="G370" s="1761"/>
      <c r="H370" s="1170">
        <v>7</v>
      </c>
      <c r="I370" s="1760"/>
      <c r="J370" s="1761"/>
      <c r="K370" s="1170">
        <v>7</v>
      </c>
      <c r="L370" s="1760"/>
      <c r="M370" s="1761"/>
      <c r="N370" s="1170">
        <v>7</v>
      </c>
      <c r="O370" s="1760"/>
      <c r="P370" s="1761"/>
      <c r="Q370" s="1170">
        <v>7</v>
      </c>
      <c r="R370" s="1760"/>
      <c r="S370" s="1761"/>
      <c r="T370" s="1168">
        <f>IF(C370&lt;&gt;"",IF(C370=0,0,1),0)</f>
        <v>0</v>
      </c>
      <c r="U370" s="1168">
        <f>IF(F370&lt;&gt;"",IF(F370=0,0,1),0)</f>
        <v>0</v>
      </c>
      <c r="V370" s="1169">
        <f>IF(I370&lt;&gt;"",IF(I370=0,0,1),0)</f>
        <v>0</v>
      </c>
      <c r="W370" s="1157">
        <f>IF(L370&lt;&gt;"",IF(L370=0,0,1),0)</f>
        <v>0</v>
      </c>
      <c r="X370" s="1157">
        <f>IF(O370&lt;&gt;"",IF(O370=0,0,1),0)</f>
        <v>0</v>
      </c>
      <c r="Y370" s="1157">
        <f>IF(R370&lt;&gt;"",IF(R370=0,0,1),0)</f>
        <v>0</v>
      </c>
      <c r="AF370" s="1161">
        <v>5</v>
      </c>
    </row>
    <row r="371" spans="1:32" hidden="1" x14ac:dyDescent="0.25">
      <c r="A371" s="1171">
        <v>2</v>
      </c>
      <c r="B371" s="1182">
        <v>14</v>
      </c>
      <c r="C371" s="1758"/>
      <c r="D371" s="1759"/>
      <c r="E371" s="1183">
        <v>14</v>
      </c>
      <c r="F371" s="1758"/>
      <c r="G371" s="1759"/>
      <c r="H371" s="1171">
        <v>14</v>
      </c>
      <c r="I371" s="1758"/>
      <c r="J371" s="1759"/>
      <c r="K371" s="1171">
        <v>14</v>
      </c>
      <c r="L371" s="1758"/>
      <c r="M371" s="1759"/>
      <c r="N371" s="1171">
        <v>14</v>
      </c>
      <c r="O371" s="1758"/>
      <c r="P371" s="1759"/>
      <c r="Q371" s="1171">
        <v>14</v>
      </c>
      <c r="R371" s="1758"/>
      <c r="S371" s="1759"/>
      <c r="T371" s="1168">
        <f>IF(C371&lt;&gt;"",IF(C371=0,0,1),0)</f>
        <v>0</v>
      </c>
      <c r="U371" s="1168">
        <f>IF(F371&lt;&gt;"",IF(F371=0,0,1),0)</f>
        <v>0</v>
      </c>
      <c r="V371" s="1169">
        <f>IF(I371&lt;&gt;"",IF(I371=0,0,1),0)</f>
        <v>0</v>
      </c>
      <c r="W371" s="1157">
        <f>IF(L371&lt;&gt;"",IF(L371=0,0,1),0)</f>
        <v>0</v>
      </c>
      <c r="X371" s="1157">
        <f>IF(O371&lt;&gt;"",IF(O371=0,0,1),0)</f>
        <v>0</v>
      </c>
      <c r="Y371" s="1157">
        <f>IF(R371&lt;&gt;"",IF(R371=0,0,1),0)</f>
        <v>0</v>
      </c>
      <c r="AF371" s="1161">
        <v>5</v>
      </c>
    </row>
    <row r="372" spans="1:32" hidden="1" x14ac:dyDescent="0.25">
      <c r="A372" s="1171">
        <v>3</v>
      </c>
      <c r="B372" s="1182">
        <v>22</v>
      </c>
      <c r="C372" s="1758"/>
      <c r="D372" s="1759"/>
      <c r="E372" s="1183">
        <v>22</v>
      </c>
      <c r="F372" s="1758"/>
      <c r="G372" s="1759"/>
      <c r="H372" s="1171">
        <v>22</v>
      </c>
      <c r="I372" s="1758"/>
      <c r="J372" s="1759"/>
      <c r="K372" s="1171">
        <v>22</v>
      </c>
      <c r="L372" s="1758"/>
      <c r="M372" s="1759"/>
      <c r="N372" s="1171">
        <v>22</v>
      </c>
      <c r="O372" s="1758"/>
      <c r="P372" s="1759"/>
      <c r="Q372" s="1171">
        <v>22</v>
      </c>
      <c r="R372" s="1758"/>
      <c r="S372" s="1759"/>
      <c r="T372" s="1168">
        <f>IF(C372&lt;&gt;"",IF(C372=0,0,1),0)</f>
        <v>0</v>
      </c>
      <c r="U372" s="1168">
        <f>IF(F372&lt;&gt;"",IF(F372=0,0,1),0)</f>
        <v>0</v>
      </c>
      <c r="V372" s="1169">
        <f>IF(I372&lt;&gt;"",IF(I372=0,0,1),0)</f>
        <v>0</v>
      </c>
      <c r="W372" s="1157">
        <f>IF(L372&lt;&gt;"",IF(L372=0,0,1),0)</f>
        <v>0</v>
      </c>
      <c r="X372" s="1157">
        <f>IF(O372&lt;&gt;"",IF(O372=0,0,1),0)</f>
        <v>0</v>
      </c>
      <c r="Y372" s="1157">
        <f>IF(R372&lt;&gt;"",IF(R372=0,0,1),0)</f>
        <v>0</v>
      </c>
      <c r="AF372" s="1161">
        <v>5</v>
      </c>
    </row>
    <row r="373" spans="1:32" hidden="1" x14ac:dyDescent="0.25">
      <c r="A373" s="1172">
        <v>4</v>
      </c>
      <c r="B373" s="1184">
        <v>31</v>
      </c>
      <c r="C373" s="1758"/>
      <c r="D373" s="1759"/>
      <c r="E373" s="1185">
        <v>31</v>
      </c>
      <c r="F373" s="1758"/>
      <c r="G373" s="1759"/>
      <c r="H373" s="1172">
        <v>31</v>
      </c>
      <c r="I373" s="1758"/>
      <c r="J373" s="1759"/>
      <c r="K373" s="1172">
        <v>31</v>
      </c>
      <c r="L373" s="1758"/>
      <c r="M373" s="1759"/>
      <c r="N373" s="1172">
        <v>31</v>
      </c>
      <c r="O373" s="1758"/>
      <c r="P373" s="1759"/>
      <c r="Q373" s="1172">
        <v>31</v>
      </c>
      <c r="R373" s="1758"/>
      <c r="S373" s="1759"/>
      <c r="T373" s="1168">
        <f>IF(C373&lt;&gt;"",IF(C373=0,0,1),0)</f>
        <v>0</v>
      </c>
      <c r="U373" s="1168">
        <f>IF(F373&lt;&gt;"",IF(F373=0,0,1),0)</f>
        <v>0</v>
      </c>
      <c r="V373" s="1169">
        <f>IF(I373&lt;&gt;"",IF(I373=0,0,1),0)</f>
        <v>0</v>
      </c>
      <c r="W373" s="1157">
        <f>IF(L373&lt;&gt;"",IF(L373=0,0,1),0)</f>
        <v>0</v>
      </c>
      <c r="X373" s="1157">
        <f>IF(O373&lt;&gt;"",IF(O373=0,0,1),0)</f>
        <v>0</v>
      </c>
      <c r="Y373" s="1157">
        <f>IF(R373&lt;&gt;"",IF(R373=0,0,1),0)</f>
        <v>0</v>
      </c>
      <c r="AF373" s="1161">
        <v>5</v>
      </c>
    </row>
    <row r="374" spans="1:32" hidden="1" x14ac:dyDescent="0.25">
      <c r="A374" s="1753" t="s">
        <v>7997</v>
      </c>
      <c r="B374" s="1753"/>
      <c r="C374" s="1754">
        <f>IF(ISERROR(SUM(C370:D373)/SUM(T370:T373)),0,SUM(C370:D373)/SUM(T370:T373))</f>
        <v>0</v>
      </c>
      <c r="D374" s="1755"/>
      <c r="E374" s="1212" t="s">
        <v>7373</v>
      </c>
      <c r="F374" s="1754">
        <f>IF(ISERROR(SUM(F370:G373)/SUM(U370:U373)),0,SUM(F370:G373)/SUM(U370:U373))</f>
        <v>0</v>
      </c>
      <c r="G374" s="1755"/>
      <c r="H374" s="1212"/>
      <c r="I374" s="1754">
        <f>IF(ISERROR(SUM(I370:J373)/SUM(V370:V373)),0,SUM(I370:J373)/SUM(V370:V373))</f>
        <v>0</v>
      </c>
      <c r="J374" s="1755"/>
      <c r="K374" s="1212"/>
      <c r="L374" s="1754">
        <f>IF(ISERROR(SUM(L370:M373)/SUM(W370:W373)),0,SUM(L370:M373)/SUM(W370:W373))</f>
        <v>0</v>
      </c>
      <c r="M374" s="1755"/>
      <c r="N374" s="1212"/>
      <c r="O374" s="1754">
        <f>IF(ISERROR(SUM(O370:P373)/SUM(X370:X373)),0,SUM(O370:P373)/SUM(X370:X373))</f>
        <v>0</v>
      </c>
      <c r="P374" s="1755"/>
      <c r="Q374" s="1212"/>
      <c r="R374" s="1754">
        <f>IF(ISERROR(SUM(R370:S373)/SUM(Y370:Y373)),0,SUM(R370:S373)/SUM(Y370:Y373))</f>
        <v>0</v>
      </c>
      <c r="S374" s="1755"/>
      <c r="T374" s="1168">
        <f t="shared" ref="T374:Y374" si="7">IF(SUM(T370:T373)&lt;&gt;0,1,0)</f>
        <v>0</v>
      </c>
      <c r="U374" s="1168">
        <f t="shared" si="7"/>
        <v>0</v>
      </c>
      <c r="V374" s="1168">
        <f t="shared" si="7"/>
        <v>0</v>
      </c>
      <c r="W374" s="1168">
        <f t="shared" si="7"/>
        <v>0</v>
      </c>
      <c r="X374" s="1168">
        <f t="shared" si="7"/>
        <v>0</v>
      </c>
      <c r="Y374" s="1168">
        <f t="shared" si="7"/>
        <v>0</v>
      </c>
      <c r="AF374" s="1161">
        <v>5</v>
      </c>
    </row>
    <row r="375" spans="1:32" ht="15" hidden="1" customHeight="1" x14ac:dyDescent="0.25">
      <c r="A375" s="1753" t="s">
        <v>2980</v>
      </c>
      <c r="B375" s="1753"/>
      <c r="C375" s="1748"/>
      <c r="D375" s="1748"/>
      <c r="E375" s="1118"/>
      <c r="F375" s="1748"/>
      <c r="G375" s="1748"/>
      <c r="H375" s="1118"/>
      <c r="I375" s="1748"/>
      <c r="J375" s="1748"/>
      <c r="K375" s="1118"/>
      <c r="L375" s="1748"/>
      <c r="M375" s="1748"/>
      <c r="N375" s="1118"/>
      <c r="O375" s="1748"/>
      <c r="P375" s="1748"/>
      <c r="Q375" s="1118"/>
      <c r="R375" s="1748"/>
      <c r="S375" s="1748"/>
      <c r="T375" s="1152"/>
      <c r="U375" s="1158"/>
      <c r="V375" s="1158"/>
      <c r="AF375" s="1161">
        <v>5</v>
      </c>
    </row>
    <row r="376" spans="1:32" hidden="1" x14ac:dyDescent="0.25">
      <c r="A376" s="1210" t="s">
        <v>272</v>
      </c>
      <c r="B376" s="1210"/>
      <c r="C376" s="1748"/>
      <c r="D376" s="1748"/>
      <c r="E376" s="1118"/>
      <c r="F376" s="1748"/>
      <c r="G376" s="1748"/>
      <c r="H376" s="1118"/>
      <c r="I376" s="1748"/>
      <c r="J376" s="1748"/>
      <c r="K376" s="1213"/>
      <c r="L376" s="1748"/>
      <c r="M376" s="1748"/>
      <c r="N376" s="1213"/>
      <c r="O376" s="1748"/>
      <c r="P376" s="1748"/>
      <c r="Q376" s="1213"/>
      <c r="R376" s="1748"/>
      <c r="S376" s="1748"/>
      <c r="T376" s="1152"/>
      <c r="U376" s="1158"/>
      <c r="V376" s="1158"/>
      <c r="AF376" s="1161">
        <v>5</v>
      </c>
    </row>
    <row r="377" spans="1:32" hidden="1" x14ac:dyDescent="0.25">
      <c r="A377" s="1210" t="s">
        <v>273</v>
      </c>
      <c r="B377" s="1210"/>
      <c r="C377" s="1748"/>
      <c r="D377" s="1748"/>
      <c r="E377" s="1118"/>
      <c r="F377" s="1748"/>
      <c r="G377" s="1748"/>
      <c r="H377" s="1118"/>
      <c r="I377" s="1748"/>
      <c r="J377" s="1748"/>
      <c r="K377" s="1213"/>
      <c r="L377" s="1748"/>
      <c r="M377" s="1748"/>
      <c r="N377" s="1213"/>
      <c r="O377" s="1748"/>
      <c r="P377" s="1748"/>
      <c r="Q377" s="1213"/>
      <c r="R377" s="1748"/>
      <c r="S377" s="1748"/>
      <c r="T377" s="1152"/>
      <c r="U377" s="1158"/>
      <c r="V377" s="1158"/>
      <c r="AF377" s="1161">
        <v>5</v>
      </c>
    </row>
    <row r="378" spans="1:32" hidden="1" x14ac:dyDescent="0.25">
      <c r="A378" s="1749" t="s">
        <v>274</v>
      </c>
      <c r="B378" s="1750"/>
      <c r="C378" s="1752">
        <f>C376-C377</f>
        <v>0</v>
      </c>
      <c r="D378" s="1752"/>
      <c r="E378" s="1118"/>
      <c r="F378" s="1752">
        <f>F376-F377</f>
        <v>0</v>
      </c>
      <c r="G378" s="1752"/>
      <c r="H378" s="1118"/>
      <c r="I378" s="1752">
        <f>I376-I377</f>
        <v>0</v>
      </c>
      <c r="J378" s="1752"/>
      <c r="K378" s="1213"/>
      <c r="L378" s="1752">
        <f>L376-L377</f>
        <v>0</v>
      </c>
      <c r="M378" s="1752"/>
      <c r="N378" s="1213"/>
      <c r="O378" s="1752">
        <f>O376-O377</f>
        <v>0</v>
      </c>
      <c r="P378" s="1752"/>
      <c r="Q378" s="1213"/>
      <c r="R378" s="1752">
        <f>R376-R377</f>
        <v>0</v>
      </c>
      <c r="S378" s="1752"/>
      <c r="T378" s="1152"/>
      <c r="U378" s="1158"/>
      <c r="V378" s="1158"/>
      <c r="AF378" s="1161">
        <v>5</v>
      </c>
    </row>
    <row r="379" spans="1:32" hidden="1" x14ac:dyDescent="0.25">
      <c r="A379" s="1749" t="s">
        <v>275</v>
      </c>
      <c r="B379" s="1750"/>
      <c r="C379" s="1751" t="str">
        <f>IF(SUM($D$366)=0,"",C378/$D$366)</f>
        <v/>
      </c>
      <c r="D379" s="1752"/>
      <c r="E379" s="1214"/>
      <c r="F379" s="1751" t="str">
        <f>IF(SUM($D$366)=0,"",F378/$D$366)</f>
        <v/>
      </c>
      <c r="G379" s="1752"/>
      <c r="H379" s="1214"/>
      <c r="I379" s="1751" t="str">
        <f>IF(SUM($D$366)=0,"",I378/$D$366)</f>
        <v/>
      </c>
      <c r="J379" s="1752"/>
      <c r="K379" s="1215"/>
      <c r="L379" s="1751" t="str">
        <f>IF(SUM($D$366)=0,"",L378/$D$366)</f>
        <v/>
      </c>
      <c r="M379" s="1752"/>
      <c r="N379" s="1215"/>
      <c r="O379" s="1751" t="str">
        <f>IF(SUM($D$366)=0,"",O378/$D$366)</f>
        <v/>
      </c>
      <c r="P379" s="1752"/>
      <c r="Q379" s="1215"/>
      <c r="R379" s="1751" t="str">
        <f>IF(SUM($D$366)=0,"",R378/$D$366)</f>
        <v/>
      </c>
      <c r="S379" s="1752"/>
      <c r="T379" s="1152"/>
      <c r="U379" s="1158"/>
      <c r="V379" s="1158"/>
      <c r="AF379" s="1161">
        <v>5</v>
      </c>
    </row>
    <row r="380" spans="1:32" hidden="1" x14ac:dyDescent="0.25">
      <c r="A380" s="1128"/>
      <c r="B380" s="1128"/>
      <c r="C380" s="1128"/>
      <c r="D380" s="1128"/>
      <c r="E380" s="1128"/>
      <c r="F380" s="1128"/>
      <c r="G380" s="1128"/>
      <c r="H380" s="1128"/>
      <c r="I380" s="1128"/>
      <c r="J380" s="1128"/>
      <c r="K380" s="1128"/>
      <c r="L380" s="1128"/>
      <c r="M380" s="1128"/>
      <c r="N380" s="1128"/>
      <c r="O380" s="1128"/>
      <c r="P380" s="1128"/>
      <c r="Q380" s="1128"/>
      <c r="R380" s="1128"/>
      <c r="S380" s="1128"/>
      <c r="T380" s="1140"/>
      <c r="AF380" s="1161">
        <v>5</v>
      </c>
    </row>
    <row r="381" spans="1:32" hidden="1" x14ac:dyDescent="0.25">
      <c r="A381" s="1745" t="s">
        <v>8019</v>
      </c>
      <c r="B381" s="1745"/>
      <c r="C381" s="1745"/>
      <c r="D381" s="1745"/>
      <c r="E381" s="1745"/>
      <c r="F381" s="1745"/>
      <c r="G381" s="1745"/>
      <c r="H381" s="1745"/>
      <c r="I381" s="1745"/>
      <c r="J381" s="1745"/>
      <c r="K381" s="1745"/>
      <c r="L381" s="1745"/>
      <c r="M381" s="1745"/>
      <c r="N381" s="1745"/>
      <c r="O381" s="1745"/>
      <c r="P381" s="1745"/>
      <c r="Q381" s="1745"/>
      <c r="R381" s="1745"/>
      <c r="S381" s="1745"/>
      <c r="T381" s="1146"/>
      <c r="AF381" s="1161">
        <v>6</v>
      </c>
    </row>
    <row r="382" spans="1:32" ht="5.0999999999999996" hidden="1" customHeight="1" x14ac:dyDescent="0.25">
      <c r="A382" s="1128"/>
      <c r="B382" s="1128"/>
      <c r="C382" s="1173"/>
      <c r="D382" s="1173"/>
      <c r="E382" s="1128"/>
      <c r="F382" s="1128"/>
      <c r="G382" s="1159"/>
      <c r="H382" s="1128"/>
      <c r="I382" s="1128"/>
      <c r="J382" s="1128"/>
      <c r="K382" s="1128"/>
      <c r="L382" s="1128"/>
      <c r="M382" s="1128"/>
      <c r="N382" s="1128"/>
      <c r="O382" s="1128"/>
      <c r="P382" s="1128"/>
      <c r="Q382" s="1128"/>
      <c r="R382" s="1128"/>
      <c r="S382" s="1128"/>
      <c r="T382" s="1140"/>
      <c r="AF382" s="1161">
        <v>6</v>
      </c>
    </row>
    <row r="383" spans="1:32" hidden="1" x14ac:dyDescent="0.25">
      <c r="A383" s="1128" t="s">
        <v>271</v>
      </c>
      <c r="B383" s="1128"/>
      <c r="C383" s="1159"/>
      <c r="D383" s="1746">
        <f>D111</f>
        <v>0</v>
      </c>
      <c r="E383" s="1746"/>
      <c r="F383" s="1746"/>
      <c r="G383" s="1159"/>
      <c r="H383" s="1174" t="s">
        <v>763</v>
      </c>
      <c r="I383" s="1174"/>
      <c r="J383" s="1159"/>
      <c r="K383" s="1746" t="str">
        <f>IF(COUNT(C395,F395,I395,L395,O395,R395)=0,"",AVERAGE(C395,F395,I395,L395,O395,R395))</f>
        <v/>
      </c>
      <c r="L383" s="1746"/>
      <c r="M383" s="1175"/>
      <c r="N383" s="1175"/>
      <c r="O383" s="1175"/>
      <c r="P383" s="1175"/>
      <c r="Q383" s="1175"/>
      <c r="R383" s="1175"/>
      <c r="S383" s="1175"/>
      <c r="T383" s="1152"/>
      <c r="AF383" s="1161">
        <v>6</v>
      </c>
    </row>
    <row r="384" spans="1:32" hidden="1" x14ac:dyDescent="0.25">
      <c r="A384" s="1128" t="s">
        <v>240</v>
      </c>
      <c r="B384" s="1128"/>
      <c r="C384" s="1159"/>
      <c r="D384" s="1747">
        <f>D112</f>
        <v>0</v>
      </c>
      <c r="E384" s="1747"/>
      <c r="F384" s="1747"/>
      <c r="G384" s="1159"/>
      <c r="H384" s="1174" t="s">
        <v>764</v>
      </c>
      <c r="I384" s="1174"/>
      <c r="J384" s="1159"/>
      <c r="K384" s="1747" t="str">
        <f>IF(ISERROR(SUM(C398,F398,I398,L398,O398,R398)/COUNT(C395,F395,I395,L395,O395,R395)),"",SUM(C398,F398,I398,L398,O398,R398,)/COUNT(C395,F395,I395,L395,O395,R395))</f>
        <v/>
      </c>
      <c r="L384" s="1747"/>
      <c r="M384" s="1175"/>
      <c r="N384" s="1175"/>
      <c r="O384" s="1175"/>
      <c r="P384" s="1175"/>
      <c r="Q384" s="1175"/>
      <c r="R384" s="1175"/>
      <c r="S384" s="1175"/>
      <c r="T384" s="1152"/>
      <c r="AF384" s="1161">
        <v>6</v>
      </c>
    </row>
    <row r="385" spans="1:32" hidden="1" x14ac:dyDescent="0.25">
      <c r="A385" s="1128" t="s">
        <v>265</v>
      </c>
      <c r="B385" s="1128"/>
      <c r="C385" s="1159"/>
      <c r="D385" s="1747">
        <f>D113</f>
        <v>0</v>
      </c>
      <c r="E385" s="1747"/>
      <c r="F385" s="1747"/>
      <c r="G385" s="1159"/>
      <c r="H385" s="1174" t="s">
        <v>765</v>
      </c>
      <c r="I385" s="1174"/>
      <c r="J385" s="1159"/>
      <c r="K385" s="1712" t="str">
        <f>IF(ISERROR(K384/D386),"",K384/D386)</f>
        <v/>
      </c>
      <c r="L385" s="1712"/>
      <c r="M385" s="1175"/>
      <c r="N385" s="1175"/>
      <c r="O385" s="1175"/>
      <c r="P385" s="1175"/>
      <c r="Q385" s="1175"/>
      <c r="R385" s="1175"/>
      <c r="S385" s="1175"/>
      <c r="T385" s="1152"/>
      <c r="AF385" s="1161">
        <v>6</v>
      </c>
    </row>
    <row r="386" spans="1:32" hidden="1" x14ac:dyDescent="0.25">
      <c r="A386" s="1176" t="s">
        <v>767</v>
      </c>
      <c r="B386" s="1176"/>
      <c r="C386" s="1177"/>
      <c r="D386" s="1744">
        <f>M112</f>
        <v>0</v>
      </c>
      <c r="E386" s="1744"/>
      <c r="F386" s="1744"/>
      <c r="G386" s="1128"/>
      <c r="H386" s="1112" t="s">
        <v>8031</v>
      </c>
      <c r="I386" s="1112"/>
      <c r="J386" s="1122"/>
      <c r="K386" s="1734" t="str">
        <f>IF(ISERROR(SUM(C394,F394,I394,L394,O394,R394)/SUM(T394:Y394)),"",SUM(C394,F394,I394,L394,O394,R394)/SUM(T394:Y394))</f>
        <v/>
      </c>
      <c r="L386" s="1734"/>
      <c r="M386" s="1128"/>
      <c r="N386" s="1128"/>
      <c r="O386" s="1128"/>
      <c r="P386" s="1128"/>
      <c r="Q386" s="1128"/>
      <c r="R386" s="1128"/>
      <c r="S386" s="1128"/>
      <c r="T386" s="1140"/>
      <c r="AF386" s="1161">
        <v>6</v>
      </c>
    </row>
    <row r="387" spans="1:32" hidden="1" x14ac:dyDescent="0.25">
      <c r="A387" s="1128"/>
      <c r="B387" s="1128"/>
      <c r="C387" s="1174"/>
      <c r="D387" s="1174"/>
      <c r="E387" s="1128"/>
      <c r="F387" s="1128"/>
      <c r="G387" s="1128"/>
      <c r="H387" s="1128"/>
      <c r="I387" s="1128"/>
      <c r="J387" s="1178"/>
      <c r="K387" s="1178"/>
      <c r="L387" s="1178"/>
      <c r="M387" s="1178"/>
      <c r="N387" s="1178"/>
      <c r="O387" s="1178"/>
      <c r="P387" s="1178"/>
      <c r="Q387" s="1178"/>
      <c r="R387" s="1178"/>
      <c r="S387" s="1011" t="s">
        <v>29</v>
      </c>
      <c r="T387" s="1152"/>
      <c r="U387" s="1158"/>
      <c r="V387" s="1158"/>
      <c r="AF387" s="1161">
        <v>6</v>
      </c>
    </row>
    <row r="388" spans="1:32" hidden="1" x14ac:dyDescent="0.25">
      <c r="A388" s="1179" t="s">
        <v>266</v>
      </c>
      <c r="B388" s="1743">
        <f>$B$31</f>
        <v>43094</v>
      </c>
      <c r="C388" s="1743"/>
      <c r="D388" s="1743"/>
      <c r="E388" s="1743">
        <f>$E$31</f>
        <v>43125</v>
      </c>
      <c r="F388" s="1743"/>
      <c r="G388" s="1743"/>
      <c r="H388" s="1743">
        <f>$H$31</f>
        <v>43156</v>
      </c>
      <c r="I388" s="1743"/>
      <c r="J388" s="1743"/>
      <c r="K388" s="1743">
        <f>$K$31</f>
        <v>43187</v>
      </c>
      <c r="L388" s="1743"/>
      <c r="M388" s="1743"/>
      <c r="N388" s="1743">
        <f>$N$31</f>
        <v>43218</v>
      </c>
      <c r="O388" s="1743"/>
      <c r="P388" s="1743"/>
      <c r="Q388" s="1743">
        <f>$Q$31</f>
        <v>43249</v>
      </c>
      <c r="R388" s="1743"/>
      <c r="S388" s="1743"/>
      <c r="T388" s="1152"/>
      <c r="U388" s="1158"/>
      <c r="V388" s="1158"/>
      <c r="AF388" s="1161">
        <v>6</v>
      </c>
    </row>
    <row r="389" spans="1:32" hidden="1" x14ac:dyDescent="0.25">
      <c r="A389" s="1179" t="s">
        <v>8</v>
      </c>
      <c r="B389" s="1179" t="s">
        <v>26</v>
      </c>
      <c r="C389" s="1739" t="s">
        <v>8030</v>
      </c>
      <c r="D389" s="1740"/>
      <c r="E389" s="1179" t="s">
        <v>26</v>
      </c>
      <c r="F389" s="1741" t="s">
        <v>8030</v>
      </c>
      <c r="G389" s="1742"/>
      <c r="H389" s="1179" t="s">
        <v>26</v>
      </c>
      <c r="I389" s="1741" t="s">
        <v>8030</v>
      </c>
      <c r="J389" s="1742"/>
      <c r="K389" s="1179" t="s">
        <v>26</v>
      </c>
      <c r="L389" s="1741" t="s">
        <v>8030</v>
      </c>
      <c r="M389" s="1742"/>
      <c r="N389" s="1179" t="s">
        <v>26</v>
      </c>
      <c r="O389" s="1741" t="s">
        <v>8030</v>
      </c>
      <c r="P389" s="1742"/>
      <c r="Q389" s="1179" t="s">
        <v>26</v>
      </c>
      <c r="R389" s="1741" t="s">
        <v>8030</v>
      </c>
      <c r="S389" s="1742"/>
      <c r="T389" s="1152"/>
      <c r="U389" s="1158"/>
      <c r="V389" s="1158"/>
      <c r="AF389" s="1161">
        <v>6</v>
      </c>
    </row>
    <row r="390" spans="1:32" hidden="1" x14ac:dyDescent="0.25">
      <c r="A390" s="1170">
        <v>1</v>
      </c>
      <c r="B390" s="1180">
        <v>7</v>
      </c>
      <c r="C390" s="1760"/>
      <c r="D390" s="1761"/>
      <c r="E390" s="1181">
        <v>7</v>
      </c>
      <c r="F390" s="1760"/>
      <c r="G390" s="1761"/>
      <c r="H390" s="1170">
        <v>7</v>
      </c>
      <c r="I390" s="1760"/>
      <c r="J390" s="1761"/>
      <c r="K390" s="1170">
        <v>7</v>
      </c>
      <c r="L390" s="1760"/>
      <c r="M390" s="1761"/>
      <c r="N390" s="1170">
        <v>7</v>
      </c>
      <c r="O390" s="1760"/>
      <c r="P390" s="1761"/>
      <c r="Q390" s="1170">
        <v>7</v>
      </c>
      <c r="R390" s="1760"/>
      <c r="S390" s="1761"/>
      <c r="T390" s="1168">
        <f>IF(C390&lt;&gt;"",IF(C390=0,0,1),0)</f>
        <v>0</v>
      </c>
      <c r="U390" s="1168">
        <f>IF(F390&lt;&gt;"",IF(F390=0,0,1),0)</f>
        <v>0</v>
      </c>
      <c r="V390" s="1169">
        <f>IF(I390&lt;&gt;"",IF(I390=0,0,1),0)</f>
        <v>0</v>
      </c>
      <c r="W390" s="1157">
        <f>IF(L390&lt;&gt;"",IF(L390=0,0,1),0)</f>
        <v>0</v>
      </c>
      <c r="X390" s="1157">
        <f>IF(O390&lt;&gt;"",IF(O390=0,0,1),0)</f>
        <v>0</v>
      </c>
      <c r="Y390" s="1157">
        <f>IF(R390&lt;&gt;"",IF(R390=0,0,1),0)</f>
        <v>0</v>
      </c>
      <c r="AF390" s="1161">
        <v>6</v>
      </c>
    </row>
    <row r="391" spans="1:32" hidden="1" x14ac:dyDescent="0.25">
      <c r="A391" s="1171">
        <v>2</v>
      </c>
      <c r="B391" s="1182">
        <v>14</v>
      </c>
      <c r="C391" s="1758"/>
      <c r="D391" s="1759"/>
      <c r="E391" s="1183">
        <v>14</v>
      </c>
      <c r="F391" s="1758"/>
      <c r="G391" s="1759"/>
      <c r="H391" s="1171">
        <v>14</v>
      </c>
      <c r="I391" s="1758"/>
      <c r="J391" s="1759"/>
      <c r="K391" s="1171">
        <v>14</v>
      </c>
      <c r="L391" s="1758"/>
      <c r="M391" s="1759"/>
      <c r="N391" s="1171">
        <v>14</v>
      </c>
      <c r="O391" s="1758"/>
      <c r="P391" s="1759"/>
      <c r="Q391" s="1171">
        <v>14</v>
      </c>
      <c r="R391" s="1758"/>
      <c r="S391" s="1759"/>
      <c r="T391" s="1168">
        <f>IF(C391&lt;&gt;"",IF(C391=0,0,1),0)</f>
        <v>0</v>
      </c>
      <c r="U391" s="1168">
        <f>IF(F391&lt;&gt;"",IF(F391=0,0,1),0)</f>
        <v>0</v>
      </c>
      <c r="V391" s="1169">
        <f>IF(I391&lt;&gt;"",IF(I391=0,0,1),0)</f>
        <v>0</v>
      </c>
      <c r="W391" s="1157">
        <f>IF(L391&lt;&gt;"",IF(L391=0,0,1),0)</f>
        <v>0</v>
      </c>
      <c r="X391" s="1157">
        <f>IF(O391&lt;&gt;"",IF(O391=0,0,1),0)</f>
        <v>0</v>
      </c>
      <c r="Y391" s="1157">
        <f>IF(R391&lt;&gt;"",IF(R391=0,0,1),0)</f>
        <v>0</v>
      </c>
      <c r="AF391" s="1161">
        <v>6</v>
      </c>
    </row>
    <row r="392" spans="1:32" hidden="1" x14ac:dyDescent="0.25">
      <c r="A392" s="1171">
        <v>3</v>
      </c>
      <c r="B392" s="1182">
        <v>22</v>
      </c>
      <c r="C392" s="1758"/>
      <c r="D392" s="1759"/>
      <c r="E392" s="1183">
        <v>22</v>
      </c>
      <c r="F392" s="1758"/>
      <c r="G392" s="1759"/>
      <c r="H392" s="1171">
        <v>22</v>
      </c>
      <c r="I392" s="1758"/>
      <c r="J392" s="1759"/>
      <c r="K392" s="1171">
        <v>22</v>
      </c>
      <c r="L392" s="1758"/>
      <c r="M392" s="1759"/>
      <c r="N392" s="1171">
        <v>22</v>
      </c>
      <c r="O392" s="1758"/>
      <c r="P392" s="1759"/>
      <c r="Q392" s="1171">
        <v>22</v>
      </c>
      <c r="R392" s="1758"/>
      <c r="S392" s="1759"/>
      <c r="T392" s="1168">
        <f>IF(C392&lt;&gt;"",IF(C392=0,0,1),0)</f>
        <v>0</v>
      </c>
      <c r="U392" s="1168">
        <f>IF(F392&lt;&gt;"",IF(F392=0,0,1),0)</f>
        <v>0</v>
      </c>
      <c r="V392" s="1169">
        <f>IF(I392&lt;&gt;"",IF(I392=0,0,1),0)</f>
        <v>0</v>
      </c>
      <c r="W392" s="1157">
        <f>IF(L392&lt;&gt;"",IF(L392=0,0,1),0)</f>
        <v>0</v>
      </c>
      <c r="X392" s="1157">
        <f>IF(O392&lt;&gt;"",IF(O392=0,0,1),0)</f>
        <v>0</v>
      </c>
      <c r="Y392" s="1157">
        <f>IF(R392&lt;&gt;"",IF(R392=0,0,1),0)</f>
        <v>0</v>
      </c>
      <c r="AF392" s="1161">
        <v>6</v>
      </c>
    </row>
    <row r="393" spans="1:32" hidden="1" x14ac:dyDescent="0.25">
      <c r="A393" s="1172">
        <v>4</v>
      </c>
      <c r="B393" s="1184">
        <v>31</v>
      </c>
      <c r="C393" s="1758"/>
      <c r="D393" s="1759"/>
      <c r="E393" s="1185">
        <v>31</v>
      </c>
      <c r="F393" s="1758"/>
      <c r="G393" s="1759"/>
      <c r="H393" s="1172">
        <v>31</v>
      </c>
      <c r="I393" s="1758"/>
      <c r="J393" s="1759"/>
      <c r="K393" s="1172">
        <v>31</v>
      </c>
      <c r="L393" s="1758"/>
      <c r="M393" s="1759"/>
      <c r="N393" s="1172">
        <v>31</v>
      </c>
      <c r="O393" s="1758"/>
      <c r="P393" s="1759"/>
      <c r="Q393" s="1172">
        <v>31</v>
      </c>
      <c r="R393" s="1758"/>
      <c r="S393" s="1759"/>
      <c r="T393" s="1168">
        <f>IF(C393&lt;&gt;"",IF(C393=0,0,1),0)</f>
        <v>0</v>
      </c>
      <c r="U393" s="1168">
        <f>IF(F393&lt;&gt;"",IF(F393=0,0,1),0)</f>
        <v>0</v>
      </c>
      <c r="V393" s="1169">
        <f>IF(I393&lt;&gt;"",IF(I393=0,0,1),0)</f>
        <v>0</v>
      </c>
      <c r="W393" s="1157">
        <f>IF(L393&lt;&gt;"",IF(L393=0,0,1),0)</f>
        <v>0</v>
      </c>
      <c r="X393" s="1157">
        <f>IF(O393&lt;&gt;"",IF(O393=0,0,1),0)</f>
        <v>0</v>
      </c>
      <c r="Y393" s="1157">
        <f>IF(R393&lt;&gt;"",IF(R393=0,0,1),0)</f>
        <v>0</v>
      </c>
      <c r="AF393" s="1161">
        <v>6</v>
      </c>
    </row>
    <row r="394" spans="1:32" hidden="1" x14ac:dyDescent="0.25">
      <c r="A394" s="1753" t="s">
        <v>7997</v>
      </c>
      <c r="B394" s="1753"/>
      <c r="C394" s="1754">
        <f>IF(ISERROR(SUM(C390:D393)/SUM(T390:T393)),0,SUM(C390:D393)/SUM(T390:T393))</f>
        <v>0</v>
      </c>
      <c r="D394" s="1755"/>
      <c r="E394" s="1212" t="s">
        <v>7373</v>
      </c>
      <c r="F394" s="1754">
        <f>IF(ISERROR(SUM(F390:G393)/SUM(U390:U393)),0,SUM(F390:G393)/SUM(U390:U393))</f>
        <v>0</v>
      </c>
      <c r="G394" s="1755"/>
      <c r="H394" s="1212"/>
      <c r="I394" s="1754">
        <f>IF(ISERROR(SUM(I390:J393)/SUM(V390:V393)),0,SUM(I390:J393)/SUM(V390:V393))</f>
        <v>0</v>
      </c>
      <c r="J394" s="1755"/>
      <c r="K394" s="1212"/>
      <c r="L394" s="1754">
        <f>IF(ISERROR(SUM(L390:M393)/SUM(W390:W393)),0,SUM(L390:M393)/SUM(W390:W393))</f>
        <v>0</v>
      </c>
      <c r="M394" s="1755"/>
      <c r="N394" s="1212"/>
      <c r="O394" s="1754">
        <f>IF(ISERROR(SUM(O390:P393)/SUM(X390:X393)),0,SUM(O390:P393)/SUM(X390:X393))</f>
        <v>0</v>
      </c>
      <c r="P394" s="1755"/>
      <c r="Q394" s="1212"/>
      <c r="R394" s="1754">
        <f>IF(ISERROR(SUM(R390:S393)/SUM(Y390:Y393)),0,SUM(R390:S393)/SUM(Y390:Y393))</f>
        <v>0</v>
      </c>
      <c r="S394" s="1755"/>
      <c r="T394" s="1168">
        <f t="shared" ref="T394:Y394" si="8">IF(SUM(T390:T393)&lt;&gt;0,1,0)</f>
        <v>0</v>
      </c>
      <c r="U394" s="1168">
        <f t="shared" si="8"/>
        <v>0</v>
      </c>
      <c r="V394" s="1168">
        <f t="shared" si="8"/>
        <v>0</v>
      </c>
      <c r="W394" s="1168">
        <f t="shared" si="8"/>
        <v>0</v>
      </c>
      <c r="X394" s="1168">
        <f t="shared" si="8"/>
        <v>0</v>
      </c>
      <c r="Y394" s="1168">
        <f t="shared" si="8"/>
        <v>0</v>
      </c>
      <c r="AF394" s="1161">
        <v>6</v>
      </c>
    </row>
    <row r="395" spans="1:32" ht="15" hidden="1" customHeight="1" x14ac:dyDescent="0.25">
      <c r="A395" s="1753" t="s">
        <v>2980</v>
      </c>
      <c r="B395" s="1753"/>
      <c r="C395" s="1748"/>
      <c r="D395" s="1748"/>
      <c r="E395" s="1118"/>
      <c r="F395" s="1748"/>
      <c r="G395" s="1748"/>
      <c r="H395" s="1118"/>
      <c r="I395" s="1748"/>
      <c r="J395" s="1748"/>
      <c r="K395" s="1118"/>
      <c r="L395" s="1748"/>
      <c r="M395" s="1748"/>
      <c r="N395" s="1118"/>
      <c r="O395" s="1748"/>
      <c r="P395" s="1748"/>
      <c r="Q395" s="1118"/>
      <c r="R395" s="1748"/>
      <c r="S395" s="1748"/>
      <c r="T395" s="1152"/>
      <c r="U395" s="1158"/>
      <c r="V395" s="1158"/>
      <c r="AF395" s="1161">
        <v>6</v>
      </c>
    </row>
    <row r="396" spans="1:32" hidden="1" x14ac:dyDescent="0.25">
      <c r="A396" s="1210" t="s">
        <v>272</v>
      </c>
      <c r="B396" s="1210"/>
      <c r="C396" s="1748"/>
      <c r="D396" s="1748"/>
      <c r="E396" s="1118"/>
      <c r="F396" s="1748"/>
      <c r="G396" s="1748"/>
      <c r="H396" s="1118"/>
      <c r="I396" s="1748"/>
      <c r="J396" s="1748"/>
      <c r="K396" s="1213"/>
      <c r="L396" s="1748"/>
      <c r="M396" s="1748"/>
      <c r="N396" s="1213"/>
      <c r="O396" s="1748"/>
      <c r="P396" s="1748"/>
      <c r="Q396" s="1213"/>
      <c r="R396" s="1748"/>
      <c r="S396" s="1748"/>
      <c r="T396" s="1152"/>
      <c r="U396" s="1158"/>
      <c r="V396" s="1158"/>
      <c r="AF396" s="1161">
        <v>6</v>
      </c>
    </row>
    <row r="397" spans="1:32" hidden="1" x14ac:dyDescent="0.25">
      <c r="A397" s="1210" t="s">
        <v>273</v>
      </c>
      <c r="B397" s="1210"/>
      <c r="C397" s="1748"/>
      <c r="D397" s="1748"/>
      <c r="E397" s="1118"/>
      <c r="F397" s="1748"/>
      <c r="G397" s="1748"/>
      <c r="H397" s="1118"/>
      <c r="I397" s="1748"/>
      <c r="J397" s="1748"/>
      <c r="K397" s="1213"/>
      <c r="L397" s="1748"/>
      <c r="M397" s="1748"/>
      <c r="N397" s="1213"/>
      <c r="O397" s="1748"/>
      <c r="P397" s="1748"/>
      <c r="Q397" s="1213"/>
      <c r="R397" s="1748"/>
      <c r="S397" s="1748"/>
      <c r="T397" s="1152"/>
      <c r="U397" s="1158"/>
      <c r="V397" s="1158"/>
      <c r="AF397" s="1161">
        <v>6</v>
      </c>
    </row>
    <row r="398" spans="1:32" hidden="1" x14ac:dyDescent="0.25">
      <c r="A398" s="1749" t="s">
        <v>274</v>
      </c>
      <c r="B398" s="1750"/>
      <c r="C398" s="1752">
        <f>C396-C397</f>
        <v>0</v>
      </c>
      <c r="D398" s="1752"/>
      <c r="E398" s="1118"/>
      <c r="F398" s="1752">
        <f>F396-F397</f>
        <v>0</v>
      </c>
      <c r="G398" s="1752"/>
      <c r="H398" s="1118"/>
      <c r="I398" s="1752">
        <f>I396-I397</f>
        <v>0</v>
      </c>
      <c r="J398" s="1752"/>
      <c r="K398" s="1213"/>
      <c r="L398" s="1752">
        <f>L396-L397</f>
        <v>0</v>
      </c>
      <c r="M398" s="1752"/>
      <c r="N398" s="1213"/>
      <c r="O398" s="1752">
        <f>O396-O397</f>
        <v>0</v>
      </c>
      <c r="P398" s="1752"/>
      <c r="Q398" s="1213"/>
      <c r="R398" s="1752">
        <f>R396-R397</f>
        <v>0</v>
      </c>
      <c r="S398" s="1752"/>
      <c r="T398" s="1152"/>
      <c r="U398" s="1158"/>
      <c r="V398" s="1158"/>
      <c r="AF398" s="1161">
        <v>6</v>
      </c>
    </row>
    <row r="399" spans="1:32" hidden="1" x14ac:dyDescent="0.25">
      <c r="A399" s="1749" t="s">
        <v>275</v>
      </c>
      <c r="B399" s="1750"/>
      <c r="C399" s="1751" t="str">
        <f>IF(SUM($D$386)=0,"",C398/$D$386)</f>
        <v/>
      </c>
      <c r="D399" s="1752"/>
      <c r="E399" s="1214"/>
      <c r="F399" s="1751" t="str">
        <f>IF(SUM($D$386)=0,"",F398/$D$386)</f>
        <v/>
      </c>
      <c r="G399" s="1752"/>
      <c r="H399" s="1214"/>
      <c r="I399" s="1751" t="str">
        <f>IF(SUM($D$386)=0,"",I398/$D$386)</f>
        <v/>
      </c>
      <c r="J399" s="1752"/>
      <c r="K399" s="1215"/>
      <c r="L399" s="1751" t="str">
        <f>IF(SUM($D$386)=0,"",L398/$D$386)</f>
        <v/>
      </c>
      <c r="M399" s="1752"/>
      <c r="N399" s="1215"/>
      <c r="O399" s="1751" t="str">
        <f>IF(SUM($D$386)=0,"",O398/$D$386)</f>
        <v/>
      </c>
      <c r="P399" s="1752"/>
      <c r="Q399" s="1215"/>
      <c r="R399" s="1751" t="str">
        <f>IF(SUM($D$386)=0,"",R398/$D$386)</f>
        <v/>
      </c>
      <c r="S399" s="1752"/>
      <c r="T399" s="1152"/>
      <c r="U399" s="1158"/>
      <c r="V399" s="1158"/>
      <c r="AF399" s="1161">
        <v>6</v>
      </c>
    </row>
    <row r="400" spans="1:32" hidden="1" x14ac:dyDescent="0.25">
      <c r="A400" s="1128"/>
      <c r="B400" s="1128"/>
      <c r="C400" s="1128"/>
      <c r="D400" s="1128"/>
      <c r="E400" s="1128"/>
      <c r="F400" s="1128"/>
      <c r="G400" s="1128"/>
      <c r="H400" s="1128"/>
      <c r="I400" s="1128"/>
      <c r="J400" s="1128"/>
      <c r="K400" s="1128"/>
      <c r="L400" s="1128"/>
      <c r="M400" s="1128"/>
      <c r="N400" s="1128"/>
      <c r="O400" s="1128"/>
      <c r="P400" s="1128"/>
      <c r="Q400" s="1128"/>
      <c r="R400" s="1128"/>
      <c r="S400" s="1128"/>
      <c r="T400" s="1140"/>
      <c r="AF400" s="1161">
        <v>6</v>
      </c>
    </row>
    <row r="401" spans="1:32" hidden="1" x14ac:dyDescent="0.25">
      <c r="A401" s="1745" t="s">
        <v>8020</v>
      </c>
      <c r="B401" s="1745"/>
      <c r="C401" s="1745"/>
      <c r="D401" s="1745"/>
      <c r="E401" s="1745"/>
      <c r="F401" s="1745"/>
      <c r="G401" s="1745"/>
      <c r="H401" s="1745"/>
      <c r="I401" s="1745"/>
      <c r="J401" s="1745"/>
      <c r="K401" s="1745"/>
      <c r="L401" s="1745"/>
      <c r="M401" s="1745"/>
      <c r="N401" s="1745"/>
      <c r="O401" s="1745"/>
      <c r="P401" s="1745"/>
      <c r="Q401" s="1745"/>
      <c r="R401" s="1745"/>
      <c r="S401" s="1745"/>
      <c r="T401" s="1146"/>
      <c r="AF401" s="1161">
        <v>7</v>
      </c>
    </row>
    <row r="402" spans="1:32" ht="5.0999999999999996" hidden="1" customHeight="1" x14ac:dyDescent="0.25">
      <c r="A402" s="1128"/>
      <c r="B402" s="1128"/>
      <c r="C402" s="1173"/>
      <c r="D402" s="1173"/>
      <c r="E402" s="1128"/>
      <c r="F402" s="1128"/>
      <c r="G402" s="1128"/>
      <c r="H402" s="1128"/>
      <c r="I402" s="1128"/>
      <c r="J402" s="1128"/>
      <c r="K402" s="1128"/>
      <c r="L402" s="1128"/>
      <c r="M402" s="1128"/>
      <c r="N402" s="1128"/>
      <c r="O402" s="1128"/>
      <c r="P402" s="1128"/>
      <c r="Q402" s="1128"/>
      <c r="R402" s="1128"/>
      <c r="S402" s="1128"/>
      <c r="T402" s="1140"/>
      <c r="AF402" s="1161">
        <v>7</v>
      </c>
    </row>
    <row r="403" spans="1:32" hidden="1" x14ac:dyDescent="0.25">
      <c r="A403" s="1128" t="s">
        <v>271</v>
      </c>
      <c r="B403" s="1128"/>
      <c r="C403" s="1159"/>
      <c r="D403" s="1746">
        <f>D128</f>
        <v>0</v>
      </c>
      <c r="E403" s="1746"/>
      <c r="F403" s="1746"/>
      <c r="G403" s="1159"/>
      <c r="H403" s="1174" t="s">
        <v>763</v>
      </c>
      <c r="I403" s="1174"/>
      <c r="J403" s="1159"/>
      <c r="K403" s="1746" t="str">
        <f>IF(COUNT(C415,F415,I415,L415,O415,R415)=0,"",AVERAGE(C415,F415,I415,L415,O415,R415))</f>
        <v/>
      </c>
      <c r="L403" s="1746"/>
      <c r="M403" s="1175"/>
      <c r="N403" s="1175"/>
      <c r="O403" s="1175"/>
      <c r="P403" s="1175"/>
      <c r="Q403" s="1175"/>
      <c r="R403" s="1175"/>
      <c r="S403" s="1175"/>
      <c r="T403" s="1152"/>
      <c r="AF403" s="1161">
        <v>7</v>
      </c>
    </row>
    <row r="404" spans="1:32" hidden="1" x14ac:dyDescent="0.25">
      <c r="A404" s="1128" t="s">
        <v>240</v>
      </c>
      <c r="B404" s="1128"/>
      <c r="C404" s="1159"/>
      <c r="D404" s="1747">
        <f>D129</f>
        <v>0</v>
      </c>
      <c r="E404" s="1747"/>
      <c r="F404" s="1747"/>
      <c r="G404" s="1159"/>
      <c r="H404" s="1174" t="s">
        <v>764</v>
      </c>
      <c r="I404" s="1174"/>
      <c r="J404" s="1159"/>
      <c r="K404" s="1747" t="str">
        <f>IF(ISERROR(SUM(C418,F418,I418,L418,O418,R418)/COUNT(C415,F415,I415,L415,O415,R415)),"",SUM(C418,F418,I418,L418,O418,R418,)/COUNT(C415,F415,I415,L415,O415,R415))</f>
        <v/>
      </c>
      <c r="L404" s="1747"/>
      <c r="M404" s="1175"/>
      <c r="N404" s="1175"/>
      <c r="O404" s="1175"/>
      <c r="P404" s="1175"/>
      <c r="Q404" s="1175"/>
      <c r="R404" s="1175"/>
      <c r="S404" s="1175"/>
      <c r="T404" s="1152"/>
      <c r="AF404" s="1161">
        <v>7</v>
      </c>
    </row>
    <row r="405" spans="1:32" hidden="1" x14ac:dyDescent="0.25">
      <c r="A405" s="1128" t="s">
        <v>265</v>
      </c>
      <c r="B405" s="1128"/>
      <c r="C405" s="1159"/>
      <c r="D405" s="1747">
        <f>D130</f>
        <v>0</v>
      </c>
      <c r="E405" s="1747"/>
      <c r="F405" s="1747"/>
      <c r="G405" s="1159"/>
      <c r="H405" s="1174" t="s">
        <v>765</v>
      </c>
      <c r="I405" s="1174"/>
      <c r="J405" s="1159"/>
      <c r="K405" s="1712" t="str">
        <f>IF(ISERROR(K404/D406),"",K404/D406)</f>
        <v/>
      </c>
      <c r="L405" s="1712"/>
      <c r="M405" s="1175"/>
      <c r="N405" s="1175"/>
      <c r="O405" s="1175"/>
      <c r="P405" s="1175"/>
      <c r="Q405" s="1175"/>
      <c r="R405" s="1175"/>
      <c r="S405" s="1175"/>
      <c r="T405" s="1152"/>
      <c r="AF405" s="1161">
        <v>7</v>
      </c>
    </row>
    <row r="406" spans="1:32" hidden="1" x14ac:dyDescent="0.25">
      <c r="A406" s="1176" t="s">
        <v>767</v>
      </c>
      <c r="B406" s="1176"/>
      <c r="C406" s="1177"/>
      <c r="D406" s="1744">
        <f>M129</f>
        <v>0</v>
      </c>
      <c r="E406" s="1744"/>
      <c r="F406" s="1744"/>
      <c r="G406" s="1128"/>
      <c r="H406" s="1112" t="s">
        <v>8031</v>
      </c>
      <c r="I406" s="1112"/>
      <c r="J406" s="1122"/>
      <c r="K406" s="1734" t="str">
        <f>IF(ISERROR(SUM(C414,F414,I414,L414,O414,R414)/SUM(T414:Y414)),"",SUM(C414,F414,I414,L414,O414,R414)/SUM(T414:Y414))</f>
        <v/>
      </c>
      <c r="L406" s="1734"/>
      <c r="M406" s="1128"/>
      <c r="N406" s="1128"/>
      <c r="O406" s="1128"/>
      <c r="P406" s="1128"/>
      <c r="Q406" s="1128"/>
      <c r="R406" s="1128"/>
      <c r="S406" s="1128"/>
      <c r="T406" s="1140"/>
      <c r="AF406" s="1161">
        <v>7</v>
      </c>
    </row>
    <row r="407" spans="1:32" hidden="1" x14ac:dyDescent="0.25">
      <c r="A407" s="1128"/>
      <c r="B407" s="1128"/>
      <c r="C407" s="1174"/>
      <c r="D407" s="1174"/>
      <c r="E407" s="1128"/>
      <c r="F407" s="1128"/>
      <c r="G407" s="1128"/>
      <c r="H407" s="1128"/>
      <c r="I407" s="1128"/>
      <c r="J407" s="1178"/>
      <c r="K407" s="1178"/>
      <c r="L407" s="1178"/>
      <c r="M407" s="1178"/>
      <c r="N407" s="1178"/>
      <c r="O407" s="1178"/>
      <c r="P407" s="1178"/>
      <c r="Q407" s="1178"/>
      <c r="R407" s="1178"/>
      <c r="S407" s="1011" t="s">
        <v>29</v>
      </c>
      <c r="T407" s="1152"/>
      <c r="U407" s="1158"/>
      <c r="V407" s="1158"/>
      <c r="AF407" s="1161">
        <v>7</v>
      </c>
    </row>
    <row r="408" spans="1:32" hidden="1" x14ac:dyDescent="0.25">
      <c r="A408" s="1179" t="s">
        <v>266</v>
      </c>
      <c r="B408" s="1743">
        <f>$B$31</f>
        <v>43094</v>
      </c>
      <c r="C408" s="1743"/>
      <c r="D408" s="1743"/>
      <c r="E408" s="1743">
        <f>$E$31</f>
        <v>43125</v>
      </c>
      <c r="F408" s="1743"/>
      <c r="G408" s="1743"/>
      <c r="H408" s="1743">
        <f>$H$31</f>
        <v>43156</v>
      </c>
      <c r="I408" s="1743"/>
      <c r="J408" s="1743"/>
      <c r="K408" s="1743">
        <f>$K$31</f>
        <v>43187</v>
      </c>
      <c r="L408" s="1743"/>
      <c r="M408" s="1743"/>
      <c r="N408" s="1743">
        <f>$N$31</f>
        <v>43218</v>
      </c>
      <c r="O408" s="1743"/>
      <c r="P408" s="1743"/>
      <c r="Q408" s="1743">
        <f>$Q$31</f>
        <v>43249</v>
      </c>
      <c r="R408" s="1743"/>
      <c r="S408" s="1743"/>
      <c r="T408" s="1152"/>
      <c r="U408" s="1158"/>
      <c r="V408" s="1158"/>
      <c r="AF408" s="1161">
        <v>7</v>
      </c>
    </row>
    <row r="409" spans="1:32" hidden="1" x14ac:dyDescent="0.25">
      <c r="A409" s="1179" t="s">
        <v>8</v>
      </c>
      <c r="B409" s="1179" t="s">
        <v>26</v>
      </c>
      <c r="C409" s="1739" t="s">
        <v>8030</v>
      </c>
      <c r="D409" s="1740"/>
      <c r="E409" s="1179" t="s">
        <v>26</v>
      </c>
      <c r="F409" s="1741" t="s">
        <v>8030</v>
      </c>
      <c r="G409" s="1742"/>
      <c r="H409" s="1179" t="s">
        <v>26</v>
      </c>
      <c r="I409" s="1741" t="s">
        <v>8030</v>
      </c>
      <c r="J409" s="1742"/>
      <c r="K409" s="1179" t="s">
        <v>26</v>
      </c>
      <c r="L409" s="1741" t="s">
        <v>8030</v>
      </c>
      <c r="M409" s="1742"/>
      <c r="N409" s="1179" t="s">
        <v>26</v>
      </c>
      <c r="O409" s="1741" t="s">
        <v>8030</v>
      </c>
      <c r="P409" s="1742"/>
      <c r="Q409" s="1179" t="s">
        <v>26</v>
      </c>
      <c r="R409" s="1741" t="s">
        <v>8030</v>
      </c>
      <c r="S409" s="1742"/>
      <c r="T409" s="1152"/>
      <c r="U409" s="1158"/>
      <c r="V409" s="1158"/>
      <c r="AF409" s="1161">
        <v>7</v>
      </c>
    </row>
    <row r="410" spans="1:32" hidden="1" x14ac:dyDescent="0.25">
      <c r="A410" s="1170">
        <v>1</v>
      </c>
      <c r="B410" s="1180">
        <v>7</v>
      </c>
      <c r="C410" s="1760" t="str">
        <f>IF(C135&lt;&gt;0,0,"")</f>
        <v/>
      </c>
      <c r="D410" s="1761"/>
      <c r="E410" s="1181">
        <v>7</v>
      </c>
      <c r="F410" s="1760" t="str">
        <f>IF(F135&lt;&gt;0,0,"")</f>
        <v/>
      </c>
      <c r="G410" s="1761"/>
      <c r="H410" s="1170">
        <v>7</v>
      </c>
      <c r="I410" s="1760" t="str">
        <f>IF(I135&lt;&gt;0,0,"")</f>
        <v/>
      </c>
      <c r="J410" s="1761"/>
      <c r="K410" s="1170">
        <v>7</v>
      </c>
      <c r="L410" s="1760" t="str">
        <f>IF(L135&lt;&gt;0,0,"")</f>
        <v/>
      </c>
      <c r="M410" s="1761"/>
      <c r="N410" s="1170">
        <v>7</v>
      </c>
      <c r="O410" s="1760" t="str">
        <f>IF(O135&lt;&gt;0,0,"")</f>
        <v/>
      </c>
      <c r="P410" s="1761"/>
      <c r="Q410" s="1170">
        <v>7</v>
      </c>
      <c r="R410" s="1760" t="str">
        <f>IF(R135&lt;&gt;0,0,"")</f>
        <v/>
      </c>
      <c r="S410" s="1761"/>
      <c r="T410" s="1168">
        <f>IF(C410&lt;&gt;"",IF(C410=0,0,1),0)</f>
        <v>0</v>
      </c>
      <c r="U410" s="1168">
        <f>IF(F410&lt;&gt;"",IF(F410=0,0,1),0)</f>
        <v>0</v>
      </c>
      <c r="V410" s="1169">
        <f>IF(I410&lt;&gt;"",IF(I410=0,0,1),0)</f>
        <v>0</v>
      </c>
      <c r="W410" s="1157">
        <f>IF(L410&lt;&gt;"",IF(L410=0,0,1),0)</f>
        <v>0</v>
      </c>
      <c r="X410" s="1157">
        <f>IF(O410&lt;&gt;"",IF(O410=0,0,1),0)</f>
        <v>0</v>
      </c>
      <c r="Y410" s="1157">
        <f>IF(R410&lt;&gt;"",IF(R410=0,0,1),0)</f>
        <v>0</v>
      </c>
      <c r="AF410" s="1161">
        <v>7</v>
      </c>
    </row>
    <row r="411" spans="1:32" hidden="1" x14ac:dyDescent="0.25">
      <c r="A411" s="1171">
        <v>2</v>
      </c>
      <c r="B411" s="1182">
        <v>14</v>
      </c>
      <c r="C411" s="1758" t="str">
        <f>IF(C136&lt;&gt;0,0,"")</f>
        <v/>
      </c>
      <c r="D411" s="1759"/>
      <c r="E411" s="1183">
        <v>14</v>
      </c>
      <c r="F411" s="1758" t="str">
        <f>IF(F136&lt;&gt;0,0,"")</f>
        <v/>
      </c>
      <c r="G411" s="1759"/>
      <c r="H411" s="1171">
        <v>14</v>
      </c>
      <c r="I411" s="1758" t="str">
        <f>IF(I136&lt;&gt;0,0,"")</f>
        <v/>
      </c>
      <c r="J411" s="1759"/>
      <c r="K411" s="1171">
        <v>14</v>
      </c>
      <c r="L411" s="1758" t="str">
        <f>IF(L136&lt;&gt;0,0,"")</f>
        <v/>
      </c>
      <c r="M411" s="1759"/>
      <c r="N411" s="1171">
        <v>14</v>
      </c>
      <c r="O411" s="1758" t="str">
        <f>IF(O136&lt;&gt;0,0,"")</f>
        <v/>
      </c>
      <c r="P411" s="1759"/>
      <c r="Q411" s="1171">
        <v>14</v>
      </c>
      <c r="R411" s="1758" t="str">
        <f>IF(R136&lt;&gt;0,0,"")</f>
        <v/>
      </c>
      <c r="S411" s="1759"/>
      <c r="T411" s="1168">
        <f>IF(C411&lt;&gt;"",IF(C411=0,0,1),0)</f>
        <v>0</v>
      </c>
      <c r="U411" s="1168">
        <f>IF(F411&lt;&gt;"",IF(F411=0,0,1),0)</f>
        <v>0</v>
      </c>
      <c r="V411" s="1169">
        <f>IF(I411&lt;&gt;"",IF(I411=0,0,1),0)</f>
        <v>0</v>
      </c>
      <c r="W411" s="1157">
        <f>IF(L411&lt;&gt;"",IF(L411=0,0,1),0)</f>
        <v>0</v>
      </c>
      <c r="X411" s="1157">
        <f>IF(O411&lt;&gt;"",IF(O411=0,0,1),0)</f>
        <v>0</v>
      </c>
      <c r="Y411" s="1157">
        <f>IF(R411&lt;&gt;"",IF(R411=0,0,1),0)</f>
        <v>0</v>
      </c>
      <c r="AF411" s="1161">
        <v>7</v>
      </c>
    </row>
    <row r="412" spans="1:32" hidden="1" x14ac:dyDescent="0.25">
      <c r="A412" s="1171">
        <v>3</v>
      </c>
      <c r="B412" s="1182">
        <v>22</v>
      </c>
      <c r="C412" s="1758" t="str">
        <f>IF(C137&lt;&gt;0,0,"")</f>
        <v/>
      </c>
      <c r="D412" s="1759"/>
      <c r="E412" s="1183">
        <v>22</v>
      </c>
      <c r="F412" s="1758" t="str">
        <f>IF(F137&lt;&gt;0,0,"")</f>
        <v/>
      </c>
      <c r="G412" s="1759"/>
      <c r="H412" s="1171">
        <v>22</v>
      </c>
      <c r="I412" s="1758" t="str">
        <f>IF(I137&lt;&gt;0,0,"")</f>
        <v/>
      </c>
      <c r="J412" s="1759"/>
      <c r="K412" s="1171">
        <v>22</v>
      </c>
      <c r="L412" s="1758" t="str">
        <f>IF(L137&lt;&gt;0,0,"")</f>
        <v/>
      </c>
      <c r="M412" s="1759"/>
      <c r="N412" s="1171">
        <v>22</v>
      </c>
      <c r="O412" s="1758" t="str">
        <f>IF(O137&lt;&gt;0,0,"")</f>
        <v/>
      </c>
      <c r="P412" s="1759"/>
      <c r="Q412" s="1171">
        <v>22</v>
      </c>
      <c r="R412" s="1758" t="str">
        <f>IF(R137&lt;&gt;0,0,"")</f>
        <v/>
      </c>
      <c r="S412" s="1759"/>
      <c r="T412" s="1168">
        <f>IF(C412&lt;&gt;"",IF(C412=0,0,1),0)</f>
        <v>0</v>
      </c>
      <c r="U412" s="1168">
        <f>IF(F412&lt;&gt;"",IF(F412=0,0,1),0)</f>
        <v>0</v>
      </c>
      <c r="V412" s="1169">
        <f>IF(I412&lt;&gt;"",IF(I412=0,0,1),0)</f>
        <v>0</v>
      </c>
      <c r="W412" s="1157">
        <f>IF(L412&lt;&gt;"",IF(L412=0,0,1),0)</f>
        <v>0</v>
      </c>
      <c r="X412" s="1157">
        <f>IF(O412&lt;&gt;"",IF(O412=0,0,1),0)</f>
        <v>0</v>
      </c>
      <c r="Y412" s="1157">
        <f>IF(R412&lt;&gt;"",IF(R412=0,0,1),0)</f>
        <v>0</v>
      </c>
      <c r="AF412" s="1161">
        <v>7</v>
      </c>
    </row>
    <row r="413" spans="1:32" hidden="1" x14ac:dyDescent="0.25">
      <c r="A413" s="1172">
        <v>4</v>
      </c>
      <c r="B413" s="1184">
        <v>31</v>
      </c>
      <c r="C413" s="1756" t="str">
        <f>IF(C138&lt;&gt;0,0,"")</f>
        <v/>
      </c>
      <c r="D413" s="1757"/>
      <c r="E413" s="1185">
        <v>31</v>
      </c>
      <c r="F413" s="1758" t="str">
        <f>IF(F138&lt;&gt;0,0,"")</f>
        <v/>
      </c>
      <c r="G413" s="1759"/>
      <c r="H413" s="1172">
        <v>31</v>
      </c>
      <c r="I413" s="1758" t="str">
        <f>IF(I138&lt;&gt;0,0,"")</f>
        <v/>
      </c>
      <c r="J413" s="1759"/>
      <c r="K413" s="1172">
        <v>31</v>
      </c>
      <c r="L413" s="1758" t="str">
        <f>IF(L138&lt;&gt;0,0,"")</f>
        <v/>
      </c>
      <c r="M413" s="1759"/>
      <c r="N413" s="1172">
        <v>31</v>
      </c>
      <c r="O413" s="1758" t="str">
        <f>IF(O138&lt;&gt;0,0,"")</f>
        <v/>
      </c>
      <c r="P413" s="1759"/>
      <c r="Q413" s="1172">
        <v>31</v>
      </c>
      <c r="R413" s="1758" t="str">
        <f>IF(R138&lt;&gt;0,0,"")</f>
        <v/>
      </c>
      <c r="S413" s="1759"/>
      <c r="T413" s="1168">
        <f>IF(C413&lt;&gt;"",IF(C413=0,0,1),0)</f>
        <v>0</v>
      </c>
      <c r="U413" s="1168">
        <f>IF(F413&lt;&gt;"",IF(F413=0,0,1),0)</f>
        <v>0</v>
      </c>
      <c r="V413" s="1169">
        <f>IF(I413&lt;&gt;"",IF(I413=0,0,1),0)</f>
        <v>0</v>
      </c>
      <c r="W413" s="1157">
        <f>IF(L413&lt;&gt;"",IF(L413=0,0,1),0)</f>
        <v>0</v>
      </c>
      <c r="X413" s="1157">
        <f>IF(O413&lt;&gt;"",IF(O413=0,0,1),0)</f>
        <v>0</v>
      </c>
      <c r="Y413" s="1157">
        <f>IF(R413&lt;&gt;"",IF(R413=0,0,1),0)</f>
        <v>0</v>
      </c>
      <c r="AF413" s="1161">
        <v>7</v>
      </c>
    </row>
    <row r="414" spans="1:32" hidden="1" x14ac:dyDescent="0.25">
      <c r="A414" s="1753" t="s">
        <v>7997</v>
      </c>
      <c r="B414" s="1753"/>
      <c r="C414" s="1754">
        <f>IF(ISERROR(SUM(C410:D413)/SUM(T410:T413)),0,SUM(C410:D413)/SUM(T410:T413))</f>
        <v>0</v>
      </c>
      <c r="D414" s="1755"/>
      <c r="E414" s="1212" t="s">
        <v>7373</v>
      </c>
      <c r="F414" s="1754">
        <f>IF(ISERROR(SUM(F410:G413)/SUM(U410:U413)),0,SUM(F410:G413)/SUM(U410:U413))</f>
        <v>0</v>
      </c>
      <c r="G414" s="1755"/>
      <c r="H414" s="1212"/>
      <c r="I414" s="1754">
        <f>IF(ISERROR(SUM(I410:J413)/SUM(V410:V413)),0,SUM(I410:J413)/SUM(V410:V413))</f>
        <v>0</v>
      </c>
      <c r="J414" s="1755"/>
      <c r="K414" s="1212"/>
      <c r="L414" s="1754">
        <f>IF(ISERROR(SUM(L410:M413)/SUM(W410:W413)),0,SUM(L410:M413)/SUM(W410:W413))</f>
        <v>0</v>
      </c>
      <c r="M414" s="1755"/>
      <c r="N414" s="1212"/>
      <c r="O414" s="1754">
        <f>IF(ISERROR(SUM(O410:P413)/SUM(X410:X413)),0,SUM(O410:P413)/SUM(X410:X413))</f>
        <v>0</v>
      </c>
      <c r="P414" s="1755"/>
      <c r="Q414" s="1212"/>
      <c r="R414" s="1754">
        <f>IF(ISERROR(SUM(R410:S413)/SUM(Y410:Y413)),0,SUM(R410:S413)/SUM(Y410:Y413))</f>
        <v>0</v>
      </c>
      <c r="S414" s="1755"/>
      <c r="T414" s="1168">
        <f t="shared" ref="T414:Y414" si="9">IF(SUM(T410:T413)&lt;&gt;0,1,0)</f>
        <v>0</v>
      </c>
      <c r="U414" s="1168">
        <f t="shared" si="9"/>
        <v>0</v>
      </c>
      <c r="V414" s="1168">
        <f t="shared" si="9"/>
        <v>0</v>
      </c>
      <c r="W414" s="1168">
        <f t="shared" si="9"/>
        <v>0</v>
      </c>
      <c r="X414" s="1168">
        <f t="shared" si="9"/>
        <v>0</v>
      </c>
      <c r="Y414" s="1168">
        <f t="shared" si="9"/>
        <v>0</v>
      </c>
      <c r="AF414" s="1161">
        <v>7</v>
      </c>
    </row>
    <row r="415" spans="1:32" ht="15" hidden="1" customHeight="1" x14ac:dyDescent="0.25">
      <c r="A415" s="1753" t="s">
        <v>2980</v>
      </c>
      <c r="B415" s="1753"/>
      <c r="C415" s="1748"/>
      <c r="D415" s="1748"/>
      <c r="E415" s="1118"/>
      <c r="F415" s="1748"/>
      <c r="G415" s="1748"/>
      <c r="H415" s="1118"/>
      <c r="I415" s="1748"/>
      <c r="J415" s="1748"/>
      <c r="K415" s="1118"/>
      <c r="L415" s="1748"/>
      <c r="M415" s="1748"/>
      <c r="N415" s="1118"/>
      <c r="O415" s="1748"/>
      <c r="P415" s="1748"/>
      <c r="Q415" s="1118"/>
      <c r="R415" s="1748"/>
      <c r="S415" s="1748"/>
      <c r="T415" s="1152"/>
      <c r="U415" s="1158"/>
      <c r="V415" s="1158"/>
      <c r="AF415" s="1161">
        <v>7</v>
      </c>
    </row>
    <row r="416" spans="1:32" hidden="1" x14ac:dyDescent="0.25">
      <c r="A416" s="1210" t="s">
        <v>272</v>
      </c>
      <c r="B416" s="1210"/>
      <c r="C416" s="1748"/>
      <c r="D416" s="1748"/>
      <c r="E416" s="1118"/>
      <c r="F416" s="1748"/>
      <c r="G416" s="1748"/>
      <c r="H416" s="1118"/>
      <c r="I416" s="1748"/>
      <c r="J416" s="1748"/>
      <c r="K416" s="1213"/>
      <c r="L416" s="1748"/>
      <c r="M416" s="1748"/>
      <c r="N416" s="1213"/>
      <c r="O416" s="1748"/>
      <c r="P416" s="1748"/>
      <c r="Q416" s="1213"/>
      <c r="R416" s="1748"/>
      <c r="S416" s="1748"/>
      <c r="T416" s="1152"/>
      <c r="U416" s="1158"/>
      <c r="V416" s="1158"/>
      <c r="AF416" s="1161">
        <v>7</v>
      </c>
    </row>
    <row r="417" spans="1:32" hidden="1" x14ac:dyDescent="0.25">
      <c r="A417" s="1210" t="s">
        <v>273</v>
      </c>
      <c r="B417" s="1210"/>
      <c r="C417" s="1748"/>
      <c r="D417" s="1748"/>
      <c r="E417" s="1118"/>
      <c r="F417" s="1748"/>
      <c r="G417" s="1748"/>
      <c r="H417" s="1118"/>
      <c r="I417" s="1748"/>
      <c r="J417" s="1748"/>
      <c r="K417" s="1213"/>
      <c r="L417" s="1748"/>
      <c r="M417" s="1748"/>
      <c r="N417" s="1213"/>
      <c r="O417" s="1748"/>
      <c r="P417" s="1748"/>
      <c r="Q417" s="1213"/>
      <c r="R417" s="1748"/>
      <c r="S417" s="1748"/>
      <c r="T417" s="1152"/>
      <c r="U417" s="1158"/>
      <c r="V417" s="1158"/>
      <c r="AF417" s="1161">
        <v>7</v>
      </c>
    </row>
    <row r="418" spans="1:32" hidden="1" x14ac:dyDescent="0.25">
      <c r="A418" s="1749" t="s">
        <v>274</v>
      </c>
      <c r="B418" s="1750"/>
      <c r="C418" s="1752">
        <f>C416-C417</f>
        <v>0</v>
      </c>
      <c r="D418" s="1752"/>
      <c r="E418" s="1118"/>
      <c r="F418" s="1752">
        <f>F416-F417</f>
        <v>0</v>
      </c>
      <c r="G418" s="1752"/>
      <c r="H418" s="1118"/>
      <c r="I418" s="1752">
        <f>I416-I417</f>
        <v>0</v>
      </c>
      <c r="J418" s="1752"/>
      <c r="K418" s="1213"/>
      <c r="L418" s="1752">
        <f>L416-L417</f>
        <v>0</v>
      </c>
      <c r="M418" s="1752"/>
      <c r="N418" s="1213"/>
      <c r="O418" s="1752">
        <f>O416-O417</f>
        <v>0</v>
      </c>
      <c r="P418" s="1752"/>
      <c r="Q418" s="1213"/>
      <c r="R418" s="1752">
        <f>R416-R417</f>
        <v>0</v>
      </c>
      <c r="S418" s="1752"/>
      <c r="T418" s="1152"/>
      <c r="U418" s="1158"/>
      <c r="V418" s="1158"/>
      <c r="AF418" s="1161">
        <v>7</v>
      </c>
    </row>
    <row r="419" spans="1:32" hidden="1" x14ac:dyDescent="0.25">
      <c r="A419" s="1749" t="s">
        <v>275</v>
      </c>
      <c r="B419" s="1750"/>
      <c r="C419" s="1751" t="str">
        <f>IF(SUM($D$406)=0,"",C418/$D$406)</f>
        <v/>
      </c>
      <c r="D419" s="1752"/>
      <c r="E419" s="1214"/>
      <c r="F419" s="1751" t="str">
        <f>IF(SUM($D$406)=0,"",F418/$D$406)</f>
        <v/>
      </c>
      <c r="G419" s="1752"/>
      <c r="H419" s="1214"/>
      <c r="I419" s="1751" t="str">
        <f>IF(SUM($D$406)=0,"",I418/$D$406)</f>
        <v/>
      </c>
      <c r="J419" s="1752"/>
      <c r="K419" s="1215"/>
      <c r="L419" s="1751" t="str">
        <f>IF(SUM($D$406)=0,"",L418/$D$406)</f>
        <v/>
      </c>
      <c r="M419" s="1752"/>
      <c r="N419" s="1215"/>
      <c r="O419" s="1751" t="str">
        <f>IF(SUM($D$406)=0,"",O418/$D$406)</f>
        <v/>
      </c>
      <c r="P419" s="1752"/>
      <c r="Q419" s="1215"/>
      <c r="R419" s="1751" t="str">
        <f>IF(SUM($D$406)=0,"",R418/$D$406)</f>
        <v/>
      </c>
      <c r="S419" s="1752"/>
      <c r="T419" s="1152"/>
      <c r="U419" s="1158"/>
      <c r="V419" s="1158"/>
      <c r="AF419" s="1161">
        <v>7</v>
      </c>
    </row>
    <row r="420" spans="1:32" hidden="1" x14ac:dyDescent="0.25">
      <c r="A420" s="1128"/>
      <c r="B420" s="1128"/>
      <c r="C420" s="1128"/>
      <c r="D420" s="1128"/>
      <c r="E420" s="1128"/>
      <c r="F420" s="1128"/>
      <c r="G420" s="1128"/>
      <c r="H420" s="1128"/>
      <c r="I420" s="1128"/>
      <c r="J420" s="1128"/>
      <c r="K420" s="1128"/>
      <c r="L420" s="1128"/>
      <c r="M420" s="1128"/>
      <c r="N420" s="1128"/>
      <c r="O420" s="1128"/>
      <c r="P420" s="1128"/>
      <c r="Q420" s="1128"/>
      <c r="R420" s="1128"/>
      <c r="S420" s="1128"/>
      <c r="T420" s="1140"/>
      <c r="AF420" s="1161">
        <v>7</v>
      </c>
    </row>
    <row r="421" spans="1:32" hidden="1" x14ac:dyDescent="0.25">
      <c r="A421" s="1745" t="s">
        <v>8021</v>
      </c>
      <c r="B421" s="1745"/>
      <c r="C421" s="1745"/>
      <c r="D421" s="1745"/>
      <c r="E421" s="1745"/>
      <c r="F421" s="1745"/>
      <c r="G421" s="1745"/>
      <c r="H421" s="1745"/>
      <c r="I421" s="1745"/>
      <c r="J421" s="1745"/>
      <c r="K421" s="1745"/>
      <c r="L421" s="1745"/>
      <c r="M421" s="1745"/>
      <c r="N421" s="1745"/>
      <c r="O421" s="1745"/>
      <c r="P421" s="1745"/>
      <c r="Q421" s="1745"/>
      <c r="R421" s="1745"/>
      <c r="S421" s="1745"/>
      <c r="T421" s="1146"/>
      <c r="AF421" s="1161">
        <v>8</v>
      </c>
    </row>
    <row r="422" spans="1:32" ht="5.0999999999999996" hidden="1" customHeight="1" x14ac:dyDescent="0.25">
      <c r="A422" s="1128"/>
      <c r="B422" s="1128"/>
      <c r="C422" s="1173"/>
      <c r="D422" s="1173"/>
      <c r="E422" s="1128"/>
      <c r="F422" s="1128"/>
      <c r="G422" s="1128"/>
      <c r="H422" s="1128"/>
      <c r="I422" s="1128"/>
      <c r="J422" s="1128"/>
      <c r="K422" s="1128"/>
      <c r="L422" s="1128"/>
      <c r="M422" s="1128"/>
      <c r="N422" s="1128"/>
      <c r="O422" s="1128"/>
      <c r="P422" s="1128"/>
      <c r="Q422" s="1128"/>
      <c r="R422" s="1128"/>
      <c r="S422" s="1128"/>
      <c r="T422" s="1140"/>
      <c r="AF422" s="1161">
        <v>8</v>
      </c>
    </row>
    <row r="423" spans="1:32" hidden="1" x14ac:dyDescent="0.25">
      <c r="A423" s="1128" t="s">
        <v>271</v>
      </c>
      <c r="B423" s="1128"/>
      <c r="C423" s="1159"/>
      <c r="D423" s="1746">
        <f>D145</f>
        <v>0</v>
      </c>
      <c r="E423" s="1746"/>
      <c r="F423" s="1746"/>
      <c r="G423" s="1159"/>
      <c r="H423" s="1174" t="s">
        <v>763</v>
      </c>
      <c r="I423" s="1174"/>
      <c r="J423" s="1159"/>
      <c r="K423" s="1746" t="str">
        <f>IF(COUNT(C435,F435,I435,L435,O435,R435)=0,"",AVERAGE(C435,F435,I435,L435,O435,R435))</f>
        <v/>
      </c>
      <c r="L423" s="1746"/>
      <c r="M423" s="1175"/>
      <c r="N423" s="1175"/>
      <c r="O423" s="1175"/>
      <c r="P423" s="1175"/>
      <c r="Q423" s="1175"/>
      <c r="R423" s="1175"/>
      <c r="S423" s="1175"/>
      <c r="T423" s="1152"/>
      <c r="AF423" s="1161">
        <v>8</v>
      </c>
    </row>
    <row r="424" spans="1:32" hidden="1" x14ac:dyDescent="0.25">
      <c r="A424" s="1128" t="s">
        <v>240</v>
      </c>
      <c r="B424" s="1128"/>
      <c r="C424" s="1159"/>
      <c r="D424" s="1747">
        <f>D146</f>
        <v>0</v>
      </c>
      <c r="E424" s="1747"/>
      <c r="F424" s="1747"/>
      <c r="G424" s="1159"/>
      <c r="H424" s="1174" t="s">
        <v>764</v>
      </c>
      <c r="I424" s="1174"/>
      <c r="J424" s="1159"/>
      <c r="K424" s="1747" t="str">
        <f>IF(ISERROR(SUM(C438,F438,I438,L438,O438,R438)/COUNT(C435,F435,I435,L435,O435,R435)),"",SUM(C438,F438,I438,L438,O438,R438,)/COUNT(C435,F435,I435,L435,O435,R435))</f>
        <v/>
      </c>
      <c r="L424" s="1747"/>
      <c r="M424" s="1175"/>
      <c r="N424" s="1175"/>
      <c r="O424" s="1175"/>
      <c r="P424" s="1175"/>
      <c r="Q424" s="1175"/>
      <c r="R424" s="1175"/>
      <c r="S424" s="1175"/>
      <c r="T424" s="1152"/>
      <c r="AF424" s="1161">
        <v>8</v>
      </c>
    </row>
    <row r="425" spans="1:32" hidden="1" x14ac:dyDescent="0.25">
      <c r="A425" s="1128" t="s">
        <v>265</v>
      </c>
      <c r="B425" s="1128"/>
      <c r="C425" s="1159"/>
      <c r="D425" s="1747">
        <f>D147</f>
        <v>0</v>
      </c>
      <c r="E425" s="1747"/>
      <c r="F425" s="1747"/>
      <c r="G425" s="1159"/>
      <c r="H425" s="1174" t="s">
        <v>765</v>
      </c>
      <c r="I425" s="1174"/>
      <c r="J425" s="1159"/>
      <c r="K425" s="1712" t="str">
        <f>IF(ISERROR(K424/D426),"",K424/D426)</f>
        <v/>
      </c>
      <c r="L425" s="1712"/>
      <c r="M425" s="1175"/>
      <c r="N425" s="1175"/>
      <c r="O425" s="1175"/>
      <c r="P425" s="1175"/>
      <c r="Q425" s="1175"/>
      <c r="R425" s="1175"/>
      <c r="S425" s="1175"/>
      <c r="T425" s="1152"/>
      <c r="AF425" s="1161">
        <v>8</v>
      </c>
    </row>
    <row r="426" spans="1:32" hidden="1" x14ac:dyDescent="0.25">
      <c r="A426" s="1176" t="s">
        <v>767</v>
      </c>
      <c r="B426" s="1176"/>
      <c r="C426" s="1177"/>
      <c r="D426" s="1744">
        <f>M146</f>
        <v>0</v>
      </c>
      <c r="E426" s="1744"/>
      <c r="F426" s="1744"/>
      <c r="G426" s="1128"/>
      <c r="H426" s="1112" t="s">
        <v>8031</v>
      </c>
      <c r="I426" s="1112"/>
      <c r="J426" s="1122"/>
      <c r="K426" s="1734" t="str">
        <f>IF(ISERROR(SUM(C434,F434,I434,L434,O434,R434)/SUM(T434:Y434)),"",SUM(C434,F434,I434,L434,O434,R434)/SUM(T434:Y434))</f>
        <v/>
      </c>
      <c r="L426" s="1734"/>
      <c r="M426" s="1128"/>
      <c r="N426" s="1128"/>
      <c r="O426" s="1128"/>
      <c r="P426" s="1128"/>
      <c r="Q426" s="1128"/>
      <c r="R426" s="1128"/>
      <c r="S426" s="1128"/>
      <c r="T426" s="1140"/>
      <c r="AF426" s="1161">
        <v>8</v>
      </c>
    </row>
    <row r="427" spans="1:32" hidden="1" x14ac:dyDescent="0.25">
      <c r="A427" s="1128"/>
      <c r="B427" s="1128"/>
      <c r="C427" s="1174"/>
      <c r="D427" s="1174"/>
      <c r="E427" s="1128"/>
      <c r="F427" s="1128"/>
      <c r="G427" s="1128"/>
      <c r="H427" s="1128"/>
      <c r="I427" s="1128"/>
      <c r="J427" s="1178"/>
      <c r="K427" s="1178"/>
      <c r="L427" s="1178"/>
      <c r="M427" s="1178"/>
      <c r="N427" s="1178"/>
      <c r="O427" s="1178"/>
      <c r="P427" s="1178"/>
      <c r="Q427" s="1178"/>
      <c r="R427" s="1178"/>
      <c r="S427" s="1011" t="s">
        <v>29</v>
      </c>
      <c r="T427" s="1152"/>
      <c r="U427" s="1158"/>
      <c r="V427" s="1158"/>
      <c r="AF427" s="1161">
        <v>8</v>
      </c>
    </row>
    <row r="428" spans="1:32" hidden="1" x14ac:dyDescent="0.25">
      <c r="A428" s="1179" t="s">
        <v>266</v>
      </c>
      <c r="B428" s="1743">
        <f>$B$31</f>
        <v>43094</v>
      </c>
      <c r="C428" s="1743"/>
      <c r="D428" s="1743"/>
      <c r="E428" s="1743">
        <f>$E$31</f>
        <v>43125</v>
      </c>
      <c r="F428" s="1743"/>
      <c r="G428" s="1743"/>
      <c r="H428" s="1743">
        <f>$H$31</f>
        <v>43156</v>
      </c>
      <c r="I428" s="1743"/>
      <c r="J428" s="1743"/>
      <c r="K428" s="1743">
        <f>$K$31</f>
        <v>43187</v>
      </c>
      <c r="L428" s="1743"/>
      <c r="M428" s="1743"/>
      <c r="N428" s="1743">
        <f>$N$31</f>
        <v>43218</v>
      </c>
      <c r="O428" s="1743"/>
      <c r="P428" s="1743"/>
      <c r="Q428" s="1743">
        <f>$Q$31</f>
        <v>43249</v>
      </c>
      <c r="R428" s="1743"/>
      <c r="S428" s="1743"/>
      <c r="T428" s="1152"/>
      <c r="U428" s="1158"/>
      <c r="V428" s="1158"/>
      <c r="AF428" s="1161">
        <v>8</v>
      </c>
    </row>
    <row r="429" spans="1:32" hidden="1" x14ac:dyDescent="0.25">
      <c r="A429" s="1179" t="s">
        <v>8</v>
      </c>
      <c r="B429" s="1179" t="s">
        <v>26</v>
      </c>
      <c r="C429" s="1739" t="s">
        <v>8030</v>
      </c>
      <c r="D429" s="1740"/>
      <c r="E429" s="1179" t="s">
        <v>26</v>
      </c>
      <c r="F429" s="1741" t="s">
        <v>8030</v>
      </c>
      <c r="G429" s="1742"/>
      <c r="H429" s="1179" t="s">
        <v>26</v>
      </c>
      <c r="I429" s="1741" t="s">
        <v>8030</v>
      </c>
      <c r="J429" s="1742"/>
      <c r="K429" s="1179" t="s">
        <v>26</v>
      </c>
      <c r="L429" s="1741" t="s">
        <v>8030</v>
      </c>
      <c r="M429" s="1742"/>
      <c r="N429" s="1179" t="s">
        <v>26</v>
      </c>
      <c r="O429" s="1741" t="s">
        <v>8030</v>
      </c>
      <c r="P429" s="1742"/>
      <c r="Q429" s="1179" t="s">
        <v>26</v>
      </c>
      <c r="R429" s="1741" t="s">
        <v>8030</v>
      </c>
      <c r="S429" s="1742"/>
      <c r="T429" s="1152"/>
      <c r="U429" s="1158"/>
      <c r="V429" s="1158"/>
      <c r="AF429" s="1161">
        <v>8</v>
      </c>
    </row>
    <row r="430" spans="1:32" hidden="1" x14ac:dyDescent="0.25">
      <c r="A430" s="1170">
        <v>1</v>
      </c>
      <c r="B430" s="1180">
        <v>7</v>
      </c>
      <c r="C430" s="1760" t="str">
        <f>IF(C152&lt;&gt;0,0,"")</f>
        <v/>
      </c>
      <c r="D430" s="1761"/>
      <c r="E430" s="1181">
        <v>7</v>
      </c>
      <c r="F430" s="1760" t="str">
        <f>IF(F152&lt;&gt;0,0,"")</f>
        <v/>
      </c>
      <c r="G430" s="1761"/>
      <c r="H430" s="1170">
        <v>7</v>
      </c>
      <c r="I430" s="1760" t="str">
        <f>IF(I152&lt;&gt;0,0,"")</f>
        <v/>
      </c>
      <c r="J430" s="1761"/>
      <c r="K430" s="1170">
        <v>7</v>
      </c>
      <c r="L430" s="1760" t="str">
        <f>IF(L152&lt;&gt;0,0,"")</f>
        <v/>
      </c>
      <c r="M430" s="1761"/>
      <c r="N430" s="1170">
        <v>7</v>
      </c>
      <c r="O430" s="1760" t="str">
        <f>IF(O152&lt;&gt;0,0,"")</f>
        <v/>
      </c>
      <c r="P430" s="1761"/>
      <c r="Q430" s="1170">
        <v>7</v>
      </c>
      <c r="R430" s="1760" t="str">
        <f>IF(R152&lt;&gt;0,0,"")</f>
        <v/>
      </c>
      <c r="S430" s="1761"/>
      <c r="T430" s="1168">
        <f>IF(C430&lt;&gt;"",IF(C430=0,0,1),0)</f>
        <v>0</v>
      </c>
      <c r="U430" s="1168">
        <f>IF(F430&lt;&gt;"",IF(F430=0,0,1),0)</f>
        <v>0</v>
      </c>
      <c r="V430" s="1169">
        <f>IF(I430&lt;&gt;"",IF(I430=0,0,1),0)</f>
        <v>0</v>
      </c>
      <c r="W430" s="1157">
        <f>IF(L430&lt;&gt;"",IF(L430=0,0,1),0)</f>
        <v>0</v>
      </c>
      <c r="X430" s="1157">
        <f>IF(O430&lt;&gt;"",IF(O430=0,0,1),0)</f>
        <v>0</v>
      </c>
      <c r="Y430" s="1157">
        <f>IF(R430&lt;&gt;"",IF(R430=0,0,1),0)</f>
        <v>0</v>
      </c>
      <c r="AF430" s="1161">
        <v>8</v>
      </c>
    </row>
    <row r="431" spans="1:32" hidden="1" x14ac:dyDescent="0.25">
      <c r="A431" s="1171">
        <v>2</v>
      </c>
      <c r="B431" s="1182">
        <v>14</v>
      </c>
      <c r="C431" s="1762" t="str">
        <f>IF(C153&lt;&gt;0,0,"")</f>
        <v/>
      </c>
      <c r="D431" s="1763"/>
      <c r="E431" s="1183">
        <v>14</v>
      </c>
      <c r="F431" s="1762" t="str">
        <f>IF(F153&lt;&gt;0,0,"")</f>
        <v/>
      </c>
      <c r="G431" s="1763"/>
      <c r="H431" s="1171">
        <v>14</v>
      </c>
      <c r="I431" s="1762" t="str">
        <f>IF(I153&lt;&gt;0,0,"")</f>
        <v/>
      </c>
      <c r="J431" s="1763"/>
      <c r="K431" s="1171">
        <v>14</v>
      </c>
      <c r="L431" s="1762" t="str">
        <f>IF(L153&lt;&gt;0,0,"")</f>
        <v/>
      </c>
      <c r="M431" s="1763"/>
      <c r="N431" s="1171">
        <v>14</v>
      </c>
      <c r="O431" s="1762" t="str">
        <f>IF(O153&lt;&gt;0,0,"")</f>
        <v/>
      </c>
      <c r="P431" s="1763"/>
      <c r="Q431" s="1171">
        <v>14</v>
      </c>
      <c r="R431" s="1762" t="str">
        <f>IF(R153&lt;&gt;0,0,"")</f>
        <v/>
      </c>
      <c r="S431" s="1763"/>
      <c r="T431" s="1168">
        <f>IF(C431&lt;&gt;"",IF(C431=0,0,1),0)</f>
        <v>0</v>
      </c>
      <c r="U431" s="1168">
        <f>IF(F431&lt;&gt;"",IF(F431=0,0,1),0)</f>
        <v>0</v>
      </c>
      <c r="V431" s="1169">
        <f>IF(I431&lt;&gt;"",IF(I431=0,0,1),0)</f>
        <v>0</v>
      </c>
      <c r="W431" s="1157">
        <f>IF(L431&lt;&gt;"",IF(L431=0,0,1),0)</f>
        <v>0</v>
      </c>
      <c r="X431" s="1157">
        <f>IF(O431&lt;&gt;"",IF(O431=0,0,1),0)</f>
        <v>0</v>
      </c>
      <c r="Y431" s="1157">
        <f>IF(R431&lt;&gt;"",IF(R431=0,0,1),0)</f>
        <v>0</v>
      </c>
      <c r="AF431" s="1161">
        <v>8</v>
      </c>
    </row>
    <row r="432" spans="1:32" hidden="1" x14ac:dyDescent="0.25">
      <c r="A432" s="1171">
        <v>3</v>
      </c>
      <c r="B432" s="1182">
        <v>22</v>
      </c>
      <c r="C432" s="1762" t="str">
        <f>IF(C154&lt;&gt;0,0,"")</f>
        <v/>
      </c>
      <c r="D432" s="1763"/>
      <c r="E432" s="1183">
        <v>22</v>
      </c>
      <c r="F432" s="1762" t="str">
        <f>IF(F154&lt;&gt;0,0,"")</f>
        <v/>
      </c>
      <c r="G432" s="1763"/>
      <c r="H432" s="1171">
        <v>22</v>
      </c>
      <c r="I432" s="1762" t="str">
        <f>IF(I154&lt;&gt;0,0,"")</f>
        <v/>
      </c>
      <c r="J432" s="1763"/>
      <c r="K432" s="1171">
        <v>22</v>
      </c>
      <c r="L432" s="1762" t="str">
        <f>IF(L154&lt;&gt;0,0,"")</f>
        <v/>
      </c>
      <c r="M432" s="1763"/>
      <c r="N432" s="1171">
        <v>22</v>
      </c>
      <c r="O432" s="1762" t="str">
        <f>IF(O154&lt;&gt;0,0,"")</f>
        <v/>
      </c>
      <c r="P432" s="1763"/>
      <c r="Q432" s="1171">
        <v>22</v>
      </c>
      <c r="R432" s="1762" t="str">
        <f>IF(R154&lt;&gt;0,0,"")</f>
        <v/>
      </c>
      <c r="S432" s="1763"/>
      <c r="T432" s="1168">
        <f>IF(C432&lt;&gt;"",IF(C432=0,0,1),0)</f>
        <v>0</v>
      </c>
      <c r="U432" s="1168">
        <f>IF(F432&lt;&gt;"",IF(F432=0,0,1),0)</f>
        <v>0</v>
      </c>
      <c r="V432" s="1169">
        <f>IF(I432&lt;&gt;"",IF(I432=0,0,1),0)</f>
        <v>0</v>
      </c>
      <c r="W432" s="1157">
        <f>IF(L432&lt;&gt;"",IF(L432=0,0,1),0)</f>
        <v>0</v>
      </c>
      <c r="X432" s="1157">
        <f>IF(O432&lt;&gt;"",IF(O432=0,0,1),0)</f>
        <v>0</v>
      </c>
      <c r="Y432" s="1157">
        <f>IF(R432&lt;&gt;"",IF(R432=0,0,1),0)</f>
        <v>0</v>
      </c>
      <c r="AF432" s="1161">
        <v>8</v>
      </c>
    </row>
    <row r="433" spans="1:32" hidden="1" x14ac:dyDescent="0.25">
      <c r="A433" s="1172">
        <v>4</v>
      </c>
      <c r="B433" s="1184">
        <v>31</v>
      </c>
      <c r="C433" s="1776" t="str">
        <f>IF(C155&lt;&gt;0,0,"")</f>
        <v/>
      </c>
      <c r="D433" s="1777"/>
      <c r="E433" s="1185">
        <v>31</v>
      </c>
      <c r="F433" s="1776" t="str">
        <f>IF(F155&lt;&gt;0,0,"")</f>
        <v/>
      </c>
      <c r="G433" s="1777"/>
      <c r="H433" s="1172">
        <v>31</v>
      </c>
      <c r="I433" s="1776" t="str">
        <f>IF(I155&lt;&gt;0,0,"")</f>
        <v/>
      </c>
      <c r="J433" s="1777"/>
      <c r="K433" s="1172">
        <v>31</v>
      </c>
      <c r="L433" s="1776" t="str">
        <f>IF(L155&lt;&gt;0,0,"")</f>
        <v/>
      </c>
      <c r="M433" s="1777"/>
      <c r="N433" s="1172">
        <v>31</v>
      </c>
      <c r="O433" s="1776" t="str">
        <f>IF(O155&lt;&gt;0,0,"")</f>
        <v/>
      </c>
      <c r="P433" s="1777"/>
      <c r="Q433" s="1172">
        <v>31</v>
      </c>
      <c r="R433" s="1776" t="str">
        <f>IF(R155&lt;&gt;0,0,"")</f>
        <v/>
      </c>
      <c r="S433" s="1777"/>
      <c r="T433" s="1168">
        <f>IF(C433&lt;&gt;"",IF(C433=0,0,1),0)</f>
        <v>0</v>
      </c>
      <c r="U433" s="1168">
        <f>IF(F433&lt;&gt;"",IF(F433=0,0,1),0)</f>
        <v>0</v>
      </c>
      <c r="V433" s="1169">
        <f>IF(I433&lt;&gt;"",IF(I433=0,0,1),0)</f>
        <v>0</v>
      </c>
      <c r="W433" s="1157">
        <f>IF(L433&lt;&gt;"",IF(L433=0,0,1),0)</f>
        <v>0</v>
      </c>
      <c r="X433" s="1157">
        <f>IF(O433&lt;&gt;"",IF(O433=0,0,1),0)</f>
        <v>0</v>
      </c>
      <c r="Y433" s="1157">
        <f>IF(R433&lt;&gt;"",IF(R433=0,0,1),0)</f>
        <v>0</v>
      </c>
      <c r="AF433" s="1161">
        <v>8</v>
      </c>
    </row>
    <row r="434" spans="1:32" hidden="1" x14ac:dyDescent="0.25">
      <c r="A434" s="1753" t="s">
        <v>7997</v>
      </c>
      <c r="B434" s="1753"/>
      <c r="C434" s="1754">
        <f>IF(ISERROR(SUM(C430:D433)/SUM(T430:T433)),0,SUM(C430:D433)/SUM(T430:T433))</f>
        <v>0</v>
      </c>
      <c r="D434" s="1755"/>
      <c r="E434" s="1212" t="s">
        <v>7373</v>
      </c>
      <c r="F434" s="1754">
        <f>IF(ISERROR(SUM(F430:G433)/SUM(U430:U433)),0,SUM(F430:G433)/SUM(U430:U433))</f>
        <v>0</v>
      </c>
      <c r="G434" s="1755"/>
      <c r="H434" s="1212"/>
      <c r="I434" s="1754">
        <f>IF(ISERROR(SUM(I430:J433)/SUM(V430:V433)),0,SUM(I430:J433)/SUM(V430:V433))</f>
        <v>0</v>
      </c>
      <c r="J434" s="1755"/>
      <c r="K434" s="1212"/>
      <c r="L434" s="1754">
        <f>IF(ISERROR(SUM(L430:M433)/SUM(W430:W433)),0,SUM(L430:M433)/SUM(W430:W433))</f>
        <v>0</v>
      </c>
      <c r="M434" s="1755"/>
      <c r="N434" s="1212"/>
      <c r="O434" s="1754">
        <f>IF(ISERROR(SUM(O430:P433)/SUM(X430:X433)),0,SUM(O430:P433)/SUM(X430:X433))</f>
        <v>0</v>
      </c>
      <c r="P434" s="1755"/>
      <c r="Q434" s="1212"/>
      <c r="R434" s="1754">
        <f>IF(ISERROR(SUM(R430:S433)/SUM(Y430:Y433)),0,SUM(R430:S433)/SUM(Y430:Y433))</f>
        <v>0</v>
      </c>
      <c r="S434" s="1755"/>
      <c r="T434" s="1168">
        <f t="shared" ref="T434:Y434" si="10">IF(SUM(T430:T433)&lt;&gt;0,1,0)</f>
        <v>0</v>
      </c>
      <c r="U434" s="1168">
        <f t="shared" si="10"/>
        <v>0</v>
      </c>
      <c r="V434" s="1168">
        <f t="shared" si="10"/>
        <v>0</v>
      </c>
      <c r="W434" s="1168">
        <f t="shared" si="10"/>
        <v>0</v>
      </c>
      <c r="X434" s="1168">
        <f t="shared" si="10"/>
        <v>0</v>
      </c>
      <c r="Y434" s="1168">
        <f t="shared" si="10"/>
        <v>0</v>
      </c>
      <c r="AF434" s="1161">
        <v>8</v>
      </c>
    </row>
    <row r="435" spans="1:32" ht="15" hidden="1" customHeight="1" x14ac:dyDescent="0.25">
      <c r="A435" s="1753" t="s">
        <v>2980</v>
      </c>
      <c r="B435" s="1753"/>
      <c r="C435" s="1748"/>
      <c r="D435" s="1748"/>
      <c r="E435" s="1118"/>
      <c r="F435" s="1748"/>
      <c r="G435" s="1748"/>
      <c r="H435" s="1118"/>
      <c r="I435" s="1748"/>
      <c r="J435" s="1748"/>
      <c r="K435" s="1118"/>
      <c r="L435" s="1748"/>
      <c r="M435" s="1748"/>
      <c r="N435" s="1118"/>
      <c r="O435" s="1748"/>
      <c r="P435" s="1748"/>
      <c r="Q435" s="1118"/>
      <c r="R435" s="1748"/>
      <c r="S435" s="1748"/>
      <c r="T435" s="1152"/>
      <c r="U435" s="1158"/>
      <c r="V435" s="1158"/>
      <c r="AF435" s="1161">
        <v>8</v>
      </c>
    </row>
    <row r="436" spans="1:32" hidden="1" x14ac:dyDescent="0.25">
      <c r="A436" s="1210" t="s">
        <v>272</v>
      </c>
      <c r="B436" s="1210"/>
      <c r="C436" s="1748"/>
      <c r="D436" s="1748"/>
      <c r="E436" s="1118"/>
      <c r="F436" s="1748"/>
      <c r="G436" s="1748"/>
      <c r="H436" s="1118"/>
      <c r="I436" s="1748"/>
      <c r="J436" s="1748"/>
      <c r="K436" s="1213"/>
      <c r="L436" s="1748"/>
      <c r="M436" s="1748"/>
      <c r="N436" s="1213"/>
      <c r="O436" s="1748"/>
      <c r="P436" s="1748"/>
      <c r="Q436" s="1213"/>
      <c r="R436" s="1748"/>
      <c r="S436" s="1748"/>
      <c r="T436" s="1152"/>
      <c r="U436" s="1158"/>
      <c r="V436" s="1158"/>
      <c r="AF436" s="1161">
        <v>8</v>
      </c>
    </row>
    <row r="437" spans="1:32" hidden="1" x14ac:dyDescent="0.25">
      <c r="A437" s="1210" t="s">
        <v>273</v>
      </c>
      <c r="B437" s="1210"/>
      <c r="C437" s="1748"/>
      <c r="D437" s="1748"/>
      <c r="E437" s="1118"/>
      <c r="F437" s="1748"/>
      <c r="G437" s="1748"/>
      <c r="H437" s="1118"/>
      <c r="I437" s="1748"/>
      <c r="J437" s="1748"/>
      <c r="K437" s="1213"/>
      <c r="L437" s="1748"/>
      <c r="M437" s="1748"/>
      <c r="N437" s="1213"/>
      <c r="O437" s="1748"/>
      <c r="P437" s="1748"/>
      <c r="Q437" s="1213"/>
      <c r="R437" s="1748"/>
      <c r="S437" s="1748"/>
      <c r="T437" s="1152"/>
      <c r="U437" s="1158"/>
      <c r="V437" s="1158"/>
      <c r="AF437" s="1161">
        <v>8</v>
      </c>
    </row>
    <row r="438" spans="1:32" hidden="1" x14ac:dyDescent="0.25">
      <c r="A438" s="1749" t="s">
        <v>274</v>
      </c>
      <c r="B438" s="1750"/>
      <c r="C438" s="1752">
        <f>C436-C437</f>
        <v>0</v>
      </c>
      <c r="D438" s="1752"/>
      <c r="E438" s="1118"/>
      <c r="F438" s="1752">
        <f>F436-F437</f>
        <v>0</v>
      </c>
      <c r="G438" s="1752"/>
      <c r="H438" s="1118"/>
      <c r="I438" s="1752">
        <f>I436-I437</f>
        <v>0</v>
      </c>
      <c r="J438" s="1752"/>
      <c r="K438" s="1213"/>
      <c r="L438" s="1752">
        <f>L436-L437</f>
        <v>0</v>
      </c>
      <c r="M438" s="1752"/>
      <c r="N438" s="1213"/>
      <c r="O438" s="1752">
        <f>O436-O437</f>
        <v>0</v>
      </c>
      <c r="P438" s="1752"/>
      <c r="Q438" s="1213"/>
      <c r="R438" s="1752">
        <f>R436-R437</f>
        <v>0</v>
      </c>
      <c r="S438" s="1752"/>
      <c r="T438" s="1152"/>
      <c r="U438" s="1158"/>
      <c r="V438" s="1158"/>
      <c r="AF438" s="1161">
        <v>8</v>
      </c>
    </row>
    <row r="439" spans="1:32" hidden="1" x14ac:dyDescent="0.25">
      <c r="A439" s="1749" t="s">
        <v>275</v>
      </c>
      <c r="B439" s="1750"/>
      <c r="C439" s="1751" t="str">
        <f>IF(SUM($D$426)=0,"",C438/$D$426)</f>
        <v/>
      </c>
      <c r="D439" s="1752"/>
      <c r="E439" s="1214"/>
      <c r="F439" s="1751" t="str">
        <f>IF(SUM($D$426)=0,"",F438/$D$426)</f>
        <v/>
      </c>
      <c r="G439" s="1752"/>
      <c r="H439" s="1214"/>
      <c r="I439" s="1751" t="str">
        <f>IF(SUM($D$426)=0,"",I438/$D$426)</f>
        <v/>
      </c>
      <c r="J439" s="1752"/>
      <c r="K439" s="1215"/>
      <c r="L439" s="1751" t="str">
        <f>IF(SUM($D$426)=0,"",L438/$D$426)</f>
        <v/>
      </c>
      <c r="M439" s="1752"/>
      <c r="N439" s="1215"/>
      <c r="O439" s="1751" t="str">
        <f>IF(SUM($D$426)=0,"",O438/$D$426)</f>
        <v/>
      </c>
      <c r="P439" s="1752"/>
      <c r="Q439" s="1215"/>
      <c r="R439" s="1751" t="str">
        <f>IF(SUM($D$426)=0,"",R438/$D$426)</f>
        <v/>
      </c>
      <c r="S439" s="1752"/>
      <c r="T439" s="1152"/>
      <c r="U439" s="1158"/>
      <c r="V439" s="1158"/>
      <c r="AF439" s="1161">
        <v>8</v>
      </c>
    </row>
    <row r="440" spans="1:32" hidden="1" x14ac:dyDescent="0.25">
      <c r="A440" s="1128"/>
      <c r="B440" s="1128"/>
      <c r="C440" s="1128"/>
      <c r="D440" s="1128"/>
      <c r="E440" s="1128"/>
      <c r="F440" s="1128"/>
      <c r="G440" s="1128"/>
      <c r="H440" s="1128"/>
      <c r="I440" s="1128"/>
      <c r="J440" s="1128"/>
      <c r="K440" s="1128"/>
      <c r="L440" s="1128"/>
      <c r="M440" s="1128"/>
      <c r="N440" s="1128"/>
      <c r="O440" s="1128"/>
      <c r="P440" s="1128"/>
      <c r="Q440" s="1128"/>
      <c r="R440" s="1128"/>
      <c r="S440" s="1128"/>
      <c r="T440" s="1140"/>
      <c r="AF440" s="1161">
        <v>8</v>
      </c>
    </row>
    <row r="441" spans="1:32" hidden="1" x14ac:dyDescent="0.25">
      <c r="A441" s="1745" t="s">
        <v>8022</v>
      </c>
      <c r="B441" s="1745"/>
      <c r="C441" s="1745"/>
      <c r="D441" s="1745"/>
      <c r="E441" s="1745"/>
      <c r="F441" s="1745"/>
      <c r="G441" s="1745"/>
      <c r="H441" s="1745"/>
      <c r="I441" s="1745"/>
      <c r="J441" s="1745"/>
      <c r="K441" s="1745"/>
      <c r="L441" s="1745"/>
      <c r="M441" s="1745"/>
      <c r="N441" s="1745"/>
      <c r="O441" s="1745"/>
      <c r="P441" s="1745"/>
      <c r="Q441" s="1745"/>
      <c r="R441" s="1745"/>
      <c r="S441" s="1745"/>
      <c r="T441" s="1146"/>
      <c r="AF441" s="1161">
        <v>9</v>
      </c>
    </row>
    <row r="442" spans="1:32" ht="5.0999999999999996" hidden="1" customHeight="1" x14ac:dyDescent="0.25">
      <c r="A442" s="1128"/>
      <c r="B442" s="1128"/>
      <c r="C442" s="1173"/>
      <c r="D442" s="1173"/>
      <c r="E442" s="1128"/>
      <c r="F442" s="1128"/>
      <c r="G442" s="1128"/>
      <c r="H442" s="1128"/>
      <c r="I442" s="1128"/>
      <c r="J442" s="1128"/>
      <c r="K442" s="1128"/>
      <c r="L442" s="1128"/>
      <c r="M442" s="1128"/>
      <c r="N442" s="1128"/>
      <c r="O442" s="1128"/>
      <c r="P442" s="1128"/>
      <c r="Q442" s="1128"/>
      <c r="R442" s="1128"/>
      <c r="S442" s="1128"/>
      <c r="T442" s="1140"/>
      <c r="AF442" s="1161">
        <v>9</v>
      </c>
    </row>
    <row r="443" spans="1:32" hidden="1" x14ac:dyDescent="0.25">
      <c r="A443" s="1128" t="s">
        <v>271</v>
      </c>
      <c r="B443" s="1128"/>
      <c r="C443" s="1159"/>
      <c r="D443" s="1746">
        <f>D162</f>
        <v>0</v>
      </c>
      <c r="E443" s="1746"/>
      <c r="F443" s="1746"/>
      <c r="G443" s="1159"/>
      <c r="H443" s="1174" t="s">
        <v>763</v>
      </c>
      <c r="I443" s="1174"/>
      <c r="J443" s="1159"/>
      <c r="K443" s="1746" t="str">
        <f>IF(COUNT(C455,F455,I455,L455,O455,R455)=0,"",AVERAGE(C455,F455,I455,L455,O455,R455))</f>
        <v/>
      </c>
      <c r="L443" s="1746"/>
      <c r="M443" s="1175"/>
      <c r="N443" s="1175"/>
      <c r="O443" s="1175"/>
      <c r="P443" s="1175"/>
      <c r="Q443" s="1175"/>
      <c r="R443" s="1175"/>
      <c r="S443" s="1175"/>
      <c r="T443" s="1152"/>
      <c r="AF443" s="1161">
        <v>9</v>
      </c>
    </row>
    <row r="444" spans="1:32" hidden="1" x14ac:dyDescent="0.25">
      <c r="A444" s="1128" t="s">
        <v>240</v>
      </c>
      <c r="B444" s="1128"/>
      <c r="C444" s="1159"/>
      <c r="D444" s="1747">
        <f>D163</f>
        <v>0</v>
      </c>
      <c r="E444" s="1747"/>
      <c r="F444" s="1747"/>
      <c r="G444" s="1159"/>
      <c r="H444" s="1174" t="s">
        <v>764</v>
      </c>
      <c r="I444" s="1174"/>
      <c r="J444" s="1159"/>
      <c r="K444" s="1747" t="str">
        <f>IF(ISERROR(SUM(C458,F458,I458,L458,O458,R458)/COUNT(C455,F455,I455,L455,O455,R455)),"",SUM(C458,F458,I458,L458,O458,R458,)/COUNT(C455,F455,I455,L455,O455,R455))</f>
        <v/>
      </c>
      <c r="L444" s="1747"/>
      <c r="M444" s="1175"/>
      <c r="N444" s="1175"/>
      <c r="O444" s="1175"/>
      <c r="P444" s="1175"/>
      <c r="Q444" s="1175"/>
      <c r="R444" s="1175"/>
      <c r="S444" s="1175"/>
      <c r="T444" s="1152"/>
      <c r="AF444" s="1161">
        <v>9</v>
      </c>
    </row>
    <row r="445" spans="1:32" hidden="1" x14ac:dyDescent="0.25">
      <c r="A445" s="1128" t="s">
        <v>265</v>
      </c>
      <c r="B445" s="1128"/>
      <c r="C445" s="1159"/>
      <c r="D445" s="1747">
        <f>D164</f>
        <v>0</v>
      </c>
      <c r="E445" s="1747"/>
      <c r="F445" s="1747"/>
      <c r="G445" s="1159"/>
      <c r="H445" s="1174" t="s">
        <v>765</v>
      </c>
      <c r="I445" s="1174"/>
      <c r="J445" s="1159"/>
      <c r="K445" s="1712" t="str">
        <f>IF(ISERROR(K444/D446),"",K444/D446)</f>
        <v/>
      </c>
      <c r="L445" s="1712"/>
      <c r="M445" s="1175"/>
      <c r="N445" s="1175"/>
      <c r="O445" s="1175"/>
      <c r="P445" s="1175"/>
      <c r="Q445" s="1175"/>
      <c r="R445" s="1175"/>
      <c r="S445" s="1175"/>
      <c r="T445" s="1152"/>
      <c r="AF445" s="1161">
        <v>9</v>
      </c>
    </row>
    <row r="446" spans="1:32" hidden="1" x14ac:dyDescent="0.25">
      <c r="A446" s="1176" t="s">
        <v>767</v>
      </c>
      <c r="B446" s="1176"/>
      <c r="C446" s="1177"/>
      <c r="D446" s="1744">
        <f>M163</f>
        <v>0</v>
      </c>
      <c r="E446" s="1744"/>
      <c r="F446" s="1744"/>
      <c r="G446" s="1128"/>
      <c r="H446" s="1112" t="s">
        <v>8031</v>
      </c>
      <c r="I446" s="1112"/>
      <c r="J446" s="1122"/>
      <c r="K446" s="1734" t="str">
        <f>IF(ISERROR(SUM(C454,F454,I454,L454,O454,R454)/SUM(T454:Y454)),"",SUM(C454,F454,I454,L454,O454,R454)/SUM(T454:Y454))</f>
        <v/>
      </c>
      <c r="L446" s="1734"/>
      <c r="M446" s="1128"/>
      <c r="N446" s="1128"/>
      <c r="O446" s="1128"/>
      <c r="P446" s="1128"/>
      <c r="Q446" s="1128"/>
      <c r="R446" s="1128"/>
      <c r="S446" s="1128"/>
      <c r="T446" s="1140"/>
      <c r="AF446" s="1161">
        <v>9</v>
      </c>
    </row>
    <row r="447" spans="1:32" hidden="1" x14ac:dyDescent="0.25">
      <c r="A447" s="1128"/>
      <c r="B447" s="1128"/>
      <c r="C447" s="1174"/>
      <c r="D447" s="1174"/>
      <c r="E447" s="1128"/>
      <c r="F447" s="1128"/>
      <c r="G447" s="1128"/>
      <c r="H447" s="1128"/>
      <c r="I447" s="1128"/>
      <c r="J447" s="1178"/>
      <c r="K447" s="1178"/>
      <c r="L447" s="1178"/>
      <c r="M447" s="1178"/>
      <c r="N447" s="1178"/>
      <c r="O447" s="1178"/>
      <c r="P447" s="1178"/>
      <c r="Q447" s="1178"/>
      <c r="R447" s="1178"/>
      <c r="S447" s="1011" t="s">
        <v>29</v>
      </c>
      <c r="T447" s="1152"/>
      <c r="U447" s="1158"/>
      <c r="V447" s="1158"/>
      <c r="AF447" s="1161">
        <v>9</v>
      </c>
    </row>
    <row r="448" spans="1:32" hidden="1" x14ac:dyDescent="0.25">
      <c r="A448" s="1179" t="s">
        <v>266</v>
      </c>
      <c r="B448" s="1743">
        <f>$B$31</f>
        <v>43094</v>
      </c>
      <c r="C448" s="1743"/>
      <c r="D448" s="1743"/>
      <c r="E448" s="1743">
        <f>$E$31</f>
        <v>43125</v>
      </c>
      <c r="F448" s="1743"/>
      <c r="G448" s="1743"/>
      <c r="H448" s="1743">
        <f>$H$31</f>
        <v>43156</v>
      </c>
      <c r="I448" s="1743"/>
      <c r="J448" s="1743"/>
      <c r="K448" s="1743">
        <f>$K$31</f>
        <v>43187</v>
      </c>
      <c r="L448" s="1743"/>
      <c r="M448" s="1743"/>
      <c r="N448" s="1743">
        <f>$N$31</f>
        <v>43218</v>
      </c>
      <c r="O448" s="1743"/>
      <c r="P448" s="1743"/>
      <c r="Q448" s="1743">
        <f>$Q$31</f>
        <v>43249</v>
      </c>
      <c r="R448" s="1743"/>
      <c r="S448" s="1743"/>
      <c r="T448" s="1152"/>
      <c r="U448" s="1158"/>
      <c r="V448" s="1158"/>
      <c r="AF448" s="1161">
        <v>9</v>
      </c>
    </row>
    <row r="449" spans="1:32" hidden="1" x14ac:dyDescent="0.25">
      <c r="A449" s="1179" t="s">
        <v>8</v>
      </c>
      <c r="B449" s="1179" t="s">
        <v>26</v>
      </c>
      <c r="C449" s="1739" t="s">
        <v>8030</v>
      </c>
      <c r="D449" s="1740"/>
      <c r="E449" s="1179" t="s">
        <v>26</v>
      </c>
      <c r="F449" s="1741" t="s">
        <v>8030</v>
      </c>
      <c r="G449" s="1742"/>
      <c r="H449" s="1179" t="s">
        <v>26</v>
      </c>
      <c r="I449" s="1741" t="s">
        <v>8030</v>
      </c>
      <c r="J449" s="1742"/>
      <c r="K449" s="1179" t="s">
        <v>26</v>
      </c>
      <c r="L449" s="1741" t="s">
        <v>8030</v>
      </c>
      <c r="M449" s="1742"/>
      <c r="N449" s="1179" t="s">
        <v>26</v>
      </c>
      <c r="O449" s="1741" t="s">
        <v>8030</v>
      </c>
      <c r="P449" s="1742"/>
      <c r="Q449" s="1179" t="s">
        <v>26</v>
      </c>
      <c r="R449" s="1741" t="s">
        <v>8030</v>
      </c>
      <c r="S449" s="1742"/>
      <c r="T449" s="1152"/>
      <c r="U449" s="1158"/>
      <c r="V449" s="1158"/>
      <c r="AF449" s="1161">
        <v>9</v>
      </c>
    </row>
    <row r="450" spans="1:32" hidden="1" x14ac:dyDescent="0.25">
      <c r="A450" s="1170">
        <v>1</v>
      </c>
      <c r="B450" s="1180">
        <v>7</v>
      </c>
      <c r="C450" s="1760" t="str">
        <f>IF(C169&lt;&gt;0,0,"")</f>
        <v/>
      </c>
      <c r="D450" s="1761"/>
      <c r="E450" s="1181">
        <v>7</v>
      </c>
      <c r="F450" s="1760" t="str">
        <f>IF(F169&lt;&gt;0,0,"")</f>
        <v/>
      </c>
      <c r="G450" s="1761"/>
      <c r="H450" s="1170">
        <v>7</v>
      </c>
      <c r="I450" s="1760" t="str">
        <f>IF(I169&lt;&gt;0,0,"")</f>
        <v/>
      </c>
      <c r="J450" s="1761"/>
      <c r="K450" s="1170">
        <v>7</v>
      </c>
      <c r="L450" s="1760" t="str">
        <f>IF(L169&lt;&gt;0,0,"")</f>
        <v/>
      </c>
      <c r="M450" s="1761"/>
      <c r="N450" s="1170">
        <v>7</v>
      </c>
      <c r="O450" s="1760" t="str">
        <f>IF(O169&lt;&gt;0,0,"")</f>
        <v/>
      </c>
      <c r="P450" s="1761"/>
      <c r="Q450" s="1170">
        <v>7</v>
      </c>
      <c r="R450" s="1760" t="str">
        <f>IF(R169&lt;&gt;0,0,"")</f>
        <v/>
      </c>
      <c r="S450" s="1761"/>
      <c r="T450" s="1168">
        <f>IF(C450&lt;&gt;"",IF(C450=0,0,1),0)</f>
        <v>0</v>
      </c>
      <c r="U450" s="1168">
        <f>IF(F450&lt;&gt;"",IF(F450=0,0,1),0)</f>
        <v>0</v>
      </c>
      <c r="V450" s="1169">
        <f>IF(I450&lt;&gt;"",IF(I450=0,0,1),0)</f>
        <v>0</v>
      </c>
      <c r="W450" s="1157">
        <f>IF(L450&lt;&gt;"",IF(L450=0,0,1),0)</f>
        <v>0</v>
      </c>
      <c r="X450" s="1157">
        <f>IF(O450&lt;&gt;"",IF(O450=0,0,1),0)</f>
        <v>0</v>
      </c>
      <c r="Y450" s="1157">
        <f>IF(R450&lt;&gt;"",IF(R450=0,0,1),0)</f>
        <v>0</v>
      </c>
      <c r="AF450" s="1161">
        <v>9</v>
      </c>
    </row>
    <row r="451" spans="1:32" hidden="1" x14ac:dyDescent="0.25">
      <c r="A451" s="1171">
        <v>2</v>
      </c>
      <c r="B451" s="1182">
        <v>14</v>
      </c>
      <c r="C451" s="1762" t="str">
        <f>IF(C170&lt;&gt;0,0,"")</f>
        <v/>
      </c>
      <c r="D451" s="1763"/>
      <c r="E451" s="1183">
        <v>14</v>
      </c>
      <c r="F451" s="1762" t="str">
        <f>IF(F170&lt;&gt;0,0,"")</f>
        <v/>
      </c>
      <c r="G451" s="1763"/>
      <c r="H451" s="1171">
        <v>14</v>
      </c>
      <c r="I451" s="1762" t="str">
        <f>IF(I170&lt;&gt;0,0,"")</f>
        <v/>
      </c>
      <c r="J451" s="1763"/>
      <c r="K451" s="1171">
        <v>14</v>
      </c>
      <c r="L451" s="1762" t="str">
        <f>IF(L170&lt;&gt;0,0,"")</f>
        <v/>
      </c>
      <c r="M451" s="1763"/>
      <c r="N451" s="1171">
        <v>14</v>
      </c>
      <c r="O451" s="1762" t="str">
        <f>IF(O170&lt;&gt;0,0,"")</f>
        <v/>
      </c>
      <c r="P451" s="1763"/>
      <c r="Q451" s="1171">
        <v>14</v>
      </c>
      <c r="R451" s="1762" t="str">
        <f>IF(R170&lt;&gt;0,0,"")</f>
        <v/>
      </c>
      <c r="S451" s="1763"/>
      <c r="T451" s="1168">
        <f>IF(C451&lt;&gt;"",IF(C451=0,0,1),0)</f>
        <v>0</v>
      </c>
      <c r="U451" s="1168">
        <f>IF(F451&lt;&gt;"",IF(F451=0,0,1),0)</f>
        <v>0</v>
      </c>
      <c r="V451" s="1169">
        <f>IF(I451&lt;&gt;"",IF(I451=0,0,1),0)</f>
        <v>0</v>
      </c>
      <c r="W451" s="1157">
        <f>IF(L451&lt;&gt;"",IF(L451=0,0,1),0)</f>
        <v>0</v>
      </c>
      <c r="X451" s="1157">
        <f>IF(O451&lt;&gt;"",IF(O451=0,0,1),0)</f>
        <v>0</v>
      </c>
      <c r="Y451" s="1157">
        <f>IF(R451&lt;&gt;"",IF(R451=0,0,1),0)</f>
        <v>0</v>
      </c>
      <c r="AF451" s="1161">
        <v>9</v>
      </c>
    </row>
    <row r="452" spans="1:32" hidden="1" x14ac:dyDescent="0.25">
      <c r="A452" s="1171">
        <v>3</v>
      </c>
      <c r="B452" s="1182">
        <v>22</v>
      </c>
      <c r="C452" s="1735" t="str">
        <f>IF(C171&lt;&gt;0,0,"")</f>
        <v/>
      </c>
      <c r="D452" s="1736"/>
      <c r="E452" s="1183">
        <v>22</v>
      </c>
      <c r="F452" s="1735" t="str">
        <f>IF(F171&lt;&gt;0,0,"")</f>
        <v/>
      </c>
      <c r="G452" s="1736"/>
      <c r="H452" s="1171">
        <v>22</v>
      </c>
      <c r="I452" s="1735" t="str">
        <f>IF(I171&lt;&gt;0,0,"")</f>
        <v/>
      </c>
      <c r="J452" s="1736"/>
      <c r="K452" s="1171">
        <v>22</v>
      </c>
      <c r="L452" s="1735" t="str">
        <f>IF(L171&lt;&gt;0,0,"")</f>
        <v/>
      </c>
      <c r="M452" s="1736"/>
      <c r="N452" s="1171">
        <v>22</v>
      </c>
      <c r="O452" s="1735" t="str">
        <f>IF(O171&lt;&gt;0,0,"")</f>
        <v/>
      </c>
      <c r="P452" s="1736"/>
      <c r="Q452" s="1171">
        <v>22</v>
      </c>
      <c r="R452" s="1735" t="str">
        <f>IF(R171&lt;&gt;0,0,"")</f>
        <v/>
      </c>
      <c r="S452" s="1736"/>
      <c r="T452" s="1168">
        <f>IF(C452&lt;&gt;"",IF(C452=0,0,1),0)</f>
        <v>0</v>
      </c>
      <c r="U452" s="1168">
        <f>IF(F452&lt;&gt;"",IF(F452=0,0,1),0)</f>
        <v>0</v>
      </c>
      <c r="V452" s="1169">
        <f>IF(I452&lt;&gt;"",IF(I452=0,0,1),0)</f>
        <v>0</v>
      </c>
      <c r="W452" s="1157">
        <f>IF(L452&lt;&gt;"",IF(L452=0,0,1),0)</f>
        <v>0</v>
      </c>
      <c r="X452" s="1157">
        <f>IF(O452&lt;&gt;"",IF(O452=0,0,1),0)</f>
        <v>0</v>
      </c>
      <c r="Y452" s="1157">
        <f>IF(R452&lt;&gt;"",IF(R452=0,0,1),0)</f>
        <v>0</v>
      </c>
      <c r="AF452" s="1161">
        <v>9</v>
      </c>
    </row>
    <row r="453" spans="1:32" hidden="1" x14ac:dyDescent="0.25">
      <c r="A453" s="1172">
        <v>4</v>
      </c>
      <c r="B453" s="1184">
        <v>31</v>
      </c>
      <c r="C453" s="1756" t="str">
        <f>IF(C172&lt;&gt;0,0,"")</f>
        <v/>
      </c>
      <c r="D453" s="1757"/>
      <c r="E453" s="1185">
        <v>31</v>
      </c>
      <c r="F453" s="1756" t="str">
        <f>IF(F172&lt;&gt;0,0,"")</f>
        <v/>
      </c>
      <c r="G453" s="1757"/>
      <c r="H453" s="1172">
        <v>31</v>
      </c>
      <c r="I453" s="1756" t="str">
        <f>IF(I172&lt;&gt;0,0,"")</f>
        <v/>
      </c>
      <c r="J453" s="1757"/>
      <c r="K453" s="1172">
        <v>31</v>
      </c>
      <c r="L453" s="1756" t="str">
        <f>IF(L172&lt;&gt;0,0,"")</f>
        <v/>
      </c>
      <c r="M453" s="1757"/>
      <c r="N453" s="1172">
        <v>31</v>
      </c>
      <c r="O453" s="1756" t="str">
        <f>IF(O172&lt;&gt;0,0,"")</f>
        <v/>
      </c>
      <c r="P453" s="1757"/>
      <c r="Q453" s="1172">
        <v>31</v>
      </c>
      <c r="R453" s="1756" t="str">
        <f>IF(R172&lt;&gt;0,0,"")</f>
        <v/>
      </c>
      <c r="S453" s="1757"/>
      <c r="T453" s="1168">
        <f>IF(C453&lt;&gt;"",IF(C453=0,0,1),0)</f>
        <v>0</v>
      </c>
      <c r="U453" s="1168">
        <f>IF(F453&lt;&gt;"",IF(F453=0,0,1),0)</f>
        <v>0</v>
      </c>
      <c r="V453" s="1169">
        <f>IF(I453&lt;&gt;"",IF(I453=0,0,1),0)</f>
        <v>0</v>
      </c>
      <c r="W453" s="1157">
        <f>IF(L453&lt;&gt;"",IF(L453=0,0,1),0)</f>
        <v>0</v>
      </c>
      <c r="X453" s="1157">
        <f>IF(O453&lt;&gt;"",IF(O453=0,0,1),0)</f>
        <v>0</v>
      </c>
      <c r="Y453" s="1157">
        <f>IF(R453&lt;&gt;"",IF(R453=0,0,1),0)</f>
        <v>0</v>
      </c>
      <c r="AF453" s="1161">
        <v>9</v>
      </c>
    </row>
    <row r="454" spans="1:32" hidden="1" x14ac:dyDescent="0.25">
      <c r="A454" s="1753" t="s">
        <v>7997</v>
      </c>
      <c r="B454" s="1753"/>
      <c r="C454" s="1754">
        <f>IF(ISERROR(SUM(C450:D453)/SUM(T450:T453)),0,SUM(C450:D453)/SUM(T450:T453))</f>
        <v>0</v>
      </c>
      <c r="D454" s="1755"/>
      <c r="E454" s="1212" t="s">
        <v>7373</v>
      </c>
      <c r="F454" s="1754">
        <f>IF(ISERROR(SUM(F450:G453)/SUM(U450:U453)),0,SUM(F450:G453)/SUM(U450:U453))</f>
        <v>0</v>
      </c>
      <c r="G454" s="1755"/>
      <c r="H454" s="1212"/>
      <c r="I454" s="1754">
        <f>IF(ISERROR(SUM(I450:J453)/SUM(V450:V453)),0,SUM(I450:J453)/SUM(V450:V453))</f>
        <v>0</v>
      </c>
      <c r="J454" s="1755"/>
      <c r="K454" s="1212"/>
      <c r="L454" s="1754">
        <f>IF(ISERROR(SUM(L450:M453)/SUM(W450:W453)),0,SUM(L450:M453)/SUM(W450:W453))</f>
        <v>0</v>
      </c>
      <c r="M454" s="1755"/>
      <c r="N454" s="1212"/>
      <c r="O454" s="1754">
        <f>IF(ISERROR(SUM(O450:P453)/SUM(X450:X453)),0,SUM(O450:P453)/SUM(X450:X453))</f>
        <v>0</v>
      </c>
      <c r="P454" s="1755"/>
      <c r="Q454" s="1212"/>
      <c r="R454" s="1754">
        <f>IF(ISERROR(SUM(R450:S453)/SUM(Y450:Y453)),0,SUM(R450:S453)/SUM(Y450:Y453))</f>
        <v>0</v>
      </c>
      <c r="S454" s="1755"/>
      <c r="T454" s="1168">
        <f t="shared" ref="T454:Y454" si="11">IF(SUM(T450:T453)&lt;&gt;0,1,0)</f>
        <v>0</v>
      </c>
      <c r="U454" s="1168">
        <f t="shared" si="11"/>
        <v>0</v>
      </c>
      <c r="V454" s="1168">
        <f t="shared" si="11"/>
        <v>0</v>
      </c>
      <c r="W454" s="1168">
        <f t="shared" si="11"/>
        <v>0</v>
      </c>
      <c r="X454" s="1168">
        <f t="shared" si="11"/>
        <v>0</v>
      </c>
      <c r="Y454" s="1168">
        <f t="shared" si="11"/>
        <v>0</v>
      </c>
      <c r="AF454" s="1161">
        <v>9</v>
      </c>
    </row>
    <row r="455" spans="1:32" ht="15" hidden="1" customHeight="1" x14ac:dyDescent="0.25">
      <c r="A455" s="1753" t="s">
        <v>2980</v>
      </c>
      <c r="B455" s="1753"/>
      <c r="C455" s="1748"/>
      <c r="D455" s="1748"/>
      <c r="E455" s="1118"/>
      <c r="F455" s="1748"/>
      <c r="G455" s="1748"/>
      <c r="H455" s="1118"/>
      <c r="I455" s="1748"/>
      <c r="J455" s="1748"/>
      <c r="K455" s="1118"/>
      <c r="L455" s="1748"/>
      <c r="M455" s="1748"/>
      <c r="N455" s="1118"/>
      <c r="O455" s="1748"/>
      <c r="P455" s="1748"/>
      <c r="Q455" s="1118"/>
      <c r="R455" s="1748"/>
      <c r="S455" s="1748"/>
      <c r="T455" s="1152"/>
      <c r="U455" s="1158"/>
      <c r="V455" s="1158"/>
      <c r="AF455" s="1161">
        <v>9</v>
      </c>
    </row>
    <row r="456" spans="1:32" hidden="1" x14ac:dyDescent="0.25">
      <c r="A456" s="1210" t="s">
        <v>272</v>
      </c>
      <c r="B456" s="1210"/>
      <c r="C456" s="1748"/>
      <c r="D456" s="1748"/>
      <c r="E456" s="1118"/>
      <c r="F456" s="1748"/>
      <c r="G456" s="1748"/>
      <c r="H456" s="1118"/>
      <c r="I456" s="1748"/>
      <c r="J456" s="1748"/>
      <c r="K456" s="1213"/>
      <c r="L456" s="1748"/>
      <c r="M456" s="1748"/>
      <c r="N456" s="1213"/>
      <c r="O456" s="1748"/>
      <c r="P456" s="1748"/>
      <c r="Q456" s="1213"/>
      <c r="R456" s="1748"/>
      <c r="S456" s="1748"/>
      <c r="T456" s="1152"/>
      <c r="U456" s="1158"/>
      <c r="V456" s="1158"/>
      <c r="AF456" s="1161">
        <v>9</v>
      </c>
    </row>
    <row r="457" spans="1:32" hidden="1" x14ac:dyDescent="0.25">
      <c r="A457" s="1210" t="s">
        <v>273</v>
      </c>
      <c r="B457" s="1210"/>
      <c r="C457" s="1748"/>
      <c r="D457" s="1748"/>
      <c r="E457" s="1118"/>
      <c r="F457" s="1748"/>
      <c r="G457" s="1748"/>
      <c r="H457" s="1118"/>
      <c r="I457" s="1748"/>
      <c r="J457" s="1748"/>
      <c r="K457" s="1213"/>
      <c r="L457" s="1748"/>
      <c r="M457" s="1748"/>
      <c r="N457" s="1213"/>
      <c r="O457" s="1748"/>
      <c r="P457" s="1748"/>
      <c r="Q457" s="1213"/>
      <c r="R457" s="1748"/>
      <c r="S457" s="1748"/>
      <c r="T457" s="1152"/>
      <c r="U457" s="1158"/>
      <c r="V457" s="1158"/>
      <c r="AF457" s="1161">
        <v>9</v>
      </c>
    </row>
    <row r="458" spans="1:32" hidden="1" x14ac:dyDescent="0.25">
      <c r="A458" s="1749" t="s">
        <v>274</v>
      </c>
      <c r="B458" s="1750"/>
      <c r="C458" s="1752">
        <f>C456-C457</f>
        <v>0</v>
      </c>
      <c r="D458" s="1752"/>
      <c r="E458" s="1118"/>
      <c r="F458" s="1752">
        <f>F456-F457</f>
        <v>0</v>
      </c>
      <c r="G458" s="1752"/>
      <c r="H458" s="1118"/>
      <c r="I458" s="1752">
        <f>I456-I457</f>
        <v>0</v>
      </c>
      <c r="J458" s="1752"/>
      <c r="K458" s="1213"/>
      <c r="L458" s="1752">
        <f>L456-L457</f>
        <v>0</v>
      </c>
      <c r="M458" s="1752"/>
      <c r="N458" s="1213"/>
      <c r="O458" s="1752">
        <f>O456-O457</f>
        <v>0</v>
      </c>
      <c r="P458" s="1752"/>
      <c r="Q458" s="1213"/>
      <c r="R458" s="1752">
        <f>R456-R457</f>
        <v>0</v>
      </c>
      <c r="S458" s="1752"/>
      <c r="T458" s="1152"/>
      <c r="U458" s="1158"/>
      <c r="V458" s="1158"/>
      <c r="AF458" s="1161">
        <v>9</v>
      </c>
    </row>
    <row r="459" spans="1:32" hidden="1" x14ac:dyDescent="0.25">
      <c r="A459" s="1749" t="s">
        <v>275</v>
      </c>
      <c r="B459" s="1750"/>
      <c r="C459" s="1751" t="str">
        <f>IF(SUM($D$446)=0,"",C458/$D$446)</f>
        <v/>
      </c>
      <c r="D459" s="1752"/>
      <c r="E459" s="1214"/>
      <c r="F459" s="1751" t="str">
        <f>IF(SUM($D$446)=0,"",F458/$D$446)</f>
        <v/>
      </c>
      <c r="G459" s="1752"/>
      <c r="H459" s="1214"/>
      <c r="I459" s="1751" t="str">
        <f>IF(SUM($D$446)=0,"",I458/$D$446)</f>
        <v/>
      </c>
      <c r="J459" s="1752"/>
      <c r="K459" s="1215"/>
      <c r="L459" s="1751" t="str">
        <f>IF(SUM($D$446)=0,"",L458/$D$446)</f>
        <v/>
      </c>
      <c r="M459" s="1752"/>
      <c r="N459" s="1215"/>
      <c r="O459" s="1751" t="str">
        <f>IF(SUM($D$446)=0,"",O458/$D$446)</f>
        <v/>
      </c>
      <c r="P459" s="1752"/>
      <c r="Q459" s="1215"/>
      <c r="R459" s="1751" t="str">
        <f>IF(SUM($D$446)=0,"",R458/$D$446)</f>
        <v/>
      </c>
      <c r="S459" s="1752"/>
      <c r="T459" s="1152"/>
      <c r="U459" s="1158"/>
      <c r="V459" s="1158"/>
      <c r="AF459" s="1161">
        <v>9</v>
      </c>
    </row>
    <row r="460" spans="1:32" hidden="1" x14ac:dyDescent="0.25">
      <c r="A460" s="1128"/>
      <c r="B460" s="1128"/>
      <c r="C460" s="1128"/>
      <c r="D460" s="1128"/>
      <c r="E460" s="1128"/>
      <c r="F460" s="1128"/>
      <c r="G460" s="1128"/>
      <c r="H460" s="1128"/>
      <c r="I460" s="1128"/>
      <c r="J460" s="1128"/>
      <c r="K460" s="1128"/>
      <c r="L460" s="1128"/>
      <c r="M460" s="1128"/>
      <c r="N460" s="1128"/>
      <c r="O460" s="1128"/>
      <c r="P460" s="1128"/>
      <c r="Q460" s="1128"/>
      <c r="R460" s="1128"/>
      <c r="S460" s="1128"/>
      <c r="T460" s="1140"/>
      <c r="AF460" s="1161">
        <v>9</v>
      </c>
    </row>
    <row r="461" spans="1:32" hidden="1" x14ac:dyDescent="0.25">
      <c r="A461" s="1745" t="s">
        <v>8023</v>
      </c>
      <c r="B461" s="1745"/>
      <c r="C461" s="1745"/>
      <c r="D461" s="1745"/>
      <c r="E461" s="1745"/>
      <c r="F461" s="1745"/>
      <c r="G461" s="1745"/>
      <c r="H461" s="1745"/>
      <c r="I461" s="1745"/>
      <c r="J461" s="1745"/>
      <c r="K461" s="1745"/>
      <c r="L461" s="1745"/>
      <c r="M461" s="1745"/>
      <c r="N461" s="1745"/>
      <c r="O461" s="1745"/>
      <c r="P461" s="1745"/>
      <c r="Q461" s="1745"/>
      <c r="R461" s="1745"/>
      <c r="S461" s="1745"/>
      <c r="T461" s="1146"/>
      <c r="AF461" s="1161">
        <v>10</v>
      </c>
    </row>
    <row r="462" spans="1:32" ht="5.0999999999999996" hidden="1" customHeight="1" x14ac:dyDescent="0.25">
      <c r="A462" s="1128"/>
      <c r="B462" s="1128"/>
      <c r="C462" s="1173"/>
      <c r="D462" s="1173"/>
      <c r="E462" s="1128"/>
      <c r="F462" s="1128"/>
      <c r="G462" s="1128"/>
      <c r="H462" s="1128"/>
      <c r="I462" s="1128"/>
      <c r="J462" s="1128"/>
      <c r="K462" s="1128"/>
      <c r="L462" s="1128"/>
      <c r="M462" s="1128"/>
      <c r="N462" s="1128"/>
      <c r="O462" s="1128"/>
      <c r="P462" s="1128"/>
      <c r="Q462" s="1128"/>
      <c r="R462" s="1128"/>
      <c r="S462" s="1128"/>
      <c r="T462" s="1140"/>
      <c r="AF462" s="1161">
        <v>10</v>
      </c>
    </row>
    <row r="463" spans="1:32" hidden="1" x14ac:dyDescent="0.25">
      <c r="A463" s="1128" t="s">
        <v>271</v>
      </c>
      <c r="B463" s="1128"/>
      <c r="C463" s="1159"/>
      <c r="D463" s="1746">
        <f>D179</f>
        <v>0</v>
      </c>
      <c r="E463" s="1746"/>
      <c r="F463" s="1746"/>
      <c r="G463" s="1159"/>
      <c r="H463" s="1174" t="s">
        <v>763</v>
      </c>
      <c r="I463" s="1174"/>
      <c r="J463" s="1159"/>
      <c r="K463" s="1746" t="str">
        <f>IF(COUNT(C475,F475,I475,L475,O475,R475)=0,"",AVERAGE(C475,F475,I475,L475,O475,R475))</f>
        <v/>
      </c>
      <c r="L463" s="1746"/>
      <c r="M463" s="1175"/>
      <c r="N463" s="1175"/>
      <c r="O463" s="1175"/>
      <c r="P463" s="1175"/>
      <c r="Q463" s="1175"/>
      <c r="R463" s="1175"/>
      <c r="S463" s="1175"/>
      <c r="T463" s="1152"/>
      <c r="AF463" s="1161">
        <v>10</v>
      </c>
    </row>
    <row r="464" spans="1:32" hidden="1" x14ac:dyDescent="0.25">
      <c r="A464" s="1128" t="s">
        <v>240</v>
      </c>
      <c r="B464" s="1128"/>
      <c r="C464" s="1159"/>
      <c r="D464" s="1747">
        <f>D180</f>
        <v>0</v>
      </c>
      <c r="E464" s="1747"/>
      <c r="F464" s="1747"/>
      <c r="G464" s="1159"/>
      <c r="H464" s="1174" t="s">
        <v>764</v>
      </c>
      <c r="I464" s="1174"/>
      <c r="J464" s="1159"/>
      <c r="K464" s="1747" t="str">
        <f>IF(ISERROR(SUM(C478,F478,I478,L478,O478,R478)/COUNT(C475,F475,I475,L475,O475,R475)),"",SUM(C478,F478,I478,L478,O478,R478,)/COUNT(C475,F475,I475,L475,O475,R475))</f>
        <v/>
      </c>
      <c r="L464" s="1747"/>
      <c r="M464" s="1175"/>
      <c r="N464" s="1175"/>
      <c r="O464" s="1175"/>
      <c r="P464" s="1175"/>
      <c r="Q464" s="1175"/>
      <c r="R464" s="1175"/>
      <c r="S464" s="1175"/>
      <c r="T464" s="1152"/>
      <c r="AF464" s="1161">
        <v>10</v>
      </c>
    </row>
    <row r="465" spans="1:32" hidden="1" x14ac:dyDescent="0.25">
      <c r="A465" s="1128" t="s">
        <v>265</v>
      </c>
      <c r="B465" s="1128"/>
      <c r="C465" s="1159"/>
      <c r="D465" s="1747">
        <f>D181</f>
        <v>0</v>
      </c>
      <c r="E465" s="1747"/>
      <c r="F465" s="1747"/>
      <c r="G465" s="1159"/>
      <c r="H465" s="1174" t="s">
        <v>765</v>
      </c>
      <c r="I465" s="1174"/>
      <c r="J465" s="1159"/>
      <c r="K465" s="1712" t="str">
        <f>IF(ISERROR(K464/D466),"",K464/D466)</f>
        <v/>
      </c>
      <c r="L465" s="1712"/>
      <c r="M465" s="1175"/>
      <c r="N465" s="1175"/>
      <c r="O465" s="1175"/>
      <c r="P465" s="1175"/>
      <c r="Q465" s="1175"/>
      <c r="R465" s="1175"/>
      <c r="S465" s="1175"/>
      <c r="T465" s="1152"/>
      <c r="AF465" s="1161">
        <v>10</v>
      </c>
    </row>
    <row r="466" spans="1:32" hidden="1" x14ac:dyDescent="0.25">
      <c r="A466" s="1176" t="s">
        <v>767</v>
      </c>
      <c r="B466" s="1176"/>
      <c r="C466" s="1177"/>
      <c r="D466" s="1744">
        <f>M180</f>
        <v>0</v>
      </c>
      <c r="E466" s="1744"/>
      <c r="F466" s="1744"/>
      <c r="G466" s="1128"/>
      <c r="H466" s="1112" t="s">
        <v>8031</v>
      </c>
      <c r="I466" s="1112"/>
      <c r="J466" s="1122"/>
      <c r="K466" s="1734" t="str">
        <f>IF(ISERROR(SUM(C474,F474,I474,L474,O474,R474)/SUM(T474:Y474)),"",SUM(C474,F474,I474,L474,O474,R474)/SUM(T474:Y474))</f>
        <v/>
      </c>
      <c r="L466" s="1734"/>
      <c r="M466" s="1128"/>
      <c r="N466" s="1128"/>
      <c r="O466" s="1128"/>
      <c r="P466" s="1128"/>
      <c r="Q466" s="1128"/>
      <c r="R466" s="1128"/>
      <c r="S466" s="1128"/>
      <c r="T466" s="1140"/>
      <c r="AF466" s="1161">
        <v>10</v>
      </c>
    </row>
    <row r="467" spans="1:32" hidden="1" x14ac:dyDescent="0.25">
      <c r="A467" s="1128"/>
      <c r="B467" s="1128"/>
      <c r="C467" s="1174"/>
      <c r="D467" s="1174"/>
      <c r="E467" s="1128"/>
      <c r="F467" s="1128"/>
      <c r="G467" s="1128"/>
      <c r="H467" s="1128"/>
      <c r="I467" s="1128"/>
      <c r="J467" s="1178"/>
      <c r="K467" s="1178"/>
      <c r="L467" s="1178"/>
      <c r="M467" s="1178"/>
      <c r="N467" s="1178"/>
      <c r="O467" s="1178"/>
      <c r="P467" s="1178"/>
      <c r="Q467" s="1178"/>
      <c r="R467" s="1178"/>
      <c r="S467" s="1011" t="s">
        <v>29</v>
      </c>
      <c r="T467" s="1152"/>
      <c r="U467" s="1158"/>
      <c r="V467" s="1158"/>
      <c r="AF467" s="1161">
        <v>10</v>
      </c>
    </row>
    <row r="468" spans="1:32" hidden="1" x14ac:dyDescent="0.25">
      <c r="A468" s="1179" t="s">
        <v>266</v>
      </c>
      <c r="B468" s="1743">
        <f>$B$31</f>
        <v>43094</v>
      </c>
      <c r="C468" s="1743"/>
      <c r="D468" s="1743"/>
      <c r="E468" s="1743">
        <f>$E$31</f>
        <v>43125</v>
      </c>
      <c r="F468" s="1743"/>
      <c r="G468" s="1743"/>
      <c r="H468" s="1743">
        <f>$H$31</f>
        <v>43156</v>
      </c>
      <c r="I468" s="1743"/>
      <c r="J468" s="1743"/>
      <c r="K468" s="1743">
        <f>$K$31</f>
        <v>43187</v>
      </c>
      <c r="L468" s="1743"/>
      <c r="M468" s="1743"/>
      <c r="N468" s="1743">
        <f>$N$31</f>
        <v>43218</v>
      </c>
      <c r="O468" s="1743"/>
      <c r="P468" s="1743"/>
      <c r="Q468" s="1743">
        <f>$Q$31</f>
        <v>43249</v>
      </c>
      <c r="R468" s="1743"/>
      <c r="S468" s="1743"/>
      <c r="T468" s="1152"/>
      <c r="U468" s="1158"/>
      <c r="V468" s="1158"/>
      <c r="AF468" s="1161">
        <v>10</v>
      </c>
    </row>
    <row r="469" spans="1:32" hidden="1" x14ac:dyDescent="0.25">
      <c r="A469" s="1179" t="s">
        <v>8</v>
      </c>
      <c r="B469" s="1179" t="s">
        <v>26</v>
      </c>
      <c r="C469" s="1739" t="s">
        <v>8030</v>
      </c>
      <c r="D469" s="1740"/>
      <c r="E469" s="1179" t="s">
        <v>26</v>
      </c>
      <c r="F469" s="1741" t="s">
        <v>8030</v>
      </c>
      <c r="G469" s="1742"/>
      <c r="H469" s="1179" t="s">
        <v>26</v>
      </c>
      <c r="I469" s="1741" t="s">
        <v>8030</v>
      </c>
      <c r="J469" s="1742"/>
      <c r="K469" s="1179" t="s">
        <v>26</v>
      </c>
      <c r="L469" s="1741" t="s">
        <v>8030</v>
      </c>
      <c r="M469" s="1742"/>
      <c r="N469" s="1179" t="s">
        <v>26</v>
      </c>
      <c r="O469" s="1741" t="s">
        <v>8030</v>
      </c>
      <c r="P469" s="1742"/>
      <c r="Q469" s="1179" t="s">
        <v>26</v>
      </c>
      <c r="R469" s="1741" t="s">
        <v>8030</v>
      </c>
      <c r="S469" s="1742"/>
      <c r="T469" s="1152"/>
      <c r="U469" s="1158"/>
      <c r="V469" s="1158"/>
      <c r="AF469" s="1161">
        <v>10</v>
      </c>
    </row>
    <row r="470" spans="1:32" hidden="1" x14ac:dyDescent="0.25">
      <c r="A470" s="1170">
        <v>1</v>
      </c>
      <c r="B470" s="1180">
        <v>7</v>
      </c>
      <c r="C470" s="1760" t="str">
        <f>IF(C186&lt;&gt;0,0,"")</f>
        <v/>
      </c>
      <c r="D470" s="1761"/>
      <c r="E470" s="1181">
        <v>7</v>
      </c>
      <c r="F470" s="1760" t="str">
        <f>IF(F186&lt;&gt;0,0,"")</f>
        <v/>
      </c>
      <c r="G470" s="1761"/>
      <c r="H470" s="1170">
        <v>7</v>
      </c>
      <c r="I470" s="1760" t="str">
        <f>IF(I186&lt;&gt;0,0,"")</f>
        <v/>
      </c>
      <c r="J470" s="1761"/>
      <c r="K470" s="1170">
        <v>7</v>
      </c>
      <c r="L470" s="1760" t="str">
        <f>IF(L186&lt;&gt;0,0,"")</f>
        <v/>
      </c>
      <c r="M470" s="1761"/>
      <c r="N470" s="1170">
        <v>7</v>
      </c>
      <c r="O470" s="1760" t="str">
        <f>IF(O186&lt;&gt;0,0,"")</f>
        <v/>
      </c>
      <c r="P470" s="1761"/>
      <c r="Q470" s="1170">
        <v>7</v>
      </c>
      <c r="R470" s="1760" t="str">
        <f>IF(R186&lt;&gt;0,0,"")</f>
        <v/>
      </c>
      <c r="S470" s="1761"/>
      <c r="T470" s="1168">
        <f>IF(C470&lt;&gt;"",IF(C470=0,0,1),0)</f>
        <v>0</v>
      </c>
      <c r="U470" s="1168">
        <f>IF(F470&lt;&gt;"",IF(F470=0,0,1),0)</f>
        <v>0</v>
      </c>
      <c r="V470" s="1169">
        <f>IF(I470&lt;&gt;"",IF(I470=0,0,1),0)</f>
        <v>0</v>
      </c>
      <c r="W470" s="1157">
        <f>IF(L470&lt;&gt;"",IF(L470=0,0,1),0)</f>
        <v>0</v>
      </c>
      <c r="X470" s="1157">
        <f>IF(O470&lt;&gt;"",IF(O470=0,0,1),0)</f>
        <v>0</v>
      </c>
      <c r="Y470" s="1157">
        <f>IF(R470&lt;&gt;"",IF(R470=0,0,1),0)</f>
        <v>0</v>
      </c>
      <c r="AF470" s="1161">
        <v>10</v>
      </c>
    </row>
    <row r="471" spans="1:32" hidden="1" x14ac:dyDescent="0.25">
      <c r="A471" s="1171">
        <v>2</v>
      </c>
      <c r="B471" s="1182">
        <v>14</v>
      </c>
      <c r="C471" s="1758" t="str">
        <f>IF(C187&lt;&gt;0,0,"")</f>
        <v/>
      </c>
      <c r="D471" s="1759"/>
      <c r="E471" s="1183">
        <v>14</v>
      </c>
      <c r="F471" s="1758" t="str">
        <f>IF(F187&lt;&gt;0,0,"")</f>
        <v/>
      </c>
      <c r="G471" s="1759"/>
      <c r="H471" s="1171">
        <v>14</v>
      </c>
      <c r="I471" s="1758" t="str">
        <f>IF(I187&lt;&gt;0,0,"")</f>
        <v/>
      </c>
      <c r="J471" s="1759"/>
      <c r="K471" s="1171">
        <v>14</v>
      </c>
      <c r="L471" s="1758" t="str">
        <f>IF(L187&lt;&gt;0,0,"")</f>
        <v/>
      </c>
      <c r="M471" s="1759"/>
      <c r="N471" s="1171">
        <v>14</v>
      </c>
      <c r="O471" s="1758" t="str">
        <f>IF(O187&lt;&gt;0,0,"")</f>
        <v/>
      </c>
      <c r="P471" s="1759"/>
      <c r="Q471" s="1171">
        <v>14</v>
      </c>
      <c r="R471" s="1758" t="str">
        <f>IF(R187&lt;&gt;0,0,"")</f>
        <v/>
      </c>
      <c r="S471" s="1759"/>
      <c r="T471" s="1168">
        <f>IF(C471&lt;&gt;"",IF(C471=0,0,1),0)</f>
        <v>0</v>
      </c>
      <c r="U471" s="1168">
        <f>IF(F471&lt;&gt;"",IF(F471=0,0,1),0)</f>
        <v>0</v>
      </c>
      <c r="V471" s="1169">
        <f>IF(I471&lt;&gt;"",IF(I471=0,0,1),0)</f>
        <v>0</v>
      </c>
      <c r="W471" s="1157">
        <f>IF(L471&lt;&gt;"",IF(L471=0,0,1),0)</f>
        <v>0</v>
      </c>
      <c r="X471" s="1157">
        <f>IF(O471&lt;&gt;"",IF(O471=0,0,1),0)</f>
        <v>0</v>
      </c>
      <c r="Y471" s="1157">
        <f>IF(R471&lt;&gt;"",IF(R471=0,0,1),0)</f>
        <v>0</v>
      </c>
      <c r="AF471" s="1161">
        <v>10</v>
      </c>
    </row>
    <row r="472" spans="1:32" hidden="1" x14ac:dyDescent="0.25">
      <c r="A472" s="1171">
        <v>3</v>
      </c>
      <c r="B472" s="1182">
        <v>22</v>
      </c>
      <c r="C472" s="1762" t="str">
        <f>IF(C188&lt;&gt;0,0,"")</f>
        <v/>
      </c>
      <c r="D472" s="1763"/>
      <c r="E472" s="1183">
        <v>22</v>
      </c>
      <c r="F472" s="1762" t="str">
        <f>IF(F188&lt;&gt;0,0,"")</f>
        <v/>
      </c>
      <c r="G472" s="1763"/>
      <c r="H472" s="1171">
        <v>22</v>
      </c>
      <c r="I472" s="1762" t="str">
        <f>IF(I188&lt;&gt;0,0,"")</f>
        <v/>
      </c>
      <c r="J472" s="1763"/>
      <c r="K472" s="1171">
        <v>22</v>
      </c>
      <c r="L472" s="1762" t="str">
        <f>IF(L188&lt;&gt;0,0,"")</f>
        <v/>
      </c>
      <c r="M472" s="1763"/>
      <c r="N472" s="1171">
        <v>22</v>
      </c>
      <c r="O472" s="1762" t="str">
        <f>IF(O188&lt;&gt;0,0,"")</f>
        <v/>
      </c>
      <c r="P472" s="1763"/>
      <c r="Q472" s="1171">
        <v>22</v>
      </c>
      <c r="R472" s="1762" t="str">
        <f>IF(R188&lt;&gt;0,0,"")</f>
        <v/>
      </c>
      <c r="S472" s="1763"/>
      <c r="T472" s="1168">
        <f>IF(C472&lt;&gt;"",IF(C472=0,0,1),0)</f>
        <v>0</v>
      </c>
      <c r="U472" s="1168">
        <f>IF(F472&lt;&gt;"",IF(F472=0,0,1),0)</f>
        <v>0</v>
      </c>
      <c r="V472" s="1169">
        <f>IF(I472&lt;&gt;"",IF(I472=0,0,1),0)</f>
        <v>0</v>
      </c>
      <c r="W472" s="1157">
        <f>IF(L472&lt;&gt;"",IF(L472=0,0,1),0)</f>
        <v>0</v>
      </c>
      <c r="X472" s="1157">
        <f>IF(O472&lt;&gt;"",IF(O472=0,0,1),0)</f>
        <v>0</v>
      </c>
      <c r="Y472" s="1157">
        <f>IF(R472&lt;&gt;"",IF(R472=0,0,1),0)</f>
        <v>0</v>
      </c>
      <c r="AF472" s="1161">
        <v>10</v>
      </c>
    </row>
    <row r="473" spans="1:32" hidden="1" x14ac:dyDescent="0.25">
      <c r="A473" s="1172">
        <v>4</v>
      </c>
      <c r="B473" s="1184">
        <v>31</v>
      </c>
      <c r="C473" s="1756" t="str">
        <f>IF(C189&lt;&gt;0,0,"")</f>
        <v/>
      </c>
      <c r="D473" s="1757"/>
      <c r="E473" s="1185">
        <v>31</v>
      </c>
      <c r="F473" s="1756" t="str">
        <f>IF(F189&lt;&gt;0,0,"")</f>
        <v/>
      </c>
      <c r="G473" s="1757"/>
      <c r="H473" s="1172">
        <v>31</v>
      </c>
      <c r="I473" s="1756" t="str">
        <f>IF(I189&lt;&gt;0,0,"")</f>
        <v/>
      </c>
      <c r="J473" s="1757"/>
      <c r="K473" s="1172">
        <v>31</v>
      </c>
      <c r="L473" s="1756" t="str">
        <f>IF(L189&lt;&gt;0,0,"")</f>
        <v/>
      </c>
      <c r="M473" s="1757"/>
      <c r="N473" s="1172">
        <v>31</v>
      </c>
      <c r="O473" s="1756" t="str">
        <f>IF(O189&lt;&gt;0,0,"")</f>
        <v/>
      </c>
      <c r="P473" s="1757"/>
      <c r="Q473" s="1172">
        <v>31</v>
      </c>
      <c r="R473" s="1756" t="str">
        <f>IF(R189&lt;&gt;0,0,"")</f>
        <v/>
      </c>
      <c r="S473" s="1757"/>
      <c r="T473" s="1168">
        <f>IF(C473&lt;&gt;"",IF(C473=0,0,1),0)</f>
        <v>0</v>
      </c>
      <c r="U473" s="1168">
        <f>IF(F473&lt;&gt;"",IF(F473=0,0,1),0)</f>
        <v>0</v>
      </c>
      <c r="V473" s="1169">
        <f>IF(I473&lt;&gt;"",IF(I473=0,0,1),0)</f>
        <v>0</v>
      </c>
      <c r="W473" s="1157">
        <f>IF(L473&lt;&gt;"",IF(L473=0,0,1),0)</f>
        <v>0</v>
      </c>
      <c r="X473" s="1157">
        <f>IF(O473&lt;&gt;"",IF(O473=0,0,1),0)</f>
        <v>0</v>
      </c>
      <c r="Y473" s="1157">
        <f>IF(R473&lt;&gt;"",IF(R473=0,0,1),0)</f>
        <v>0</v>
      </c>
      <c r="AF473" s="1161">
        <v>10</v>
      </c>
    </row>
    <row r="474" spans="1:32" hidden="1" x14ac:dyDescent="0.25">
      <c r="A474" s="1753" t="s">
        <v>7997</v>
      </c>
      <c r="B474" s="1753"/>
      <c r="C474" s="1754">
        <f>IF(ISERROR(SUM(C470:D473)/SUM(T470:T473)),0,SUM(C470:D473)/SUM(T470:T473))</f>
        <v>0</v>
      </c>
      <c r="D474" s="1755"/>
      <c r="E474" s="1212" t="s">
        <v>7373</v>
      </c>
      <c r="F474" s="1754">
        <f>IF(ISERROR(SUM(F470:G473)/SUM(U470:U473)),0,SUM(F470:G473)/SUM(U470:U473))</f>
        <v>0</v>
      </c>
      <c r="G474" s="1755"/>
      <c r="H474" s="1212"/>
      <c r="I474" s="1754">
        <f>IF(ISERROR(SUM(I470:J473)/SUM(V470:V473)),0,SUM(I470:J473)/SUM(V470:V473))</f>
        <v>0</v>
      </c>
      <c r="J474" s="1755"/>
      <c r="K474" s="1212"/>
      <c r="L474" s="1754">
        <f>IF(ISERROR(SUM(L470:M473)/SUM(W470:W473)),0,SUM(L470:M473)/SUM(W470:W473))</f>
        <v>0</v>
      </c>
      <c r="M474" s="1755"/>
      <c r="N474" s="1212"/>
      <c r="O474" s="1754">
        <f>IF(ISERROR(SUM(O470:P473)/SUM(X470:X473)),0,SUM(O470:P473)/SUM(X470:X473))</f>
        <v>0</v>
      </c>
      <c r="P474" s="1755"/>
      <c r="Q474" s="1212"/>
      <c r="R474" s="1754">
        <f>IF(ISERROR(SUM(R470:S473)/SUM(Y470:Y473)),0,SUM(R470:S473)/SUM(Y470:Y473))</f>
        <v>0</v>
      </c>
      <c r="S474" s="1755"/>
      <c r="T474" s="1168">
        <f t="shared" ref="T474:Y474" si="12">IF(SUM(T470:T473)&lt;&gt;0,1,0)</f>
        <v>0</v>
      </c>
      <c r="U474" s="1168">
        <f t="shared" si="12"/>
        <v>0</v>
      </c>
      <c r="V474" s="1168">
        <f t="shared" si="12"/>
        <v>0</v>
      </c>
      <c r="W474" s="1168">
        <f t="shared" si="12"/>
        <v>0</v>
      </c>
      <c r="X474" s="1168">
        <f t="shared" si="12"/>
        <v>0</v>
      </c>
      <c r="Y474" s="1168">
        <f t="shared" si="12"/>
        <v>0</v>
      </c>
      <c r="AF474" s="1161">
        <v>10</v>
      </c>
    </row>
    <row r="475" spans="1:32" ht="15" hidden="1" customHeight="1" x14ac:dyDescent="0.25">
      <c r="A475" s="1753" t="s">
        <v>2980</v>
      </c>
      <c r="B475" s="1753"/>
      <c r="C475" s="1748"/>
      <c r="D475" s="1748"/>
      <c r="E475" s="1118"/>
      <c r="F475" s="1748"/>
      <c r="G475" s="1748"/>
      <c r="H475" s="1118"/>
      <c r="I475" s="1748"/>
      <c r="J475" s="1748"/>
      <c r="K475" s="1118"/>
      <c r="L475" s="1748"/>
      <c r="M475" s="1748"/>
      <c r="N475" s="1118"/>
      <c r="O475" s="1748"/>
      <c r="P475" s="1748"/>
      <c r="Q475" s="1118"/>
      <c r="R475" s="1748"/>
      <c r="S475" s="1748"/>
      <c r="T475" s="1152"/>
      <c r="U475" s="1158"/>
      <c r="V475" s="1158"/>
      <c r="AF475" s="1161">
        <v>10</v>
      </c>
    </row>
    <row r="476" spans="1:32" hidden="1" x14ac:dyDescent="0.25">
      <c r="A476" s="1210" t="s">
        <v>272</v>
      </c>
      <c r="B476" s="1210"/>
      <c r="C476" s="1748"/>
      <c r="D476" s="1748"/>
      <c r="E476" s="1118"/>
      <c r="F476" s="1748"/>
      <c r="G476" s="1748"/>
      <c r="H476" s="1118"/>
      <c r="I476" s="1748"/>
      <c r="J476" s="1748"/>
      <c r="K476" s="1213"/>
      <c r="L476" s="1748"/>
      <c r="M476" s="1748"/>
      <c r="N476" s="1213"/>
      <c r="O476" s="1748"/>
      <c r="P476" s="1748"/>
      <c r="Q476" s="1213"/>
      <c r="R476" s="1748"/>
      <c r="S476" s="1748"/>
      <c r="T476" s="1152"/>
      <c r="U476" s="1158"/>
      <c r="V476" s="1158"/>
      <c r="AF476" s="1161">
        <v>10</v>
      </c>
    </row>
    <row r="477" spans="1:32" hidden="1" x14ac:dyDescent="0.25">
      <c r="A477" s="1210" t="s">
        <v>273</v>
      </c>
      <c r="B477" s="1210"/>
      <c r="C477" s="1748"/>
      <c r="D477" s="1748"/>
      <c r="E477" s="1118"/>
      <c r="F477" s="1748"/>
      <c r="G477" s="1748"/>
      <c r="H477" s="1118"/>
      <c r="I477" s="1748"/>
      <c r="J477" s="1748"/>
      <c r="K477" s="1213"/>
      <c r="L477" s="1748"/>
      <c r="M477" s="1748"/>
      <c r="N477" s="1213"/>
      <c r="O477" s="1748"/>
      <c r="P477" s="1748"/>
      <c r="Q477" s="1213"/>
      <c r="R477" s="1748"/>
      <c r="S477" s="1748"/>
      <c r="T477" s="1152"/>
      <c r="U477" s="1158"/>
      <c r="V477" s="1158"/>
      <c r="AF477" s="1161">
        <v>10</v>
      </c>
    </row>
    <row r="478" spans="1:32" hidden="1" x14ac:dyDescent="0.25">
      <c r="A478" s="1749" t="s">
        <v>274</v>
      </c>
      <c r="B478" s="1750"/>
      <c r="C478" s="1752">
        <f>C476-C477</f>
        <v>0</v>
      </c>
      <c r="D478" s="1752"/>
      <c r="E478" s="1118"/>
      <c r="F478" s="1752">
        <f>F476-F477</f>
        <v>0</v>
      </c>
      <c r="G478" s="1752"/>
      <c r="H478" s="1118"/>
      <c r="I478" s="1752">
        <f>I476-I477</f>
        <v>0</v>
      </c>
      <c r="J478" s="1752"/>
      <c r="K478" s="1213"/>
      <c r="L478" s="1752">
        <f>L476-L477</f>
        <v>0</v>
      </c>
      <c r="M478" s="1752"/>
      <c r="N478" s="1213"/>
      <c r="O478" s="1752">
        <f>O476-O477</f>
        <v>0</v>
      </c>
      <c r="P478" s="1752"/>
      <c r="Q478" s="1213"/>
      <c r="R478" s="1752">
        <f>R476-R477</f>
        <v>0</v>
      </c>
      <c r="S478" s="1752"/>
      <c r="T478" s="1152"/>
      <c r="U478" s="1158"/>
      <c r="V478" s="1158"/>
      <c r="AF478" s="1161">
        <v>10</v>
      </c>
    </row>
    <row r="479" spans="1:32" hidden="1" x14ac:dyDescent="0.25">
      <c r="A479" s="1749" t="s">
        <v>275</v>
      </c>
      <c r="B479" s="1750"/>
      <c r="C479" s="1751" t="str">
        <f>IF(SUM($D$466)=0,"",C478/$D$466)</f>
        <v/>
      </c>
      <c r="D479" s="1752"/>
      <c r="E479" s="1214"/>
      <c r="F479" s="1751" t="str">
        <f>IF(SUM($D$466)=0,"",F478/$D$466)</f>
        <v/>
      </c>
      <c r="G479" s="1752"/>
      <c r="H479" s="1214"/>
      <c r="I479" s="1751" t="str">
        <f>IF(SUM($D$466)=0,"",I478/$D$466)</f>
        <v/>
      </c>
      <c r="J479" s="1752"/>
      <c r="K479" s="1215"/>
      <c r="L479" s="1751" t="str">
        <f>IF(SUM($D$466)=0,"",L478/$D$466)</f>
        <v/>
      </c>
      <c r="M479" s="1752"/>
      <c r="N479" s="1215"/>
      <c r="O479" s="1751" t="str">
        <f>IF(SUM($D$466)=0,"",O478/$D$466)</f>
        <v/>
      </c>
      <c r="P479" s="1752"/>
      <c r="Q479" s="1215"/>
      <c r="R479" s="1751" t="str">
        <f>IF(SUM($D$466)=0,"",R478/$D$466)</f>
        <v/>
      </c>
      <c r="S479" s="1752"/>
      <c r="T479" s="1152"/>
      <c r="U479" s="1158"/>
      <c r="V479" s="1158"/>
      <c r="AF479" s="1161">
        <v>10</v>
      </c>
    </row>
    <row r="480" spans="1:32" hidden="1" x14ac:dyDescent="0.25">
      <c r="A480" s="1159"/>
      <c r="B480" s="1159"/>
      <c r="C480" s="1159"/>
      <c r="D480" s="1159"/>
      <c r="E480" s="1159"/>
      <c r="F480" s="1159"/>
      <c r="G480" s="1159"/>
      <c r="H480" s="1159"/>
      <c r="I480" s="1159"/>
      <c r="J480" s="1159"/>
      <c r="K480" s="1159"/>
      <c r="L480" s="1159"/>
      <c r="M480" s="1159"/>
      <c r="N480" s="1159"/>
      <c r="O480" s="1159"/>
      <c r="P480" s="1159"/>
      <c r="Q480" s="1159"/>
      <c r="R480" s="1159"/>
      <c r="S480" s="1159"/>
      <c r="AF480" s="1161">
        <v>10</v>
      </c>
    </row>
    <row r="481" spans="1:32" hidden="1" x14ac:dyDescent="0.25">
      <c r="A481" s="1745" t="s">
        <v>8024</v>
      </c>
      <c r="B481" s="1745"/>
      <c r="C481" s="1745"/>
      <c r="D481" s="1745"/>
      <c r="E481" s="1745"/>
      <c r="F481" s="1745"/>
      <c r="G481" s="1745"/>
      <c r="H481" s="1745"/>
      <c r="I481" s="1745"/>
      <c r="J481" s="1745"/>
      <c r="K481" s="1745"/>
      <c r="L481" s="1745"/>
      <c r="M481" s="1745"/>
      <c r="N481" s="1745"/>
      <c r="O481" s="1745"/>
      <c r="P481" s="1745"/>
      <c r="Q481" s="1745"/>
      <c r="R481" s="1745"/>
      <c r="S481" s="1745"/>
      <c r="T481" s="1146"/>
      <c r="AF481" s="1161">
        <v>11</v>
      </c>
    </row>
    <row r="482" spans="1:32" ht="5.0999999999999996" hidden="1" customHeight="1" x14ac:dyDescent="0.25">
      <c r="A482" s="1128"/>
      <c r="B482" s="1128"/>
      <c r="C482" s="1173"/>
      <c r="D482" s="1173"/>
      <c r="E482" s="1128"/>
      <c r="F482" s="1128"/>
      <c r="G482" s="1159"/>
      <c r="H482" s="1128"/>
      <c r="I482" s="1128"/>
      <c r="J482" s="1128"/>
      <c r="K482" s="1128"/>
      <c r="L482" s="1128"/>
      <c r="M482" s="1128"/>
      <c r="N482" s="1128"/>
      <c r="O482" s="1128"/>
      <c r="P482" s="1128"/>
      <c r="Q482" s="1128"/>
      <c r="R482" s="1128"/>
      <c r="S482" s="1128"/>
      <c r="T482" s="1140"/>
      <c r="AF482" s="1161">
        <v>11</v>
      </c>
    </row>
    <row r="483" spans="1:32" hidden="1" x14ac:dyDescent="0.25">
      <c r="A483" s="1128" t="s">
        <v>271</v>
      </c>
      <c r="B483" s="1128"/>
      <c r="C483" s="1159"/>
      <c r="D483" s="1746">
        <f>D196</f>
        <v>0</v>
      </c>
      <c r="E483" s="1746"/>
      <c r="F483" s="1746"/>
      <c r="G483" s="1159"/>
      <c r="H483" s="1174" t="s">
        <v>763</v>
      </c>
      <c r="I483" s="1174"/>
      <c r="J483" s="1159"/>
      <c r="K483" s="1746" t="str">
        <f>IF(COUNT(C495,F495,I495,L495,O495,R495)=0,"",AVERAGE(C495,F495,I495,L495,O495,R495))</f>
        <v/>
      </c>
      <c r="L483" s="1746"/>
      <c r="M483" s="1175"/>
      <c r="N483" s="1175"/>
      <c r="O483" s="1175"/>
      <c r="P483" s="1175"/>
      <c r="Q483" s="1175"/>
      <c r="R483" s="1175"/>
      <c r="S483" s="1175"/>
      <c r="T483" s="1152"/>
      <c r="AF483" s="1161">
        <v>11</v>
      </c>
    </row>
    <row r="484" spans="1:32" hidden="1" x14ac:dyDescent="0.25">
      <c r="A484" s="1128" t="s">
        <v>240</v>
      </c>
      <c r="B484" s="1128"/>
      <c r="C484" s="1159"/>
      <c r="D484" s="1747">
        <f>D197</f>
        <v>0</v>
      </c>
      <c r="E484" s="1747"/>
      <c r="F484" s="1747"/>
      <c r="G484" s="1159"/>
      <c r="H484" s="1174" t="s">
        <v>764</v>
      </c>
      <c r="I484" s="1174"/>
      <c r="J484" s="1159"/>
      <c r="K484" s="1747" t="str">
        <f>IF(ISERROR(SUM(C498,F498,I498,L498,O498,R498)/COUNT(C495,F495,I495,L495,O495,R495)),"",SUM(C498,F498,I498,L498,O498,R498,)/COUNT(C495,F495,I495,L495,O495,R495))</f>
        <v/>
      </c>
      <c r="L484" s="1747"/>
      <c r="M484" s="1175"/>
      <c r="N484" s="1175"/>
      <c r="O484" s="1175"/>
      <c r="P484" s="1175"/>
      <c r="Q484" s="1175"/>
      <c r="R484" s="1175"/>
      <c r="S484" s="1175"/>
      <c r="T484" s="1152"/>
      <c r="AF484" s="1161">
        <v>11</v>
      </c>
    </row>
    <row r="485" spans="1:32" hidden="1" x14ac:dyDescent="0.25">
      <c r="A485" s="1128" t="s">
        <v>265</v>
      </c>
      <c r="B485" s="1128"/>
      <c r="C485" s="1159"/>
      <c r="D485" s="1747">
        <f>D198</f>
        <v>0</v>
      </c>
      <c r="E485" s="1747"/>
      <c r="F485" s="1747"/>
      <c r="G485" s="1159"/>
      <c r="H485" s="1174" t="s">
        <v>765</v>
      </c>
      <c r="I485" s="1174"/>
      <c r="J485" s="1159"/>
      <c r="K485" s="1712" t="str">
        <f>IF(ISERROR(K484/D486),"",K484/D486)</f>
        <v/>
      </c>
      <c r="L485" s="1712"/>
      <c r="M485" s="1175"/>
      <c r="N485" s="1175"/>
      <c r="O485" s="1175"/>
      <c r="P485" s="1175"/>
      <c r="Q485" s="1175"/>
      <c r="R485" s="1175"/>
      <c r="S485" s="1175"/>
      <c r="T485" s="1152"/>
      <c r="AF485" s="1161">
        <v>11</v>
      </c>
    </row>
    <row r="486" spans="1:32" hidden="1" x14ac:dyDescent="0.25">
      <c r="A486" s="1176" t="s">
        <v>767</v>
      </c>
      <c r="B486" s="1176"/>
      <c r="C486" s="1177"/>
      <c r="D486" s="1744">
        <f>M197</f>
        <v>0</v>
      </c>
      <c r="E486" s="1744"/>
      <c r="F486" s="1744"/>
      <c r="G486" s="1128"/>
      <c r="H486" s="1112" t="s">
        <v>8031</v>
      </c>
      <c r="I486" s="1112"/>
      <c r="J486" s="1122"/>
      <c r="K486" s="1734" t="str">
        <f>IF(ISERROR(SUM(C494,F494,I494,L494,O494,R494)/SUM(T494:Y494)),"",SUM(C494,F494,I494,L494,O494,R494)/SUM(T494:Y494))</f>
        <v/>
      </c>
      <c r="L486" s="1734"/>
      <c r="M486" s="1128"/>
      <c r="N486" s="1128"/>
      <c r="O486" s="1128"/>
      <c r="P486" s="1128"/>
      <c r="Q486" s="1128"/>
      <c r="R486" s="1128"/>
      <c r="S486" s="1128"/>
      <c r="T486" s="1140"/>
      <c r="AF486" s="1161">
        <v>11</v>
      </c>
    </row>
    <row r="487" spans="1:32" hidden="1" x14ac:dyDescent="0.25">
      <c r="A487" s="1128"/>
      <c r="B487" s="1128"/>
      <c r="C487" s="1174"/>
      <c r="D487" s="1174"/>
      <c r="E487" s="1128"/>
      <c r="F487" s="1128"/>
      <c r="G487" s="1128"/>
      <c r="H487" s="1128"/>
      <c r="I487" s="1128"/>
      <c r="J487" s="1178"/>
      <c r="K487" s="1178"/>
      <c r="L487" s="1178"/>
      <c r="M487" s="1178"/>
      <c r="N487" s="1178"/>
      <c r="O487" s="1178"/>
      <c r="P487" s="1178"/>
      <c r="Q487" s="1178"/>
      <c r="R487" s="1178"/>
      <c r="S487" s="1011" t="s">
        <v>29</v>
      </c>
      <c r="T487" s="1152"/>
      <c r="U487" s="1158"/>
      <c r="V487" s="1158"/>
      <c r="AF487" s="1161">
        <v>11</v>
      </c>
    </row>
    <row r="488" spans="1:32" hidden="1" x14ac:dyDescent="0.25">
      <c r="A488" s="1179" t="s">
        <v>266</v>
      </c>
      <c r="B488" s="1743">
        <f>$B$31</f>
        <v>43094</v>
      </c>
      <c r="C488" s="1743"/>
      <c r="D488" s="1743"/>
      <c r="E488" s="1743">
        <f>$E$31</f>
        <v>43125</v>
      </c>
      <c r="F488" s="1743"/>
      <c r="G488" s="1743"/>
      <c r="H488" s="1743">
        <f>$H$31</f>
        <v>43156</v>
      </c>
      <c r="I488" s="1743"/>
      <c r="J488" s="1743"/>
      <c r="K488" s="1743">
        <f>$K$31</f>
        <v>43187</v>
      </c>
      <c r="L488" s="1743"/>
      <c r="M488" s="1743"/>
      <c r="N488" s="1743">
        <f>$N$31</f>
        <v>43218</v>
      </c>
      <c r="O488" s="1743"/>
      <c r="P488" s="1743"/>
      <c r="Q488" s="1743">
        <f>$Q$31</f>
        <v>43249</v>
      </c>
      <c r="R488" s="1743"/>
      <c r="S488" s="1743"/>
      <c r="T488" s="1152"/>
      <c r="U488" s="1158"/>
      <c r="V488" s="1158"/>
      <c r="AF488" s="1161">
        <v>11</v>
      </c>
    </row>
    <row r="489" spans="1:32" hidden="1" x14ac:dyDescent="0.25">
      <c r="A489" s="1179" t="s">
        <v>8</v>
      </c>
      <c r="B489" s="1179" t="s">
        <v>26</v>
      </c>
      <c r="C489" s="1739" t="s">
        <v>8030</v>
      </c>
      <c r="D489" s="1740"/>
      <c r="E489" s="1179" t="s">
        <v>26</v>
      </c>
      <c r="F489" s="1741" t="s">
        <v>8030</v>
      </c>
      <c r="G489" s="1742"/>
      <c r="H489" s="1179" t="s">
        <v>26</v>
      </c>
      <c r="I489" s="1741" t="s">
        <v>8030</v>
      </c>
      <c r="J489" s="1742"/>
      <c r="K489" s="1179" t="s">
        <v>26</v>
      </c>
      <c r="L489" s="1741" t="s">
        <v>8030</v>
      </c>
      <c r="M489" s="1742"/>
      <c r="N489" s="1179" t="s">
        <v>26</v>
      </c>
      <c r="O489" s="1741" t="s">
        <v>8030</v>
      </c>
      <c r="P489" s="1742"/>
      <c r="Q489" s="1179" t="s">
        <v>26</v>
      </c>
      <c r="R489" s="1741" t="s">
        <v>8030</v>
      </c>
      <c r="S489" s="1742"/>
      <c r="T489" s="1152"/>
      <c r="U489" s="1158"/>
      <c r="V489" s="1158"/>
      <c r="AF489" s="1161">
        <v>11</v>
      </c>
    </row>
    <row r="490" spans="1:32" hidden="1" x14ac:dyDescent="0.25">
      <c r="A490" s="1170">
        <v>1</v>
      </c>
      <c r="B490" s="1180">
        <v>7</v>
      </c>
      <c r="C490" s="1737" t="str">
        <f>IF(C203&lt;&gt;0,0,"")</f>
        <v/>
      </c>
      <c r="D490" s="1738"/>
      <c r="E490" s="1181">
        <v>7</v>
      </c>
      <c r="F490" s="1737" t="str">
        <f>IF(F203&lt;&gt;0,0,"")</f>
        <v/>
      </c>
      <c r="G490" s="1738"/>
      <c r="H490" s="1170">
        <v>7</v>
      </c>
      <c r="I490" s="1737" t="str">
        <f>IF(I203&lt;&gt;0,0,"")</f>
        <v/>
      </c>
      <c r="J490" s="1738"/>
      <c r="K490" s="1170">
        <v>7</v>
      </c>
      <c r="L490" s="1737" t="str">
        <f>IF(L203&lt;&gt;0,0,"")</f>
        <v/>
      </c>
      <c r="M490" s="1738"/>
      <c r="N490" s="1170">
        <v>7</v>
      </c>
      <c r="O490" s="1737" t="str">
        <f>IF(O203&lt;&gt;0,0,"")</f>
        <v/>
      </c>
      <c r="P490" s="1738"/>
      <c r="Q490" s="1170">
        <v>7</v>
      </c>
      <c r="R490" s="1737" t="str">
        <f>IF(R203&lt;&gt;0,0,"")</f>
        <v/>
      </c>
      <c r="S490" s="1738"/>
      <c r="T490" s="1168">
        <f>IF(C490&lt;&gt;"",IF(C490=0,0,1),0)</f>
        <v>0</v>
      </c>
      <c r="U490" s="1168">
        <f>IF(F490&lt;&gt;"",IF(F490=0,0,1),0)</f>
        <v>0</v>
      </c>
      <c r="V490" s="1169">
        <f>IF(I490&lt;&gt;"",IF(I490=0,0,1),0)</f>
        <v>0</v>
      </c>
      <c r="W490" s="1157">
        <f>IF(L490&lt;&gt;"",IF(L490=0,0,1),0)</f>
        <v>0</v>
      </c>
      <c r="X490" s="1157">
        <f>IF(O490&lt;&gt;"",IF(O490=0,0,1),0)</f>
        <v>0</v>
      </c>
      <c r="Y490" s="1157">
        <f>IF(R490&lt;&gt;"",IF(R490=0,0,1),0)</f>
        <v>0</v>
      </c>
      <c r="AF490" s="1161">
        <v>11</v>
      </c>
    </row>
    <row r="491" spans="1:32" hidden="1" x14ac:dyDescent="0.25">
      <c r="A491" s="1171">
        <v>2</v>
      </c>
      <c r="B491" s="1182">
        <v>14</v>
      </c>
      <c r="C491" s="1735" t="str">
        <f>IF(C204&lt;&gt;0,0,"")</f>
        <v/>
      </c>
      <c r="D491" s="1736"/>
      <c r="E491" s="1183">
        <v>14</v>
      </c>
      <c r="F491" s="1735" t="str">
        <f>IF(F204&lt;&gt;0,0,"")</f>
        <v/>
      </c>
      <c r="G491" s="1736"/>
      <c r="H491" s="1171">
        <v>14</v>
      </c>
      <c r="I491" s="1735" t="str">
        <f>IF(I204&lt;&gt;0,0,"")</f>
        <v/>
      </c>
      <c r="J491" s="1736"/>
      <c r="K491" s="1171">
        <v>14</v>
      </c>
      <c r="L491" s="1735" t="str">
        <f>IF(L204&lt;&gt;0,0,"")</f>
        <v/>
      </c>
      <c r="M491" s="1736"/>
      <c r="N491" s="1171">
        <v>14</v>
      </c>
      <c r="O491" s="1735" t="str">
        <f>IF(O204&lt;&gt;0,0,"")</f>
        <v/>
      </c>
      <c r="P491" s="1736"/>
      <c r="Q491" s="1171">
        <v>14</v>
      </c>
      <c r="R491" s="1735" t="str">
        <f>IF(R204&lt;&gt;0,0,"")</f>
        <v/>
      </c>
      <c r="S491" s="1736"/>
      <c r="T491" s="1168">
        <f>IF(C491&lt;&gt;"",IF(C491=0,0,1),0)</f>
        <v>0</v>
      </c>
      <c r="U491" s="1168">
        <f>IF(F491&lt;&gt;"",IF(F491=0,0,1),0)</f>
        <v>0</v>
      </c>
      <c r="V491" s="1169">
        <f>IF(I491&lt;&gt;"",IF(I491=0,0,1),0)</f>
        <v>0</v>
      </c>
      <c r="W491" s="1157">
        <f>IF(L491&lt;&gt;"",IF(L491=0,0,1),0)</f>
        <v>0</v>
      </c>
      <c r="X491" s="1157">
        <f>IF(O491&lt;&gt;"",IF(O491=0,0,1),0)</f>
        <v>0</v>
      </c>
      <c r="Y491" s="1157">
        <f>IF(R491&lt;&gt;"",IF(R491=0,0,1),0)</f>
        <v>0</v>
      </c>
      <c r="AF491" s="1161">
        <v>11</v>
      </c>
    </row>
    <row r="492" spans="1:32" hidden="1" x14ac:dyDescent="0.25">
      <c r="A492" s="1171">
        <v>3</v>
      </c>
      <c r="B492" s="1182">
        <v>22</v>
      </c>
      <c r="C492" s="1758" t="str">
        <f>IF(C205&lt;&gt;0,0,"")</f>
        <v/>
      </c>
      <c r="D492" s="1759"/>
      <c r="E492" s="1183">
        <v>22</v>
      </c>
      <c r="F492" s="1758" t="str">
        <f>IF(F205&lt;&gt;0,0,"")</f>
        <v/>
      </c>
      <c r="G492" s="1759"/>
      <c r="H492" s="1171">
        <v>22</v>
      </c>
      <c r="I492" s="1758" t="str">
        <f>IF(I205&lt;&gt;0,0,"")</f>
        <v/>
      </c>
      <c r="J492" s="1759"/>
      <c r="K492" s="1171">
        <v>22</v>
      </c>
      <c r="L492" s="1758" t="str">
        <f>IF(L205&lt;&gt;0,0,"")</f>
        <v/>
      </c>
      <c r="M492" s="1759"/>
      <c r="N492" s="1171">
        <v>22</v>
      </c>
      <c r="O492" s="1758" t="str">
        <f>IF(O205&lt;&gt;0,0,"")</f>
        <v/>
      </c>
      <c r="P492" s="1759"/>
      <c r="Q492" s="1171">
        <v>22</v>
      </c>
      <c r="R492" s="1758" t="str">
        <f>IF(R205&lt;&gt;0,0,"")</f>
        <v/>
      </c>
      <c r="S492" s="1759"/>
      <c r="T492" s="1168">
        <f>IF(C492&lt;&gt;"",IF(C492=0,0,1),0)</f>
        <v>0</v>
      </c>
      <c r="U492" s="1168">
        <f>IF(F492&lt;&gt;"",IF(F492=0,0,1),0)</f>
        <v>0</v>
      </c>
      <c r="V492" s="1169">
        <f>IF(I492&lt;&gt;"",IF(I492=0,0,1),0)</f>
        <v>0</v>
      </c>
      <c r="W492" s="1157">
        <f>IF(L492&lt;&gt;"",IF(L492=0,0,1),0)</f>
        <v>0</v>
      </c>
      <c r="X492" s="1157">
        <f>IF(O492&lt;&gt;"",IF(O492=0,0,1),0)</f>
        <v>0</v>
      </c>
      <c r="Y492" s="1157">
        <f>IF(R492&lt;&gt;"",IF(R492=0,0,1),0)</f>
        <v>0</v>
      </c>
      <c r="AF492" s="1161">
        <v>11</v>
      </c>
    </row>
    <row r="493" spans="1:32" hidden="1" x14ac:dyDescent="0.25">
      <c r="A493" s="1172">
        <v>4</v>
      </c>
      <c r="B493" s="1184">
        <v>31</v>
      </c>
      <c r="C493" s="1756" t="str">
        <f>IF(C206&lt;&gt;0,0,"")</f>
        <v/>
      </c>
      <c r="D493" s="1757"/>
      <c r="E493" s="1185">
        <v>31</v>
      </c>
      <c r="F493" s="1756" t="str">
        <f>IF(F206&lt;&gt;0,0,"")</f>
        <v/>
      </c>
      <c r="G493" s="1757"/>
      <c r="H493" s="1172">
        <v>31</v>
      </c>
      <c r="I493" s="1756" t="str">
        <f>IF(I206&lt;&gt;0,0,"")</f>
        <v/>
      </c>
      <c r="J493" s="1757"/>
      <c r="K493" s="1172">
        <v>31</v>
      </c>
      <c r="L493" s="1756" t="str">
        <f>IF(L206&lt;&gt;0,0,"")</f>
        <v/>
      </c>
      <c r="M493" s="1757"/>
      <c r="N493" s="1172">
        <v>31</v>
      </c>
      <c r="O493" s="1756" t="str">
        <f>IF(O206&lt;&gt;0,0,"")</f>
        <v/>
      </c>
      <c r="P493" s="1757"/>
      <c r="Q493" s="1172">
        <v>31</v>
      </c>
      <c r="R493" s="1756" t="str">
        <f>IF(R206&lt;&gt;0,0,"")</f>
        <v/>
      </c>
      <c r="S493" s="1757"/>
      <c r="T493" s="1168">
        <f>IF(C493&lt;&gt;"",IF(C493=0,0,1),0)</f>
        <v>0</v>
      </c>
      <c r="U493" s="1168">
        <f>IF(F493&lt;&gt;"",IF(F493=0,0,1),0)</f>
        <v>0</v>
      </c>
      <c r="V493" s="1169">
        <f>IF(I493&lt;&gt;"",IF(I493=0,0,1),0)</f>
        <v>0</v>
      </c>
      <c r="W493" s="1157">
        <f>IF(L493&lt;&gt;"",IF(L493=0,0,1),0)</f>
        <v>0</v>
      </c>
      <c r="X493" s="1157">
        <f>IF(O493&lt;&gt;"",IF(O493=0,0,1),0)</f>
        <v>0</v>
      </c>
      <c r="Y493" s="1157">
        <f>IF(R493&lt;&gt;"",IF(R493=0,0,1),0)</f>
        <v>0</v>
      </c>
      <c r="AF493" s="1161">
        <v>11</v>
      </c>
    </row>
    <row r="494" spans="1:32" hidden="1" x14ac:dyDescent="0.25">
      <c r="A494" s="1753" t="s">
        <v>7997</v>
      </c>
      <c r="B494" s="1753"/>
      <c r="C494" s="1754">
        <f>IF(ISERROR(SUM(C490:D493)/SUM(T490:T493)),0,SUM(C490:D493)/SUM(T490:T493))</f>
        <v>0</v>
      </c>
      <c r="D494" s="1755"/>
      <c r="E494" s="1212" t="s">
        <v>7373</v>
      </c>
      <c r="F494" s="1754">
        <f>IF(ISERROR(SUM(F490:G493)/SUM(U490:U493)),0,SUM(F490:G493)/SUM(U490:U493))</f>
        <v>0</v>
      </c>
      <c r="G494" s="1755"/>
      <c r="H494" s="1212"/>
      <c r="I494" s="1754">
        <f>IF(ISERROR(SUM(I490:J493)/SUM(V490:V493)),0,SUM(I490:J493)/SUM(V490:V493))</f>
        <v>0</v>
      </c>
      <c r="J494" s="1755"/>
      <c r="K494" s="1212"/>
      <c r="L494" s="1754">
        <f>IF(ISERROR(SUM(L490:M493)/SUM(W490:W493)),0,SUM(L490:M493)/SUM(W490:W493))</f>
        <v>0</v>
      </c>
      <c r="M494" s="1755"/>
      <c r="N494" s="1212"/>
      <c r="O494" s="1754">
        <f>IF(ISERROR(SUM(O490:P493)/SUM(X490:X493)),0,SUM(O490:P493)/SUM(X490:X493))</f>
        <v>0</v>
      </c>
      <c r="P494" s="1755"/>
      <c r="Q494" s="1212"/>
      <c r="R494" s="1754">
        <f>IF(ISERROR(SUM(R490:S493)/SUM(Y490:Y493)),0,SUM(R490:S493)/SUM(Y490:Y493))</f>
        <v>0</v>
      </c>
      <c r="S494" s="1755"/>
      <c r="T494" s="1168">
        <f t="shared" ref="T494:Y494" si="13">IF(SUM(T490:T493)&lt;&gt;0,1,0)</f>
        <v>0</v>
      </c>
      <c r="U494" s="1168">
        <f t="shared" si="13"/>
        <v>0</v>
      </c>
      <c r="V494" s="1168">
        <f t="shared" si="13"/>
        <v>0</v>
      </c>
      <c r="W494" s="1168">
        <f t="shared" si="13"/>
        <v>0</v>
      </c>
      <c r="X494" s="1168">
        <f t="shared" si="13"/>
        <v>0</v>
      </c>
      <c r="Y494" s="1168">
        <f t="shared" si="13"/>
        <v>0</v>
      </c>
      <c r="AF494" s="1161">
        <v>11</v>
      </c>
    </row>
    <row r="495" spans="1:32" ht="15" hidden="1" customHeight="1" x14ac:dyDescent="0.25">
      <c r="A495" s="1753" t="s">
        <v>2980</v>
      </c>
      <c r="B495" s="1753"/>
      <c r="C495" s="1748"/>
      <c r="D495" s="1748"/>
      <c r="E495" s="1118"/>
      <c r="F495" s="1748"/>
      <c r="G495" s="1748"/>
      <c r="H495" s="1118"/>
      <c r="I495" s="1748"/>
      <c r="J495" s="1748"/>
      <c r="K495" s="1118"/>
      <c r="L495" s="1748"/>
      <c r="M495" s="1748"/>
      <c r="N495" s="1118"/>
      <c r="O495" s="1748"/>
      <c r="P495" s="1748"/>
      <c r="Q495" s="1118"/>
      <c r="R495" s="1748"/>
      <c r="S495" s="1748"/>
      <c r="T495" s="1152"/>
      <c r="U495" s="1158"/>
      <c r="V495" s="1158"/>
      <c r="AF495" s="1161">
        <v>11</v>
      </c>
    </row>
    <row r="496" spans="1:32" hidden="1" x14ac:dyDescent="0.25">
      <c r="A496" s="1210" t="s">
        <v>272</v>
      </c>
      <c r="B496" s="1210"/>
      <c r="C496" s="1748"/>
      <c r="D496" s="1748"/>
      <c r="E496" s="1118"/>
      <c r="F496" s="1748"/>
      <c r="G496" s="1748"/>
      <c r="H496" s="1118"/>
      <c r="I496" s="1748"/>
      <c r="J496" s="1748"/>
      <c r="K496" s="1213"/>
      <c r="L496" s="1748"/>
      <c r="M496" s="1748"/>
      <c r="N496" s="1213"/>
      <c r="O496" s="1748"/>
      <c r="P496" s="1748"/>
      <c r="Q496" s="1213"/>
      <c r="R496" s="1748"/>
      <c r="S496" s="1748"/>
      <c r="T496" s="1152"/>
      <c r="U496" s="1158"/>
      <c r="V496" s="1158"/>
      <c r="AF496" s="1161">
        <v>11</v>
      </c>
    </row>
    <row r="497" spans="1:32" hidden="1" x14ac:dyDescent="0.25">
      <c r="A497" s="1210" t="s">
        <v>273</v>
      </c>
      <c r="B497" s="1210"/>
      <c r="C497" s="1748"/>
      <c r="D497" s="1748"/>
      <c r="E497" s="1118"/>
      <c r="F497" s="1748"/>
      <c r="G497" s="1748"/>
      <c r="H497" s="1118"/>
      <c r="I497" s="1748"/>
      <c r="J497" s="1748"/>
      <c r="K497" s="1213"/>
      <c r="L497" s="1748"/>
      <c r="M497" s="1748"/>
      <c r="N497" s="1213"/>
      <c r="O497" s="1748"/>
      <c r="P497" s="1748"/>
      <c r="Q497" s="1213"/>
      <c r="R497" s="1748"/>
      <c r="S497" s="1748"/>
      <c r="T497" s="1152"/>
      <c r="U497" s="1158"/>
      <c r="V497" s="1158"/>
      <c r="AF497" s="1161">
        <v>11</v>
      </c>
    </row>
    <row r="498" spans="1:32" hidden="1" x14ac:dyDescent="0.25">
      <c r="A498" s="1749" t="s">
        <v>274</v>
      </c>
      <c r="B498" s="1750"/>
      <c r="C498" s="1752">
        <f>C496-C497</f>
        <v>0</v>
      </c>
      <c r="D498" s="1752"/>
      <c r="E498" s="1118"/>
      <c r="F498" s="1752">
        <f>F496-F497</f>
        <v>0</v>
      </c>
      <c r="G498" s="1752"/>
      <c r="H498" s="1118"/>
      <c r="I498" s="1752">
        <f>I496-I497</f>
        <v>0</v>
      </c>
      <c r="J498" s="1752"/>
      <c r="K498" s="1213"/>
      <c r="L498" s="1752">
        <f>L496-L497</f>
        <v>0</v>
      </c>
      <c r="M498" s="1752"/>
      <c r="N498" s="1213"/>
      <c r="O498" s="1752">
        <f>O496-O497</f>
        <v>0</v>
      </c>
      <c r="P498" s="1752"/>
      <c r="Q498" s="1213"/>
      <c r="R498" s="1752">
        <f>R496-R497</f>
        <v>0</v>
      </c>
      <c r="S498" s="1752"/>
      <c r="T498" s="1152"/>
      <c r="U498" s="1158"/>
      <c r="V498" s="1158"/>
      <c r="AF498" s="1161">
        <v>11</v>
      </c>
    </row>
    <row r="499" spans="1:32" hidden="1" x14ac:dyDescent="0.25">
      <c r="A499" s="1749" t="s">
        <v>275</v>
      </c>
      <c r="B499" s="1750"/>
      <c r="C499" s="1751" t="str">
        <f>IF(SUM($D$486)=0,"",C498/$D$486)</f>
        <v/>
      </c>
      <c r="D499" s="1752"/>
      <c r="E499" s="1214"/>
      <c r="F499" s="1751" t="str">
        <f>IF(SUM($D$486)=0,"",F498/$D$486)</f>
        <v/>
      </c>
      <c r="G499" s="1752"/>
      <c r="H499" s="1214"/>
      <c r="I499" s="1751" t="str">
        <f>IF(SUM($D$486)=0,"",I498/$D$486)</f>
        <v/>
      </c>
      <c r="J499" s="1752"/>
      <c r="K499" s="1215"/>
      <c r="L499" s="1751" t="str">
        <f>IF(SUM($D$486)=0,"",L498/$D$486)</f>
        <v/>
      </c>
      <c r="M499" s="1752"/>
      <c r="N499" s="1215"/>
      <c r="O499" s="1751" t="str">
        <f>IF(SUM($D$486)=0,"",O498/$D$486)</f>
        <v/>
      </c>
      <c r="P499" s="1752"/>
      <c r="Q499" s="1215"/>
      <c r="R499" s="1751" t="str">
        <f>IF(SUM($D$486)=0,"",R498/$D$486)</f>
        <v/>
      </c>
      <c r="S499" s="1752"/>
      <c r="T499" s="1152"/>
      <c r="U499" s="1158"/>
      <c r="V499" s="1158"/>
      <c r="AF499" s="1161">
        <v>11</v>
      </c>
    </row>
    <row r="500" spans="1:32" hidden="1" x14ac:dyDescent="0.25">
      <c r="A500" s="1128"/>
      <c r="B500" s="1128"/>
      <c r="C500" s="1128"/>
      <c r="D500" s="1128"/>
      <c r="E500" s="1128"/>
      <c r="F500" s="1128"/>
      <c r="G500" s="1128"/>
      <c r="H500" s="1128"/>
      <c r="I500" s="1128"/>
      <c r="J500" s="1128"/>
      <c r="K500" s="1128"/>
      <c r="L500" s="1128"/>
      <c r="M500" s="1128"/>
      <c r="N500" s="1128"/>
      <c r="O500" s="1128"/>
      <c r="P500" s="1128"/>
      <c r="Q500" s="1128"/>
      <c r="R500" s="1128"/>
      <c r="S500" s="1128"/>
      <c r="T500" s="1140"/>
      <c r="AF500" s="1161">
        <v>11</v>
      </c>
    </row>
    <row r="501" spans="1:32" hidden="1" x14ac:dyDescent="0.25">
      <c r="A501" s="1745" t="s">
        <v>8025</v>
      </c>
      <c r="B501" s="1745"/>
      <c r="C501" s="1745"/>
      <c r="D501" s="1745"/>
      <c r="E501" s="1745"/>
      <c r="F501" s="1745"/>
      <c r="G501" s="1745"/>
      <c r="H501" s="1745"/>
      <c r="I501" s="1745"/>
      <c r="J501" s="1745"/>
      <c r="K501" s="1745"/>
      <c r="L501" s="1745"/>
      <c r="M501" s="1745"/>
      <c r="N501" s="1745"/>
      <c r="O501" s="1745"/>
      <c r="P501" s="1745"/>
      <c r="Q501" s="1745"/>
      <c r="R501" s="1745"/>
      <c r="S501" s="1745"/>
      <c r="T501" s="1146"/>
      <c r="AF501" s="1161">
        <v>12</v>
      </c>
    </row>
    <row r="502" spans="1:32" ht="5.0999999999999996" hidden="1" customHeight="1" x14ac:dyDescent="0.25">
      <c r="A502" s="1128"/>
      <c r="B502" s="1128"/>
      <c r="C502" s="1173"/>
      <c r="D502" s="1173"/>
      <c r="E502" s="1128"/>
      <c r="F502" s="1128"/>
      <c r="G502" s="1128"/>
      <c r="H502" s="1128"/>
      <c r="I502" s="1128"/>
      <c r="J502" s="1128"/>
      <c r="K502" s="1128"/>
      <c r="L502" s="1128"/>
      <c r="M502" s="1128"/>
      <c r="N502" s="1128"/>
      <c r="O502" s="1128"/>
      <c r="P502" s="1128"/>
      <c r="Q502" s="1128"/>
      <c r="R502" s="1128"/>
      <c r="S502" s="1128"/>
      <c r="T502" s="1140"/>
      <c r="AF502" s="1161">
        <v>12</v>
      </c>
    </row>
    <row r="503" spans="1:32" hidden="1" x14ac:dyDescent="0.25">
      <c r="A503" s="1128" t="s">
        <v>271</v>
      </c>
      <c r="B503" s="1128"/>
      <c r="C503" s="1159"/>
      <c r="D503" s="1746">
        <f>D213</f>
        <v>0</v>
      </c>
      <c r="E503" s="1746"/>
      <c r="F503" s="1746"/>
      <c r="G503" s="1159"/>
      <c r="H503" s="1174" t="s">
        <v>763</v>
      </c>
      <c r="I503" s="1174"/>
      <c r="J503" s="1159"/>
      <c r="K503" s="1746" t="str">
        <f>IF(COUNT(C515,F515,I515,L515,O515,R515)=0,"",AVERAGE(C515,F515,I515,L515,O515,R515))</f>
        <v/>
      </c>
      <c r="L503" s="1746"/>
      <c r="M503" s="1175"/>
      <c r="N503" s="1175"/>
      <c r="O503" s="1175"/>
      <c r="P503" s="1175"/>
      <c r="Q503" s="1175"/>
      <c r="R503" s="1175"/>
      <c r="S503" s="1175"/>
      <c r="T503" s="1152"/>
      <c r="AF503" s="1161">
        <v>12</v>
      </c>
    </row>
    <row r="504" spans="1:32" hidden="1" x14ac:dyDescent="0.25">
      <c r="A504" s="1128" t="s">
        <v>240</v>
      </c>
      <c r="B504" s="1128"/>
      <c r="C504" s="1159"/>
      <c r="D504" s="1747">
        <f>D214</f>
        <v>0</v>
      </c>
      <c r="E504" s="1747"/>
      <c r="F504" s="1747"/>
      <c r="G504" s="1159"/>
      <c r="H504" s="1174" t="s">
        <v>764</v>
      </c>
      <c r="I504" s="1174"/>
      <c r="J504" s="1159"/>
      <c r="K504" s="1747" t="str">
        <f>IF(ISERROR(SUM(C518,F518,I518,L518,O518,R518)/COUNT(C515,F515,I515,L515,O515,R515)),"",SUM(C518,F518,I518,L518,O518,R518,)/COUNT(C515,F515,I515,L515,O515,R515))</f>
        <v/>
      </c>
      <c r="L504" s="1747"/>
      <c r="M504" s="1175"/>
      <c r="N504" s="1175"/>
      <c r="O504" s="1175"/>
      <c r="P504" s="1175"/>
      <c r="Q504" s="1175"/>
      <c r="R504" s="1175"/>
      <c r="S504" s="1175"/>
      <c r="T504" s="1152"/>
      <c r="AF504" s="1161">
        <v>12</v>
      </c>
    </row>
    <row r="505" spans="1:32" hidden="1" x14ac:dyDescent="0.25">
      <c r="A505" s="1128" t="s">
        <v>265</v>
      </c>
      <c r="B505" s="1128"/>
      <c r="C505" s="1159"/>
      <c r="D505" s="1747">
        <f>D215</f>
        <v>0</v>
      </c>
      <c r="E505" s="1747"/>
      <c r="F505" s="1747"/>
      <c r="G505" s="1159"/>
      <c r="H505" s="1174" t="s">
        <v>765</v>
      </c>
      <c r="I505" s="1174"/>
      <c r="J505" s="1159"/>
      <c r="K505" s="1712" t="str">
        <f>IF(ISERROR(K504/D506),"",K504/D506)</f>
        <v/>
      </c>
      <c r="L505" s="1712"/>
      <c r="M505" s="1175"/>
      <c r="N505" s="1175"/>
      <c r="O505" s="1175"/>
      <c r="P505" s="1175"/>
      <c r="Q505" s="1175"/>
      <c r="R505" s="1175"/>
      <c r="S505" s="1175"/>
      <c r="T505" s="1152"/>
      <c r="AF505" s="1161">
        <v>12</v>
      </c>
    </row>
    <row r="506" spans="1:32" hidden="1" x14ac:dyDescent="0.25">
      <c r="A506" s="1176" t="s">
        <v>767</v>
      </c>
      <c r="B506" s="1176"/>
      <c r="C506" s="1177"/>
      <c r="D506" s="1744">
        <f>M214</f>
        <v>0</v>
      </c>
      <c r="E506" s="1744"/>
      <c r="F506" s="1744"/>
      <c r="G506" s="1128"/>
      <c r="H506" s="1112" t="s">
        <v>8031</v>
      </c>
      <c r="I506" s="1112"/>
      <c r="J506" s="1122"/>
      <c r="K506" s="1734" t="str">
        <f>IF(ISERROR(SUM(C514,F514,I514,L514,O514,R514)/SUM(T514:Y514)),"",SUM(C514,F514,I514,L514,O514,R514)/SUM(T514:Y514))</f>
        <v/>
      </c>
      <c r="L506" s="1734"/>
      <c r="M506" s="1128"/>
      <c r="N506" s="1128"/>
      <c r="O506" s="1128"/>
      <c r="P506" s="1128"/>
      <c r="Q506" s="1128"/>
      <c r="R506" s="1128"/>
      <c r="S506" s="1128"/>
      <c r="T506" s="1140"/>
      <c r="AF506" s="1161">
        <v>12</v>
      </c>
    </row>
    <row r="507" spans="1:32" hidden="1" x14ac:dyDescent="0.25">
      <c r="A507" s="1128"/>
      <c r="B507" s="1128"/>
      <c r="C507" s="1174"/>
      <c r="D507" s="1174"/>
      <c r="E507" s="1128"/>
      <c r="F507" s="1128"/>
      <c r="G507" s="1128"/>
      <c r="H507" s="1128"/>
      <c r="I507" s="1128"/>
      <c r="J507" s="1178"/>
      <c r="K507" s="1178"/>
      <c r="L507" s="1178"/>
      <c r="M507" s="1178"/>
      <c r="N507" s="1178"/>
      <c r="O507" s="1178"/>
      <c r="P507" s="1178"/>
      <c r="Q507" s="1178"/>
      <c r="R507" s="1178"/>
      <c r="S507" s="1011" t="s">
        <v>29</v>
      </c>
      <c r="T507" s="1152"/>
      <c r="U507" s="1158"/>
      <c r="V507" s="1158"/>
      <c r="AF507" s="1161">
        <v>12</v>
      </c>
    </row>
    <row r="508" spans="1:32" hidden="1" x14ac:dyDescent="0.25">
      <c r="A508" s="1179" t="s">
        <v>266</v>
      </c>
      <c r="B508" s="1743">
        <f>$B$31</f>
        <v>43094</v>
      </c>
      <c r="C508" s="1743"/>
      <c r="D508" s="1743"/>
      <c r="E508" s="1743">
        <f>$E$31</f>
        <v>43125</v>
      </c>
      <c r="F508" s="1743"/>
      <c r="G508" s="1743"/>
      <c r="H508" s="1743">
        <f>$H$31</f>
        <v>43156</v>
      </c>
      <c r="I508" s="1743"/>
      <c r="J508" s="1743"/>
      <c r="K508" s="1743">
        <f>$K$31</f>
        <v>43187</v>
      </c>
      <c r="L508" s="1743"/>
      <c r="M508" s="1743"/>
      <c r="N508" s="1743">
        <f>$N$31</f>
        <v>43218</v>
      </c>
      <c r="O508" s="1743"/>
      <c r="P508" s="1743"/>
      <c r="Q508" s="1743">
        <f>$Q$31</f>
        <v>43249</v>
      </c>
      <c r="R508" s="1743"/>
      <c r="S508" s="1743"/>
      <c r="T508" s="1152"/>
      <c r="U508" s="1158"/>
      <c r="V508" s="1158"/>
      <c r="AF508" s="1161">
        <v>12</v>
      </c>
    </row>
    <row r="509" spans="1:32" hidden="1" x14ac:dyDescent="0.25">
      <c r="A509" s="1179" t="s">
        <v>8</v>
      </c>
      <c r="B509" s="1179" t="s">
        <v>26</v>
      </c>
      <c r="C509" s="1739" t="s">
        <v>8030</v>
      </c>
      <c r="D509" s="1740"/>
      <c r="E509" s="1179" t="s">
        <v>26</v>
      </c>
      <c r="F509" s="1741" t="s">
        <v>8030</v>
      </c>
      <c r="G509" s="1742"/>
      <c r="H509" s="1179" t="s">
        <v>26</v>
      </c>
      <c r="I509" s="1741" t="s">
        <v>8030</v>
      </c>
      <c r="J509" s="1742"/>
      <c r="K509" s="1179" t="s">
        <v>26</v>
      </c>
      <c r="L509" s="1741" t="s">
        <v>8030</v>
      </c>
      <c r="M509" s="1742"/>
      <c r="N509" s="1179" t="s">
        <v>26</v>
      </c>
      <c r="O509" s="1741" t="s">
        <v>8030</v>
      </c>
      <c r="P509" s="1742"/>
      <c r="Q509" s="1179" t="s">
        <v>26</v>
      </c>
      <c r="R509" s="1741" t="s">
        <v>8030</v>
      </c>
      <c r="S509" s="1742"/>
      <c r="T509" s="1152"/>
      <c r="U509" s="1158"/>
      <c r="V509" s="1158"/>
      <c r="AF509" s="1161">
        <v>12</v>
      </c>
    </row>
    <row r="510" spans="1:32" hidden="1" x14ac:dyDescent="0.25">
      <c r="A510" s="1170">
        <v>1</v>
      </c>
      <c r="B510" s="1180">
        <v>7</v>
      </c>
      <c r="C510" s="1737" t="str">
        <f>IF(C220&lt;&gt;0,0,"")</f>
        <v/>
      </c>
      <c r="D510" s="1738"/>
      <c r="E510" s="1181">
        <v>7</v>
      </c>
      <c r="F510" s="1737" t="str">
        <f>IF(F220&lt;&gt;0,0,"")</f>
        <v/>
      </c>
      <c r="G510" s="1738"/>
      <c r="H510" s="1170">
        <v>7</v>
      </c>
      <c r="I510" s="1737" t="str">
        <f>IF(I220&lt;&gt;0,0,"")</f>
        <v/>
      </c>
      <c r="J510" s="1738"/>
      <c r="K510" s="1170">
        <v>7</v>
      </c>
      <c r="L510" s="1737" t="str">
        <f>IF(L220&lt;&gt;0,0,"")</f>
        <v/>
      </c>
      <c r="M510" s="1738"/>
      <c r="N510" s="1170">
        <v>7</v>
      </c>
      <c r="O510" s="1737" t="str">
        <f>IF(O220&lt;&gt;0,0,"")</f>
        <v/>
      </c>
      <c r="P510" s="1738"/>
      <c r="Q510" s="1170">
        <v>7</v>
      </c>
      <c r="R510" s="1737" t="str">
        <f>IF(R220&lt;&gt;0,0,"")</f>
        <v/>
      </c>
      <c r="S510" s="1738"/>
      <c r="T510" s="1168">
        <f>IF(C510&lt;&gt;"",IF(C510=0,0,1),0)</f>
        <v>0</v>
      </c>
      <c r="U510" s="1168">
        <f>IF(F510&lt;&gt;"",IF(F510=0,0,1),0)</f>
        <v>0</v>
      </c>
      <c r="V510" s="1169">
        <f>IF(I510&lt;&gt;"",IF(I510=0,0,1),0)</f>
        <v>0</v>
      </c>
      <c r="W510" s="1157">
        <f>IF(L510&lt;&gt;"",IF(L510=0,0,1),0)</f>
        <v>0</v>
      </c>
      <c r="X510" s="1157">
        <f>IF(O510&lt;&gt;"",IF(O510=0,0,1),0)</f>
        <v>0</v>
      </c>
      <c r="Y510" s="1157">
        <f>IF(R510&lt;&gt;"",IF(R510=0,0,1),0)</f>
        <v>0</v>
      </c>
      <c r="AF510" s="1161">
        <v>12</v>
      </c>
    </row>
    <row r="511" spans="1:32" hidden="1" x14ac:dyDescent="0.25">
      <c r="A511" s="1171">
        <v>2</v>
      </c>
      <c r="B511" s="1182">
        <v>14</v>
      </c>
      <c r="C511" s="1735" t="str">
        <f>IF(C221&lt;&gt;0,0,"")</f>
        <v/>
      </c>
      <c r="D511" s="1736"/>
      <c r="E511" s="1183">
        <v>14</v>
      </c>
      <c r="F511" s="1735" t="str">
        <f>IF(F221&lt;&gt;0,0,"")</f>
        <v/>
      </c>
      <c r="G511" s="1736"/>
      <c r="H511" s="1171">
        <v>14</v>
      </c>
      <c r="I511" s="1735" t="str">
        <f>IF(I221&lt;&gt;0,0,"")</f>
        <v/>
      </c>
      <c r="J511" s="1736"/>
      <c r="K511" s="1171">
        <v>14</v>
      </c>
      <c r="L511" s="1735" t="str">
        <f>IF(L221&lt;&gt;0,0,"")</f>
        <v/>
      </c>
      <c r="M511" s="1736"/>
      <c r="N511" s="1171">
        <v>14</v>
      </c>
      <c r="O511" s="1735" t="str">
        <f>IF(O221&lt;&gt;0,0,"")</f>
        <v/>
      </c>
      <c r="P511" s="1736"/>
      <c r="Q511" s="1171">
        <v>14</v>
      </c>
      <c r="R511" s="1735" t="str">
        <f>IF(R221&lt;&gt;0,0,"")</f>
        <v/>
      </c>
      <c r="S511" s="1736"/>
      <c r="T511" s="1168">
        <f>IF(C511&lt;&gt;"",IF(C511=0,0,1),0)</f>
        <v>0</v>
      </c>
      <c r="U511" s="1168">
        <f>IF(F511&lt;&gt;"",IF(F511=0,0,1),0)</f>
        <v>0</v>
      </c>
      <c r="V511" s="1169">
        <f>IF(I511&lt;&gt;"",IF(I511=0,0,1),0)</f>
        <v>0</v>
      </c>
      <c r="W511" s="1157">
        <f>IF(L511&lt;&gt;"",IF(L511=0,0,1),0)</f>
        <v>0</v>
      </c>
      <c r="X511" s="1157">
        <f>IF(O511&lt;&gt;"",IF(O511=0,0,1),0)</f>
        <v>0</v>
      </c>
      <c r="Y511" s="1157">
        <f>IF(R511&lt;&gt;"",IF(R511=0,0,1),0)</f>
        <v>0</v>
      </c>
      <c r="AF511" s="1161">
        <v>12</v>
      </c>
    </row>
    <row r="512" spans="1:32" hidden="1" x14ac:dyDescent="0.25">
      <c r="A512" s="1171">
        <v>3</v>
      </c>
      <c r="B512" s="1182">
        <v>22</v>
      </c>
      <c r="C512" s="1758" t="str">
        <f>IF(C222&lt;&gt;0,0,"")</f>
        <v/>
      </c>
      <c r="D512" s="1759"/>
      <c r="E512" s="1183">
        <v>22</v>
      </c>
      <c r="F512" s="1758" t="str">
        <f>IF(F222&lt;&gt;0,0,"")</f>
        <v/>
      </c>
      <c r="G512" s="1759"/>
      <c r="H512" s="1171">
        <v>22</v>
      </c>
      <c r="I512" s="1758" t="str">
        <f>IF(I222&lt;&gt;0,0,"")</f>
        <v/>
      </c>
      <c r="J512" s="1759"/>
      <c r="K512" s="1171">
        <v>22</v>
      </c>
      <c r="L512" s="1758" t="str">
        <f>IF(L222&lt;&gt;0,0,"")</f>
        <v/>
      </c>
      <c r="M512" s="1759"/>
      <c r="N512" s="1171">
        <v>22</v>
      </c>
      <c r="O512" s="1758" t="str">
        <f>IF(O222&lt;&gt;0,0,"")</f>
        <v/>
      </c>
      <c r="P512" s="1759"/>
      <c r="Q512" s="1171">
        <v>22</v>
      </c>
      <c r="R512" s="1758" t="str">
        <f>IF(R222&lt;&gt;0,0,"")</f>
        <v/>
      </c>
      <c r="S512" s="1759"/>
      <c r="T512" s="1168">
        <f>IF(C512&lt;&gt;"",IF(C512=0,0,1),0)</f>
        <v>0</v>
      </c>
      <c r="U512" s="1168">
        <f>IF(F512&lt;&gt;"",IF(F512=0,0,1),0)</f>
        <v>0</v>
      </c>
      <c r="V512" s="1169">
        <f>IF(I512&lt;&gt;"",IF(I512=0,0,1),0)</f>
        <v>0</v>
      </c>
      <c r="W512" s="1157">
        <f>IF(L512&lt;&gt;"",IF(L512=0,0,1),0)</f>
        <v>0</v>
      </c>
      <c r="X512" s="1157">
        <f>IF(O512&lt;&gt;"",IF(O512=0,0,1),0)</f>
        <v>0</v>
      </c>
      <c r="Y512" s="1157">
        <f>IF(R512&lt;&gt;"",IF(R512=0,0,1),0)</f>
        <v>0</v>
      </c>
      <c r="AF512" s="1161">
        <v>12</v>
      </c>
    </row>
    <row r="513" spans="1:32" hidden="1" x14ac:dyDescent="0.25">
      <c r="A513" s="1172">
        <v>4</v>
      </c>
      <c r="B513" s="1184">
        <v>31</v>
      </c>
      <c r="C513" s="1756" t="str">
        <f>IF(C223&lt;&gt;0,0,"")</f>
        <v/>
      </c>
      <c r="D513" s="1757"/>
      <c r="E513" s="1185">
        <v>31</v>
      </c>
      <c r="F513" s="1756" t="str">
        <f>IF(F223&lt;&gt;0,0,"")</f>
        <v/>
      </c>
      <c r="G513" s="1757"/>
      <c r="H513" s="1172">
        <v>31</v>
      </c>
      <c r="I513" s="1756" t="str">
        <f>IF(I223&lt;&gt;0,0,"")</f>
        <v/>
      </c>
      <c r="J513" s="1757"/>
      <c r="K513" s="1172">
        <v>31</v>
      </c>
      <c r="L513" s="1756" t="str">
        <f>IF(L223&lt;&gt;0,0,"")</f>
        <v/>
      </c>
      <c r="M513" s="1757"/>
      <c r="N513" s="1172">
        <v>31</v>
      </c>
      <c r="O513" s="1756" t="str">
        <f>IF(O223&lt;&gt;0,0,"")</f>
        <v/>
      </c>
      <c r="P513" s="1757"/>
      <c r="Q513" s="1172">
        <v>31</v>
      </c>
      <c r="R513" s="1756" t="str">
        <f>IF(R223&lt;&gt;0,0,"")</f>
        <v/>
      </c>
      <c r="S513" s="1757"/>
      <c r="T513" s="1168">
        <f>IF(C513&lt;&gt;"",IF(C513=0,0,1),0)</f>
        <v>0</v>
      </c>
      <c r="U513" s="1168">
        <f>IF(F513&lt;&gt;"",IF(F513=0,0,1),0)</f>
        <v>0</v>
      </c>
      <c r="V513" s="1169">
        <f>IF(I513&lt;&gt;"",IF(I513=0,0,1),0)</f>
        <v>0</v>
      </c>
      <c r="W513" s="1157">
        <f>IF(L513&lt;&gt;"",IF(L513=0,0,1),0)</f>
        <v>0</v>
      </c>
      <c r="X513" s="1157">
        <f>IF(O513&lt;&gt;"",IF(O513=0,0,1),0)</f>
        <v>0</v>
      </c>
      <c r="Y513" s="1157">
        <f>IF(R513&lt;&gt;"",IF(R513=0,0,1),0)</f>
        <v>0</v>
      </c>
      <c r="AF513" s="1161">
        <v>12</v>
      </c>
    </row>
    <row r="514" spans="1:32" hidden="1" x14ac:dyDescent="0.25">
      <c r="A514" s="1753" t="s">
        <v>7997</v>
      </c>
      <c r="B514" s="1753"/>
      <c r="C514" s="1754">
        <f>IF(ISERROR(SUM(C510:D513)/SUM(T510:T513)),0,SUM(C510:D513)/SUM(T510:T513))</f>
        <v>0</v>
      </c>
      <c r="D514" s="1755"/>
      <c r="E514" s="1212" t="s">
        <v>7373</v>
      </c>
      <c r="F514" s="1754">
        <f>IF(ISERROR(SUM(F510:G513)/SUM(U510:U513)),0,SUM(F510:G513)/SUM(U510:U513))</f>
        <v>0</v>
      </c>
      <c r="G514" s="1755"/>
      <c r="H514" s="1212"/>
      <c r="I514" s="1754">
        <f>IF(ISERROR(SUM(I510:J513)/SUM(V510:V513)),0,SUM(I510:J513)/SUM(V510:V513))</f>
        <v>0</v>
      </c>
      <c r="J514" s="1755"/>
      <c r="K514" s="1212"/>
      <c r="L514" s="1754">
        <f>IF(ISERROR(SUM(L510:M513)/SUM(W510:W513)),0,SUM(L510:M513)/SUM(W510:W513))</f>
        <v>0</v>
      </c>
      <c r="M514" s="1755"/>
      <c r="N514" s="1212"/>
      <c r="O514" s="1754">
        <f>IF(ISERROR(SUM(O510:P513)/SUM(X510:X513)),0,SUM(O510:P513)/SUM(X510:X513))</f>
        <v>0</v>
      </c>
      <c r="P514" s="1755"/>
      <c r="Q514" s="1212"/>
      <c r="R514" s="1754">
        <f>IF(ISERROR(SUM(R510:S513)/SUM(Y510:Y513)),0,SUM(R510:S513)/SUM(Y510:Y513))</f>
        <v>0</v>
      </c>
      <c r="S514" s="1755"/>
      <c r="T514" s="1168">
        <f t="shared" ref="T514:Y514" si="14">IF(SUM(T510:T513)&lt;&gt;0,1,0)</f>
        <v>0</v>
      </c>
      <c r="U514" s="1168">
        <f t="shared" si="14"/>
        <v>0</v>
      </c>
      <c r="V514" s="1168">
        <f t="shared" si="14"/>
        <v>0</v>
      </c>
      <c r="W514" s="1168">
        <f t="shared" si="14"/>
        <v>0</v>
      </c>
      <c r="X514" s="1168">
        <f t="shared" si="14"/>
        <v>0</v>
      </c>
      <c r="Y514" s="1168">
        <f t="shared" si="14"/>
        <v>0</v>
      </c>
      <c r="AF514" s="1161">
        <v>12</v>
      </c>
    </row>
    <row r="515" spans="1:32" ht="15" hidden="1" customHeight="1" x14ac:dyDescent="0.25">
      <c r="A515" s="1753" t="s">
        <v>2980</v>
      </c>
      <c r="B515" s="1753"/>
      <c r="C515" s="1748"/>
      <c r="D515" s="1748"/>
      <c r="E515" s="1118"/>
      <c r="F515" s="1748"/>
      <c r="G515" s="1748"/>
      <c r="H515" s="1118"/>
      <c r="I515" s="1748"/>
      <c r="J515" s="1748"/>
      <c r="K515" s="1118"/>
      <c r="L515" s="1748"/>
      <c r="M515" s="1748"/>
      <c r="N515" s="1118"/>
      <c r="O515" s="1748"/>
      <c r="P515" s="1748"/>
      <c r="Q515" s="1118"/>
      <c r="R515" s="1748"/>
      <c r="S515" s="1748"/>
      <c r="T515" s="1152"/>
      <c r="U515" s="1158"/>
      <c r="V515" s="1158"/>
      <c r="AF515" s="1161">
        <v>12</v>
      </c>
    </row>
    <row r="516" spans="1:32" hidden="1" x14ac:dyDescent="0.25">
      <c r="A516" s="1210" t="s">
        <v>272</v>
      </c>
      <c r="B516" s="1210"/>
      <c r="C516" s="1748"/>
      <c r="D516" s="1748"/>
      <c r="E516" s="1118"/>
      <c r="F516" s="1748"/>
      <c r="G516" s="1748"/>
      <c r="H516" s="1118"/>
      <c r="I516" s="1748"/>
      <c r="J516" s="1748"/>
      <c r="K516" s="1213"/>
      <c r="L516" s="1748"/>
      <c r="M516" s="1748"/>
      <c r="N516" s="1213"/>
      <c r="O516" s="1748"/>
      <c r="P516" s="1748"/>
      <c r="Q516" s="1213"/>
      <c r="R516" s="1748"/>
      <c r="S516" s="1748"/>
      <c r="T516" s="1152"/>
      <c r="U516" s="1158"/>
      <c r="V516" s="1158"/>
      <c r="AF516" s="1161">
        <v>12</v>
      </c>
    </row>
    <row r="517" spans="1:32" hidden="1" x14ac:dyDescent="0.25">
      <c r="A517" s="1210" t="s">
        <v>273</v>
      </c>
      <c r="B517" s="1210"/>
      <c r="C517" s="1748"/>
      <c r="D517" s="1748"/>
      <c r="E517" s="1118"/>
      <c r="F517" s="1748"/>
      <c r="G517" s="1748"/>
      <c r="H517" s="1118"/>
      <c r="I517" s="1748"/>
      <c r="J517" s="1748"/>
      <c r="K517" s="1213"/>
      <c r="L517" s="1748"/>
      <c r="M517" s="1748"/>
      <c r="N517" s="1213"/>
      <c r="O517" s="1748"/>
      <c r="P517" s="1748"/>
      <c r="Q517" s="1213"/>
      <c r="R517" s="1748"/>
      <c r="S517" s="1748"/>
      <c r="T517" s="1152"/>
      <c r="U517" s="1158"/>
      <c r="V517" s="1158"/>
      <c r="AF517" s="1161">
        <v>12</v>
      </c>
    </row>
    <row r="518" spans="1:32" hidden="1" x14ac:dyDescent="0.25">
      <c r="A518" s="1749" t="s">
        <v>274</v>
      </c>
      <c r="B518" s="1750"/>
      <c r="C518" s="1752">
        <f>C516-C517</f>
        <v>0</v>
      </c>
      <c r="D518" s="1752"/>
      <c r="E518" s="1118"/>
      <c r="F518" s="1752">
        <f>F516-F517</f>
        <v>0</v>
      </c>
      <c r="G518" s="1752"/>
      <c r="H518" s="1118"/>
      <c r="I518" s="1752">
        <f>I516-I517</f>
        <v>0</v>
      </c>
      <c r="J518" s="1752"/>
      <c r="K518" s="1213"/>
      <c r="L518" s="1752">
        <f>L516-L517</f>
        <v>0</v>
      </c>
      <c r="M518" s="1752"/>
      <c r="N518" s="1213"/>
      <c r="O518" s="1752">
        <f>O516-O517</f>
        <v>0</v>
      </c>
      <c r="P518" s="1752"/>
      <c r="Q518" s="1213"/>
      <c r="R518" s="1752">
        <f>R516-R517</f>
        <v>0</v>
      </c>
      <c r="S518" s="1752"/>
      <c r="T518" s="1152"/>
      <c r="U518" s="1158"/>
      <c r="V518" s="1158"/>
      <c r="AF518" s="1161">
        <v>12</v>
      </c>
    </row>
    <row r="519" spans="1:32" hidden="1" x14ac:dyDescent="0.25">
      <c r="A519" s="1749" t="s">
        <v>275</v>
      </c>
      <c r="B519" s="1750"/>
      <c r="C519" s="1751" t="str">
        <f>IF(SUM($D$506)=0,"",C518/$D$506)</f>
        <v/>
      </c>
      <c r="D519" s="1752"/>
      <c r="E519" s="1214"/>
      <c r="F519" s="1751" t="str">
        <f>IF(SUM($D$506)=0,"",F518/$D$506)</f>
        <v/>
      </c>
      <c r="G519" s="1752"/>
      <c r="H519" s="1214"/>
      <c r="I519" s="1751" t="str">
        <f>IF(SUM($D$506)=0,"",I518/$D$506)</f>
        <v/>
      </c>
      <c r="J519" s="1752"/>
      <c r="K519" s="1215"/>
      <c r="L519" s="1751" t="str">
        <f>IF(SUM($D$506)=0,"",L518/$D$506)</f>
        <v/>
      </c>
      <c r="M519" s="1752"/>
      <c r="N519" s="1215"/>
      <c r="O519" s="1751" t="str">
        <f>IF(SUM($D$506)=0,"",O518/$D$506)</f>
        <v/>
      </c>
      <c r="P519" s="1752"/>
      <c r="Q519" s="1215"/>
      <c r="R519" s="1751" t="str">
        <f>IF(SUM($D$506)=0,"",R518/$D$506)</f>
        <v/>
      </c>
      <c r="S519" s="1752"/>
      <c r="T519" s="1152"/>
      <c r="U519" s="1158"/>
      <c r="V519" s="1158"/>
      <c r="AF519" s="1161">
        <v>12</v>
      </c>
    </row>
    <row r="520" spans="1:32" hidden="1" x14ac:dyDescent="0.25">
      <c r="A520" s="1128"/>
      <c r="B520" s="1128"/>
      <c r="C520" s="1128"/>
      <c r="D520" s="1128"/>
      <c r="E520" s="1128"/>
      <c r="F520" s="1128"/>
      <c r="G520" s="1128"/>
      <c r="H520" s="1128"/>
      <c r="I520" s="1128"/>
      <c r="J520" s="1128"/>
      <c r="K520" s="1128"/>
      <c r="L520" s="1128"/>
      <c r="M520" s="1128"/>
      <c r="N520" s="1128"/>
      <c r="O520" s="1128"/>
      <c r="P520" s="1128"/>
      <c r="Q520" s="1128"/>
      <c r="R520" s="1128"/>
      <c r="S520" s="1128"/>
      <c r="T520" s="1140"/>
      <c r="AF520" s="1161">
        <v>12</v>
      </c>
    </row>
    <row r="521" spans="1:32" hidden="1" x14ac:dyDescent="0.25">
      <c r="A521" s="1745" t="s">
        <v>8026</v>
      </c>
      <c r="B521" s="1745"/>
      <c r="C521" s="1745"/>
      <c r="D521" s="1745"/>
      <c r="E521" s="1745"/>
      <c r="F521" s="1745"/>
      <c r="G521" s="1745"/>
      <c r="H521" s="1745"/>
      <c r="I521" s="1745"/>
      <c r="J521" s="1745"/>
      <c r="K521" s="1745"/>
      <c r="L521" s="1745"/>
      <c r="M521" s="1745"/>
      <c r="N521" s="1745"/>
      <c r="O521" s="1745"/>
      <c r="P521" s="1745"/>
      <c r="Q521" s="1745"/>
      <c r="R521" s="1745"/>
      <c r="S521" s="1745"/>
      <c r="T521" s="1146"/>
      <c r="AF521" s="1161">
        <v>13</v>
      </c>
    </row>
    <row r="522" spans="1:32" ht="5.0999999999999996" hidden="1" customHeight="1" x14ac:dyDescent="0.25">
      <c r="A522" s="1128"/>
      <c r="B522" s="1128"/>
      <c r="C522" s="1173"/>
      <c r="D522" s="1173"/>
      <c r="E522" s="1128"/>
      <c r="F522" s="1128"/>
      <c r="G522" s="1128"/>
      <c r="H522" s="1128"/>
      <c r="I522" s="1128"/>
      <c r="J522" s="1128"/>
      <c r="K522" s="1128"/>
      <c r="L522" s="1128"/>
      <c r="M522" s="1128"/>
      <c r="N522" s="1128"/>
      <c r="O522" s="1128"/>
      <c r="P522" s="1128"/>
      <c r="Q522" s="1128"/>
      <c r="R522" s="1128"/>
      <c r="S522" s="1128"/>
      <c r="T522" s="1140"/>
      <c r="AF522" s="1161">
        <v>13</v>
      </c>
    </row>
    <row r="523" spans="1:32" hidden="1" x14ac:dyDescent="0.25">
      <c r="A523" s="1128" t="s">
        <v>271</v>
      </c>
      <c r="B523" s="1128"/>
      <c r="C523" s="1159"/>
      <c r="D523" s="1746">
        <f>D230</f>
        <v>0</v>
      </c>
      <c r="E523" s="1746"/>
      <c r="F523" s="1746"/>
      <c r="G523" s="1159"/>
      <c r="H523" s="1174" t="s">
        <v>763</v>
      </c>
      <c r="I523" s="1174"/>
      <c r="J523" s="1159"/>
      <c r="K523" s="1746" t="str">
        <f>IF(COUNT(C535,F535,I535,L535,O535,R535)=0,"",AVERAGE(C535,F535,I535,L535,O535,R535))</f>
        <v/>
      </c>
      <c r="L523" s="1746"/>
      <c r="M523" s="1175"/>
      <c r="N523" s="1175"/>
      <c r="O523" s="1175"/>
      <c r="P523" s="1175"/>
      <c r="Q523" s="1175"/>
      <c r="R523" s="1175"/>
      <c r="S523" s="1175"/>
      <c r="T523" s="1152"/>
      <c r="AF523" s="1161">
        <v>13</v>
      </c>
    </row>
    <row r="524" spans="1:32" hidden="1" x14ac:dyDescent="0.25">
      <c r="A524" s="1128" t="s">
        <v>240</v>
      </c>
      <c r="B524" s="1128"/>
      <c r="C524" s="1159"/>
      <c r="D524" s="1747">
        <f>D231</f>
        <v>0</v>
      </c>
      <c r="E524" s="1747"/>
      <c r="F524" s="1747"/>
      <c r="G524" s="1159"/>
      <c r="H524" s="1174" t="s">
        <v>764</v>
      </c>
      <c r="I524" s="1174"/>
      <c r="J524" s="1159"/>
      <c r="K524" s="1747" t="str">
        <f>IF(ISERROR(SUM(C538,F538,I538,L538,O538,R538)/COUNT(C535,F535,I535,L535,O535,R535)),"",SUM(C538,F538,I538,L538,O538,R538,)/COUNT(C535,F535,I535,L535,O535,R535))</f>
        <v/>
      </c>
      <c r="L524" s="1747"/>
      <c r="M524" s="1175"/>
      <c r="N524" s="1175"/>
      <c r="O524" s="1175"/>
      <c r="P524" s="1175"/>
      <c r="Q524" s="1175"/>
      <c r="R524" s="1175"/>
      <c r="S524" s="1175"/>
      <c r="T524" s="1152"/>
      <c r="AF524" s="1161">
        <v>13</v>
      </c>
    </row>
    <row r="525" spans="1:32" hidden="1" x14ac:dyDescent="0.25">
      <c r="A525" s="1128" t="s">
        <v>265</v>
      </c>
      <c r="B525" s="1128"/>
      <c r="C525" s="1159"/>
      <c r="D525" s="1747">
        <f>D232</f>
        <v>0</v>
      </c>
      <c r="E525" s="1747"/>
      <c r="F525" s="1747"/>
      <c r="G525" s="1159"/>
      <c r="H525" s="1174" t="s">
        <v>765</v>
      </c>
      <c r="I525" s="1174"/>
      <c r="J525" s="1159"/>
      <c r="K525" s="1712" t="str">
        <f>IF(ISERROR(K524/D526),"",K524/D526)</f>
        <v/>
      </c>
      <c r="L525" s="1712"/>
      <c r="M525" s="1175"/>
      <c r="N525" s="1175"/>
      <c r="O525" s="1175"/>
      <c r="P525" s="1175"/>
      <c r="Q525" s="1175"/>
      <c r="R525" s="1175"/>
      <c r="S525" s="1175"/>
      <c r="T525" s="1152"/>
      <c r="AF525" s="1161">
        <v>13</v>
      </c>
    </row>
    <row r="526" spans="1:32" hidden="1" x14ac:dyDescent="0.25">
      <c r="A526" s="1176" t="s">
        <v>767</v>
      </c>
      <c r="B526" s="1176"/>
      <c r="C526" s="1177"/>
      <c r="D526" s="1744">
        <f>M231</f>
        <v>0</v>
      </c>
      <c r="E526" s="1744"/>
      <c r="F526" s="1744"/>
      <c r="G526" s="1128"/>
      <c r="H526" s="1112" t="s">
        <v>8031</v>
      </c>
      <c r="I526" s="1112"/>
      <c r="J526" s="1122"/>
      <c r="K526" s="1734" t="str">
        <f>IF(ISERROR(SUM(C534,F534,I534,L534,O534,R534)/SUM(T534:Y534)),"",SUM(C534,F534,I534,L534,O534,R534)/SUM(T534:Y534))</f>
        <v/>
      </c>
      <c r="L526" s="1734"/>
      <c r="M526" s="1128"/>
      <c r="N526" s="1128"/>
      <c r="O526" s="1128"/>
      <c r="P526" s="1128"/>
      <c r="Q526" s="1128"/>
      <c r="R526" s="1128"/>
      <c r="S526" s="1128"/>
      <c r="T526" s="1140"/>
      <c r="AF526" s="1161">
        <v>13</v>
      </c>
    </row>
    <row r="527" spans="1:32" hidden="1" x14ac:dyDescent="0.25">
      <c r="A527" s="1128"/>
      <c r="B527" s="1128"/>
      <c r="C527" s="1174"/>
      <c r="D527" s="1174"/>
      <c r="E527" s="1128"/>
      <c r="F527" s="1128"/>
      <c r="G527" s="1128"/>
      <c r="H527" s="1128"/>
      <c r="I527" s="1128"/>
      <c r="J527" s="1178"/>
      <c r="K527" s="1178"/>
      <c r="L527" s="1178"/>
      <c r="M527" s="1178"/>
      <c r="N527" s="1178"/>
      <c r="O527" s="1178"/>
      <c r="P527" s="1178"/>
      <c r="Q527" s="1178"/>
      <c r="R527" s="1178"/>
      <c r="S527" s="1011" t="s">
        <v>29</v>
      </c>
      <c r="T527" s="1152"/>
      <c r="U527" s="1158"/>
      <c r="V527" s="1158"/>
      <c r="AF527" s="1161">
        <v>13</v>
      </c>
    </row>
    <row r="528" spans="1:32" hidden="1" x14ac:dyDescent="0.25">
      <c r="A528" s="1179" t="s">
        <v>266</v>
      </c>
      <c r="B528" s="1743">
        <f>$B$31</f>
        <v>43094</v>
      </c>
      <c r="C528" s="1743"/>
      <c r="D528" s="1743"/>
      <c r="E528" s="1743">
        <f>$E$31</f>
        <v>43125</v>
      </c>
      <c r="F528" s="1743"/>
      <c r="G528" s="1743"/>
      <c r="H528" s="1743">
        <f>$H$31</f>
        <v>43156</v>
      </c>
      <c r="I528" s="1743"/>
      <c r="J528" s="1743"/>
      <c r="K528" s="1743">
        <f>$K$31</f>
        <v>43187</v>
      </c>
      <c r="L528" s="1743"/>
      <c r="M528" s="1743"/>
      <c r="N528" s="1743">
        <f>$N$31</f>
        <v>43218</v>
      </c>
      <c r="O528" s="1743"/>
      <c r="P528" s="1743"/>
      <c r="Q528" s="1743">
        <f>$Q$31</f>
        <v>43249</v>
      </c>
      <c r="R528" s="1743"/>
      <c r="S528" s="1743"/>
      <c r="T528" s="1152"/>
      <c r="U528" s="1158"/>
      <c r="V528" s="1158"/>
      <c r="AF528" s="1161">
        <v>13</v>
      </c>
    </row>
    <row r="529" spans="1:32" hidden="1" x14ac:dyDescent="0.25">
      <c r="A529" s="1179" t="s">
        <v>8</v>
      </c>
      <c r="B529" s="1179" t="s">
        <v>26</v>
      </c>
      <c r="C529" s="1739" t="s">
        <v>8030</v>
      </c>
      <c r="D529" s="1740"/>
      <c r="E529" s="1179" t="s">
        <v>26</v>
      </c>
      <c r="F529" s="1741" t="s">
        <v>8030</v>
      </c>
      <c r="G529" s="1742"/>
      <c r="H529" s="1179" t="s">
        <v>26</v>
      </c>
      <c r="I529" s="1741" t="s">
        <v>8030</v>
      </c>
      <c r="J529" s="1742"/>
      <c r="K529" s="1179" t="s">
        <v>26</v>
      </c>
      <c r="L529" s="1741" t="s">
        <v>8030</v>
      </c>
      <c r="M529" s="1742"/>
      <c r="N529" s="1179" t="s">
        <v>26</v>
      </c>
      <c r="O529" s="1741" t="s">
        <v>8030</v>
      </c>
      <c r="P529" s="1742"/>
      <c r="Q529" s="1179" t="s">
        <v>26</v>
      </c>
      <c r="R529" s="1741" t="s">
        <v>8030</v>
      </c>
      <c r="S529" s="1742"/>
      <c r="T529" s="1152"/>
      <c r="U529" s="1158"/>
      <c r="V529" s="1158"/>
      <c r="AF529" s="1161">
        <v>13</v>
      </c>
    </row>
    <row r="530" spans="1:32" hidden="1" x14ac:dyDescent="0.25">
      <c r="A530" s="1170">
        <v>1</v>
      </c>
      <c r="B530" s="1180">
        <v>7</v>
      </c>
      <c r="C530" s="1760" t="str">
        <f>IF(C237&lt;&gt;0,0,"")</f>
        <v/>
      </c>
      <c r="D530" s="1761"/>
      <c r="E530" s="1181">
        <v>7</v>
      </c>
      <c r="F530" s="1760" t="str">
        <f>IF(F237&lt;&gt;0,0,"")</f>
        <v/>
      </c>
      <c r="G530" s="1761"/>
      <c r="H530" s="1170">
        <v>7</v>
      </c>
      <c r="I530" s="1760" t="str">
        <f>IF(I237&lt;&gt;0,0,"")</f>
        <v/>
      </c>
      <c r="J530" s="1761"/>
      <c r="K530" s="1170">
        <v>7</v>
      </c>
      <c r="L530" s="1760" t="str">
        <f>IF(L237&lt;&gt;0,0,"")</f>
        <v/>
      </c>
      <c r="M530" s="1761"/>
      <c r="N530" s="1170">
        <v>7</v>
      </c>
      <c r="O530" s="1760" t="str">
        <f>IF(O237&lt;&gt;0,0,"")</f>
        <v/>
      </c>
      <c r="P530" s="1761"/>
      <c r="Q530" s="1170">
        <v>7</v>
      </c>
      <c r="R530" s="1760" t="str">
        <f>IF(R237&lt;&gt;0,0,"")</f>
        <v/>
      </c>
      <c r="S530" s="1761"/>
      <c r="T530" s="1168">
        <f>IF(C530&lt;&gt;"",IF(C530=0,0,1),0)</f>
        <v>0</v>
      </c>
      <c r="U530" s="1168">
        <f>IF(F530&lt;&gt;"",IF(F530=0,0,1),0)</f>
        <v>0</v>
      </c>
      <c r="V530" s="1169">
        <f>IF(I530&lt;&gt;"",IF(I530=0,0,1),0)</f>
        <v>0</v>
      </c>
      <c r="W530" s="1157">
        <f>IF(L530&lt;&gt;"",IF(L530=0,0,1),0)</f>
        <v>0</v>
      </c>
      <c r="X530" s="1157">
        <f>IF(O530&lt;&gt;"",IF(O530=0,0,1),0)</f>
        <v>0</v>
      </c>
      <c r="Y530" s="1157">
        <f>IF(R530&lt;&gt;"",IF(R530=0,0,1),0)</f>
        <v>0</v>
      </c>
      <c r="AF530" s="1161">
        <v>13</v>
      </c>
    </row>
    <row r="531" spans="1:32" hidden="1" x14ac:dyDescent="0.25">
      <c r="A531" s="1171">
        <v>2</v>
      </c>
      <c r="B531" s="1182">
        <v>14</v>
      </c>
      <c r="C531" s="1762" t="str">
        <f>IF(C238&lt;&gt;0,0,"")</f>
        <v/>
      </c>
      <c r="D531" s="1763"/>
      <c r="E531" s="1183">
        <v>14</v>
      </c>
      <c r="F531" s="1762" t="str">
        <f>IF(F238&lt;&gt;0,0,"")</f>
        <v/>
      </c>
      <c r="G531" s="1763"/>
      <c r="H531" s="1171">
        <v>14</v>
      </c>
      <c r="I531" s="1762" t="str">
        <f>IF(I238&lt;&gt;0,0,"")</f>
        <v/>
      </c>
      <c r="J531" s="1763"/>
      <c r="K531" s="1171">
        <v>14</v>
      </c>
      <c r="L531" s="1762" t="str">
        <f>IF(L238&lt;&gt;0,0,"")</f>
        <v/>
      </c>
      <c r="M531" s="1763"/>
      <c r="N531" s="1171">
        <v>14</v>
      </c>
      <c r="O531" s="1762" t="str">
        <f>IF(O238&lt;&gt;0,0,"")</f>
        <v/>
      </c>
      <c r="P531" s="1763"/>
      <c r="Q531" s="1171">
        <v>14</v>
      </c>
      <c r="R531" s="1762" t="str">
        <f>IF(R238&lt;&gt;0,0,"")</f>
        <v/>
      </c>
      <c r="S531" s="1763"/>
      <c r="T531" s="1168">
        <f>IF(C531&lt;&gt;"",IF(C531=0,0,1),0)</f>
        <v>0</v>
      </c>
      <c r="U531" s="1168">
        <f>IF(F531&lt;&gt;"",IF(F531=0,0,1),0)</f>
        <v>0</v>
      </c>
      <c r="V531" s="1169">
        <f>IF(I531&lt;&gt;"",IF(I531=0,0,1),0)</f>
        <v>0</v>
      </c>
      <c r="W531" s="1157">
        <f>IF(L531&lt;&gt;"",IF(L531=0,0,1),0)</f>
        <v>0</v>
      </c>
      <c r="X531" s="1157">
        <f>IF(O531&lt;&gt;"",IF(O531=0,0,1),0)</f>
        <v>0</v>
      </c>
      <c r="Y531" s="1157">
        <f>IF(R531&lt;&gt;"",IF(R531=0,0,1),0)</f>
        <v>0</v>
      </c>
      <c r="AF531" s="1161">
        <v>13</v>
      </c>
    </row>
    <row r="532" spans="1:32" hidden="1" x14ac:dyDescent="0.25">
      <c r="A532" s="1171">
        <v>3</v>
      </c>
      <c r="B532" s="1182">
        <v>22</v>
      </c>
      <c r="C532" s="1735" t="str">
        <f>IF(C239&lt;&gt;0,0,"")</f>
        <v/>
      </c>
      <c r="D532" s="1736"/>
      <c r="E532" s="1183">
        <v>22</v>
      </c>
      <c r="F532" s="1735" t="str">
        <f>IF(F239&lt;&gt;0,0,"")</f>
        <v/>
      </c>
      <c r="G532" s="1736"/>
      <c r="H532" s="1171">
        <v>22</v>
      </c>
      <c r="I532" s="1735" t="str">
        <f>IF(I239&lt;&gt;0,0,"")</f>
        <v/>
      </c>
      <c r="J532" s="1736"/>
      <c r="K532" s="1171">
        <v>22</v>
      </c>
      <c r="L532" s="1735" t="str">
        <f>IF(L239&lt;&gt;0,0,"")</f>
        <v/>
      </c>
      <c r="M532" s="1736"/>
      <c r="N532" s="1171">
        <v>22</v>
      </c>
      <c r="O532" s="1735" t="str">
        <f>IF(O239&lt;&gt;0,0,"")</f>
        <v/>
      </c>
      <c r="P532" s="1736"/>
      <c r="Q532" s="1171">
        <v>22</v>
      </c>
      <c r="R532" s="1735" t="str">
        <f>IF(R239&lt;&gt;0,0,"")</f>
        <v/>
      </c>
      <c r="S532" s="1736"/>
      <c r="T532" s="1168">
        <f>IF(C532&lt;&gt;"",IF(C532=0,0,1),0)</f>
        <v>0</v>
      </c>
      <c r="U532" s="1168">
        <f>IF(F532&lt;&gt;"",IF(F532=0,0,1),0)</f>
        <v>0</v>
      </c>
      <c r="V532" s="1169">
        <f>IF(I532&lt;&gt;"",IF(I532=0,0,1),0)</f>
        <v>0</v>
      </c>
      <c r="W532" s="1157">
        <f>IF(L532&lt;&gt;"",IF(L532=0,0,1),0)</f>
        <v>0</v>
      </c>
      <c r="X532" s="1157">
        <f>IF(O532&lt;&gt;"",IF(O532=0,0,1),0)</f>
        <v>0</v>
      </c>
      <c r="Y532" s="1157">
        <f>IF(R532&lt;&gt;"",IF(R532=0,0,1),0)</f>
        <v>0</v>
      </c>
      <c r="AF532" s="1161">
        <v>13</v>
      </c>
    </row>
    <row r="533" spans="1:32" hidden="1" x14ac:dyDescent="0.25">
      <c r="A533" s="1172">
        <v>4</v>
      </c>
      <c r="B533" s="1184">
        <v>31</v>
      </c>
      <c r="C533" s="1756" t="str">
        <f>IF(C240&lt;&gt;0,0,"")</f>
        <v/>
      </c>
      <c r="D533" s="1757"/>
      <c r="E533" s="1185">
        <v>31</v>
      </c>
      <c r="F533" s="1756" t="str">
        <f>IF(F240&lt;&gt;0,0,"")</f>
        <v/>
      </c>
      <c r="G533" s="1757"/>
      <c r="H533" s="1172">
        <v>31</v>
      </c>
      <c r="I533" s="1756" t="str">
        <f>IF(I240&lt;&gt;0,0,"")</f>
        <v/>
      </c>
      <c r="J533" s="1757"/>
      <c r="K533" s="1172">
        <v>31</v>
      </c>
      <c r="L533" s="1756" t="str">
        <f>IF(L240&lt;&gt;0,0,"")</f>
        <v/>
      </c>
      <c r="M533" s="1757"/>
      <c r="N533" s="1172">
        <v>31</v>
      </c>
      <c r="O533" s="1756" t="str">
        <f>IF(O240&lt;&gt;0,0,"")</f>
        <v/>
      </c>
      <c r="P533" s="1757"/>
      <c r="Q533" s="1172">
        <v>31</v>
      </c>
      <c r="R533" s="1756" t="str">
        <f>IF(R240&lt;&gt;0,0,"")</f>
        <v/>
      </c>
      <c r="S533" s="1757"/>
      <c r="T533" s="1168">
        <f>IF(C533&lt;&gt;"",IF(C533=0,0,1),0)</f>
        <v>0</v>
      </c>
      <c r="U533" s="1168">
        <f>IF(F533&lt;&gt;"",IF(F533=0,0,1),0)</f>
        <v>0</v>
      </c>
      <c r="V533" s="1169">
        <f>IF(I533&lt;&gt;"",IF(I533=0,0,1),0)</f>
        <v>0</v>
      </c>
      <c r="W533" s="1157">
        <f>IF(L533&lt;&gt;"",IF(L533=0,0,1),0)</f>
        <v>0</v>
      </c>
      <c r="X533" s="1157">
        <f>IF(O533&lt;&gt;"",IF(O533=0,0,1),0)</f>
        <v>0</v>
      </c>
      <c r="Y533" s="1157">
        <f>IF(R533&lt;&gt;"",IF(R533=0,0,1),0)</f>
        <v>0</v>
      </c>
      <c r="AF533" s="1161">
        <v>13</v>
      </c>
    </row>
    <row r="534" spans="1:32" hidden="1" x14ac:dyDescent="0.25">
      <c r="A534" s="1753" t="s">
        <v>7997</v>
      </c>
      <c r="B534" s="1753"/>
      <c r="C534" s="1754">
        <f>IF(ISERROR(SUM(C530:D533)/SUM(T530:T533)),0,SUM(C530:D533)/SUM(T530:T533))</f>
        <v>0</v>
      </c>
      <c r="D534" s="1755"/>
      <c r="E534" s="1212" t="s">
        <v>7373</v>
      </c>
      <c r="F534" s="1754">
        <f>IF(ISERROR(SUM(F530:G533)/SUM(U530:U533)),0,SUM(F530:G533)/SUM(U530:U533))</f>
        <v>0</v>
      </c>
      <c r="G534" s="1755"/>
      <c r="H534" s="1212"/>
      <c r="I534" s="1754">
        <f>IF(ISERROR(SUM(I530:J533)/SUM(V530:V533)),0,SUM(I530:J533)/SUM(V530:V533))</f>
        <v>0</v>
      </c>
      <c r="J534" s="1755"/>
      <c r="K534" s="1212"/>
      <c r="L534" s="1754">
        <f>IF(ISERROR(SUM(L530:M533)/SUM(W530:W533)),0,SUM(L530:M533)/SUM(W530:W533))</f>
        <v>0</v>
      </c>
      <c r="M534" s="1755"/>
      <c r="N534" s="1212"/>
      <c r="O534" s="1754">
        <f>IF(ISERROR(SUM(O530:P533)/SUM(X530:X533)),0,SUM(O530:P533)/SUM(X530:X533))</f>
        <v>0</v>
      </c>
      <c r="P534" s="1755"/>
      <c r="Q534" s="1212"/>
      <c r="R534" s="1754">
        <f>IF(ISERROR(SUM(R530:S533)/SUM(Y530:Y533)),0,SUM(R530:S533)/SUM(Y530:Y533))</f>
        <v>0</v>
      </c>
      <c r="S534" s="1755"/>
      <c r="T534" s="1168">
        <f t="shared" ref="T534:Y534" si="15">IF(SUM(T530:T533)&lt;&gt;0,1,0)</f>
        <v>0</v>
      </c>
      <c r="U534" s="1168">
        <f t="shared" si="15"/>
        <v>0</v>
      </c>
      <c r="V534" s="1168">
        <f t="shared" si="15"/>
        <v>0</v>
      </c>
      <c r="W534" s="1168">
        <f t="shared" si="15"/>
        <v>0</v>
      </c>
      <c r="X534" s="1168">
        <f t="shared" si="15"/>
        <v>0</v>
      </c>
      <c r="Y534" s="1168">
        <f t="shared" si="15"/>
        <v>0</v>
      </c>
      <c r="AF534" s="1161">
        <v>13</v>
      </c>
    </row>
    <row r="535" spans="1:32" ht="15" hidden="1" customHeight="1" x14ac:dyDescent="0.25">
      <c r="A535" s="1753" t="s">
        <v>2980</v>
      </c>
      <c r="B535" s="1753"/>
      <c r="C535" s="1748"/>
      <c r="D535" s="1748"/>
      <c r="E535" s="1118"/>
      <c r="F535" s="1748"/>
      <c r="G535" s="1748"/>
      <c r="H535" s="1118"/>
      <c r="I535" s="1748"/>
      <c r="J535" s="1748"/>
      <c r="K535" s="1118"/>
      <c r="L535" s="1748"/>
      <c r="M535" s="1748"/>
      <c r="N535" s="1118"/>
      <c r="O535" s="1748"/>
      <c r="P535" s="1748"/>
      <c r="Q535" s="1118"/>
      <c r="R535" s="1748"/>
      <c r="S535" s="1748"/>
      <c r="T535" s="1152"/>
      <c r="U535" s="1158"/>
      <c r="V535" s="1158"/>
      <c r="AF535" s="1161">
        <v>13</v>
      </c>
    </row>
    <row r="536" spans="1:32" hidden="1" x14ac:dyDescent="0.25">
      <c r="A536" s="1210" t="s">
        <v>272</v>
      </c>
      <c r="B536" s="1210"/>
      <c r="C536" s="1748"/>
      <c r="D536" s="1748"/>
      <c r="E536" s="1118"/>
      <c r="F536" s="1748"/>
      <c r="G536" s="1748"/>
      <c r="H536" s="1118"/>
      <c r="I536" s="1748"/>
      <c r="J536" s="1748"/>
      <c r="K536" s="1213"/>
      <c r="L536" s="1748"/>
      <c r="M536" s="1748"/>
      <c r="N536" s="1213"/>
      <c r="O536" s="1748"/>
      <c r="P536" s="1748"/>
      <c r="Q536" s="1213"/>
      <c r="R536" s="1748"/>
      <c r="S536" s="1748"/>
      <c r="T536" s="1152"/>
      <c r="U536" s="1158"/>
      <c r="V536" s="1158"/>
      <c r="AF536" s="1161">
        <v>13</v>
      </c>
    </row>
    <row r="537" spans="1:32" hidden="1" x14ac:dyDescent="0.25">
      <c r="A537" s="1210" t="s">
        <v>273</v>
      </c>
      <c r="B537" s="1210"/>
      <c r="C537" s="1748"/>
      <c r="D537" s="1748"/>
      <c r="E537" s="1118"/>
      <c r="F537" s="1748"/>
      <c r="G537" s="1748"/>
      <c r="H537" s="1118"/>
      <c r="I537" s="1748"/>
      <c r="J537" s="1748"/>
      <c r="K537" s="1213"/>
      <c r="L537" s="1748"/>
      <c r="M537" s="1748"/>
      <c r="N537" s="1213"/>
      <c r="O537" s="1748"/>
      <c r="P537" s="1748"/>
      <c r="Q537" s="1213"/>
      <c r="R537" s="1748"/>
      <c r="S537" s="1748"/>
      <c r="T537" s="1152"/>
      <c r="U537" s="1158"/>
      <c r="V537" s="1158"/>
      <c r="AF537" s="1161">
        <v>13</v>
      </c>
    </row>
    <row r="538" spans="1:32" hidden="1" x14ac:dyDescent="0.25">
      <c r="A538" s="1749" t="s">
        <v>274</v>
      </c>
      <c r="B538" s="1750"/>
      <c r="C538" s="1752">
        <f>C536-C537</f>
        <v>0</v>
      </c>
      <c r="D538" s="1752"/>
      <c r="E538" s="1118"/>
      <c r="F538" s="1752">
        <f>F536-F537</f>
        <v>0</v>
      </c>
      <c r="G538" s="1752"/>
      <c r="H538" s="1118"/>
      <c r="I538" s="1752">
        <f>I536-I537</f>
        <v>0</v>
      </c>
      <c r="J538" s="1752"/>
      <c r="K538" s="1213"/>
      <c r="L538" s="1752">
        <f>L536-L537</f>
        <v>0</v>
      </c>
      <c r="M538" s="1752"/>
      <c r="N538" s="1213"/>
      <c r="O538" s="1752">
        <f>O536-O537</f>
        <v>0</v>
      </c>
      <c r="P538" s="1752"/>
      <c r="Q538" s="1213"/>
      <c r="R538" s="1752">
        <f>R536-R537</f>
        <v>0</v>
      </c>
      <c r="S538" s="1752"/>
      <c r="T538" s="1152"/>
      <c r="U538" s="1158"/>
      <c r="V538" s="1158"/>
      <c r="AF538" s="1161">
        <v>13</v>
      </c>
    </row>
    <row r="539" spans="1:32" hidden="1" x14ac:dyDescent="0.25">
      <c r="A539" s="1749" t="s">
        <v>275</v>
      </c>
      <c r="B539" s="1750"/>
      <c r="C539" s="1751" t="str">
        <f>IF(SUM($D$526)=0,"",C538/$D$526)</f>
        <v/>
      </c>
      <c r="D539" s="1752"/>
      <c r="E539" s="1214"/>
      <c r="F539" s="1751" t="str">
        <f>IF(SUM($D$526)=0,"",F538/$D$526)</f>
        <v/>
      </c>
      <c r="G539" s="1752"/>
      <c r="H539" s="1214"/>
      <c r="I539" s="1751" t="str">
        <f>IF(SUM($D$526)=0,"",I538/$D$526)</f>
        <v/>
      </c>
      <c r="J539" s="1752"/>
      <c r="K539" s="1215"/>
      <c r="L539" s="1751" t="str">
        <f>IF(SUM($D$526)=0,"",L538/$D$526)</f>
        <v/>
      </c>
      <c r="M539" s="1752"/>
      <c r="N539" s="1215"/>
      <c r="O539" s="1751" t="str">
        <f>IF(SUM($D$526)=0,"",O538/$D$526)</f>
        <v/>
      </c>
      <c r="P539" s="1752"/>
      <c r="Q539" s="1215"/>
      <c r="R539" s="1751" t="str">
        <f>IF(SUM($D$526)=0,"",R538/$D$526)</f>
        <v/>
      </c>
      <c r="S539" s="1752"/>
      <c r="T539" s="1152"/>
      <c r="U539" s="1158"/>
      <c r="V539" s="1158"/>
      <c r="AF539" s="1161">
        <v>13</v>
      </c>
    </row>
    <row r="540" spans="1:32" hidden="1" x14ac:dyDescent="0.25">
      <c r="A540" s="1128"/>
      <c r="B540" s="1128"/>
      <c r="C540" s="1128"/>
      <c r="D540" s="1128"/>
      <c r="E540" s="1128"/>
      <c r="F540" s="1128"/>
      <c r="G540" s="1128"/>
      <c r="H540" s="1128"/>
      <c r="I540" s="1128"/>
      <c r="J540" s="1128"/>
      <c r="K540" s="1128"/>
      <c r="L540" s="1128"/>
      <c r="M540" s="1128"/>
      <c r="N540" s="1128"/>
      <c r="O540" s="1128"/>
      <c r="P540" s="1128"/>
      <c r="Q540" s="1128"/>
      <c r="R540" s="1128"/>
      <c r="S540" s="1128"/>
      <c r="T540" s="1140"/>
      <c r="AF540" s="1161">
        <v>13</v>
      </c>
    </row>
    <row r="541" spans="1:32" hidden="1" x14ac:dyDescent="0.25">
      <c r="A541" s="1745" t="s">
        <v>8027</v>
      </c>
      <c r="B541" s="1745"/>
      <c r="C541" s="1745"/>
      <c r="D541" s="1745"/>
      <c r="E541" s="1745"/>
      <c r="F541" s="1745"/>
      <c r="G541" s="1745"/>
      <c r="H541" s="1745"/>
      <c r="I541" s="1745"/>
      <c r="J541" s="1745"/>
      <c r="K541" s="1745"/>
      <c r="L541" s="1745"/>
      <c r="M541" s="1745"/>
      <c r="N541" s="1745"/>
      <c r="O541" s="1745"/>
      <c r="P541" s="1745"/>
      <c r="Q541" s="1745"/>
      <c r="R541" s="1745"/>
      <c r="S541" s="1745"/>
      <c r="T541" s="1146"/>
      <c r="AF541" s="1161">
        <v>14</v>
      </c>
    </row>
    <row r="542" spans="1:32" ht="5.0999999999999996" hidden="1" customHeight="1" x14ac:dyDescent="0.25">
      <c r="A542" s="1128"/>
      <c r="B542" s="1128"/>
      <c r="C542" s="1173"/>
      <c r="D542" s="1173"/>
      <c r="E542" s="1128"/>
      <c r="F542" s="1128"/>
      <c r="G542" s="1128"/>
      <c r="H542" s="1128"/>
      <c r="I542" s="1128"/>
      <c r="J542" s="1128"/>
      <c r="K542" s="1128"/>
      <c r="L542" s="1128"/>
      <c r="M542" s="1128"/>
      <c r="N542" s="1128"/>
      <c r="O542" s="1128"/>
      <c r="P542" s="1128"/>
      <c r="Q542" s="1128"/>
      <c r="R542" s="1128"/>
      <c r="S542" s="1128"/>
      <c r="T542" s="1140"/>
      <c r="AF542" s="1161">
        <v>14</v>
      </c>
    </row>
    <row r="543" spans="1:32" hidden="1" x14ac:dyDescent="0.25">
      <c r="A543" s="1128" t="s">
        <v>271</v>
      </c>
      <c r="B543" s="1128"/>
      <c r="C543" s="1159"/>
      <c r="D543" s="1746">
        <f>D247</f>
        <v>0</v>
      </c>
      <c r="E543" s="1746"/>
      <c r="F543" s="1746"/>
      <c r="G543" s="1159"/>
      <c r="H543" s="1174" t="s">
        <v>763</v>
      </c>
      <c r="I543" s="1174"/>
      <c r="J543" s="1159"/>
      <c r="K543" s="1746" t="str">
        <f>IF(COUNT(C555,F555,I555,L555,O555,R555)=0,"",AVERAGE(C555,F555,I555,L555,O555,R555))</f>
        <v/>
      </c>
      <c r="L543" s="1746"/>
      <c r="M543" s="1175"/>
      <c r="N543" s="1175"/>
      <c r="O543" s="1175"/>
      <c r="P543" s="1175"/>
      <c r="Q543" s="1175"/>
      <c r="R543" s="1175"/>
      <c r="S543" s="1175"/>
      <c r="T543" s="1152"/>
      <c r="AF543" s="1161">
        <v>14</v>
      </c>
    </row>
    <row r="544" spans="1:32" hidden="1" x14ac:dyDescent="0.25">
      <c r="A544" s="1128" t="s">
        <v>240</v>
      </c>
      <c r="B544" s="1128"/>
      <c r="C544" s="1159"/>
      <c r="D544" s="1747">
        <f>D248</f>
        <v>0</v>
      </c>
      <c r="E544" s="1747"/>
      <c r="F544" s="1747"/>
      <c r="G544" s="1159"/>
      <c r="H544" s="1174" t="s">
        <v>764</v>
      </c>
      <c r="I544" s="1174"/>
      <c r="J544" s="1159"/>
      <c r="K544" s="1747" t="str">
        <f>IF(ISERROR(SUM(C558,F558,I558,L558,O558,R558)/COUNT(C555,F555,I555,L555,O555,R555)),"",SUM(C558,F558,I558,L558,O558,R558,)/COUNT(C555,F555,I555,L555,O555,R555))</f>
        <v/>
      </c>
      <c r="L544" s="1747"/>
      <c r="M544" s="1175"/>
      <c r="N544" s="1175"/>
      <c r="O544" s="1175"/>
      <c r="P544" s="1175"/>
      <c r="Q544" s="1175"/>
      <c r="R544" s="1175"/>
      <c r="S544" s="1175"/>
      <c r="T544" s="1152"/>
      <c r="AF544" s="1161">
        <v>14</v>
      </c>
    </row>
    <row r="545" spans="1:32" hidden="1" x14ac:dyDescent="0.25">
      <c r="A545" s="1128" t="s">
        <v>265</v>
      </c>
      <c r="B545" s="1128"/>
      <c r="C545" s="1159"/>
      <c r="D545" s="1747">
        <f>D249</f>
        <v>0</v>
      </c>
      <c r="E545" s="1747"/>
      <c r="F545" s="1747"/>
      <c r="G545" s="1159"/>
      <c r="H545" s="1174" t="s">
        <v>765</v>
      </c>
      <c r="I545" s="1174"/>
      <c r="J545" s="1159"/>
      <c r="K545" s="1712" t="str">
        <f>IF(ISERROR(K544/D546),"",K544/D546)</f>
        <v/>
      </c>
      <c r="L545" s="1712"/>
      <c r="M545" s="1175"/>
      <c r="N545" s="1175"/>
      <c r="O545" s="1175"/>
      <c r="P545" s="1175"/>
      <c r="Q545" s="1175"/>
      <c r="R545" s="1175"/>
      <c r="S545" s="1175"/>
      <c r="T545" s="1152"/>
      <c r="AF545" s="1161">
        <v>14</v>
      </c>
    </row>
    <row r="546" spans="1:32" hidden="1" x14ac:dyDescent="0.25">
      <c r="A546" s="1176" t="s">
        <v>767</v>
      </c>
      <c r="B546" s="1176"/>
      <c r="C546" s="1177"/>
      <c r="D546" s="1744">
        <f>M248</f>
        <v>0</v>
      </c>
      <c r="E546" s="1744"/>
      <c r="F546" s="1744"/>
      <c r="G546" s="1128"/>
      <c r="H546" s="1112" t="s">
        <v>8031</v>
      </c>
      <c r="I546" s="1112"/>
      <c r="J546" s="1122"/>
      <c r="K546" s="1734" t="str">
        <f>IF(ISERROR(SUM(C554,F554,I554,L554,O554,R554)/SUM(T554:Y554)),"",SUM(C554,F554,I554,L554,O554,R554)/SUM(T554:Y554))</f>
        <v/>
      </c>
      <c r="L546" s="1734"/>
      <c r="M546" s="1128"/>
      <c r="N546" s="1128"/>
      <c r="O546" s="1128"/>
      <c r="P546" s="1128"/>
      <c r="Q546" s="1128"/>
      <c r="R546" s="1128"/>
      <c r="S546" s="1128"/>
      <c r="T546" s="1140"/>
      <c r="AF546" s="1161">
        <v>14</v>
      </c>
    </row>
    <row r="547" spans="1:32" hidden="1" x14ac:dyDescent="0.25">
      <c r="A547" s="1128"/>
      <c r="B547" s="1128"/>
      <c r="C547" s="1174"/>
      <c r="D547" s="1174"/>
      <c r="E547" s="1128"/>
      <c r="F547" s="1128"/>
      <c r="G547" s="1128"/>
      <c r="H547" s="1128"/>
      <c r="I547" s="1128"/>
      <c r="J547" s="1178"/>
      <c r="K547" s="1178"/>
      <c r="L547" s="1178"/>
      <c r="M547" s="1178"/>
      <c r="N547" s="1178"/>
      <c r="O547" s="1178"/>
      <c r="P547" s="1178"/>
      <c r="Q547" s="1178"/>
      <c r="R547" s="1178"/>
      <c r="S547" s="1011" t="s">
        <v>29</v>
      </c>
      <c r="T547" s="1152"/>
      <c r="U547" s="1158"/>
      <c r="V547" s="1158"/>
      <c r="AF547" s="1161">
        <v>14</v>
      </c>
    </row>
    <row r="548" spans="1:32" hidden="1" x14ac:dyDescent="0.25">
      <c r="A548" s="1179" t="s">
        <v>266</v>
      </c>
      <c r="B548" s="1743">
        <f>$B$31</f>
        <v>43094</v>
      </c>
      <c r="C548" s="1743"/>
      <c r="D548" s="1743"/>
      <c r="E548" s="1743">
        <f>$E$31</f>
        <v>43125</v>
      </c>
      <c r="F548" s="1743"/>
      <c r="G548" s="1743"/>
      <c r="H548" s="1743">
        <f>$H$31</f>
        <v>43156</v>
      </c>
      <c r="I548" s="1743"/>
      <c r="J548" s="1743"/>
      <c r="K548" s="1743">
        <f>$K$31</f>
        <v>43187</v>
      </c>
      <c r="L548" s="1743"/>
      <c r="M548" s="1743"/>
      <c r="N548" s="1743">
        <f>$N$31</f>
        <v>43218</v>
      </c>
      <c r="O548" s="1743"/>
      <c r="P548" s="1743"/>
      <c r="Q548" s="1743">
        <f>$Q$31</f>
        <v>43249</v>
      </c>
      <c r="R548" s="1743"/>
      <c r="S548" s="1743"/>
      <c r="T548" s="1152"/>
      <c r="U548" s="1158"/>
      <c r="V548" s="1158"/>
      <c r="AF548" s="1161">
        <v>14</v>
      </c>
    </row>
    <row r="549" spans="1:32" hidden="1" x14ac:dyDescent="0.25">
      <c r="A549" s="1179" t="s">
        <v>8</v>
      </c>
      <c r="B549" s="1179" t="s">
        <v>26</v>
      </c>
      <c r="C549" s="1739" t="s">
        <v>8030</v>
      </c>
      <c r="D549" s="1740"/>
      <c r="E549" s="1179" t="s">
        <v>26</v>
      </c>
      <c r="F549" s="1741" t="s">
        <v>8030</v>
      </c>
      <c r="G549" s="1742"/>
      <c r="H549" s="1179" t="s">
        <v>26</v>
      </c>
      <c r="I549" s="1741" t="s">
        <v>8030</v>
      </c>
      <c r="J549" s="1742"/>
      <c r="K549" s="1179" t="s">
        <v>26</v>
      </c>
      <c r="L549" s="1741" t="s">
        <v>8030</v>
      </c>
      <c r="M549" s="1742"/>
      <c r="N549" s="1179" t="s">
        <v>26</v>
      </c>
      <c r="O549" s="1741" t="s">
        <v>8030</v>
      </c>
      <c r="P549" s="1742"/>
      <c r="Q549" s="1179" t="s">
        <v>26</v>
      </c>
      <c r="R549" s="1741" t="s">
        <v>8030</v>
      </c>
      <c r="S549" s="1742"/>
      <c r="T549" s="1152"/>
      <c r="U549" s="1158"/>
      <c r="V549" s="1158"/>
      <c r="AF549" s="1161">
        <v>14</v>
      </c>
    </row>
    <row r="550" spans="1:32" hidden="1" x14ac:dyDescent="0.25">
      <c r="A550" s="1170">
        <v>1</v>
      </c>
      <c r="B550" s="1180">
        <v>7</v>
      </c>
      <c r="C550" s="1760" t="str">
        <f>IF(C254&lt;&gt;0,0,"")</f>
        <v/>
      </c>
      <c r="D550" s="1761"/>
      <c r="E550" s="1181">
        <v>7</v>
      </c>
      <c r="F550" s="1760" t="str">
        <f>IF(F254&lt;&gt;0,0,"")</f>
        <v/>
      </c>
      <c r="G550" s="1761"/>
      <c r="H550" s="1170">
        <v>7</v>
      </c>
      <c r="I550" s="1760" t="str">
        <f>IF(I254&lt;&gt;0,0,"")</f>
        <v/>
      </c>
      <c r="J550" s="1761"/>
      <c r="K550" s="1170">
        <v>7</v>
      </c>
      <c r="L550" s="1760" t="str">
        <f>IF(L254&lt;&gt;0,0,"")</f>
        <v/>
      </c>
      <c r="M550" s="1761"/>
      <c r="N550" s="1170">
        <v>7</v>
      </c>
      <c r="O550" s="1760" t="str">
        <f>IF(O254&lt;&gt;0,0,"")</f>
        <v/>
      </c>
      <c r="P550" s="1761"/>
      <c r="Q550" s="1170">
        <v>7</v>
      </c>
      <c r="R550" s="1760" t="str">
        <f>IF(R254&lt;&gt;0,0,"")</f>
        <v/>
      </c>
      <c r="S550" s="1761"/>
      <c r="T550" s="1168">
        <f>IF(C550&lt;&gt;"",IF(C550=0,0,1),0)</f>
        <v>0</v>
      </c>
      <c r="U550" s="1168">
        <f>IF(F550&lt;&gt;"",IF(F550=0,0,1),0)</f>
        <v>0</v>
      </c>
      <c r="V550" s="1169">
        <f>IF(I550&lt;&gt;"",IF(I550=0,0,1),0)</f>
        <v>0</v>
      </c>
      <c r="W550" s="1157">
        <f>IF(L550&lt;&gt;"",IF(L550=0,0,1),0)</f>
        <v>0</v>
      </c>
      <c r="X550" s="1157">
        <f>IF(O550&lt;&gt;"",IF(O550=0,0,1),0)</f>
        <v>0</v>
      </c>
      <c r="Y550" s="1157">
        <f>IF(R550&lt;&gt;"",IF(R550=0,0,1),0)</f>
        <v>0</v>
      </c>
      <c r="AF550" s="1161">
        <v>14</v>
      </c>
    </row>
    <row r="551" spans="1:32" hidden="1" x14ac:dyDescent="0.25">
      <c r="A551" s="1171">
        <v>2</v>
      </c>
      <c r="B551" s="1182">
        <v>14</v>
      </c>
      <c r="C551" s="1762" t="str">
        <f>IF(C255&lt;&gt;0,0,"")</f>
        <v/>
      </c>
      <c r="D551" s="1763"/>
      <c r="E551" s="1183">
        <v>14</v>
      </c>
      <c r="F551" s="1762" t="str">
        <f>IF(F255&lt;&gt;0,0,"")</f>
        <v/>
      </c>
      <c r="G551" s="1763"/>
      <c r="H551" s="1171">
        <v>14</v>
      </c>
      <c r="I551" s="1762" t="str">
        <f>IF(I255&lt;&gt;0,0,"")</f>
        <v/>
      </c>
      <c r="J551" s="1763"/>
      <c r="K551" s="1171">
        <v>14</v>
      </c>
      <c r="L551" s="1762" t="str">
        <f>IF(L255&lt;&gt;0,0,"")</f>
        <v/>
      </c>
      <c r="M551" s="1763"/>
      <c r="N551" s="1171">
        <v>14</v>
      </c>
      <c r="O551" s="1762" t="str">
        <f>IF(O255&lt;&gt;0,0,"")</f>
        <v/>
      </c>
      <c r="P551" s="1763"/>
      <c r="Q551" s="1171">
        <v>14</v>
      </c>
      <c r="R551" s="1762" t="str">
        <f>IF(R255&lt;&gt;0,0,"")</f>
        <v/>
      </c>
      <c r="S551" s="1763"/>
      <c r="T551" s="1168">
        <f>IF(C551&lt;&gt;"",IF(C551=0,0,1),0)</f>
        <v>0</v>
      </c>
      <c r="U551" s="1168">
        <f>IF(F551&lt;&gt;"",IF(F551=0,0,1),0)</f>
        <v>0</v>
      </c>
      <c r="V551" s="1169">
        <f>IF(I551&lt;&gt;"",IF(I551=0,0,1),0)</f>
        <v>0</v>
      </c>
      <c r="W551" s="1157">
        <f>IF(L551&lt;&gt;"",IF(L551=0,0,1),0)</f>
        <v>0</v>
      </c>
      <c r="X551" s="1157">
        <f>IF(O551&lt;&gt;"",IF(O551=0,0,1),0)</f>
        <v>0</v>
      </c>
      <c r="Y551" s="1157">
        <f>IF(R551&lt;&gt;"",IF(R551=0,0,1),0)</f>
        <v>0</v>
      </c>
      <c r="AF551" s="1161">
        <v>14</v>
      </c>
    </row>
    <row r="552" spans="1:32" hidden="1" x14ac:dyDescent="0.25">
      <c r="A552" s="1171">
        <v>3</v>
      </c>
      <c r="B552" s="1182">
        <v>22</v>
      </c>
      <c r="C552" s="1762" t="str">
        <f>IF(C256&lt;&gt;0,0,"")</f>
        <v/>
      </c>
      <c r="D552" s="1763"/>
      <c r="E552" s="1183">
        <v>22</v>
      </c>
      <c r="F552" s="1762" t="str">
        <f>IF(F256&lt;&gt;0,0,"")</f>
        <v/>
      </c>
      <c r="G552" s="1763"/>
      <c r="H552" s="1171">
        <v>22</v>
      </c>
      <c r="I552" s="1762" t="str">
        <f>IF(I256&lt;&gt;0,0,"")</f>
        <v/>
      </c>
      <c r="J552" s="1763"/>
      <c r="K552" s="1171">
        <v>22</v>
      </c>
      <c r="L552" s="1762" t="str">
        <f>IF(L256&lt;&gt;0,0,"")</f>
        <v/>
      </c>
      <c r="M552" s="1763"/>
      <c r="N552" s="1171">
        <v>22</v>
      </c>
      <c r="O552" s="1762" t="str">
        <f>IF(O256&lt;&gt;0,0,"")</f>
        <v/>
      </c>
      <c r="P552" s="1763"/>
      <c r="Q552" s="1171">
        <v>22</v>
      </c>
      <c r="R552" s="1762" t="str">
        <f>IF(R256&lt;&gt;0,0,"")</f>
        <v/>
      </c>
      <c r="S552" s="1763"/>
      <c r="T552" s="1168">
        <f>IF(C552&lt;&gt;"",IF(C552=0,0,1),0)</f>
        <v>0</v>
      </c>
      <c r="U552" s="1168">
        <f>IF(F552&lt;&gt;"",IF(F552=0,0,1),0)</f>
        <v>0</v>
      </c>
      <c r="V552" s="1169">
        <f>IF(I552&lt;&gt;"",IF(I552=0,0,1),0)</f>
        <v>0</v>
      </c>
      <c r="W552" s="1157">
        <f>IF(L552&lt;&gt;"",IF(L552=0,0,1),0)</f>
        <v>0</v>
      </c>
      <c r="X552" s="1157">
        <f>IF(O552&lt;&gt;"",IF(O552=0,0,1),0)</f>
        <v>0</v>
      </c>
      <c r="Y552" s="1157">
        <f>IF(R552&lt;&gt;"",IF(R552=0,0,1),0)</f>
        <v>0</v>
      </c>
      <c r="AF552" s="1161">
        <v>14</v>
      </c>
    </row>
    <row r="553" spans="1:32" hidden="1" x14ac:dyDescent="0.25">
      <c r="A553" s="1172">
        <v>4</v>
      </c>
      <c r="B553" s="1184">
        <v>31</v>
      </c>
      <c r="C553" s="1776" t="str">
        <f>IF(C257&lt;&gt;0,0,"")</f>
        <v/>
      </c>
      <c r="D553" s="1777"/>
      <c r="E553" s="1185">
        <v>31</v>
      </c>
      <c r="F553" s="1776" t="str">
        <f>IF(F257&lt;&gt;0,0,"")</f>
        <v/>
      </c>
      <c r="G553" s="1777"/>
      <c r="H553" s="1172">
        <v>31</v>
      </c>
      <c r="I553" s="1776" t="str">
        <f>IF(I257&lt;&gt;0,0,"")</f>
        <v/>
      </c>
      <c r="J553" s="1777"/>
      <c r="K553" s="1172">
        <v>31</v>
      </c>
      <c r="L553" s="1776" t="str">
        <f>IF(L257&lt;&gt;0,0,"")</f>
        <v/>
      </c>
      <c r="M553" s="1777"/>
      <c r="N553" s="1172">
        <v>31</v>
      </c>
      <c r="O553" s="1776" t="str">
        <f>IF(O257&lt;&gt;0,0,"")</f>
        <v/>
      </c>
      <c r="P553" s="1777"/>
      <c r="Q553" s="1172">
        <v>31</v>
      </c>
      <c r="R553" s="1776" t="str">
        <f>IF(R257&lt;&gt;0,0,"")</f>
        <v/>
      </c>
      <c r="S553" s="1777"/>
      <c r="T553" s="1168">
        <f>IF(C553&lt;&gt;"",IF(C553=0,0,1),0)</f>
        <v>0</v>
      </c>
      <c r="U553" s="1168">
        <f>IF(F553&lt;&gt;"",IF(F553=0,0,1),0)</f>
        <v>0</v>
      </c>
      <c r="V553" s="1169">
        <f>IF(I553&lt;&gt;"",IF(I553=0,0,1),0)</f>
        <v>0</v>
      </c>
      <c r="W553" s="1157">
        <f>IF(L553&lt;&gt;"",IF(L553=0,0,1),0)</f>
        <v>0</v>
      </c>
      <c r="X553" s="1157">
        <f>IF(O553&lt;&gt;"",IF(O553=0,0,1),0)</f>
        <v>0</v>
      </c>
      <c r="Y553" s="1157">
        <f>IF(R553&lt;&gt;"",IF(R553=0,0,1),0)</f>
        <v>0</v>
      </c>
      <c r="AF553" s="1161">
        <v>14</v>
      </c>
    </row>
    <row r="554" spans="1:32" hidden="1" x14ac:dyDescent="0.25">
      <c r="A554" s="1753" t="s">
        <v>7997</v>
      </c>
      <c r="B554" s="1753"/>
      <c r="C554" s="1754">
        <f>IF(ISERROR(SUM(C550:D553)/SUM(T550:T553)),0,SUM(C550:D553)/SUM(T550:T553))</f>
        <v>0</v>
      </c>
      <c r="D554" s="1755"/>
      <c r="E554" s="1212" t="s">
        <v>7373</v>
      </c>
      <c r="F554" s="1754">
        <f>IF(ISERROR(SUM(F550:G553)/SUM(U550:U553)),0,SUM(F550:G553)/SUM(U550:U553))</f>
        <v>0</v>
      </c>
      <c r="G554" s="1755"/>
      <c r="H554" s="1212"/>
      <c r="I554" s="1754">
        <f>IF(ISERROR(SUM(I550:J553)/SUM(V550:V553)),0,SUM(I550:J553)/SUM(V550:V553))</f>
        <v>0</v>
      </c>
      <c r="J554" s="1755"/>
      <c r="K554" s="1212"/>
      <c r="L554" s="1754">
        <f>IF(ISERROR(SUM(L550:M553)/SUM(W550:W553)),0,SUM(L550:M553)/SUM(W550:W553))</f>
        <v>0</v>
      </c>
      <c r="M554" s="1755"/>
      <c r="N554" s="1212"/>
      <c r="O554" s="1754">
        <f>IF(ISERROR(SUM(O550:P553)/SUM(X550:X553)),0,SUM(O550:P553)/SUM(X550:X553))</f>
        <v>0</v>
      </c>
      <c r="P554" s="1755"/>
      <c r="Q554" s="1212"/>
      <c r="R554" s="1754">
        <f>IF(ISERROR(SUM(R550:S553)/SUM(Y550:Y553)),0,SUM(R550:S553)/SUM(Y550:Y553))</f>
        <v>0</v>
      </c>
      <c r="S554" s="1755"/>
      <c r="T554" s="1168">
        <f t="shared" ref="T554:Y554" si="16">IF(SUM(T550:T553)&lt;&gt;0,1,0)</f>
        <v>0</v>
      </c>
      <c r="U554" s="1168">
        <f t="shared" si="16"/>
        <v>0</v>
      </c>
      <c r="V554" s="1168">
        <f t="shared" si="16"/>
        <v>0</v>
      </c>
      <c r="W554" s="1168">
        <f t="shared" si="16"/>
        <v>0</v>
      </c>
      <c r="X554" s="1168">
        <f t="shared" si="16"/>
        <v>0</v>
      </c>
      <c r="Y554" s="1168">
        <f t="shared" si="16"/>
        <v>0</v>
      </c>
      <c r="AF554" s="1161">
        <v>14</v>
      </c>
    </row>
    <row r="555" spans="1:32" ht="15" hidden="1" customHeight="1" x14ac:dyDescent="0.25">
      <c r="A555" s="1753" t="s">
        <v>2980</v>
      </c>
      <c r="B555" s="1753"/>
      <c r="C555" s="1748"/>
      <c r="D555" s="1748"/>
      <c r="E555" s="1118"/>
      <c r="F555" s="1748"/>
      <c r="G555" s="1748"/>
      <c r="H555" s="1118"/>
      <c r="I555" s="1748"/>
      <c r="J555" s="1748"/>
      <c r="K555" s="1118"/>
      <c r="L555" s="1748"/>
      <c r="M555" s="1748"/>
      <c r="N555" s="1118"/>
      <c r="O555" s="1748"/>
      <c r="P555" s="1748"/>
      <c r="Q555" s="1118"/>
      <c r="R555" s="1748"/>
      <c r="S555" s="1748"/>
      <c r="T555" s="1152"/>
      <c r="U555" s="1158"/>
      <c r="V555" s="1158"/>
      <c r="AF555" s="1161">
        <v>14</v>
      </c>
    </row>
    <row r="556" spans="1:32" hidden="1" x14ac:dyDescent="0.25">
      <c r="A556" s="1210" t="s">
        <v>272</v>
      </c>
      <c r="B556" s="1210"/>
      <c r="C556" s="1748"/>
      <c r="D556" s="1748"/>
      <c r="E556" s="1118"/>
      <c r="F556" s="1748"/>
      <c r="G556" s="1748"/>
      <c r="H556" s="1118"/>
      <c r="I556" s="1748"/>
      <c r="J556" s="1748"/>
      <c r="K556" s="1213"/>
      <c r="L556" s="1748"/>
      <c r="M556" s="1748"/>
      <c r="N556" s="1213"/>
      <c r="O556" s="1748"/>
      <c r="P556" s="1748"/>
      <c r="Q556" s="1213"/>
      <c r="R556" s="1748"/>
      <c r="S556" s="1748"/>
      <c r="T556" s="1152"/>
      <c r="U556" s="1158"/>
      <c r="V556" s="1158"/>
      <c r="AF556" s="1161">
        <v>14</v>
      </c>
    </row>
    <row r="557" spans="1:32" hidden="1" x14ac:dyDescent="0.25">
      <c r="A557" s="1210" t="s">
        <v>273</v>
      </c>
      <c r="B557" s="1210"/>
      <c r="C557" s="1748"/>
      <c r="D557" s="1748"/>
      <c r="E557" s="1118"/>
      <c r="F557" s="1748"/>
      <c r="G557" s="1748"/>
      <c r="H557" s="1118"/>
      <c r="I557" s="1748"/>
      <c r="J557" s="1748"/>
      <c r="K557" s="1213"/>
      <c r="L557" s="1748"/>
      <c r="M557" s="1748"/>
      <c r="N557" s="1213"/>
      <c r="O557" s="1748"/>
      <c r="P557" s="1748"/>
      <c r="Q557" s="1213"/>
      <c r="R557" s="1748"/>
      <c r="S557" s="1748"/>
      <c r="T557" s="1152"/>
      <c r="U557" s="1158"/>
      <c r="V557" s="1158"/>
      <c r="AF557" s="1161">
        <v>14</v>
      </c>
    </row>
    <row r="558" spans="1:32" hidden="1" x14ac:dyDescent="0.25">
      <c r="A558" s="1749" t="s">
        <v>274</v>
      </c>
      <c r="B558" s="1750"/>
      <c r="C558" s="1752">
        <f>C556-C557</f>
        <v>0</v>
      </c>
      <c r="D558" s="1752"/>
      <c r="E558" s="1118"/>
      <c r="F558" s="1752">
        <f>F556-F557</f>
        <v>0</v>
      </c>
      <c r="G558" s="1752"/>
      <c r="H558" s="1118"/>
      <c r="I558" s="1752">
        <f>I556-I557</f>
        <v>0</v>
      </c>
      <c r="J558" s="1752"/>
      <c r="K558" s="1213"/>
      <c r="L558" s="1752">
        <f>L556-L557</f>
        <v>0</v>
      </c>
      <c r="M558" s="1752"/>
      <c r="N558" s="1213"/>
      <c r="O558" s="1752">
        <f>O556-O557</f>
        <v>0</v>
      </c>
      <c r="P558" s="1752"/>
      <c r="Q558" s="1213"/>
      <c r="R558" s="1752">
        <f>R556-R557</f>
        <v>0</v>
      </c>
      <c r="S558" s="1752"/>
      <c r="T558" s="1152"/>
      <c r="U558" s="1158"/>
      <c r="V558" s="1158"/>
      <c r="AF558" s="1161">
        <v>14</v>
      </c>
    </row>
    <row r="559" spans="1:32" hidden="1" x14ac:dyDescent="0.25">
      <c r="A559" s="1749" t="s">
        <v>275</v>
      </c>
      <c r="B559" s="1750"/>
      <c r="C559" s="1751" t="str">
        <f>IF(SUM($D$546)=0,"",C558/$D$546)</f>
        <v/>
      </c>
      <c r="D559" s="1752"/>
      <c r="E559" s="1214"/>
      <c r="F559" s="1751" t="str">
        <f>IF(SUM($D$546)=0,"",F558/$D$546)</f>
        <v/>
      </c>
      <c r="G559" s="1752"/>
      <c r="H559" s="1214"/>
      <c r="I559" s="1751" t="str">
        <f>IF(SUM($D$546)=0,"",I558/$D$546)</f>
        <v/>
      </c>
      <c r="J559" s="1752"/>
      <c r="K559" s="1215"/>
      <c r="L559" s="1751" t="str">
        <f>IF(SUM($D$546)=0,"",L558/$D$546)</f>
        <v/>
      </c>
      <c r="M559" s="1752"/>
      <c r="N559" s="1215"/>
      <c r="O559" s="1751" t="str">
        <f>IF(SUM($D$546)=0,"",O558/$D$546)</f>
        <v/>
      </c>
      <c r="P559" s="1752"/>
      <c r="Q559" s="1215"/>
      <c r="R559" s="1751" t="str">
        <f>IF(SUM($D$546)=0,"",R558/$D$546)</f>
        <v/>
      </c>
      <c r="S559" s="1752"/>
      <c r="T559" s="1152"/>
      <c r="U559" s="1158"/>
      <c r="V559" s="1158"/>
      <c r="AF559" s="1161">
        <v>14</v>
      </c>
    </row>
    <row r="560" spans="1:32" hidden="1" x14ac:dyDescent="0.25">
      <c r="A560" s="1128"/>
      <c r="B560" s="1128"/>
      <c r="C560" s="1128"/>
      <c r="D560" s="1128"/>
      <c r="E560" s="1128"/>
      <c r="F560" s="1128"/>
      <c r="G560" s="1128"/>
      <c r="H560" s="1128"/>
      <c r="I560" s="1128"/>
      <c r="J560" s="1128"/>
      <c r="K560" s="1128"/>
      <c r="L560" s="1128"/>
      <c r="M560" s="1128"/>
      <c r="N560" s="1128"/>
      <c r="O560" s="1128"/>
      <c r="P560" s="1128"/>
      <c r="Q560" s="1128"/>
      <c r="R560" s="1128"/>
      <c r="S560" s="1128"/>
      <c r="T560" s="1140"/>
      <c r="AF560" s="1161">
        <v>14</v>
      </c>
    </row>
    <row r="561" spans="1:32" hidden="1" x14ac:dyDescent="0.25">
      <c r="A561" s="1745" t="s">
        <v>8028</v>
      </c>
      <c r="B561" s="1745"/>
      <c r="C561" s="1745"/>
      <c r="D561" s="1745"/>
      <c r="E561" s="1745"/>
      <c r="F561" s="1745"/>
      <c r="G561" s="1745"/>
      <c r="H561" s="1745"/>
      <c r="I561" s="1745"/>
      <c r="J561" s="1745"/>
      <c r="K561" s="1745"/>
      <c r="L561" s="1745"/>
      <c r="M561" s="1745"/>
      <c r="N561" s="1745"/>
      <c r="O561" s="1745"/>
      <c r="P561" s="1745"/>
      <c r="Q561" s="1745"/>
      <c r="R561" s="1745"/>
      <c r="S561" s="1745"/>
      <c r="T561" s="1146"/>
      <c r="AF561" s="1161">
        <v>15</v>
      </c>
    </row>
    <row r="562" spans="1:32" ht="5.0999999999999996" hidden="1" customHeight="1" x14ac:dyDescent="0.25">
      <c r="A562" s="1128"/>
      <c r="B562" s="1128"/>
      <c r="C562" s="1173"/>
      <c r="D562" s="1173"/>
      <c r="E562" s="1128"/>
      <c r="F562" s="1128"/>
      <c r="G562" s="1128"/>
      <c r="H562" s="1128"/>
      <c r="I562" s="1128"/>
      <c r="J562" s="1128"/>
      <c r="K562" s="1128"/>
      <c r="L562" s="1128"/>
      <c r="M562" s="1128"/>
      <c r="N562" s="1128"/>
      <c r="O562" s="1128"/>
      <c r="P562" s="1128"/>
      <c r="Q562" s="1128"/>
      <c r="R562" s="1128"/>
      <c r="S562" s="1128"/>
      <c r="T562" s="1140"/>
      <c r="AF562" s="1161">
        <v>15</v>
      </c>
    </row>
    <row r="563" spans="1:32" hidden="1" x14ac:dyDescent="0.25">
      <c r="A563" s="1128" t="s">
        <v>271</v>
      </c>
      <c r="B563" s="1128"/>
      <c r="C563" s="1159"/>
      <c r="D563" s="1746">
        <f>D264</f>
        <v>0</v>
      </c>
      <c r="E563" s="1746"/>
      <c r="F563" s="1746"/>
      <c r="G563" s="1159"/>
      <c r="H563" s="1174" t="s">
        <v>763</v>
      </c>
      <c r="I563" s="1174"/>
      <c r="J563" s="1159"/>
      <c r="K563" s="1746" t="str">
        <f>IF(COUNT(C575,F575,I575,L575,O575,R575)=0,"",AVERAGE(C575,F575,I575,L575,O575,R575))</f>
        <v/>
      </c>
      <c r="L563" s="1746"/>
      <c r="M563" s="1175"/>
      <c r="N563" s="1175"/>
      <c r="O563" s="1175"/>
      <c r="P563" s="1175"/>
      <c r="Q563" s="1175"/>
      <c r="R563" s="1175"/>
      <c r="S563" s="1175"/>
      <c r="T563" s="1152"/>
      <c r="AF563" s="1161">
        <v>15</v>
      </c>
    </row>
    <row r="564" spans="1:32" hidden="1" x14ac:dyDescent="0.25">
      <c r="A564" s="1128" t="s">
        <v>240</v>
      </c>
      <c r="B564" s="1128"/>
      <c r="C564" s="1159"/>
      <c r="D564" s="1747">
        <f>D265</f>
        <v>0</v>
      </c>
      <c r="E564" s="1747"/>
      <c r="F564" s="1747"/>
      <c r="G564" s="1159"/>
      <c r="H564" s="1174" t="s">
        <v>764</v>
      </c>
      <c r="I564" s="1174"/>
      <c r="J564" s="1159"/>
      <c r="K564" s="1747" t="str">
        <f>IF(ISERROR(SUM(C578,F578,I578,L578,O578,R578)/COUNT(C575,F575,I575,L575,O575,R575)),"",SUM(C578,F578,I578,L578,O578,R578,)/COUNT(C575,F575,I575,L575,O575,R575))</f>
        <v/>
      </c>
      <c r="L564" s="1747"/>
      <c r="M564" s="1175"/>
      <c r="N564" s="1175"/>
      <c r="O564" s="1175"/>
      <c r="P564" s="1175"/>
      <c r="Q564" s="1175"/>
      <c r="R564" s="1175"/>
      <c r="S564" s="1175"/>
      <c r="T564" s="1152"/>
      <c r="AF564" s="1161">
        <v>15</v>
      </c>
    </row>
    <row r="565" spans="1:32" hidden="1" x14ac:dyDescent="0.25">
      <c r="A565" s="1128" t="s">
        <v>265</v>
      </c>
      <c r="B565" s="1128"/>
      <c r="C565" s="1159"/>
      <c r="D565" s="1747">
        <f>D266</f>
        <v>0</v>
      </c>
      <c r="E565" s="1747"/>
      <c r="F565" s="1747"/>
      <c r="G565" s="1159"/>
      <c r="H565" s="1174" t="s">
        <v>765</v>
      </c>
      <c r="I565" s="1174"/>
      <c r="J565" s="1159"/>
      <c r="K565" s="1712" t="str">
        <f>IF(ISERROR(K564/D566),"",K564/D566)</f>
        <v/>
      </c>
      <c r="L565" s="1712"/>
      <c r="M565" s="1175"/>
      <c r="N565" s="1175"/>
      <c r="O565" s="1175"/>
      <c r="P565" s="1175"/>
      <c r="Q565" s="1175"/>
      <c r="R565" s="1175"/>
      <c r="S565" s="1175"/>
      <c r="T565" s="1152"/>
      <c r="AF565" s="1161">
        <v>15</v>
      </c>
    </row>
    <row r="566" spans="1:32" hidden="1" x14ac:dyDescent="0.25">
      <c r="A566" s="1176" t="s">
        <v>767</v>
      </c>
      <c r="B566" s="1176"/>
      <c r="C566" s="1177"/>
      <c r="D566" s="1744">
        <f>M265</f>
        <v>0</v>
      </c>
      <c r="E566" s="1744"/>
      <c r="F566" s="1744"/>
      <c r="G566" s="1128"/>
      <c r="H566" s="1112" t="s">
        <v>8031</v>
      </c>
      <c r="I566" s="1112"/>
      <c r="J566" s="1122"/>
      <c r="K566" s="1734" t="str">
        <f>IF(ISERROR(SUM(C574,F574,I574,L574,O574,R574)/SUM(T574:Y574)),"",SUM(C574,F574,I574,L574,O574,R574)/SUM(T574:Y574))</f>
        <v/>
      </c>
      <c r="L566" s="1734"/>
      <c r="M566" s="1128"/>
      <c r="N566" s="1128"/>
      <c r="O566" s="1128"/>
      <c r="P566" s="1128"/>
      <c r="Q566" s="1128"/>
      <c r="R566" s="1128"/>
      <c r="S566" s="1128"/>
      <c r="T566" s="1140"/>
      <c r="AF566" s="1161">
        <v>15</v>
      </c>
    </row>
    <row r="567" spans="1:32" hidden="1" x14ac:dyDescent="0.25">
      <c r="A567" s="1128"/>
      <c r="B567" s="1128"/>
      <c r="C567" s="1174"/>
      <c r="D567" s="1174"/>
      <c r="E567" s="1128"/>
      <c r="F567" s="1128"/>
      <c r="G567" s="1128"/>
      <c r="H567" s="1128"/>
      <c r="I567" s="1128"/>
      <c r="J567" s="1178"/>
      <c r="K567" s="1178"/>
      <c r="L567" s="1178"/>
      <c r="M567" s="1178"/>
      <c r="N567" s="1178"/>
      <c r="O567" s="1178"/>
      <c r="P567" s="1178"/>
      <c r="Q567" s="1178"/>
      <c r="R567" s="1178"/>
      <c r="S567" s="1011" t="s">
        <v>29</v>
      </c>
      <c r="T567" s="1152"/>
      <c r="U567" s="1158"/>
      <c r="V567" s="1158"/>
      <c r="AF567" s="1161">
        <v>15</v>
      </c>
    </row>
    <row r="568" spans="1:32" hidden="1" x14ac:dyDescent="0.25">
      <c r="A568" s="1179" t="s">
        <v>266</v>
      </c>
      <c r="B568" s="1743">
        <f>$B$31</f>
        <v>43094</v>
      </c>
      <c r="C568" s="1743"/>
      <c r="D568" s="1743"/>
      <c r="E568" s="1743">
        <f>$E$31</f>
        <v>43125</v>
      </c>
      <c r="F568" s="1743"/>
      <c r="G568" s="1743"/>
      <c r="H568" s="1743">
        <f>$H$31</f>
        <v>43156</v>
      </c>
      <c r="I568" s="1743"/>
      <c r="J568" s="1743"/>
      <c r="K568" s="1743">
        <f>$K$31</f>
        <v>43187</v>
      </c>
      <c r="L568" s="1743"/>
      <c r="M568" s="1743"/>
      <c r="N568" s="1743">
        <f>$N$31</f>
        <v>43218</v>
      </c>
      <c r="O568" s="1743"/>
      <c r="P568" s="1743"/>
      <c r="Q568" s="1743">
        <f>$Q$31</f>
        <v>43249</v>
      </c>
      <c r="R568" s="1743"/>
      <c r="S568" s="1743"/>
      <c r="T568" s="1152"/>
      <c r="U568" s="1158"/>
      <c r="V568" s="1158"/>
      <c r="AF568" s="1161">
        <v>15</v>
      </c>
    </row>
    <row r="569" spans="1:32" hidden="1" x14ac:dyDescent="0.25">
      <c r="A569" s="1179" t="s">
        <v>8</v>
      </c>
      <c r="B569" s="1179" t="s">
        <v>26</v>
      </c>
      <c r="C569" s="1739" t="s">
        <v>8030</v>
      </c>
      <c r="D569" s="1740"/>
      <c r="E569" s="1179" t="s">
        <v>26</v>
      </c>
      <c r="F569" s="1741" t="s">
        <v>8030</v>
      </c>
      <c r="G569" s="1742"/>
      <c r="H569" s="1179" t="s">
        <v>26</v>
      </c>
      <c r="I569" s="1741" t="s">
        <v>8030</v>
      </c>
      <c r="J569" s="1742"/>
      <c r="K569" s="1179" t="s">
        <v>26</v>
      </c>
      <c r="L569" s="1741" t="s">
        <v>8030</v>
      </c>
      <c r="M569" s="1742"/>
      <c r="N569" s="1179" t="s">
        <v>26</v>
      </c>
      <c r="O569" s="1741" t="s">
        <v>8030</v>
      </c>
      <c r="P569" s="1742"/>
      <c r="Q569" s="1179" t="s">
        <v>26</v>
      </c>
      <c r="R569" s="1741" t="s">
        <v>8030</v>
      </c>
      <c r="S569" s="1742"/>
      <c r="T569" s="1152"/>
      <c r="U569" s="1158"/>
      <c r="V569" s="1158"/>
      <c r="AF569" s="1161">
        <v>15</v>
      </c>
    </row>
    <row r="570" spans="1:32" hidden="1" x14ac:dyDescent="0.25">
      <c r="A570" s="1170">
        <v>1</v>
      </c>
      <c r="B570" s="1180">
        <v>7</v>
      </c>
      <c r="C570" s="1760" t="str">
        <f>IF(C271&lt;&gt;0,0,"")</f>
        <v/>
      </c>
      <c r="D570" s="1761"/>
      <c r="E570" s="1181">
        <v>7</v>
      </c>
      <c r="F570" s="1760" t="str">
        <f>IF(F271&lt;&gt;0,0,"")</f>
        <v/>
      </c>
      <c r="G570" s="1761"/>
      <c r="H570" s="1170">
        <v>7</v>
      </c>
      <c r="I570" s="1760" t="str">
        <f>IF(I271&lt;&gt;0,0,"")</f>
        <v/>
      </c>
      <c r="J570" s="1761"/>
      <c r="K570" s="1170">
        <v>7</v>
      </c>
      <c r="L570" s="1760" t="str">
        <f>IF(L271&lt;&gt;0,0,"")</f>
        <v/>
      </c>
      <c r="M570" s="1761"/>
      <c r="N570" s="1170">
        <v>7</v>
      </c>
      <c r="O570" s="1760" t="str">
        <f>IF(O271&lt;&gt;0,0,"")</f>
        <v/>
      </c>
      <c r="P570" s="1761"/>
      <c r="Q570" s="1170">
        <v>7</v>
      </c>
      <c r="R570" s="1760" t="str">
        <f>IF(R271&lt;&gt;0,0,"")</f>
        <v/>
      </c>
      <c r="S570" s="1761"/>
      <c r="T570" s="1168">
        <f>IF(C570&lt;&gt;"",IF(C570=0,0,1),0)</f>
        <v>0</v>
      </c>
      <c r="U570" s="1168">
        <f>IF(F570&lt;&gt;"",IF(F570=0,0,1),0)</f>
        <v>0</v>
      </c>
      <c r="V570" s="1169">
        <f>IF(I570&lt;&gt;"",IF(I570=0,0,1),0)</f>
        <v>0</v>
      </c>
      <c r="W570" s="1157">
        <f>IF(L570&lt;&gt;"",IF(L570=0,0,1),0)</f>
        <v>0</v>
      </c>
      <c r="X570" s="1157">
        <f>IF(O570&lt;&gt;"",IF(O570=0,0,1),0)</f>
        <v>0</v>
      </c>
      <c r="Y570" s="1157">
        <f>IF(R570&lt;&gt;"",IF(R570=0,0,1),0)</f>
        <v>0</v>
      </c>
      <c r="AF570" s="1161">
        <v>15</v>
      </c>
    </row>
    <row r="571" spans="1:32" hidden="1" x14ac:dyDescent="0.25">
      <c r="A571" s="1171">
        <v>2</v>
      </c>
      <c r="B571" s="1182">
        <v>14</v>
      </c>
      <c r="C571" s="1762" t="str">
        <f>IF(C272&lt;&gt;0,0,"")</f>
        <v/>
      </c>
      <c r="D571" s="1763"/>
      <c r="E571" s="1183">
        <v>14</v>
      </c>
      <c r="F571" s="1762" t="str">
        <f>IF(F272&lt;&gt;0,0,"")</f>
        <v/>
      </c>
      <c r="G571" s="1763"/>
      <c r="H571" s="1171">
        <v>14</v>
      </c>
      <c r="I571" s="1762" t="str">
        <f>IF(I272&lt;&gt;0,0,"")</f>
        <v/>
      </c>
      <c r="J571" s="1763"/>
      <c r="K571" s="1171">
        <v>14</v>
      </c>
      <c r="L571" s="1762" t="str">
        <f>IF(L272&lt;&gt;0,0,"")</f>
        <v/>
      </c>
      <c r="M571" s="1763"/>
      <c r="N571" s="1171">
        <v>14</v>
      </c>
      <c r="O571" s="1762" t="str">
        <f>IF(O272&lt;&gt;0,0,"")</f>
        <v/>
      </c>
      <c r="P571" s="1763"/>
      <c r="Q571" s="1171">
        <v>14</v>
      </c>
      <c r="R571" s="1762" t="str">
        <f>IF(R272&lt;&gt;0,0,"")</f>
        <v/>
      </c>
      <c r="S571" s="1763"/>
      <c r="T571" s="1168">
        <f>IF(C571&lt;&gt;"",IF(C571=0,0,1),0)</f>
        <v>0</v>
      </c>
      <c r="U571" s="1168">
        <f>IF(F571&lt;&gt;"",IF(F571=0,0,1),0)</f>
        <v>0</v>
      </c>
      <c r="V571" s="1169">
        <f>IF(I571&lt;&gt;"",IF(I571=0,0,1),0)</f>
        <v>0</v>
      </c>
      <c r="W571" s="1157">
        <f>IF(L571&lt;&gt;"",IF(L571=0,0,1),0)</f>
        <v>0</v>
      </c>
      <c r="X571" s="1157">
        <f>IF(O571&lt;&gt;"",IF(O571=0,0,1),0)</f>
        <v>0</v>
      </c>
      <c r="Y571" s="1157">
        <f>IF(R571&lt;&gt;"",IF(R571=0,0,1),0)</f>
        <v>0</v>
      </c>
      <c r="AF571" s="1161">
        <v>15</v>
      </c>
    </row>
    <row r="572" spans="1:32" hidden="1" x14ac:dyDescent="0.25">
      <c r="A572" s="1171">
        <v>3</v>
      </c>
      <c r="B572" s="1182">
        <v>22</v>
      </c>
      <c r="C572" s="1762" t="str">
        <f>IF(C273&lt;&gt;0,0,"")</f>
        <v/>
      </c>
      <c r="D572" s="1763"/>
      <c r="E572" s="1183">
        <v>22</v>
      </c>
      <c r="F572" s="1762" t="str">
        <f>IF(F273&lt;&gt;0,0,"")</f>
        <v/>
      </c>
      <c r="G572" s="1763"/>
      <c r="H572" s="1171">
        <v>22</v>
      </c>
      <c r="I572" s="1762" t="str">
        <f>IF(I273&lt;&gt;0,0,"")</f>
        <v/>
      </c>
      <c r="J572" s="1763"/>
      <c r="K572" s="1171">
        <v>22</v>
      </c>
      <c r="L572" s="1762" t="str">
        <f>IF(L273&lt;&gt;0,0,"")</f>
        <v/>
      </c>
      <c r="M572" s="1763"/>
      <c r="N572" s="1171">
        <v>22</v>
      </c>
      <c r="O572" s="1762" t="str">
        <f>IF(O273&lt;&gt;0,0,"")</f>
        <v/>
      </c>
      <c r="P572" s="1763"/>
      <c r="Q572" s="1171">
        <v>22</v>
      </c>
      <c r="R572" s="1762" t="str">
        <f>IF(R273&lt;&gt;0,0,"")</f>
        <v/>
      </c>
      <c r="S572" s="1763"/>
      <c r="T572" s="1168">
        <f>IF(C572&lt;&gt;"",IF(C572=0,0,1),0)</f>
        <v>0</v>
      </c>
      <c r="U572" s="1168">
        <f>IF(F572&lt;&gt;"",IF(F572=0,0,1),0)</f>
        <v>0</v>
      </c>
      <c r="V572" s="1169">
        <f>IF(I572&lt;&gt;"",IF(I572=0,0,1),0)</f>
        <v>0</v>
      </c>
      <c r="W572" s="1157">
        <f>IF(L572&lt;&gt;"",IF(L572=0,0,1),0)</f>
        <v>0</v>
      </c>
      <c r="X572" s="1157">
        <f>IF(O572&lt;&gt;"",IF(O572=0,0,1),0)</f>
        <v>0</v>
      </c>
      <c r="Y572" s="1157">
        <f>IF(R572&lt;&gt;"",IF(R572=0,0,1),0)</f>
        <v>0</v>
      </c>
      <c r="AF572" s="1161">
        <v>15</v>
      </c>
    </row>
    <row r="573" spans="1:32" hidden="1" x14ac:dyDescent="0.25">
      <c r="A573" s="1172">
        <v>4</v>
      </c>
      <c r="B573" s="1184">
        <v>31</v>
      </c>
      <c r="C573" s="1776" t="str">
        <f>IF(C274&lt;&gt;0,0,"")</f>
        <v/>
      </c>
      <c r="D573" s="1777"/>
      <c r="E573" s="1185">
        <v>31</v>
      </c>
      <c r="F573" s="1776" t="str">
        <f>IF(F274&lt;&gt;0,0,"")</f>
        <v/>
      </c>
      <c r="G573" s="1777"/>
      <c r="H573" s="1172">
        <v>31</v>
      </c>
      <c r="I573" s="1776" t="str">
        <f>IF(I274&lt;&gt;0,0,"")</f>
        <v/>
      </c>
      <c r="J573" s="1777"/>
      <c r="K573" s="1172">
        <v>31</v>
      </c>
      <c r="L573" s="1776" t="str">
        <f>IF(L274&lt;&gt;0,0,"")</f>
        <v/>
      </c>
      <c r="M573" s="1777"/>
      <c r="N573" s="1172">
        <v>31</v>
      </c>
      <c r="O573" s="1776" t="str">
        <f>IF(O274&lt;&gt;0,0,"")</f>
        <v/>
      </c>
      <c r="P573" s="1777"/>
      <c r="Q573" s="1172">
        <v>31</v>
      </c>
      <c r="R573" s="1776" t="str">
        <f>IF(R274&lt;&gt;0,0,"")</f>
        <v/>
      </c>
      <c r="S573" s="1777"/>
      <c r="T573" s="1168">
        <f>IF(C573&lt;&gt;"",IF(C573=0,0,1),0)</f>
        <v>0</v>
      </c>
      <c r="U573" s="1168">
        <f>IF(F573&lt;&gt;"",IF(F573=0,0,1),0)</f>
        <v>0</v>
      </c>
      <c r="V573" s="1169">
        <f>IF(I573&lt;&gt;"",IF(I573=0,0,1),0)</f>
        <v>0</v>
      </c>
      <c r="W573" s="1157">
        <f>IF(L573&lt;&gt;"",IF(L573=0,0,1),0)</f>
        <v>0</v>
      </c>
      <c r="X573" s="1157">
        <f>IF(O573&lt;&gt;"",IF(O573=0,0,1),0)</f>
        <v>0</v>
      </c>
      <c r="Y573" s="1157">
        <f>IF(R573&lt;&gt;"",IF(R573=0,0,1),0)</f>
        <v>0</v>
      </c>
      <c r="AF573" s="1161">
        <v>15</v>
      </c>
    </row>
    <row r="574" spans="1:32" hidden="1" x14ac:dyDescent="0.25">
      <c r="A574" s="1753" t="s">
        <v>7997</v>
      </c>
      <c r="B574" s="1753"/>
      <c r="C574" s="1754">
        <f>IF(ISERROR(SUM(C570:D573)/SUM(T570:T573)),0,SUM(C570:D573)/SUM(T570:T573))</f>
        <v>0</v>
      </c>
      <c r="D574" s="1755"/>
      <c r="E574" s="1212" t="s">
        <v>7373</v>
      </c>
      <c r="F574" s="1754">
        <f>IF(ISERROR(SUM(F570:G573)/SUM(U570:U573)),0,SUM(F570:G573)/SUM(U570:U573))</f>
        <v>0</v>
      </c>
      <c r="G574" s="1755"/>
      <c r="H574" s="1212"/>
      <c r="I574" s="1754">
        <f>IF(ISERROR(SUM(I570:J573)/SUM(V570:V573)),0,SUM(I570:J573)/SUM(V570:V573))</f>
        <v>0</v>
      </c>
      <c r="J574" s="1755"/>
      <c r="K574" s="1212"/>
      <c r="L574" s="1754">
        <f>IF(ISERROR(SUM(L570:M573)/SUM(W570:W573)),0,SUM(L570:M573)/SUM(W570:W573))</f>
        <v>0</v>
      </c>
      <c r="M574" s="1755"/>
      <c r="N574" s="1212"/>
      <c r="O574" s="1754">
        <f>IF(ISERROR(SUM(O570:P573)/SUM(X570:X573)),0,SUM(O570:P573)/SUM(X570:X573))</f>
        <v>0</v>
      </c>
      <c r="P574" s="1755"/>
      <c r="Q574" s="1212"/>
      <c r="R574" s="1754">
        <f>IF(ISERROR(SUM(R570:S573)/SUM(Y570:Y573)),0,SUM(R570:S573)/SUM(Y570:Y573))</f>
        <v>0</v>
      </c>
      <c r="S574" s="1755"/>
      <c r="T574" s="1168">
        <f t="shared" ref="T574:Y574" si="17">IF(SUM(T570:T573)&lt;&gt;0,1,0)</f>
        <v>0</v>
      </c>
      <c r="U574" s="1168">
        <f t="shared" si="17"/>
        <v>0</v>
      </c>
      <c r="V574" s="1168">
        <f t="shared" si="17"/>
        <v>0</v>
      </c>
      <c r="W574" s="1168">
        <f t="shared" si="17"/>
        <v>0</v>
      </c>
      <c r="X574" s="1168">
        <f t="shared" si="17"/>
        <v>0</v>
      </c>
      <c r="Y574" s="1168">
        <f t="shared" si="17"/>
        <v>0</v>
      </c>
      <c r="AF574" s="1161">
        <v>15</v>
      </c>
    </row>
    <row r="575" spans="1:32" ht="15" hidden="1" customHeight="1" x14ac:dyDescent="0.25">
      <c r="A575" s="1753" t="s">
        <v>2980</v>
      </c>
      <c r="B575" s="1753"/>
      <c r="C575" s="1748"/>
      <c r="D575" s="1748"/>
      <c r="E575" s="1118"/>
      <c r="F575" s="1748"/>
      <c r="G575" s="1748"/>
      <c r="H575" s="1118"/>
      <c r="I575" s="1748"/>
      <c r="J575" s="1748"/>
      <c r="K575" s="1118"/>
      <c r="L575" s="1748"/>
      <c r="M575" s="1748"/>
      <c r="N575" s="1118"/>
      <c r="O575" s="1748"/>
      <c r="P575" s="1748"/>
      <c r="Q575" s="1118"/>
      <c r="R575" s="1748"/>
      <c r="S575" s="1748"/>
      <c r="T575" s="1152"/>
      <c r="U575" s="1158"/>
      <c r="V575" s="1158"/>
      <c r="AF575" s="1161">
        <v>15</v>
      </c>
    </row>
    <row r="576" spans="1:32" hidden="1" x14ac:dyDescent="0.25">
      <c r="A576" s="1210" t="s">
        <v>272</v>
      </c>
      <c r="B576" s="1210"/>
      <c r="C576" s="1748"/>
      <c r="D576" s="1748"/>
      <c r="E576" s="1118"/>
      <c r="F576" s="1748"/>
      <c r="G576" s="1748"/>
      <c r="H576" s="1118"/>
      <c r="I576" s="1748"/>
      <c r="J576" s="1748"/>
      <c r="K576" s="1213"/>
      <c r="L576" s="1748"/>
      <c r="M576" s="1748"/>
      <c r="N576" s="1213"/>
      <c r="O576" s="1748"/>
      <c r="P576" s="1748"/>
      <c r="Q576" s="1213"/>
      <c r="R576" s="1748"/>
      <c r="S576" s="1748"/>
      <c r="T576" s="1152"/>
      <c r="U576" s="1158"/>
      <c r="V576" s="1158"/>
      <c r="AF576" s="1161">
        <v>15</v>
      </c>
    </row>
    <row r="577" spans="1:32" hidden="1" x14ac:dyDescent="0.25">
      <c r="A577" s="1210" t="s">
        <v>273</v>
      </c>
      <c r="B577" s="1210"/>
      <c r="C577" s="1748"/>
      <c r="D577" s="1748"/>
      <c r="E577" s="1118"/>
      <c r="F577" s="1748"/>
      <c r="G577" s="1748"/>
      <c r="H577" s="1118"/>
      <c r="I577" s="1748"/>
      <c r="J577" s="1748"/>
      <c r="K577" s="1213"/>
      <c r="L577" s="1748"/>
      <c r="M577" s="1748"/>
      <c r="N577" s="1213"/>
      <c r="O577" s="1748"/>
      <c r="P577" s="1748"/>
      <c r="Q577" s="1213"/>
      <c r="R577" s="1748"/>
      <c r="S577" s="1748"/>
      <c r="T577" s="1152"/>
      <c r="U577" s="1158"/>
      <c r="V577" s="1158"/>
      <c r="AF577" s="1161">
        <v>15</v>
      </c>
    </row>
    <row r="578" spans="1:32" hidden="1" x14ac:dyDescent="0.25">
      <c r="A578" s="1749" t="s">
        <v>274</v>
      </c>
      <c r="B578" s="1750"/>
      <c r="C578" s="1752">
        <f>C576-C577</f>
        <v>0</v>
      </c>
      <c r="D578" s="1752"/>
      <c r="E578" s="1118"/>
      <c r="F578" s="1752">
        <f>F576-F577</f>
        <v>0</v>
      </c>
      <c r="G578" s="1752"/>
      <c r="H578" s="1118"/>
      <c r="I578" s="1752">
        <f>I576-I577</f>
        <v>0</v>
      </c>
      <c r="J578" s="1752"/>
      <c r="K578" s="1213"/>
      <c r="L578" s="1752">
        <f>L576-L577</f>
        <v>0</v>
      </c>
      <c r="M578" s="1752"/>
      <c r="N578" s="1213"/>
      <c r="O578" s="1752">
        <f>O576-O577</f>
        <v>0</v>
      </c>
      <c r="P578" s="1752"/>
      <c r="Q578" s="1213"/>
      <c r="R578" s="1752">
        <f>R576-R577</f>
        <v>0</v>
      </c>
      <c r="S578" s="1752"/>
      <c r="T578" s="1152"/>
      <c r="U578" s="1158"/>
      <c r="V578" s="1158"/>
      <c r="AF578" s="1161">
        <v>15</v>
      </c>
    </row>
    <row r="579" spans="1:32" hidden="1" x14ac:dyDescent="0.25">
      <c r="A579" s="1749" t="s">
        <v>275</v>
      </c>
      <c r="B579" s="1750"/>
      <c r="C579" s="1751" t="str">
        <f>IF(SUM($D$566)=0,"",C578/$D$566)</f>
        <v/>
      </c>
      <c r="D579" s="1752"/>
      <c r="E579" s="1214"/>
      <c r="F579" s="1751" t="str">
        <f>IF(SUM($D$566)=0,"",F578/$D$566)</f>
        <v/>
      </c>
      <c r="G579" s="1752"/>
      <c r="H579" s="1214"/>
      <c r="I579" s="1751" t="str">
        <f>IF(SUM($D$566)=0,"",I578/$D$566)</f>
        <v/>
      </c>
      <c r="J579" s="1752"/>
      <c r="K579" s="1215"/>
      <c r="L579" s="1751" t="str">
        <f>IF(SUM($D$566)=0,"",L578/$D$566)</f>
        <v/>
      </c>
      <c r="M579" s="1752"/>
      <c r="N579" s="1215"/>
      <c r="O579" s="1751" t="str">
        <f>IF(SUM($D$566)=0,"",O578/$D$566)</f>
        <v/>
      </c>
      <c r="P579" s="1752"/>
      <c r="Q579" s="1215"/>
      <c r="R579" s="1751" t="str">
        <f>IF(SUM($D$566)=0,"",R578/$D$566)</f>
        <v/>
      </c>
      <c r="S579" s="1752"/>
      <c r="T579" s="1152"/>
      <c r="U579" s="1158"/>
      <c r="V579" s="1158"/>
      <c r="AF579" s="1161">
        <v>15</v>
      </c>
    </row>
    <row r="580" spans="1:32" hidden="1" x14ac:dyDescent="0.25">
      <c r="A580" s="1159"/>
      <c r="B580" s="1159"/>
      <c r="C580" s="1159"/>
      <c r="D580" s="1159"/>
      <c r="E580" s="1159"/>
      <c r="F580" s="1159"/>
      <c r="G580" s="1159"/>
      <c r="H580" s="1159"/>
      <c r="I580" s="1159"/>
      <c r="J580" s="1159"/>
      <c r="K580" s="1159"/>
      <c r="L580" s="1159"/>
      <c r="M580" s="1159"/>
      <c r="N580" s="1159"/>
      <c r="O580" s="1159"/>
      <c r="P580" s="1159"/>
      <c r="Q580" s="1159"/>
      <c r="R580" s="1159"/>
      <c r="S580" s="1159"/>
      <c r="AF580" s="1161">
        <v>15</v>
      </c>
    </row>
    <row r="581" spans="1:32" ht="45" customHeight="1" x14ac:dyDescent="0.25">
      <c r="A581" s="1768" t="s">
        <v>8029</v>
      </c>
      <c r="B581" s="1769"/>
      <c r="C581" s="1769"/>
      <c r="D581" s="1769"/>
      <c r="E581" s="1769"/>
      <c r="F581" s="1769"/>
      <c r="G581" s="1769"/>
      <c r="H581" s="1769"/>
      <c r="I581" s="1769"/>
      <c r="J581" s="1769"/>
      <c r="K581" s="1769"/>
      <c r="L581" s="1769"/>
      <c r="M581" s="1769"/>
      <c r="N581" s="1769"/>
      <c r="O581" s="1769"/>
      <c r="P581" s="1769"/>
      <c r="Q581" s="1769"/>
      <c r="R581" s="1769"/>
      <c r="S581" s="1769"/>
      <c r="T581" s="1153"/>
    </row>
    <row r="582" spans="1:32" ht="15.75" customHeight="1" x14ac:dyDescent="0.25">
      <c r="A582" s="1764" t="s">
        <v>8151</v>
      </c>
      <c r="B582" s="1764"/>
      <c r="C582" s="1764"/>
      <c r="D582" s="1764"/>
      <c r="E582" s="1764"/>
      <c r="F582" s="1764"/>
      <c r="G582" s="1764"/>
      <c r="H582" s="1764"/>
      <c r="I582" s="1764"/>
      <c r="J582" s="1764"/>
      <c r="K582" s="1764"/>
      <c r="L582" s="1764"/>
      <c r="M582" s="1764"/>
      <c r="N582" s="1764"/>
      <c r="O582" s="1764"/>
      <c r="P582" s="1764"/>
      <c r="Q582" s="1764"/>
      <c r="R582" s="1764"/>
      <c r="S582" s="1764"/>
      <c r="T582" s="1154"/>
    </row>
    <row r="583" spans="1:32" x14ac:dyDescent="0.25">
      <c r="A583" s="1764" t="s">
        <v>8184</v>
      </c>
      <c r="B583" s="1764"/>
      <c r="C583" s="1764"/>
      <c r="D583" s="1764"/>
      <c r="E583" s="1764"/>
      <c r="F583" s="1764"/>
      <c r="G583" s="1764"/>
      <c r="H583" s="1764"/>
      <c r="I583" s="1764"/>
      <c r="J583" s="1764"/>
      <c r="K583" s="1764"/>
      <c r="L583" s="1764"/>
      <c r="M583" s="1764"/>
      <c r="N583" s="1764"/>
      <c r="O583" s="1764"/>
      <c r="P583" s="1764"/>
      <c r="Q583" s="1764"/>
      <c r="R583" s="1764"/>
      <c r="S583" s="1764"/>
      <c r="T583" s="1154"/>
    </row>
    <row r="584" spans="1:32" x14ac:dyDescent="0.25">
      <c r="A584" s="1764" t="s">
        <v>8154</v>
      </c>
      <c r="B584" s="1764"/>
      <c r="C584" s="1764"/>
      <c r="D584" s="1764"/>
      <c r="E584" s="1764"/>
      <c r="F584" s="1764"/>
      <c r="G584" s="1764"/>
      <c r="H584" s="1764"/>
      <c r="I584" s="1764"/>
      <c r="J584" s="1764"/>
      <c r="K584" s="1764"/>
      <c r="L584" s="1764"/>
      <c r="M584" s="1764"/>
      <c r="N584" s="1764"/>
      <c r="O584" s="1764"/>
      <c r="P584" s="1764"/>
      <c r="Q584" s="1764"/>
      <c r="R584" s="1764"/>
      <c r="S584" s="1764"/>
      <c r="T584" s="1154"/>
    </row>
    <row r="585" spans="1:32" x14ac:dyDescent="0.25">
      <c r="A585" s="1764" t="s">
        <v>8153</v>
      </c>
      <c r="B585" s="1764"/>
      <c r="C585" s="1764"/>
      <c r="D585" s="1764"/>
      <c r="E585" s="1764"/>
      <c r="F585" s="1764"/>
      <c r="G585" s="1764"/>
      <c r="H585" s="1764"/>
      <c r="I585" s="1764"/>
      <c r="J585" s="1764"/>
      <c r="K585" s="1764"/>
      <c r="L585" s="1764"/>
      <c r="M585" s="1764"/>
      <c r="N585" s="1764"/>
      <c r="O585" s="1764"/>
      <c r="P585" s="1764"/>
      <c r="Q585" s="1764"/>
      <c r="R585" s="1764"/>
      <c r="S585" s="1764"/>
      <c r="T585" s="1154"/>
    </row>
    <row r="586" spans="1:32" x14ac:dyDescent="0.25">
      <c r="A586" s="1764">
        <v>2</v>
      </c>
      <c r="B586" s="1764"/>
      <c r="C586" s="1764"/>
      <c r="D586" s="1764"/>
      <c r="E586" s="1764"/>
      <c r="F586" s="1764"/>
      <c r="G586" s="1764"/>
      <c r="H586" s="1764"/>
      <c r="I586" s="1764"/>
      <c r="J586" s="1764"/>
      <c r="K586" s="1764"/>
      <c r="L586" s="1764"/>
      <c r="M586" s="1764"/>
      <c r="N586" s="1764"/>
      <c r="O586" s="1764"/>
      <c r="P586" s="1764"/>
      <c r="Q586" s="1764"/>
      <c r="R586" s="1764"/>
      <c r="S586" s="1764"/>
      <c r="T586" s="1154"/>
    </row>
    <row r="587" spans="1:32" ht="212.25" customHeight="1" x14ac:dyDescent="0.25">
      <c r="A587" s="1764" t="s">
        <v>8210</v>
      </c>
      <c r="B587" s="1764"/>
      <c r="C587" s="1764"/>
      <c r="D587" s="1764"/>
      <c r="E587" s="1764"/>
      <c r="F587" s="1764"/>
      <c r="G587" s="1764"/>
      <c r="H587" s="1764"/>
      <c r="I587" s="1764"/>
      <c r="J587" s="1764"/>
      <c r="K587" s="1764"/>
      <c r="L587" s="1764"/>
      <c r="M587" s="1764"/>
      <c r="N587" s="1764"/>
      <c r="O587" s="1764"/>
      <c r="P587" s="1764"/>
      <c r="Q587" s="1764"/>
      <c r="R587" s="1764"/>
      <c r="S587" s="1764"/>
      <c r="T587" s="1155"/>
    </row>
    <row r="588" spans="1:32" x14ac:dyDescent="0.25">
      <c r="A588" s="1110"/>
      <c r="B588" s="1110"/>
      <c r="C588" s="1110"/>
      <c r="D588" s="1110"/>
      <c r="E588" s="1110"/>
      <c r="F588" s="1110"/>
      <c r="G588" s="1110"/>
      <c r="H588" s="1110"/>
      <c r="I588" s="1110"/>
      <c r="J588" s="1110"/>
      <c r="K588" s="1110"/>
      <c r="L588" s="1110"/>
      <c r="M588" s="1110"/>
      <c r="N588" s="1110"/>
      <c r="O588" s="1110"/>
      <c r="P588" s="1110"/>
      <c r="Q588" s="1110"/>
      <c r="R588" s="1110"/>
      <c r="S588" s="1110"/>
    </row>
    <row r="589" spans="1:32" x14ac:dyDescent="0.25">
      <c r="A589" s="1110"/>
      <c r="B589" s="1110"/>
      <c r="C589" s="1110"/>
      <c r="D589" s="1110"/>
      <c r="E589" s="1110"/>
      <c r="F589" s="1110"/>
      <c r="G589" s="1110"/>
      <c r="H589" s="1110"/>
      <c r="I589" s="1110"/>
      <c r="J589" s="1110"/>
      <c r="K589" s="1110"/>
      <c r="L589" s="1110"/>
      <c r="M589" s="1110"/>
      <c r="N589" s="1110"/>
      <c r="O589" s="1765" t="s">
        <v>4320</v>
      </c>
      <c r="P589" s="1765"/>
      <c r="Q589" s="1765"/>
      <c r="R589" s="1765"/>
      <c r="S589" s="1110"/>
    </row>
    <row r="590" spans="1:32" x14ac:dyDescent="0.25">
      <c r="A590" s="1110"/>
      <c r="B590" s="1110"/>
      <c r="C590" s="1110"/>
      <c r="D590" s="1110"/>
      <c r="E590" s="1110"/>
      <c r="F590" s="1110"/>
      <c r="G590" s="1110"/>
      <c r="H590" s="1110"/>
      <c r="I590" s="1110"/>
      <c r="J590" s="1110"/>
      <c r="K590" s="1110"/>
      <c r="L590" s="1110"/>
      <c r="M590" s="1110"/>
      <c r="N590" s="1110"/>
      <c r="O590" s="1766"/>
      <c r="P590" s="1766"/>
      <c r="Q590" s="1766"/>
      <c r="R590" s="1766"/>
      <c r="S590" s="1110"/>
    </row>
    <row r="591" spans="1:32" x14ac:dyDescent="0.25">
      <c r="A591" s="1110"/>
      <c r="B591" s="1110"/>
      <c r="C591" s="1110"/>
      <c r="D591" s="1110"/>
      <c r="E591" s="1110"/>
      <c r="F591" s="1110"/>
      <c r="G591" s="1110"/>
      <c r="H591" s="1110"/>
      <c r="I591" s="1110"/>
      <c r="J591" s="1110"/>
      <c r="K591" s="1110"/>
      <c r="L591" s="1110"/>
      <c r="M591" s="1110"/>
      <c r="N591" s="1110"/>
      <c r="O591" s="1766"/>
      <c r="P591" s="1766"/>
      <c r="Q591" s="1766"/>
      <c r="R591" s="1766"/>
      <c r="S591" s="1110"/>
    </row>
    <row r="592" spans="1:32" x14ac:dyDescent="0.25">
      <c r="A592" s="1110"/>
      <c r="B592" s="1110"/>
      <c r="C592" s="1110"/>
      <c r="D592" s="1110"/>
      <c r="E592" s="1110"/>
      <c r="F592" s="1110"/>
      <c r="G592" s="1110"/>
      <c r="H592" s="1110"/>
      <c r="I592" s="1110"/>
      <c r="J592" s="1110"/>
      <c r="K592" s="1110"/>
      <c r="L592" s="1110"/>
      <c r="M592" s="1110"/>
      <c r="N592" s="1110"/>
      <c r="O592" s="1766"/>
      <c r="P592" s="1766"/>
      <c r="Q592" s="1766"/>
      <c r="R592" s="1766"/>
      <c r="S592" s="1110"/>
    </row>
    <row r="593" spans="1:19" x14ac:dyDescent="0.25">
      <c r="A593" s="1110"/>
      <c r="B593" s="1110"/>
      <c r="C593" s="1110"/>
      <c r="D593" s="1110"/>
      <c r="E593" s="1110"/>
      <c r="F593" s="1110"/>
      <c r="G593" s="1110"/>
      <c r="H593" s="1110"/>
      <c r="I593" s="1110"/>
      <c r="J593" s="1110"/>
      <c r="K593" s="1110"/>
      <c r="L593" s="1110"/>
      <c r="M593" s="1110"/>
      <c r="N593" s="1110"/>
      <c r="O593" s="1766"/>
      <c r="P593" s="1766"/>
      <c r="Q593" s="1766"/>
      <c r="R593" s="1766"/>
      <c r="S593" s="1110"/>
    </row>
    <row r="594" spans="1:19" x14ac:dyDescent="0.25">
      <c r="A594" s="1110"/>
      <c r="B594" s="1110"/>
      <c r="C594" s="1110"/>
      <c r="D594" s="1110"/>
      <c r="E594" s="1110"/>
      <c r="F594" s="1110"/>
      <c r="G594" s="1110"/>
      <c r="H594" s="1110"/>
      <c r="I594" s="1110"/>
      <c r="J594" s="1110"/>
      <c r="K594" s="1110"/>
      <c r="L594" s="1110"/>
      <c r="M594" s="1110"/>
      <c r="N594" s="1110"/>
      <c r="O594" s="1767" t="s">
        <v>8074</v>
      </c>
      <c r="P594" s="1767"/>
      <c r="Q594" s="1767"/>
      <c r="R594" s="1767"/>
      <c r="S594" s="1110"/>
    </row>
    <row r="595" spans="1:19" x14ac:dyDescent="0.25">
      <c r="A595" s="1110"/>
      <c r="B595" s="1110"/>
      <c r="C595" s="1110"/>
      <c r="D595" s="1110"/>
      <c r="E595" s="1110"/>
      <c r="F595" s="1110"/>
      <c r="G595" s="1110"/>
      <c r="H595" s="1110"/>
      <c r="I595" s="1110"/>
      <c r="J595" s="1110"/>
      <c r="K595" s="1110"/>
      <c r="L595" s="1110"/>
      <c r="M595" s="1110"/>
      <c r="N595" s="1110"/>
      <c r="O595" s="1767" t="s">
        <v>7992</v>
      </c>
      <c r="P595" s="1767"/>
      <c r="Q595" s="1767"/>
      <c r="R595" s="1767"/>
      <c r="S595" s="1110"/>
    </row>
    <row r="596" spans="1:19" x14ac:dyDescent="0.25">
      <c r="A596" s="1110"/>
      <c r="B596" s="1110"/>
      <c r="C596" s="1110"/>
      <c r="D596" s="1110"/>
      <c r="E596" s="1110"/>
      <c r="F596" s="1110"/>
      <c r="G596" s="1110"/>
      <c r="H596" s="1110"/>
      <c r="I596" s="1110"/>
      <c r="J596" s="1110"/>
      <c r="K596" s="1110"/>
      <c r="L596" s="1110"/>
      <c r="M596" s="1110"/>
      <c r="N596" s="1110"/>
      <c r="O596" s="1110"/>
      <c r="P596" s="1110"/>
      <c r="Q596" s="1110"/>
      <c r="R596" s="1110"/>
      <c r="S596" s="1110"/>
    </row>
  </sheetData>
  <sheetProtection password="CCA9" sheet="1" objects="1" scenarios="1" formatRows="0" selectLockedCells="1" autoFilter="0"/>
  <autoFilter ref="AF23:AF580">
    <filterColumn colId="0">
      <filters>
        <filter val="1"/>
        <filter val="2"/>
        <filter val="3"/>
      </filters>
    </filterColumn>
  </autoFilter>
  <mergeCells count="1710">
    <mergeCell ref="R579:S579"/>
    <mergeCell ref="K286:L286"/>
    <mergeCell ref="K306:L306"/>
    <mergeCell ref="K326:L326"/>
    <mergeCell ref="K346:L346"/>
    <mergeCell ref="K366:L366"/>
    <mergeCell ref="K386:L386"/>
    <mergeCell ref="K406:L406"/>
    <mergeCell ref="K426:L426"/>
    <mergeCell ref="K446:L446"/>
    <mergeCell ref="A579:B579"/>
    <mergeCell ref="C579:D579"/>
    <mergeCell ref="F579:G579"/>
    <mergeCell ref="I579:J579"/>
    <mergeCell ref="L579:M579"/>
    <mergeCell ref="O579:P579"/>
    <mergeCell ref="A578:B578"/>
    <mergeCell ref="C578:D578"/>
    <mergeCell ref="F578:G578"/>
    <mergeCell ref="I578:J578"/>
    <mergeCell ref="L578:M578"/>
    <mergeCell ref="O578:P578"/>
    <mergeCell ref="C577:D577"/>
    <mergeCell ref="F577:G577"/>
    <mergeCell ref="I577:J577"/>
    <mergeCell ref="L577:M577"/>
    <mergeCell ref="O577:P577"/>
    <mergeCell ref="R577:S577"/>
    <mergeCell ref="I576:J576"/>
    <mergeCell ref="L576:M576"/>
    <mergeCell ref="O576:P576"/>
    <mergeCell ref="R576:S576"/>
    <mergeCell ref="L574:M574"/>
    <mergeCell ref="O574:P574"/>
    <mergeCell ref="R574:S574"/>
    <mergeCell ref="L575:M575"/>
    <mergeCell ref="O575:P575"/>
    <mergeCell ref="R575:S575"/>
    <mergeCell ref="R578:S578"/>
    <mergeCell ref="A574:B574"/>
    <mergeCell ref="C574:D574"/>
    <mergeCell ref="F574:G574"/>
    <mergeCell ref="I574:J574"/>
    <mergeCell ref="A575:B575"/>
    <mergeCell ref="C575:D575"/>
    <mergeCell ref="C576:D576"/>
    <mergeCell ref="F576:G576"/>
    <mergeCell ref="F575:G575"/>
    <mergeCell ref="I575:J575"/>
    <mergeCell ref="C573:D573"/>
    <mergeCell ref="F573:G573"/>
    <mergeCell ref="I573:J573"/>
    <mergeCell ref="L573:M573"/>
    <mergeCell ref="O573:P573"/>
    <mergeCell ref="R573:S573"/>
    <mergeCell ref="C572:D572"/>
    <mergeCell ref="F572:G572"/>
    <mergeCell ref="I572:J572"/>
    <mergeCell ref="L572:M572"/>
    <mergeCell ref="O572:P572"/>
    <mergeCell ref="R572:S572"/>
    <mergeCell ref="C571:D571"/>
    <mergeCell ref="F571:G571"/>
    <mergeCell ref="I571:J571"/>
    <mergeCell ref="L571:M571"/>
    <mergeCell ref="O571:P571"/>
    <mergeCell ref="R571:S571"/>
    <mergeCell ref="C570:D570"/>
    <mergeCell ref="F570:G570"/>
    <mergeCell ref="I570:J570"/>
    <mergeCell ref="L570:M570"/>
    <mergeCell ref="O570:P570"/>
    <mergeCell ref="R570:S570"/>
    <mergeCell ref="C569:D569"/>
    <mergeCell ref="F569:G569"/>
    <mergeCell ref="I569:J569"/>
    <mergeCell ref="L569:M569"/>
    <mergeCell ref="O569:P569"/>
    <mergeCell ref="R569:S569"/>
    <mergeCell ref="R559:S559"/>
    <mergeCell ref="B568:D568"/>
    <mergeCell ref="E568:G568"/>
    <mergeCell ref="H568:J568"/>
    <mergeCell ref="K568:M568"/>
    <mergeCell ref="N568:P568"/>
    <mergeCell ref="Q568:S568"/>
    <mergeCell ref="K566:L566"/>
    <mergeCell ref="A559:B559"/>
    <mergeCell ref="C559:D559"/>
    <mergeCell ref="F559:G559"/>
    <mergeCell ref="I559:J559"/>
    <mergeCell ref="L559:M559"/>
    <mergeCell ref="O559:P559"/>
    <mergeCell ref="D566:F566"/>
    <mergeCell ref="A561:S561"/>
    <mergeCell ref="D563:F563"/>
    <mergeCell ref="K563:L563"/>
    <mergeCell ref="D564:F564"/>
    <mergeCell ref="K564:L564"/>
    <mergeCell ref="A558:B558"/>
    <mergeCell ref="C558:D558"/>
    <mergeCell ref="F558:G558"/>
    <mergeCell ref="I558:J558"/>
    <mergeCell ref="L558:M558"/>
    <mergeCell ref="O558:P558"/>
    <mergeCell ref="C557:D557"/>
    <mergeCell ref="F557:G557"/>
    <mergeCell ref="I557:J557"/>
    <mergeCell ref="L557:M557"/>
    <mergeCell ref="O557:P557"/>
    <mergeCell ref="R557:S557"/>
    <mergeCell ref="I556:J556"/>
    <mergeCell ref="L556:M556"/>
    <mergeCell ref="O556:P556"/>
    <mergeCell ref="R556:S556"/>
    <mergeCell ref="L554:M554"/>
    <mergeCell ref="O554:P554"/>
    <mergeCell ref="R554:S554"/>
    <mergeCell ref="L555:M555"/>
    <mergeCell ref="O555:P555"/>
    <mergeCell ref="R555:S555"/>
    <mergeCell ref="R558:S558"/>
    <mergeCell ref="A554:B554"/>
    <mergeCell ref="C554:D554"/>
    <mergeCell ref="F554:G554"/>
    <mergeCell ref="I554:J554"/>
    <mergeCell ref="A555:B555"/>
    <mergeCell ref="C555:D555"/>
    <mergeCell ref="C556:D556"/>
    <mergeCell ref="F556:G556"/>
    <mergeCell ref="F555:G555"/>
    <mergeCell ref="I555:J555"/>
    <mergeCell ref="C553:D553"/>
    <mergeCell ref="F553:G553"/>
    <mergeCell ref="I553:J553"/>
    <mergeCell ref="L553:M553"/>
    <mergeCell ref="O553:P553"/>
    <mergeCell ref="R553:S553"/>
    <mergeCell ref="C552:D552"/>
    <mergeCell ref="F552:G552"/>
    <mergeCell ref="I552:J552"/>
    <mergeCell ref="L552:M552"/>
    <mergeCell ref="O552:P552"/>
    <mergeCell ref="R552:S552"/>
    <mergeCell ref="C551:D551"/>
    <mergeCell ref="F551:G551"/>
    <mergeCell ref="I551:J551"/>
    <mergeCell ref="L551:M551"/>
    <mergeCell ref="O551:P551"/>
    <mergeCell ref="R551:S551"/>
    <mergeCell ref="C550:D550"/>
    <mergeCell ref="F550:G550"/>
    <mergeCell ref="I550:J550"/>
    <mergeCell ref="L550:M550"/>
    <mergeCell ref="O550:P550"/>
    <mergeCell ref="R550:S550"/>
    <mergeCell ref="C549:D549"/>
    <mergeCell ref="F549:G549"/>
    <mergeCell ref="I549:J549"/>
    <mergeCell ref="L549:M549"/>
    <mergeCell ref="O549:P549"/>
    <mergeCell ref="R549:S549"/>
    <mergeCell ref="R539:S539"/>
    <mergeCell ref="B548:D548"/>
    <mergeCell ref="E548:G548"/>
    <mergeCell ref="H548:J548"/>
    <mergeCell ref="K548:M548"/>
    <mergeCell ref="N548:P548"/>
    <mergeCell ref="Q548:S548"/>
    <mergeCell ref="K546:L546"/>
    <mergeCell ref="A539:B539"/>
    <mergeCell ref="C539:D539"/>
    <mergeCell ref="F539:G539"/>
    <mergeCell ref="I539:J539"/>
    <mergeCell ref="L539:M539"/>
    <mergeCell ref="O539:P539"/>
    <mergeCell ref="A538:B538"/>
    <mergeCell ref="C538:D538"/>
    <mergeCell ref="F538:G538"/>
    <mergeCell ref="I538:J538"/>
    <mergeCell ref="L538:M538"/>
    <mergeCell ref="O538:P538"/>
    <mergeCell ref="C537:D537"/>
    <mergeCell ref="F537:G537"/>
    <mergeCell ref="I537:J537"/>
    <mergeCell ref="L537:M537"/>
    <mergeCell ref="O537:P537"/>
    <mergeCell ref="R537:S537"/>
    <mergeCell ref="I536:J536"/>
    <mergeCell ref="L536:M536"/>
    <mergeCell ref="O536:P536"/>
    <mergeCell ref="R536:S536"/>
    <mergeCell ref="L534:M534"/>
    <mergeCell ref="O534:P534"/>
    <mergeCell ref="R534:S534"/>
    <mergeCell ref="L535:M535"/>
    <mergeCell ref="O535:P535"/>
    <mergeCell ref="R535:S535"/>
    <mergeCell ref="R538:S538"/>
    <mergeCell ref="A534:B534"/>
    <mergeCell ref="C534:D534"/>
    <mergeCell ref="F534:G534"/>
    <mergeCell ref="I534:J534"/>
    <mergeCell ref="A535:B535"/>
    <mergeCell ref="C535:D535"/>
    <mergeCell ref="C536:D536"/>
    <mergeCell ref="F536:G536"/>
    <mergeCell ref="F535:G535"/>
    <mergeCell ref="I535:J535"/>
    <mergeCell ref="C533:D533"/>
    <mergeCell ref="F533:G533"/>
    <mergeCell ref="I533:J533"/>
    <mergeCell ref="L533:M533"/>
    <mergeCell ref="O533:P533"/>
    <mergeCell ref="R533:S533"/>
    <mergeCell ref="C532:D532"/>
    <mergeCell ref="F532:G532"/>
    <mergeCell ref="I532:J532"/>
    <mergeCell ref="L532:M532"/>
    <mergeCell ref="O532:P532"/>
    <mergeCell ref="R532:S532"/>
    <mergeCell ref="R530:S530"/>
    <mergeCell ref="C531:D531"/>
    <mergeCell ref="F531:G531"/>
    <mergeCell ref="I531:J531"/>
    <mergeCell ref="L531:M531"/>
    <mergeCell ref="O531:P531"/>
    <mergeCell ref="R531:S531"/>
    <mergeCell ref="F529:G529"/>
    <mergeCell ref="I529:J529"/>
    <mergeCell ref="L529:M529"/>
    <mergeCell ref="O529:P529"/>
    <mergeCell ref="R529:S529"/>
    <mergeCell ref="C530:D530"/>
    <mergeCell ref="F530:G530"/>
    <mergeCell ref="I530:J530"/>
    <mergeCell ref="L530:M530"/>
    <mergeCell ref="O530:P530"/>
    <mergeCell ref="O519:P519"/>
    <mergeCell ref="R519:S519"/>
    <mergeCell ref="B528:D528"/>
    <mergeCell ref="E528:G528"/>
    <mergeCell ref="H528:J528"/>
    <mergeCell ref="K528:M528"/>
    <mergeCell ref="N528:P528"/>
    <mergeCell ref="Q528:S528"/>
    <mergeCell ref="K526:L526"/>
    <mergeCell ref="A519:B519"/>
    <mergeCell ref="D524:F524"/>
    <mergeCell ref="K524:L524"/>
    <mergeCell ref="D523:F523"/>
    <mergeCell ref="K523:L523"/>
    <mergeCell ref="A521:S521"/>
    <mergeCell ref="K525:L525"/>
    <mergeCell ref="O517:P517"/>
    <mergeCell ref="R517:S517"/>
    <mergeCell ref="F518:G518"/>
    <mergeCell ref="L518:M518"/>
    <mergeCell ref="O518:P518"/>
    <mergeCell ref="R518:S518"/>
    <mergeCell ref="O515:P515"/>
    <mergeCell ref="R515:S515"/>
    <mergeCell ref="F516:G516"/>
    <mergeCell ref="L516:M516"/>
    <mergeCell ref="O516:P516"/>
    <mergeCell ref="R516:S516"/>
    <mergeCell ref="R512:S512"/>
    <mergeCell ref="F513:G513"/>
    <mergeCell ref="L513:M513"/>
    <mergeCell ref="O513:P513"/>
    <mergeCell ref="R513:S513"/>
    <mergeCell ref="F514:G514"/>
    <mergeCell ref="L514:M514"/>
    <mergeCell ref="O514:P514"/>
    <mergeCell ref="R514:S514"/>
    <mergeCell ref="F517:G517"/>
    <mergeCell ref="L517:M517"/>
    <mergeCell ref="I515:J515"/>
    <mergeCell ref="F511:G511"/>
    <mergeCell ref="I511:J511"/>
    <mergeCell ref="L511:M511"/>
    <mergeCell ref="O511:P511"/>
    <mergeCell ref="R511:S511"/>
    <mergeCell ref="C512:D512"/>
    <mergeCell ref="F512:G512"/>
    <mergeCell ref="I512:J512"/>
    <mergeCell ref="L512:M512"/>
    <mergeCell ref="O512:P512"/>
    <mergeCell ref="O509:P509"/>
    <mergeCell ref="R509:S509"/>
    <mergeCell ref="C510:D510"/>
    <mergeCell ref="F510:G510"/>
    <mergeCell ref="I510:J510"/>
    <mergeCell ref="L510:M510"/>
    <mergeCell ref="O510:P510"/>
    <mergeCell ref="R510:S510"/>
    <mergeCell ref="B508:D508"/>
    <mergeCell ref="E508:G508"/>
    <mergeCell ref="H508:J508"/>
    <mergeCell ref="K508:M508"/>
    <mergeCell ref="N508:P508"/>
    <mergeCell ref="Q508:S508"/>
    <mergeCell ref="K506:L506"/>
    <mergeCell ref="A499:B499"/>
    <mergeCell ref="A498:B498"/>
    <mergeCell ref="C498:D498"/>
    <mergeCell ref="F498:G498"/>
    <mergeCell ref="L498:M498"/>
    <mergeCell ref="O498:P498"/>
    <mergeCell ref="R498:S498"/>
    <mergeCell ref="L496:M496"/>
    <mergeCell ref="O496:P496"/>
    <mergeCell ref="R496:S496"/>
    <mergeCell ref="L497:M497"/>
    <mergeCell ref="O497:P497"/>
    <mergeCell ref="R497:S497"/>
    <mergeCell ref="I498:J498"/>
    <mergeCell ref="K505:L505"/>
    <mergeCell ref="K504:L504"/>
    <mergeCell ref="D505:F505"/>
    <mergeCell ref="K503:L503"/>
    <mergeCell ref="L494:M494"/>
    <mergeCell ref="O494:P494"/>
    <mergeCell ref="R494:S494"/>
    <mergeCell ref="A495:B495"/>
    <mergeCell ref="C495:D495"/>
    <mergeCell ref="F495:G495"/>
    <mergeCell ref="I495:J495"/>
    <mergeCell ref="L495:M495"/>
    <mergeCell ref="O495:P495"/>
    <mergeCell ref="R495:S495"/>
    <mergeCell ref="A494:B494"/>
    <mergeCell ref="C494:D494"/>
    <mergeCell ref="F494:G494"/>
    <mergeCell ref="I494:J494"/>
    <mergeCell ref="C497:D497"/>
    <mergeCell ref="F497:G497"/>
    <mergeCell ref="I497:J497"/>
    <mergeCell ref="C496:D496"/>
    <mergeCell ref="F496:G496"/>
    <mergeCell ref="I496:J496"/>
    <mergeCell ref="C493:D493"/>
    <mergeCell ref="F493:G493"/>
    <mergeCell ref="I493:J493"/>
    <mergeCell ref="L493:M493"/>
    <mergeCell ref="O493:P493"/>
    <mergeCell ref="R493:S493"/>
    <mergeCell ref="C492:D492"/>
    <mergeCell ref="F492:G492"/>
    <mergeCell ref="I492:J492"/>
    <mergeCell ref="L492:M492"/>
    <mergeCell ref="O492:P492"/>
    <mergeCell ref="R492:S492"/>
    <mergeCell ref="C491:D491"/>
    <mergeCell ref="F491:G491"/>
    <mergeCell ref="I491:J491"/>
    <mergeCell ref="L491:M491"/>
    <mergeCell ref="O491:P491"/>
    <mergeCell ref="R491:S491"/>
    <mergeCell ref="C490:D490"/>
    <mergeCell ref="F490:G490"/>
    <mergeCell ref="I490:J490"/>
    <mergeCell ref="L490:M490"/>
    <mergeCell ref="O490:P490"/>
    <mergeCell ref="R490:S490"/>
    <mergeCell ref="N488:P488"/>
    <mergeCell ref="Q488:S488"/>
    <mergeCell ref="F489:G489"/>
    <mergeCell ref="L489:M489"/>
    <mergeCell ref="O489:P489"/>
    <mergeCell ref="R489:S489"/>
    <mergeCell ref="I489:J489"/>
    <mergeCell ref="K488:M488"/>
    <mergeCell ref="E488:G488"/>
    <mergeCell ref="H488:J488"/>
    <mergeCell ref="R478:S478"/>
    <mergeCell ref="K486:L486"/>
    <mergeCell ref="K485:L485"/>
    <mergeCell ref="K483:L483"/>
    <mergeCell ref="K484:L484"/>
    <mergeCell ref="D486:F486"/>
    <mergeCell ref="R473:S473"/>
    <mergeCell ref="F474:G474"/>
    <mergeCell ref="L474:M474"/>
    <mergeCell ref="R474:S474"/>
    <mergeCell ref="O474:P474"/>
    <mergeCell ref="L472:M472"/>
    <mergeCell ref="O472:P472"/>
    <mergeCell ref="A474:B474"/>
    <mergeCell ref="C472:D472"/>
    <mergeCell ref="F472:G472"/>
    <mergeCell ref="C473:D473"/>
    <mergeCell ref="I473:J473"/>
    <mergeCell ref="F473:G473"/>
    <mergeCell ref="O479:P479"/>
    <mergeCell ref="R479:S479"/>
    <mergeCell ref="A478:B478"/>
    <mergeCell ref="C478:D478"/>
    <mergeCell ref="L478:M478"/>
    <mergeCell ref="O478:P478"/>
    <mergeCell ref="C477:D477"/>
    <mergeCell ref="F477:G477"/>
    <mergeCell ref="I477:J477"/>
    <mergeCell ref="L477:M477"/>
    <mergeCell ref="O477:P477"/>
    <mergeCell ref="R475:S475"/>
    <mergeCell ref="C474:D474"/>
    <mergeCell ref="I474:J474"/>
    <mergeCell ref="R477:S477"/>
    <mergeCell ref="C476:D476"/>
    <mergeCell ref="F476:G476"/>
    <mergeCell ref="I476:J476"/>
    <mergeCell ref="L476:M476"/>
    <mergeCell ref="F451:G451"/>
    <mergeCell ref="I451:J451"/>
    <mergeCell ref="L451:M451"/>
    <mergeCell ref="O451:P451"/>
    <mergeCell ref="R451:S451"/>
    <mergeCell ref="O452:P452"/>
    <mergeCell ref="O470:P470"/>
    <mergeCell ref="R470:S470"/>
    <mergeCell ref="O471:P471"/>
    <mergeCell ref="R471:S471"/>
    <mergeCell ref="B468:D468"/>
    <mergeCell ref="E468:G468"/>
    <mergeCell ref="H468:J468"/>
    <mergeCell ref="F456:G456"/>
    <mergeCell ref="K468:M468"/>
    <mergeCell ref="N468:P468"/>
    <mergeCell ref="Q468:S468"/>
    <mergeCell ref="R456:S456"/>
    <mergeCell ref="F457:G457"/>
    <mergeCell ref="L457:M457"/>
    <mergeCell ref="O457:P457"/>
    <mergeCell ref="R457:S457"/>
    <mergeCell ref="F458:G458"/>
    <mergeCell ref="C471:D471"/>
    <mergeCell ref="L469:M469"/>
    <mergeCell ref="O469:P469"/>
    <mergeCell ref="F470:G470"/>
    <mergeCell ref="C470:D470"/>
    <mergeCell ref="I470:J470"/>
    <mergeCell ref="I471:J471"/>
    <mergeCell ref="F471:G471"/>
    <mergeCell ref="L471:M471"/>
    <mergeCell ref="R437:S437"/>
    <mergeCell ref="R434:S434"/>
    <mergeCell ref="O434:P434"/>
    <mergeCell ref="L433:M433"/>
    <mergeCell ref="O433:P433"/>
    <mergeCell ref="R435:S435"/>
    <mergeCell ref="F439:G439"/>
    <mergeCell ref="F438:G438"/>
    <mergeCell ref="L438:M438"/>
    <mergeCell ref="R449:S449"/>
    <mergeCell ref="C450:D450"/>
    <mergeCell ref="F450:G450"/>
    <mergeCell ref="I450:J450"/>
    <mergeCell ref="L450:M450"/>
    <mergeCell ref="O450:P450"/>
    <mergeCell ref="R450:S450"/>
    <mergeCell ref="C449:D449"/>
    <mergeCell ref="F449:G449"/>
    <mergeCell ref="I449:J449"/>
    <mergeCell ref="O449:P449"/>
    <mergeCell ref="B448:D448"/>
    <mergeCell ref="E448:G448"/>
    <mergeCell ref="H448:J448"/>
    <mergeCell ref="K448:M448"/>
    <mergeCell ref="N448:P448"/>
    <mergeCell ref="Q448:S448"/>
    <mergeCell ref="A435:B435"/>
    <mergeCell ref="C435:D435"/>
    <mergeCell ref="F435:G435"/>
    <mergeCell ref="I435:J435"/>
    <mergeCell ref="L435:M435"/>
    <mergeCell ref="O435:P435"/>
    <mergeCell ref="L434:M434"/>
    <mergeCell ref="F436:G436"/>
    <mergeCell ref="I436:J436"/>
    <mergeCell ref="L436:M436"/>
    <mergeCell ref="O436:P436"/>
    <mergeCell ref="R433:S433"/>
    <mergeCell ref="C432:D432"/>
    <mergeCell ref="F432:G432"/>
    <mergeCell ref="I432:J432"/>
    <mergeCell ref="L432:M432"/>
    <mergeCell ref="O432:P432"/>
    <mergeCell ref="R432:S432"/>
    <mergeCell ref="C433:D433"/>
    <mergeCell ref="F433:G433"/>
    <mergeCell ref="I433:J433"/>
    <mergeCell ref="A434:B434"/>
    <mergeCell ref="F434:G434"/>
    <mergeCell ref="C434:D434"/>
    <mergeCell ref="R436:S436"/>
    <mergeCell ref="I434:J434"/>
    <mergeCell ref="C431:D431"/>
    <mergeCell ref="F431:G431"/>
    <mergeCell ref="I431:J431"/>
    <mergeCell ref="L431:M431"/>
    <mergeCell ref="O431:P431"/>
    <mergeCell ref="R431:S431"/>
    <mergeCell ref="C430:D430"/>
    <mergeCell ref="F430:G430"/>
    <mergeCell ref="I430:J430"/>
    <mergeCell ref="L430:M430"/>
    <mergeCell ref="O430:P430"/>
    <mergeCell ref="R430:S430"/>
    <mergeCell ref="N428:P428"/>
    <mergeCell ref="Q428:S428"/>
    <mergeCell ref="F429:G429"/>
    <mergeCell ref="L429:M429"/>
    <mergeCell ref="O429:P429"/>
    <mergeCell ref="R429:S429"/>
    <mergeCell ref="I429:J429"/>
    <mergeCell ref="B428:D428"/>
    <mergeCell ref="E428:G428"/>
    <mergeCell ref="H428:J428"/>
    <mergeCell ref="K428:M428"/>
    <mergeCell ref="C429:D429"/>
    <mergeCell ref="F415:G415"/>
    <mergeCell ref="I415:J415"/>
    <mergeCell ref="L415:M415"/>
    <mergeCell ref="O415:P415"/>
    <mergeCell ref="O413:P413"/>
    <mergeCell ref="R413:S413"/>
    <mergeCell ref="F414:G414"/>
    <mergeCell ref="L414:M414"/>
    <mergeCell ref="O414:P414"/>
    <mergeCell ref="R414:S414"/>
    <mergeCell ref="L413:M413"/>
    <mergeCell ref="I414:J414"/>
    <mergeCell ref="C413:D413"/>
    <mergeCell ref="I413:J413"/>
    <mergeCell ref="F413:G413"/>
    <mergeCell ref="R418:S418"/>
    <mergeCell ref="A419:B419"/>
    <mergeCell ref="C419:D419"/>
    <mergeCell ref="F419:G419"/>
    <mergeCell ref="I419:J419"/>
    <mergeCell ref="L419:M419"/>
    <mergeCell ref="O419:P419"/>
    <mergeCell ref="R419:S419"/>
    <mergeCell ref="A418:B418"/>
    <mergeCell ref="C418:D418"/>
    <mergeCell ref="L418:M418"/>
    <mergeCell ref="O418:P418"/>
    <mergeCell ref="C417:D417"/>
    <mergeCell ref="F417:G417"/>
    <mergeCell ref="I417:J417"/>
    <mergeCell ref="L417:M417"/>
    <mergeCell ref="O417:P417"/>
    <mergeCell ref="C392:D392"/>
    <mergeCell ref="F392:G392"/>
    <mergeCell ref="I392:J392"/>
    <mergeCell ref="L392:M392"/>
    <mergeCell ref="O392:P392"/>
    <mergeCell ref="R392:S392"/>
    <mergeCell ref="B408:D408"/>
    <mergeCell ref="E408:G408"/>
    <mergeCell ref="H408:J408"/>
    <mergeCell ref="K408:M408"/>
    <mergeCell ref="N408:P408"/>
    <mergeCell ref="Q408:S408"/>
    <mergeCell ref="A399:B399"/>
    <mergeCell ref="C399:D399"/>
    <mergeCell ref="L397:M397"/>
    <mergeCell ref="O397:P397"/>
    <mergeCell ref="R397:S397"/>
    <mergeCell ref="F398:G398"/>
    <mergeCell ref="L398:M398"/>
    <mergeCell ref="O398:P398"/>
    <mergeCell ref="R398:S398"/>
    <mergeCell ref="I397:J397"/>
    <mergeCell ref="F397:G397"/>
    <mergeCell ref="O399:P399"/>
    <mergeCell ref="R399:S399"/>
    <mergeCell ref="A395:B395"/>
    <mergeCell ref="C395:D395"/>
    <mergeCell ref="I395:J395"/>
    <mergeCell ref="F395:G395"/>
    <mergeCell ref="A394:B394"/>
    <mergeCell ref="C394:D394"/>
    <mergeCell ref="I394:J394"/>
    <mergeCell ref="C391:D391"/>
    <mergeCell ref="F391:G391"/>
    <mergeCell ref="I391:J391"/>
    <mergeCell ref="L391:M391"/>
    <mergeCell ref="O391:P391"/>
    <mergeCell ref="R391:S391"/>
    <mergeCell ref="C390:D390"/>
    <mergeCell ref="F390:G390"/>
    <mergeCell ref="I390:J390"/>
    <mergeCell ref="L390:M390"/>
    <mergeCell ref="O390:P390"/>
    <mergeCell ref="R390:S390"/>
    <mergeCell ref="C389:D389"/>
    <mergeCell ref="F389:G389"/>
    <mergeCell ref="I389:J389"/>
    <mergeCell ref="L389:M389"/>
    <mergeCell ref="O389:P389"/>
    <mergeCell ref="R389:S389"/>
    <mergeCell ref="B388:D388"/>
    <mergeCell ref="E388:G388"/>
    <mergeCell ref="H388:J388"/>
    <mergeCell ref="K388:M388"/>
    <mergeCell ref="N388:P388"/>
    <mergeCell ref="Q388:S388"/>
    <mergeCell ref="A379:B379"/>
    <mergeCell ref="L377:M377"/>
    <mergeCell ref="O377:P377"/>
    <mergeCell ref="R377:S377"/>
    <mergeCell ref="A378:B378"/>
    <mergeCell ref="C378:D378"/>
    <mergeCell ref="F378:G378"/>
    <mergeCell ref="L378:M378"/>
    <mergeCell ref="O378:P378"/>
    <mergeCell ref="R378:S378"/>
    <mergeCell ref="K384:L384"/>
    <mergeCell ref="K383:L383"/>
    <mergeCell ref="D386:F386"/>
    <mergeCell ref="A381:S381"/>
    <mergeCell ref="D383:F383"/>
    <mergeCell ref="D384:F384"/>
    <mergeCell ref="D385:F385"/>
    <mergeCell ref="K385:L385"/>
    <mergeCell ref="R375:S375"/>
    <mergeCell ref="C376:D376"/>
    <mergeCell ref="F376:G376"/>
    <mergeCell ref="I376:J376"/>
    <mergeCell ref="L376:M376"/>
    <mergeCell ref="O376:P376"/>
    <mergeCell ref="R376:S376"/>
    <mergeCell ref="F379:G379"/>
    <mergeCell ref="L374:M374"/>
    <mergeCell ref="O374:P374"/>
    <mergeCell ref="R374:S374"/>
    <mergeCell ref="A375:B375"/>
    <mergeCell ref="C375:D375"/>
    <mergeCell ref="F375:G375"/>
    <mergeCell ref="I375:J375"/>
    <mergeCell ref="L375:M375"/>
    <mergeCell ref="O375:P375"/>
    <mergeCell ref="A374:B374"/>
    <mergeCell ref="C374:D374"/>
    <mergeCell ref="F374:G374"/>
    <mergeCell ref="I374:J374"/>
    <mergeCell ref="C377:D377"/>
    <mergeCell ref="F377:G377"/>
    <mergeCell ref="I377:J377"/>
    <mergeCell ref="I378:J378"/>
    <mergeCell ref="C379:D379"/>
    <mergeCell ref="I379:J379"/>
    <mergeCell ref="L379:M379"/>
    <mergeCell ref="O379:P379"/>
    <mergeCell ref="R379:S379"/>
    <mergeCell ref="C373:D373"/>
    <mergeCell ref="F373:G373"/>
    <mergeCell ref="I373:J373"/>
    <mergeCell ref="L373:M373"/>
    <mergeCell ref="O373:P373"/>
    <mergeCell ref="R373:S373"/>
    <mergeCell ref="C372:D372"/>
    <mergeCell ref="F372:G372"/>
    <mergeCell ref="I372:J372"/>
    <mergeCell ref="L372:M372"/>
    <mergeCell ref="O372:P372"/>
    <mergeCell ref="R372:S372"/>
    <mergeCell ref="L370:M370"/>
    <mergeCell ref="O370:P370"/>
    <mergeCell ref="R370:S370"/>
    <mergeCell ref="C371:D371"/>
    <mergeCell ref="F371:G371"/>
    <mergeCell ref="I371:J371"/>
    <mergeCell ref="L371:M371"/>
    <mergeCell ref="O371:P371"/>
    <mergeCell ref="R371:S371"/>
    <mergeCell ref="C370:D370"/>
    <mergeCell ref="F370:G370"/>
    <mergeCell ref="I370:J370"/>
    <mergeCell ref="F369:G369"/>
    <mergeCell ref="L369:M369"/>
    <mergeCell ref="O369:P369"/>
    <mergeCell ref="R369:S369"/>
    <mergeCell ref="R358:S358"/>
    <mergeCell ref="A359:B359"/>
    <mergeCell ref="C359:D359"/>
    <mergeCell ref="F359:G359"/>
    <mergeCell ref="I359:J359"/>
    <mergeCell ref="L359:M359"/>
    <mergeCell ref="O359:P359"/>
    <mergeCell ref="R359:S359"/>
    <mergeCell ref="A358:B358"/>
    <mergeCell ref="C358:D358"/>
    <mergeCell ref="F358:G358"/>
    <mergeCell ref="I358:J358"/>
    <mergeCell ref="L358:M358"/>
    <mergeCell ref="O358:P358"/>
    <mergeCell ref="C369:D369"/>
    <mergeCell ref="I369:J369"/>
    <mergeCell ref="B368:D368"/>
    <mergeCell ref="E368:G368"/>
    <mergeCell ref="H368:J368"/>
    <mergeCell ref="K368:M368"/>
    <mergeCell ref="K365:L365"/>
    <mergeCell ref="K363:L363"/>
    <mergeCell ref="K364:L364"/>
    <mergeCell ref="D366:F366"/>
    <mergeCell ref="A361:S361"/>
    <mergeCell ref="D363:F363"/>
    <mergeCell ref="R357:S357"/>
    <mergeCell ref="O355:P355"/>
    <mergeCell ref="R355:S355"/>
    <mergeCell ref="C356:D356"/>
    <mergeCell ref="F356:G356"/>
    <mergeCell ref="I356:J356"/>
    <mergeCell ref="L356:M356"/>
    <mergeCell ref="O356:P356"/>
    <mergeCell ref="R356:S356"/>
    <mergeCell ref="R354:S354"/>
    <mergeCell ref="A355:B355"/>
    <mergeCell ref="C355:D355"/>
    <mergeCell ref="F355:G355"/>
    <mergeCell ref="I355:J355"/>
    <mergeCell ref="L355:M355"/>
    <mergeCell ref="N368:P368"/>
    <mergeCell ref="Q368:S368"/>
    <mergeCell ref="D364:F364"/>
    <mergeCell ref="D365:F365"/>
    <mergeCell ref="A354:B354"/>
    <mergeCell ref="C354:D354"/>
    <mergeCell ref="I354:J354"/>
    <mergeCell ref="F354:G354"/>
    <mergeCell ref="L354:M354"/>
    <mergeCell ref="O354:P354"/>
    <mergeCell ref="R352:S352"/>
    <mergeCell ref="F353:G353"/>
    <mergeCell ref="L353:M353"/>
    <mergeCell ref="O353:P353"/>
    <mergeCell ref="R353:S353"/>
    <mergeCell ref="O350:P350"/>
    <mergeCell ref="R350:S350"/>
    <mergeCell ref="F351:G351"/>
    <mergeCell ref="L351:M351"/>
    <mergeCell ref="O351:P351"/>
    <mergeCell ref="R351:S351"/>
    <mergeCell ref="E348:G348"/>
    <mergeCell ref="H348:J348"/>
    <mergeCell ref="K348:M348"/>
    <mergeCell ref="N348:P348"/>
    <mergeCell ref="Q348:S348"/>
    <mergeCell ref="F349:G349"/>
    <mergeCell ref="L349:M349"/>
    <mergeCell ref="O349:P349"/>
    <mergeCell ref="R349:S349"/>
    <mergeCell ref="L335:M335"/>
    <mergeCell ref="O334:P334"/>
    <mergeCell ref="O332:P332"/>
    <mergeCell ref="R332:S332"/>
    <mergeCell ref="F333:G333"/>
    <mergeCell ref="L333:M333"/>
    <mergeCell ref="O333:P333"/>
    <mergeCell ref="R333:S333"/>
    <mergeCell ref="C333:D333"/>
    <mergeCell ref="I333:J333"/>
    <mergeCell ref="C332:D332"/>
    <mergeCell ref="I332:J332"/>
    <mergeCell ref="F332:G332"/>
    <mergeCell ref="L332:M332"/>
    <mergeCell ref="R338:S338"/>
    <mergeCell ref="A339:B339"/>
    <mergeCell ref="C339:D339"/>
    <mergeCell ref="F339:G339"/>
    <mergeCell ref="I339:J339"/>
    <mergeCell ref="L339:M339"/>
    <mergeCell ref="O339:P339"/>
    <mergeCell ref="R339:S339"/>
    <mergeCell ref="A338:B338"/>
    <mergeCell ref="C338:D338"/>
    <mergeCell ref="O338:P338"/>
    <mergeCell ref="C337:D337"/>
    <mergeCell ref="F337:G337"/>
    <mergeCell ref="I337:J337"/>
    <mergeCell ref="L337:M337"/>
    <mergeCell ref="O337:P337"/>
    <mergeCell ref="R337:S337"/>
    <mergeCell ref="O330:P330"/>
    <mergeCell ref="R330:S330"/>
    <mergeCell ref="F331:G331"/>
    <mergeCell ref="L331:M331"/>
    <mergeCell ref="O331:P331"/>
    <mergeCell ref="R331:S331"/>
    <mergeCell ref="N328:P328"/>
    <mergeCell ref="Q328:S328"/>
    <mergeCell ref="F329:G329"/>
    <mergeCell ref="L329:M329"/>
    <mergeCell ref="O329:P329"/>
    <mergeCell ref="R329:S329"/>
    <mergeCell ref="L314:M314"/>
    <mergeCell ref="I316:J316"/>
    <mergeCell ref="L318:M318"/>
    <mergeCell ref="E328:G328"/>
    <mergeCell ref="H328:J328"/>
    <mergeCell ref="K328:M328"/>
    <mergeCell ref="L316:M316"/>
    <mergeCell ref="O318:P318"/>
    <mergeCell ref="R318:S318"/>
    <mergeCell ref="F319:G319"/>
    <mergeCell ref="L319:M319"/>
    <mergeCell ref="O319:P319"/>
    <mergeCell ref="R319:S319"/>
    <mergeCell ref="O316:P316"/>
    <mergeCell ref="R316:S316"/>
    <mergeCell ref="F317:G317"/>
    <mergeCell ref="L317:M317"/>
    <mergeCell ref="O317:P317"/>
    <mergeCell ref="R317:S317"/>
    <mergeCell ref="O314:P314"/>
    <mergeCell ref="R314:S314"/>
    <mergeCell ref="A315:B315"/>
    <mergeCell ref="C315:D315"/>
    <mergeCell ref="F315:G315"/>
    <mergeCell ref="I315:J315"/>
    <mergeCell ref="L315:M315"/>
    <mergeCell ref="O315:P315"/>
    <mergeCell ref="A314:B314"/>
    <mergeCell ref="R315:S315"/>
    <mergeCell ref="C314:D314"/>
    <mergeCell ref="F314:G314"/>
    <mergeCell ref="I314:J314"/>
    <mergeCell ref="F318:G318"/>
    <mergeCell ref="C317:D317"/>
    <mergeCell ref="I317:J317"/>
    <mergeCell ref="F316:G316"/>
    <mergeCell ref="C313:D313"/>
    <mergeCell ref="F313:G313"/>
    <mergeCell ref="I313:J313"/>
    <mergeCell ref="L313:M313"/>
    <mergeCell ref="O313:P313"/>
    <mergeCell ref="R313:S313"/>
    <mergeCell ref="A301:S301"/>
    <mergeCell ref="D303:F303"/>
    <mergeCell ref="K303:L303"/>
    <mergeCell ref="D304:F304"/>
    <mergeCell ref="K304:L304"/>
    <mergeCell ref="D305:F305"/>
    <mergeCell ref="K305:L305"/>
    <mergeCell ref="A300:B300"/>
    <mergeCell ref="C300:D300"/>
    <mergeCell ref="C312:D312"/>
    <mergeCell ref="F312:G312"/>
    <mergeCell ref="I312:J312"/>
    <mergeCell ref="L312:M312"/>
    <mergeCell ref="O312:P312"/>
    <mergeCell ref="R312:S312"/>
    <mergeCell ref="C311:D311"/>
    <mergeCell ref="F311:G311"/>
    <mergeCell ref="I311:J311"/>
    <mergeCell ref="L311:M311"/>
    <mergeCell ref="O311:P311"/>
    <mergeCell ref="R311:S311"/>
    <mergeCell ref="C310:D310"/>
    <mergeCell ref="F310:G310"/>
    <mergeCell ref="I310:J310"/>
    <mergeCell ref="L310:M310"/>
    <mergeCell ref="O310:P310"/>
    <mergeCell ref="R310:S310"/>
    <mergeCell ref="A295:B295"/>
    <mergeCell ref="C295:D295"/>
    <mergeCell ref="F295:G295"/>
    <mergeCell ref="I295:J295"/>
    <mergeCell ref="L295:M295"/>
    <mergeCell ref="O295:P295"/>
    <mergeCell ref="R295:S295"/>
    <mergeCell ref="A294:B294"/>
    <mergeCell ref="C294:D294"/>
    <mergeCell ref="F294:G294"/>
    <mergeCell ref="I294:J294"/>
    <mergeCell ref="L294:M294"/>
    <mergeCell ref="O294:P294"/>
    <mergeCell ref="F309:G309"/>
    <mergeCell ref="I309:J309"/>
    <mergeCell ref="L309:M309"/>
    <mergeCell ref="O309:P309"/>
    <mergeCell ref="R309:S309"/>
    <mergeCell ref="R298:S298"/>
    <mergeCell ref="A299:B299"/>
    <mergeCell ref="C299:D299"/>
    <mergeCell ref="F299:G299"/>
    <mergeCell ref="I299:J299"/>
    <mergeCell ref="L299:M299"/>
    <mergeCell ref="O299:P299"/>
    <mergeCell ref="R299:S299"/>
    <mergeCell ref="A298:B298"/>
    <mergeCell ref="C298:D298"/>
    <mergeCell ref="F298:G298"/>
    <mergeCell ref="I298:J298"/>
    <mergeCell ref="L298:M298"/>
    <mergeCell ref="O298:P298"/>
    <mergeCell ref="L292:M292"/>
    <mergeCell ref="O292:P292"/>
    <mergeCell ref="R292:S292"/>
    <mergeCell ref="C291:D291"/>
    <mergeCell ref="F291:G291"/>
    <mergeCell ref="I291:J291"/>
    <mergeCell ref="L291:M291"/>
    <mergeCell ref="O291:P291"/>
    <mergeCell ref="R291:S291"/>
    <mergeCell ref="I297:J297"/>
    <mergeCell ref="L297:M297"/>
    <mergeCell ref="O297:P297"/>
    <mergeCell ref="F297:G297"/>
    <mergeCell ref="R297:S297"/>
    <mergeCell ref="C296:D296"/>
    <mergeCell ref="F296:G296"/>
    <mergeCell ref="I296:J296"/>
    <mergeCell ref="L296:M296"/>
    <mergeCell ref="O296:P296"/>
    <mergeCell ref="C297:D297"/>
    <mergeCell ref="R296:S296"/>
    <mergeCell ref="R294:S294"/>
    <mergeCell ref="C293:D293"/>
    <mergeCell ref="F293:G293"/>
    <mergeCell ref="I293:J293"/>
    <mergeCell ref="L293:M293"/>
    <mergeCell ref="O293:P293"/>
    <mergeCell ref="R293:S293"/>
    <mergeCell ref="C292:D292"/>
    <mergeCell ref="F292:G292"/>
    <mergeCell ref="I292:J292"/>
    <mergeCell ref="C290:D290"/>
    <mergeCell ref="F290:G290"/>
    <mergeCell ref="I290:J290"/>
    <mergeCell ref="L290:M290"/>
    <mergeCell ref="O290:P290"/>
    <mergeCell ref="R290:S290"/>
    <mergeCell ref="N288:P288"/>
    <mergeCell ref="Q288:S288"/>
    <mergeCell ref="C289:D289"/>
    <mergeCell ref="F289:G289"/>
    <mergeCell ref="I289:J289"/>
    <mergeCell ref="L289:M289"/>
    <mergeCell ref="O289:P289"/>
    <mergeCell ref="R289:S289"/>
    <mergeCell ref="K285:L285"/>
    <mergeCell ref="B288:D288"/>
    <mergeCell ref="E288:G288"/>
    <mergeCell ref="H288:J288"/>
    <mergeCell ref="K288:M288"/>
    <mergeCell ref="D285:F285"/>
    <mergeCell ref="D286:F286"/>
    <mergeCell ref="A587:S587"/>
    <mergeCell ref="O589:R589"/>
    <mergeCell ref="O590:R593"/>
    <mergeCell ref="O594:R594"/>
    <mergeCell ref="O595:R595"/>
    <mergeCell ref="M60:O60"/>
    <mergeCell ref="M77:O77"/>
    <mergeCell ref="M94:O94"/>
    <mergeCell ref="M111:O111"/>
    <mergeCell ref="M128:O128"/>
    <mergeCell ref="A581:S581"/>
    <mergeCell ref="A582:S582"/>
    <mergeCell ref="A583:S583"/>
    <mergeCell ref="A584:S584"/>
    <mergeCell ref="A585:S585"/>
    <mergeCell ref="A586:S586"/>
    <mergeCell ref="A514:B514"/>
    <mergeCell ref="C514:D514"/>
    <mergeCell ref="I514:J514"/>
    <mergeCell ref="C513:D513"/>
    <mergeCell ref="C519:D519"/>
    <mergeCell ref="I519:J519"/>
    <mergeCell ref="F519:G519"/>
    <mergeCell ref="A518:B518"/>
    <mergeCell ref="C518:D518"/>
    <mergeCell ref="I518:J518"/>
    <mergeCell ref="C517:D517"/>
    <mergeCell ref="I517:J517"/>
    <mergeCell ref="F515:G515"/>
    <mergeCell ref="L515:M515"/>
    <mergeCell ref="A515:B515"/>
    <mergeCell ref="C515:D515"/>
    <mergeCell ref="C469:D469"/>
    <mergeCell ref="I469:J469"/>
    <mergeCell ref="D565:F565"/>
    <mergeCell ref="K565:L565"/>
    <mergeCell ref="L499:M499"/>
    <mergeCell ref="C509:D509"/>
    <mergeCell ref="F509:G509"/>
    <mergeCell ref="F499:G499"/>
    <mergeCell ref="I509:J509"/>
    <mergeCell ref="L509:M509"/>
    <mergeCell ref="C499:D499"/>
    <mergeCell ref="I499:J499"/>
    <mergeCell ref="D506:F506"/>
    <mergeCell ref="A501:S501"/>
    <mergeCell ref="D546:F546"/>
    <mergeCell ref="A541:S541"/>
    <mergeCell ref="D543:F543"/>
    <mergeCell ref="K543:L543"/>
    <mergeCell ref="D544:F544"/>
    <mergeCell ref="D526:F526"/>
    <mergeCell ref="D545:F545"/>
    <mergeCell ref="K545:L545"/>
    <mergeCell ref="K544:L544"/>
    <mergeCell ref="C529:D529"/>
    <mergeCell ref="D503:F503"/>
    <mergeCell ref="D504:F504"/>
    <mergeCell ref="O499:P499"/>
    <mergeCell ref="R499:S499"/>
    <mergeCell ref="L519:M519"/>
    <mergeCell ref="D525:F525"/>
    <mergeCell ref="C516:D516"/>
    <mergeCell ref="I516:J516"/>
    <mergeCell ref="O459:P459"/>
    <mergeCell ref="R459:S459"/>
    <mergeCell ref="O476:P476"/>
    <mergeCell ref="I454:J454"/>
    <mergeCell ref="C437:D437"/>
    <mergeCell ref="L439:M439"/>
    <mergeCell ref="L449:M449"/>
    <mergeCell ref="C451:D451"/>
    <mergeCell ref="K443:L443"/>
    <mergeCell ref="I439:J439"/>
    <mergeCell ref="C453:D453"/>
    <mergeCell ref="C455:D455"/>
    <mergeCell ref="I455:J455"/>
    <mergeCell ref="F437:G437"/>
    <mergeCell ref="I437:J437"/>
    <mergeCell ref="I513:J513"/>
    <mergeCell ref="C511:D511"/>
    <mergeCell ref="O438:P438"/>
    <mergeCell ref="R438:S438"/>
    <mergeCell ref="K444:L444"/>
    <mergeCell ref="O439:P439"/>
    <mergeCell ref="R439:S439"/>
    <mergeCell ref="K445:L445"/>
    <mergeCell ref="L437:M437"/>
    <mergeCell ref="O437:P437"/>
    <mergeCell ref="A481:S481"/>
    <mergeCell ref="D483:F483"/>
    <mergeCell ref="D484:F484"/>
    <mergeCell ref="D485:F485"/>
    <mergeCell ref="D465:F465"/>
    <mergeCell ref="K465:L465"/>
    <mergeCell ref="R469:S469"/>
    <mergeCell ref="L453:M453"/>
    <mergeCell ref="O453:P453"/>
    <mergeCell ref="F469:G469"/>
    <mergeCell ref="C457:D457"/>
    <mergeCell ref="I457:J457"/>
    <mergeCell ref="L459:M459"/>
    <mergeCell ref="F478:G478"/>
    <mergeCell ref="I478:J478"/>
    <mergeCell ref="B488:D488"/>
    <mergeCell ref="C489:D489"/>
    <mergeCell ref="L473:M473"/>
    <mergeCell ref="I458:J458"/>
    <mergeCell ref="I459:J459"/>
    <mergeCell ref="F459:G459"/>
    <mergeCell ref="A458:B458"/>
    <mergeCell ref="R476:S476"/>
    <mergeCell ref="A475:B475"/>
    <mergeCell ref="C475:D475"/>
    <mergeCell ref="F475:G475"/>
    <mergeCell ref="I475:J475"/>
    <mergeCell ref="L475:M475"/>
    <mergeCell ref="O475:P475"/>
    <mergeCell ref="R472:S472"/>
    <mergeCell ref="I472:J472"/>
    <mergeCell ref="O473:P473"/>
    <mergeCell ref="D466:F466"/>
    <mergeCell ref="A461:S461"/>
    <mergeCell ref="D463:F463"/>
    <mergeCell ref="K463:L463"/>
    <mergeCell ref="O458:P458"/>
    <mergeCell ref="R458:S458"/>
    <mergeCell ref="L458:M458"/>
    <mergeCell ref="A414:B414"/>
    <mergeCell ref="C414:D414"/>
    <mergeCell ref="D446:F446"/>
    <mergeCell ref="A441:S441"/>
    <mergeCell ref="D443:F443"/>
    <mergeCell ref="D444:F444"/>
    <mergeCell ref="D445:F445"/>
    <mergeCell ref="C452:D452"/>
    <mergeCell ref="F452:G452"/>
    <mergeCell ref="I452:J452"/>
    <mergeCell ref="L452:M452"/>
    <mergeCell ref="K466:L466"/>
    <mergeCell ref="A459:B459"/>
    <mergeCell ref="L470:M470"/>
    <mergeCell ref="A479:B479"/>
    <mergeCell ref="C479:D479"/>
    <mergeCell ref="F479:G479"/>
    <mergeCell ref="I479:J479"/>
    <mergeCell ref="L479:M479"/>
    <mergeCell ref="A455:B455"/>
    <mergeCell ref="O454:P454"/>
    <mergeCell ref="R454:S454"/>
    <mergeCell ref="F455:G455"/>
    <mergeCell ref="L455:M455"/>
    <mergeCell ref="O455:P455"/>
    <mergeCell ref="R455:S455"/>
    <mergeCell ref="R452:S452"/>
    <mergeCell ref="F454:G454"/>
    <mergeCell ref="L454:M454"/>
    <mergeCell ref="L456:M456"/>
    <mergeCell ref="O456:P456"/>
    <mergeCell ref="F453:G453"/>
    <mergeCell ref="C410:D410"/>
    <mergeCell ref="I410:J410"/>
    <mergeCell ref="K464:L464"/>
    <mergeCell ref="I453:J453"/>
    <mergeCell ref="C458:D458"/>
    <mergeCell ref="D464:F464"/>
    <mergeCell ref="C456:D456"/>
    <mergeCell ref="I456:J456"/>
    <mergeCell ref="C459:D459"/>
    <mergeCell ref="A454:B454"/>
    <mergeCell ref="C454:D454"/>
    <mergeCell ref="R453:S453"/>
    <mergeCell ref="C411:D411"/>
    <mergeCell ref="I411:J411"/>
    <mergeCell ref="C412:D412"/>
    <mergeCell ref="F418:G418"/>
    <mergeCell ref="I418:J418"/>
    <mergeCell ref="A438:B438"/>
    <mergeCell ref="C438:D438"/>
    <mergeCell ref="I438:J438"/>
    <mergeCell ref="C439:D439"/>
    <mergeCell ref="C436:D436"/>
    <mergeCell ref="O411:P411"/>
    <mergeCell ref="R411:S411"/>
    <mergeCell ref="F412:G412"/>
    <mergeCell ref="L412:M412"/>
    <mergeCell ref="O412:P412"/>
    <mergeCell ref="R412:S412"/>
    <mergeCell ref="I412:J412"/>
    <mergeCell ref="F411:G411"/>
    <mergeCell ref="L411:M411"/>
    <mergeCell ref="R415:S415"/>
    <mergeCell ref="K425:L425"/>
    <mergeCell ref="K423:L423"/>
    <mergeCell ref="K424:L424"/>
    <mergeCell ref="F396:G396"/>
    <mergeCell ref="L396:M396"/>
    <mergeCell ref="O396:P396"/>
    <mergeCell ref="R396:S396"/>
    <mergeCell ref="L409:M409"/>
    <mergeCell ref="O409:P409"/>
    <mergeCell ref="R409:S409"/>
    <mergeCell ref="F410:G410"/>
    <mergeCell ref="L410:M410"/>
    <mergeCell ref="O410:P410"/>
    <mergeCell ref="R410:S410"/>
    <mergeCell ref="R417:S417"/>
    <mergeCell ref="A439:B439"/>
    <mergeCell ref="C416:D416"/>
    <mergeCell ref="F416:G416"/>
    <mergeCell ref="I416:J416"/>
    <mergeCell ref="L416:M416"/>
    <mergeCell ref="O416:P416"/>
    <mergeCell ref="R416:S416"/>
    <mergeCell ref="A415:B415"/>
    <mergeCell ref="C415:D415"/>
    <mergeCell ref="C409:D409"/>
    <mergeCell ref="I409:J409"/>
    <mergeCell ref="F409:G409"/>
    <mergeCell ref="D426:F426"/>
    <mergeCell ref="A421:S421"/>
    <mergeCell ref="D423:F423"/>
    <mergeCell ref="D424:F424"/>
    <mergeCell ref="D425:F425"/>
    <mergeCell ref="C393:D393"/>
    <mergeCell ref="D406:F406"/>
    <mergeCell ref="A401:S401"/>
    <mergeCell ref="D403:F403"/>
    <mergeCell ref="K403:L403"/>
    <mergeCell ref="D404:F404"/>
    <mergeCell ref="C397:D397"/>
    <mergeCell ref="K404:L404"/>
    <mergeCell ref="D405:F405"/>
    <mergeCell ref="K405:L405"/>
    <mergeCell ref="I393:J393"/>
    <mergeCell ref="L395:M395"/>
    <mergeCell ref="O395:P395"/>
    <mergeCell ref="R395:S395"/>
    <mergeCell ref="F393:G393"/>
    <mergeCell ref="L393:M393"/>
    <mergeCell ref="O393:P393"/>
    <mergeCell ref="R393:S393"/>
    <mergeCell ref="F394:G394"/>
    <mergeCell ref="L394:M394"/>
    <mergeCell ref="O394:P394"/>
    <mergeCell ref="R394:S394"/>
    <mergeCell ref="I399:J399"/>
    <mergeCell ref="F399:G399"/>
    <mergeCell ref="L399:M399"/>
    <mergeCell ref="A398:B398"/>
    <mergeCell ref="C398:D398"/>
    <mergeCell ref="I398:J398"/>
    <mergeCell ref="C396:D396"/>
    <mergeCell ref="I396:J396"/>
    <mergeCell ref="C353:D353"/>
    <mergeCell ref="I353:J353"/>
    <mergeCell ref="C352:D352"/>
    <mergeCell ref="I352:J352"/>
    <mergeCell ref="F352:G352"/>
    <mergeCell ref="L352:M352"/>
    <mergeCell ref="C351:D351"/>
    <mergeCell ref="I351:J351"/>
    <mergeCell ref="C350:D350"/>
    <mergeCell ref="I350:J350"/>
    <mergeCell ref="F350:G350"/>
    <mergeCell ref="L350:M350"/>
    <mergeCell ref="O352:P352"/>
    <mergeCell ref="C357:D357"/>
    <mergeCell ref="F357:G357"/>
    <mergeCell ref="I357:J357"/>
    <mergeCell ref="L357:M357"/>
    <mergeCell ref="O357:P357"/>
    <mergeCell ref="C349:D349"/>
    <mergeCell ref="I349:J349"/>
    <mergeCell ref="B348:D348"/>
    <mergeCell ref="D346:F346"/>
    <mergeCell ref="A341:S341"/>
    <mergeCell ref="D343:F343"/>
    <mergeCell ref="K343:L343"/>
    <mergeCell ref="D344:F344"/>
    <mergeCell ref="K344:L344"/>
    <mergeCell ref="D345:F345"/>
    <mergeCell ref="K345:L345"/>
    <mergeCell ref="A334:B334"/>
    <mergeCell ref="C334:D334"/>
    <mergeCell ref="I334:J334"/>
    <mergeCell ref="F334:G334"/>
    <mergeCell ref="L334:M334"/>
    <mergeCell ref="F338:G338"/>
    <mergeCell ref="I338:J338"/>
    <mergeCell ref="L338:M338"/>
    <mergeCell ref="O335:P335"/>
    <mergeCell ref="R335:S335"/>
    <mergeCell ref="C336:D336"/>
    <mergeCell ref="F336:G336"/>
    <mergeCell ref="I336:J336"/>
    <mergeCell ref="L336:M336"/>
    <mergeCell ref="O336:P336"/>
    <mergeCell ref="R336:S336"/>
    <mergeCell ref="R334:S334"/>
    <mergeCell ref="A335:B335"/>
    <mergeCell ref="C335:D335"/>
    <mergeCell ref="F335:G335"/>
    <mergeCell ref="I335:J335"/>
    <mergeCell ref="C331:D331"/>
    <mergeCell ref="I331:J331"/>
    <mergeCell ref="C330:D330"/>
    <mergeCell ref="I330:J330"/>
    <mergeCell ref="F330:G330"/>
    <mergeCell ref="L330:M330"/>
    <mergeCell ref="C329:D329"/>
    <mergeCell ref="I329:J329"/>
    <mergeCell ref="B328:D328"/>
    <mergeCell ref="D326:F326"/>
    <mergeCell ref="A321:S321"/>
    <mergeCell ref="D323:F323"/>
    <mergeCell ref="K323:L323"/>
    <mergeCell ref="D324:F324"/>
    <mergeCell ref="K324:L324"/>
    <mergeCell ref="D325:F325"/>
    <mergeCell ref="D306:F306"/>
    <mergeCell ref="C316:D316"/>
    <mergeCell ref="K325:L325"/>
    <mergeCell ref="A319:B319"/>
    <mergeCell ref="C319:D319"/>
    <mergeCell ref="I319:J319"/>
    <mergeCell ref="A318:B318"/>
    <mergeCell ref="C318:D318"/>
    <mergeCell ref="I318:J318"/>
    <mergeCell ref="K308:M308"/>
    <mergeCell ref="B308:D308"/>
    <mergeCell ref="E308:G308"/>
    <mergeCell ref="H308:J308"/>
    <mergeCell ref="N308:P308"/>
    <mergeCell ref="Q308:S308"/>
    <mergeCell ref="C309:D309"/>
    <mergeCell ref="A280:S280"/>
    <mergeCell ref="A281:S281"/>
    <mergeCell ref="D283:F283"/>
    <mergeCell ref="K283:L283"/>
    <mergeCell ref="D284:F284"/>
    <mergeCell ref="K284:L284"/>
    <mergeCell ref="Q269:S269"/>
    <mergeCell ref="A275:B275"/>
    <mergeCell ref="D275:E277"/>
    <mergeCell ref="G275:H277"/>
    <mergeCell ref="J275:K277"/>
    <mergeCell ref="M275:N277"/>
    <mergeCell ref="P275:Q277"/>
    <mergeCell ref="A276:B276"/>
    <mergeCell ref="A277:B277"/>
    <mergeCell ref="A267:B267"/>
    <mergeCell ref="D267:F267"/>
    <mergeCell ref="M267:O267"/>
    <mergeCell ref="B269:D269"/>
    <mergeCell ref="E269:G269"/>
    <mergeCell ref="H269:J269"/>
    <mergeCell ref="K269:M269"/>
    <mergeCell ref="N269:P269"/>
    <mergeCell ref="A262:S262"/>
    <mergeCell ref="D264:F264"/>
    <mergeCell ref="M264:O264"/>
    <mergeCell ref="D265:F265"/>
    <mergeCell ref="M265:O265"/>
    <mergeCell ref="D266:F266"/>
    <mergeCell ref="J266:L266"/>
    <mergeCell ref="M266:O266"/>
    <mergeCell ref="Q252:S252"/>
    <mergeCell ref="A258:B258"/>
    <mergeCell ref="D258:E260"/>
    <mergeCell ref="G258:H260"/>
    <mergeCell ref="J258:K260"/>
    <mergeCell ref="M258:N260"/>
    <mergeCell ref="P258:Q260"/>
    <mergeCell ref="A259:B259"/>
    <mergeCell ref="A260:B260"/>
    <mergeCell ref="A250:B250"/>
    <mergeCell ref="D250:F250"/>
    <mergeCell ref="M250:O250"/>
    <mergeCell ref="B252:D252"/>
    <mergeCell ref="E252:G252"/>
    <mergeCell ref="H252:J252"/>
    <mergeCell ref="K252:M252"/>
    <mergeCell ref="N252:P252"/>
    <mergeCell ref="A245:S245"/>
    <mergeCell ref="D247:F247"/>
    <mergeCell ref="D248:F248"/>
    <mergeCell ref="M248:O248"/>
    <mergeCell ref="D249:F249"/>
    <mergeCell ref="J249:L249"/>
    <mergeCell ref="M249:O249"/>
    <mergeCell ref="M247:O247"/>
    <mergeCell ref="Q235:S235"/>
    <mergeCell ref="A241:B241"/>
    <mergeCell ref="D241:E243"/>
    <mergeCell ref="G241:H243"/>
    <mergeCell ref="J241:K243"/>
    <mergeCell ref="M241:N243"/>
    <mergeCell ref="P241:Q243"/>
    <mergeCell ref="A242:B242"/>
    <mergeCell ref="A243:B243"/>
    <mergeCell ref="A233:B233"/>
    <mergeCell ref="D233:F233"/>
    <mergeCell ref="M233:O233"/>
    <mergeCell ref="B235:D235"/>
    <mergeCell ref="E235:G235"/>
    <mergeCell ref="H235:J235"/>
    <mergeCell ref="K235:M235"/>
    <mergeCell ref="N235:P235"/>
    <mergeCell ref="A228:S228"/>
    <mergeCell ref="D230:F230"/>
    <mergeCell ref="D231:F231"/>
    <mergeCell ref="M231:O231"/>
    <mergeCell ref="D232:F232"/>
    <mergeCell ref="J232:L232"/>
    <mergeCell ref="M232:O232"/>
    <mergeCell ref="M230:O230"/>
    <mergeCell ref="Q218:S218"/>
    <mergeCell ref="A224:B224"/>
    <mergeCell ref="D224:E226"/>
    <mergeCell ref="G224:H226"/>
    <mergeCell ref="J224:K226"/>
    <mergeCell ref="M224:N226"/>
    <mergeCell ref="P224:Q226"/>
    <mergeCell ref="A225:B225"/>
    <mergeCell ref="A226:B226"/>
    <mergeCell ref="A216:B216"/>
    <mergeCell ref="D216:F216"/>
    <mergeCell ref="M216:O216"/>
    <mergeCell ref="B218:D218"/>
    <mergeCell ref="E218:G218"/>
    <mergeCell ref="H218:J218"/>
    <mergeCell ref="K218:M218"/>
    <mergeCell ref="N218:P218"/>
    <mergeCell ref="A211:S211"/>
    <mergeCell ref="D213:F213"/>
    <mergeCell ref="D214:F214"/>
    <mergeCell ref="M214:O214"/>
    <mergeCell ref="D215:F215"/>
    <mergeCell ref="J215:L215"/>
    <mergeCell ref="M215:O215"/>
    <mergeCell ref="M213:O213"/>
    <mergeCell ref="Q201:S201"/>
    <mergeCell ref="A207:B207"/>
    <mergeCell ref="D207:E209"/>
    <mergeCell ref="G207:H209"/>
    <mergeCell ref="J207:K209"/>
    <mergeCell ref="M207:N209"/>
    <mergeCell ref="P207:Q209"/>
    <mergeCell ref="A208:B208"/>
    <mergeCell ref="A209:B209"/>
    <mergeCell ref="A199:B199"/>
    <mergeCell ref="D199:F199"/>
    <mergeCell ref="M199:O199"/>
    <mergeCell ref="B201:D201"/>
    <mergeCell ref="E201:G201"/>
    <mergeCell ref="H201:J201"/>
    <mergeCell ref="K201:M201"/>
    <mergeCell ref="N201:P201"/>
    <mergeCell ref="A194:S194"/>
    <mergeCell ref="D196:F196"/>
    <mergeCell ref="M196:O196"/>
    <mergeCell ref="D197:F197"/>
    <mergeCell ref="M197:O197"/>
    <mergeCell ref="D198:F198"/>
    <mergeCell ref="J198:L198"/>
    <mergeCell ref="M198:O198"/>
    <mergeCell ref="Q184:S184"/>
    <mergeCell ref="A190:B190"/>
    <mergeCell ref="D190:E192"/>
    <mergeCell ref="G190:H192"/>
    <mergeCell ref="J190:K192"/>
    <mergeCell ref="M190:N192"/>
    <mergeCell ref="P190:Q192"/>
    <mergeCell ref="A191:B191"/>
    <mergeCell ref="A192:B192"/>
    <mergeCell ref="A182:B182"/>
    <mergeCell ref="D182:F182"/>
    <mergeCell ref="M182:O182"/>
    <mergeCell ref="B184:D184"/>
    <mergeCell ref="E184:G184"/>
    <mergeCell ref="H184:J184"/>
    <mergeCell ref="K184:M184"/>
    <mergeCell ref="N184:P184"/>
    <mergeCell ref="A177:S177"/>
    <mergeCell ref="D179:F179"/>
    <mergeCell ref="M179:O179"/>
    <mergeCell ref="D180:F180"/>
    <mergeCell ref="M180:O180"/>
    <mergeCell ref="D181:F181"/>
    <mergeCell ref="J181:L181"/>
    <mergeCell ref="M181:O181"/>
    <mergeCell ref="Q167:S167"/>
    <mergeCell ref="A173:B173"/>
    <mergeCell ref="D173:E175"/>
    <mergeCell ref="G173:H175"/>
    <mergeCell ref="J173:K175"/>
    <mergeCell ref="M173:N175"/>
    <mergeCell ref="P173:Q175"/>
    <mergeCell ref="A174:B174"/>
    <mergeCell ref="A175:B175"/>
    <mergeCell ref="A165:B165"/>
    <mergeCell ref="D165:F165"/>
    <mergeCell ref="M165:O165"/>
    <mergeCell ref="B167:D167"/>
    <mergeCell ref="E167:G167"/>
    <mergeCell ref="H167:J167"/>
    <mergeCell ref="K167:M167"/>
    <mergeCell ref="N167:P167"/>
    <mergeCell ref="A160:S160"/>
    <mergeCell ref="D162:F162"/>
    <mergeCell ref="D163:F163"/>
    <mergeCell ref="M163:O163"/>
    <mergeCell ref="D164:F164"/>
    <mergeCell ref="J164:L164"/>
    <mergeCell ref="M164:O164"/>
    <mergeCell ref="M162:O162"/>
    <mergeCell ref="Q150:S150"/>
    <mergeCell ref="A156:B156"/>
    <mergeCell ref="D156:E158"/>
    <mergeCell ref="G156:H158"/>
    <mergeCell ref="J156:K158"/>
    <mergeCell ref="M156:N158"/>
    <mergeCell ref="P156:Q158"/>
    <mergeCell ref="A157:B157"/>
    <mergeCell ref="A158:B158"/>
    <mergeCell ref="A148:B148"/>
    <mergeCell ref="D148:F148"/>
    <mergeCell ref="M148:O148"/>
    <mergeCell ref="B150:D150"/>
    <mergeCell ref="E150:G150"/>
    <mergeCell ref="H150:J150"/>
    <mergeCell ref="K150:M150"/>
    <mergeCell ref="N150:P150"/>
    <mergeCell ref="A143:S143"/>
    <mergeCell ref="D145:F145"/>
    <mergeCell ref="D146:F146"/>
    <mergeCell ref="M146:O146"/>
    <mergeCell ref="D147:F147"/>
    <mergeCell ref="J147:L147"/>
    <mergeCell ref="M147:O147"/>
    <mergeCell ref="M145:O145"/>
    <mergeCell ref="Q133:S133"/>
    <mergeCell ref="A139:B139"/>
    <mergeCell ref="D139:E141"/>
    <mergeCell ref="G139:H141"/>
    <mergeCell ref="J139:K141"/>
    <mergeCell ref="M139:N141"/>
    <mergeCell ref="P139:Q141"/>
    <mergeCell ref="A140:B140"/>
    <mergeCell ref="A141:B141"/>
    <mergeCell ref="A131:B131"/>
    <mergeCell ref="D131:F131"/>
    <mergeCell ref="M131:O131"/>
    <mergeCell ref="B133:D133"/>
    <mergeCell ref="E133:G133"/>
    <mergeCell ref="H133:J133"/>
    <mergeCell ref="K133:M133"/>
    <mergeCell ref="N133:P133"/>
    <mergeCell ref="A126:S126"/>
    <mergeCell ref="D128:F128"/>
    <mergeCell ref="D129:F129"/>
    <mergeCell ref="M129:O129"/>
    <mergeCell ref="D130:F130"/>
    <mergeCell ref="J130:L130"/>
    <mergeCell ref="M130:O130"/>
    <mergeCell ref="Q116:S116"/>
    <mergeCell ref="A122:B122"/>
    <mergeCell ref="D122:E124"/>
    <mergeCell ref="G122:H124"/>
    <mergeCell ref="J122:K124"/>
    <mergeCell ref="M122:N124"/>
    <mergeCell ref="P122:Q124"/>
    <mergeCell ref="A123:B123"/>
    <mergeCell ref="A124:B124"/>
    <mergeCell ref="A114:B114"/>
    <mergeCell ref="D114:F114"/>
    <mergeCell ref="M114:O114"/>
    <mergeCell ref="B116:D116"/>
    <mergeCell ref="E116:G116"/>
    <mergeCell ref="H116:J116"/>
    <mergeCell ref="K116:M116"/>
    <mergeCell ref="N116:P116"/>
    <mergeCell ref="A109:S109"/>
    <mergeCell ref="D111:F111"/>
    <mergeCell ref="D112:F112"/>
    <mergeCell ref="M112:O112"/>
    <mergeCell ref="D113:F113"/>
    <mergeCell ref="J113:L113"/>
    <mergeCell ref="M113:O113"/>
    <mergeCell ref="Q99:S99"/>
    <mergeCell ref="A105:B105"/>
    <mergeCell ref="D105:E107"/>
    <mergeCell ref="G105:H107"/>
    <mergeCell ref="J105:K107"/>
    <mergeCell ref="M105:N107"/>
    <mergeCell ref="P105:Q107"/>
    <mergeCell ref="A106:B106"/>
    <mergeCell ref="A107:B107"/>
    <mergeCell ref="A97:B97"/>
    <mergeCell ref="D97:F97"/>
    <mergeCell ref="M97:O97"/>
    <mergeCell ref="B99:D99"/>
    <mergeCell ref="E99:G99"/>
    <mergeCell ref="H99:J99"/>
    <mergeCell ref="K99:M99"/>
    <mergeCell ref="N99:P99"/>
    <mergeCell ref="A92:S92"/>
    <mergeCell ref="D94:F94"/>
    <mergeCell ref="D95:F95"/>
    <mergeCell ref="M95:O95"/>
    <mergeCell ref="D96:F96"/>
    <mergeCell ref="J96:L96"/>
    <mergeCell ref="M96:O96"/>
    <mergeCell ref="Q82:S82"/>
    <mergeCell ref="A88:B88"/>
    <mergeCell ref="D88:E90"/>
    <mergeCell ref="G88:H90"/>
    <mergeCell ref="J88:K90"/>
    <mergeCell ref="M88:N90"/>
    <mergeCell ref="P88:Q90"/>
    <mergeCell ref="A89:B89"/>
    <mergeCell ref="A90:B90"/>
    <mergeCell ref="A80:B80"/>
    <mergeCell ref="D80:F80"/>
    <mergeCell ref="M80:O80"/>
    <mergeCell ref="B82:D82"/>
    <mergeCell ref="E82:G82"/>
    <mergeCell ref="H82:J82"/>
    <mergeCell ref="K82:M82"/>
    <mergeCell ref="N82:P82"/>
    <mergeCell ref="A75:S75"/>
    <mergeCell ref="D77:F77"/>
    <mergeCell ref="D78:F78"/>
    <mergeCell ref="M78:O78"/>
    <mergeCell ref="D79:F79"/>
    <mergeCell ref="J79:L79"/>
    <mergeCell ref="M79:O79"/>
    <mergeCell ref="Q65:S65"/>
    <mergeCell ref="A71:B71"/>
    <mergeCell ref="D71:E73"/>
    <mergeCell ref="G71:H73"/>
    <mergeCell ref="J71:K73"/>
    <mergeCell ref="M71:N73"/>
    <mergeCell ref="P71:Q73"/>
    <mergeCell ref="A72:B72"/>
    <mergeCell ref="A73:B73"/>
    <mergeCell ref="A63:B63"/>
    <mergeCell ref="D63:F63"/>
    <mergeCell ref="M63:O63"/>
    <mergeCell ref="B65:D65"/>
    <mergeCell ref="E65:G65"/>
    <mergeCell ref="H65:J65"/>
    <mergeCell ref="K65:M65"/>
    <mergeCell ref="N65:P65"/>
    <mergeCell ref="A58:S58"/>
    <mergeCell ref="D60:F60"/>
    <mergeCell ref="D61:F61"/>
    <mergeCell ref="M61:O61"/>
    <mergeCell ref="D62:F62"/>
    <mergeCell ref="J62:L62"/>
    <mergeCell ref="M62:O62"/>
    <mergeCell ref="Q48:S48"/>
    <mergeCell ref="A54:B54"/>
    <mergeCell ref="D54:E56"/>
    <mergeCell ref="G54:H56"/>
    <mergeCell ref="J54:K56"/>
    <mergeCell ref="M54:N56"/>
    <mergeCell ref="P54:Q56"/>
    <mergeCell ref="A55:B55"/>
    <mergeCell ref="A56:B56"/>
    <mergeCell ref="A46:B46"/>
    <mergeCell ref="D46:F46"/>
    <mergeCell ref="M46:O46"/>
    <mergeCell ref="B48:D48"/>
    <mergeCell ref="E48:G48"/>
    <mergeCell ref="H48:J48"/>
    <mergeCell ref="K48:M48"/>
    <mergeCell ref="N48:P48"/>
    <mergeCell ref="A41:S41"/>
    <mergeCell ref="D43:F43"/>
    <mergeCell ref="M43:O43"/>
    <mergeCell ref="D44:F44"/>
    <mergeCell ref="M44:O44"/>
    <mergeCell ref="D45:F45"/>
    <mergeCell ref="J45:L45"/>
    <mergeCell ref="M45:O45"/>
    <mergeCell ref="Q31:S31"/>
    <mergeCell ref="A37:B37"/>
    <mergeCell ref="D37:E39"/>
    <mergeCell ref="G37:H39"/>
    <mergeCell ref="J37:K39"/>
    <mergeCell ref="M37:N39"/>
    <mergeCell ref="P37:Q39"/>
    <mergeCell ref="A38:B38"/>
    <mergeCell ref="A39:B39"/>
    <mergeCell ref="A29:B29"/>
    <mergeCell ref="D29:F29"/>
    <mergeCell ref="M29:O29"/>
    <mergeCell ref="B31:D31"/>
    <mergeCell ref="E31:G31"/>
    <mergeCell ref="H31:J31"/>
    <mergeCell ref="K31:M31"/>
    <mergeCell ref="N31:P31"/>
    <mergeCell ref="D26:F26"/>
    <mergeCell ref="M26:O26"/>
    <mergeCell ref="D27:F27"/>
    <mergeCell ref="M27:O27"/>
    <mergeCell ref="D28:F28"/>
    <mergeCell ref="J28:L28"/>
    <mergeCell ref="M28:O28"/>
    <mergeCell ref="A23:S23"/>
    <mergeCell ref="A24:S24"/>
    <mergeCell ref="F22:G22"/>
    <mergeCell ref="O20:P21"/>
    <mergeCell ref="J22:N22"/>
    <mergeCell ref="A22:E22"/>
    <mergeCell ref="O22:P22"/>
    <mergeCell ref="F19:G19"/>
    <mergeCell ref="J19:N19"/>
    <mergeCell ref="O19:P19"/>
    <mergeCell ref="F20:G20"/>
    <mergeCell ref="J20:N21"/>
    <mergeCell ref="F21:G21"/>
    <mergeCell ref="D15:E15"/>
    <mergeCell ref="F15:G15"/>
    <mergeCell ref="H15:I15"/>
    <mergeCell ref="F17:G17"/>
    <mergeCell ref="O17:P17"/>
    <mergeCell ref="F18:G18"/>
    <mergeCell ref="O18:P18"/>
    <mergeCell ref="D8:E8"/>
    <mergeCell ref="F8:G8"/>
    <mergeCell ref="H8:I8"/>
    <mergeCell ref="A1:S1"/>
    <mergeCell ref="A2:B2"/>
    <mergeCell ref="C2:F2"/>
    <mergeCell ref="A3:B3"/>
    <mergeCell ref="C3:F3"/>
    <mergeCell ref="A6:S6"/>
    <mergeCell ref="D13:E13"/>
    <mergeCell ref="F13:G13"/>
    <mergeCell ref="H13:I13"/>
    <mergeCell ref="D14:E14"/>
    <mergeCell ref="F14:G14"/>
    <mergeCell ref="H14:I14"/>
    <mergeCell ref="D11:E11"/>
    <mergeCell ref="F11:G11"/>
    <mergeCell ref="H11:I11"/>
    <mergeCell ref="D12:E12"/>
    <mergeCell ref="F12:G12"/>
    <mergeCell ref="H12:I12"/>
    <mergeCell ref="D9:E9"/>
    <mergeCell ref="F9:G9"/>
    <mergeCell ref="H9:I9"/>
    <mergeCell ref="D10:E10"/>
    <mergeCell ref="F10:G10"/>
    <mergeCell ref="H10:I10"/>
  </mergeCells>
  <conditionalFormatting sqref="C290:D290">
    <cfRule type="expression" dxfId="799" priority="1091" stopIfTrue="1">
      <formula>C33&lt;&gt;0</formula>
    </cfRule>
  </conditionalFormatting>
  <conditionalFormatting sqref="C291:D291">
    <cfRule type="expression" dxfId="798" priority="1090" stopIfTrue="1">
      <formula>C34&lt;&gt;0</formula>
    </cfRule>
  </conditionalFormatting>
  <conditionalFormatting sqref="C292:D292">
    <cfRule type="expression" dxfId="797" priority="1089" stopIfTrue="1">
      <formula>C35&lt;&gt;0</formula>
    </cfRule>
  </conditionalFormatting>
  <conditionalFormatting sqref="C293:D293">
    <cfRule type="expression" dxfId="796" priority="1088" stopIfTrue="1">
      <formula>C36&lt;&gt;0</formula>
    </cfRule>
  </conditionalFormatting>
  <conditionalFormatting sqref="F290:G290">
    <cfRule type="expression" dxfId="795" priority="1087" stopIfTrue="1">
      <formula>F33&lt;&gt;0</formula>
    </cfRule>
  </conditionalFormatting>
  <conditionalFormatting sqref="F291:G291">
    <cfRule type="expression" dxfId="794" priority="1086" stopIfTrue="1">
      <formula>F34&lt;&gt;0</formula>
    </cfRule>
  </conditionalFormatting>
  <conditionalFormatting sqref="F292:G292">
    <cfRule type="expression" dxfId="793" priority="1085" stopIfTrue="1">
      <formula>F35&lt;&gt;0</formula>
    </cfRule>
  </conditionalFormatting>
  <conditionalFormatting sqref="F293:G293">
    <cfRule type="expression" dxfId="792" priority="1084" stopIfTrue="1">
      <formula>F36&lt;&gt;0</formula>
    </cfRule>
  </conditionalFormatting>
  <conditionalFormatting sqref="I290:J290">
    <cfRule type="expression" dxfId="791" priority="1082" stopIfTrue="1">
      <formula>I33&lt;&gt;0</formula>
    </cfRule>
  </conditionalFormatting>
  <conditionalFormatting sqref="I291:J291">
    <cfRule type="expression" dxfId="790" priority="1081" stopIfTrue="1">
      <formula>I34&lt;&gt;0</formula>
    </cfRule>
  </conditionalFormatting>
  <conditionalFormatting sqref="I292:J292">
    <cfRule type="expression" dxfId="789" priority="1080" stopIfTrue="1">
      <formula>I35&lt;&gt;0</formula>
    </cfRule>
  </conditionalFormatting>
  <conditionalFormatting sqref="I293:J293">
    <cfRule type="expression" dxfId="788" priority="1079" stopIfTrue="1">
      <formula>I36&lt;&gt;0</formula>
    </cfRule>
  </conditionalFormatting>
  <conditionalFormatting sqref="L290:M290">
    <cfRule type="expression" dxfId="787" priority="1078" stopIfTrue="1">
      <formula>L33&lt;&gt;0</formula>
    </cfRule>
  </conditionalFormatting>
  <conditionalFormatting sqref="L291:M291">
    <cfRule type="expression" dxfId="786" priority="1077" stopIfTrue="1">
      <formula>L34&lt;&gt;0</formula>
    </cfRule>
  </conditionalFormatting>
  <conditionalFormatting sqref="L292:M292">
    <cfRule type="expression" dxfId="785" priority="1076" stopIfTrue="1">
      <formula>L35&lt;&gt;0</formula>
    </cfRule>
  </conditionalFormatting>
  <conditionalFormatting sqref="L293:M293">
    <cfRule type="expression" dxfId="784" priority="1075" stopIfTrue="1">
      <formula>L36&lt;&gt;0</formula>
    </cfRule>
  </conditionalFormatting>
  <conditionalFormatting sqref="O290:P290">
    <cfRule type="expression" dxfId="783" priority="1074" stopIfTrue="1">
      <formula>O33&lt;&gt;0</formula>
    </cfRule>
  </conditionalFormatting>
  <conditionalFormatting sqref="O291:P291">
    <cfRule type="expression" dxfId="782" priority="1073" stopIfTrue="1">
      <formula>O34&lt;&gt;0</formula>
    </cfRule>
  </conditionalFormatting>
  <conditionalFormatting sqref="O292:P292">
    <cfRule type="expression" dxfId="781" priority="1072" stopIfTrue="1">
      <formula>O35&lt;&gt;0</formula>
    </cfRule>
  </conditionalFormatting>
  <conditionalFormatting sqref="O293:P293">
    <cfRule type="expression" dxfId="780" priority="1071" stopIfTrue="1">
      <formula>O36&lt;&gt;0</formula>
    </cfRule>
  </conditionalFormatting>
  <conditionalFormatting sqref="R290:S290">
    <cfRule type="expression" dxfId="779" priority="1070" stopIfTrue="1">
      <formula>R33&lt;&gt;0</formula>
    </cfRule>
  </conditionalFormatting>
  <conditionalFormatting sqref="R291:S291">
    <cfRule type="expression" dxfId="778" priority="1069" stopIfTrue="1">
      <formula>R34&lt;&gt;0</formula>
    </cfRule>
  </conditionalFormatting>
  <conditionalFormatting sqref="R292:S292">
    <cfRule type="expression" dxfId="777" priority="1068" stopIfTrue="1">
      <formula>R35&lt;&gt;0</formula>
    </cfRule>
  </conditionalFormatting>
  <conditionalFormatting sqref="R293:S293">
    <cfRule type="expression" dxfId="776" priority="1067" stopIfTrue="1">
      <formula>R36&lt;&gt;0</formula>
    </cfRule>
  </conditionalFormatting>
  <conditionalFormatting sqref="C310:D310">
    <cfRule type="expression" dxfId="775" priority="1042" stopIfTrue="1">
      <formula>C50&lt;&gt;0</formula>
    </cfRule>
  </conditionalFormatting>
  <conditionalFormatting sqref="C311:D311">
    <cfRule type="expression" dxfId="774" priority="1041" stopIfTrue="1">
      <formula>C51&lt;&gt;0</formula>
    </cfRule>
  </conditionalFormatting>
  <conditionalFormatting sqref="C312:D312">
    <cfRule type="expression" dxfId="773" priority="1040" stopIfTrue="1">
      <formula>C52&lt;&gt;0</formula>
    </cfRule>
  </conditionalFormatting>
  <conditionalFormatting sqref="C313:D313">
    <cfRule type="expression" dxfId="772" priority="1039" stopIfTrue="1">
      <formula>C53&lt;&gt;0</formula>
    </cfRule>
  </conditionalFormatting>
  <conditionalFormatting sqref="F310:G310">
    <cfRule type="expression" dxfId="771" priority="1018" stopIfTrue="1">
      <formula>F50&lt;&gt;0</formula>
    </cfRule>
  </conditionalFormatting>
  <conditionalFormatting sqref="F311:G311">
    <cfRule type="expression" dxfId="770" priority="1017" stopIfTrue="1">
      <formula>F51&lt;&gt;0</formula>
    </cfRule>
  </conditionalFormatting>
  <conditionalFormatting sqref="F312:G312">
    <cfRule type="expression" dxfId="769" priority="1016" stopIfTrue="1">
      <formula>F52&lt;&gt;0</formula>
    </cfRule>
  </conditionalFormatting>
  <conditionalFormatting sqref="F313:G313">
    <cfRule type="expression" dxfId="768" priority="1015" stopIfTrue="1">
      <formula>F53&lt;&gt;0</formula>
    </cfRule>
  </conditionalFormatting>
  <conditionalFormatting sqref="I310:J310">
    <cfRule type="expression" dxfId="767" priority="1014" stopIfTrue="1">
      <formula>I50&lt;&gt;0</formula>
    </cfRule>
  </conditionalFormatting>
  <conditionalFormatting sqref="I311:J311">
    <cfRule type="expression" dxfId="766" priority="1013" stopIfTrue="1">
      <formula>I51&lt;&gt;0</formula>
    </cfRule>
  </conditionalFormatting>
  <conditionalFormatting sqref="I312:J312">
    <cfRule type="expression" dxfId="765" priority="1012" stopIfTrue="1">
      <formula>I52&lt;&gt;0</formula>
    </cfRule>
  </conditionalFormatting>
  <conditionalFormatting sqref="I313:J313">
    <cfRule type="expression" dxfId="764" priority="1011" stopIfTrue="1">
      <formula>I53&lt;&gt;0</formula>
    </cfRule>
  </conditionalFormatting>
  <conditionalFormatting sqref="L310:M310">
    <cfRule type="expression" dxfId="763" priority="1010" stopIfTrue="1">
      <formula>L50&lt;&gt;0</formula>
    </cfRule>
  </conditionalFormatting>
  <conditionalFormatting sqref="L311:M311">
    <cfRule type="expression" dxfId="762" priority="1009" stopIfTrue="1">
      <formula>L51&lt;&gt;0</formula>
    </cfRule>
  </conditionalFormatting>
  <conditionalFormatting sqref="L312:M312">
    <cfRule type="expression" dxfId="761" priority="1008" stopIfTrue="1">
      <formula>L52&lt;&gt;0</formula>
    </cfRule>
  </conditionalFormatting>
  <conditionalFormatting sqref="L313:M313">
    <cfRule type="expression" dxfId="760" priority="1007" stopIfTrue="1">
      <formula>L53&lt;&gt;0</formula>
    </cfRule>
  </conditionalFormatting>
  <conditionalFormatting sqref="O310:P310">
    <cfRule type="expression" dxfId="759" priority="1006" stopIfTrue="1">
      <formula>O50&lt;&gt;0</formula>
    </cfRule>
  </conditionalFormatting>
  <conditionalFormatting sqref="O311:P311">
    <cfRule type="expression" dxfId="758" priority="1005" stopIfTrue="1">
      <formula>O51&lt;&gt;0</formula>
    </cfRule>
  </conditionalFormatting>
  <conditionalFormatting sqref="O312:P312">
    <cfRule type="expression" dxfId="757" priority="1004" stopIfTrue="1">
      <formula>O52&lt;&gt;0</formula>
    </cfRule>
  </conditionalFormatting>
  <conditionalFormatting sqref="O313:P313">
    <cfRule type="expression" dxfId="756" priority="1003" stopIfTrue="1">
      <formula>O53&lt;&gt;0</formula>
    </cfRule>
  </conditionalFormatting>
  <conditionalFormatting sqref="R310:S310">
    <cfRule type="expression" dxfId="755" priority="1002" stopIfTrue="1">
      <formula>R50&lt;&gt;0</formula>
    </cfRule>
  </conditionalFormatting>
  <conditionalFormatting sqref="R311:S311">
    <cfRule type="expression" dxfId="754" priority="1001" stopIfTrue="1">
      <formula>R51&lt;&gt;0</formula>
    </cfRule>
  </conditionalFormatting>
  <conditionalFormatting sqref="R312:S312">
    <cfRule type="expression" dxfId="753" priority="1000" stopIfTrue="1">
      <formula>R52&lt;&gt;0</formula>
    </cfRule>
  </conditionalFormatting>
  <conditionalFormatting sqref="R313:S313">
    <cfRule type="expression" dxfId="752" priority="999" stopIfTrue="1">
      <formula>R53&lt;&gt;0</formula>
    </cfRule>
  </conditionalFormatting>
  <conditionalFormatting sqref="C330:D330">
    <cfRule type="expression" dxfId="751" priority="686" stopIfTrue="1">
      <formula>C67&lt;&gt;0</formula>
    </cfRule>
  </conditionalFormatting>
  <conditionalFormatting sqref="C331:D331">
    <cfRule type="expression" dxfId="750" priority="685" stopIfTrue="1">
      <formula>C68&lt;&gt;0</formula>
    </cfRule>
  </conditionalFormatting>
  <conditionalFormatting sqref="C332:D332">
    <cfRule type="expression" dxfId="749" priority="684" stopIfTrue="1">
      <formula>C69&lt;&gt;0</formula>
    </cfRule>
  </conditionalFormatting>
  <conditionalFormatting sqref="C333:D333">
    <cfRule type="expression" dxfId="748" priority="683" stopIfTrue="1">
      <formula>C70&lt;&gt;0</formula>
    </cfRule>
  </conditionalFormatting>
  <conditionalFormatting sqref="F330:G330">
    <cfRule type="expression" dxfId="747" priority="682" stopIfTrue="1">
      <formula>F67&lt;&gt;0</formula>
    </cfRule>
  </conditionalFormatting>
  <conditionalFormatting sqref="F331:G331">
    <cfRule type="expression" dxfId="746" priority="681" stopIfTrue="1">
      <formula>F68&lt;&gt;0</formula>
    </cfRule>
  </conditionalFormatting>
  <conditionalFormatting sqref="F332:G332">
    <cfRule type="expression" dxfId="745" priority="680" stopIfTrue="1">
      <formula>F69&lt;&gt;0</formula>
    </cfRule>
  </conditionalFormatting>
  <conditionalFormatting sqref="F333:G333">
    <cfRule type="expression" dxfId="744" priority="679" stopIfTrue="1">
      <formula>F70&lt;&gt;0</formula>
    </cfRule>
  </conditionalFormatting>
  <conditionalFormatting sqref="I330:J330">
    <cfRule type="expression" dxfId="743" priority="678" stopIfTrue="1">
      <formula>I67&lt;&gt;0</formula>
    </cfRule>
  </conditionalFormatting>
  <conditionalFormatting sqref="I331:J331">
    <cfRule type="expression" dxfId="742" priority="677" stopIfTrue="1">
      <formula>I68&lt;&gt;0</formula>
    </cfRule>
  </conditionalFormatting>
  <conditionalFormatting sqref="I332:J332">
    <cfRule type="expression" dxfId="741" priority="676" stopIfTrue="1">
      <formula>I69&lt;&gt;0</formula>
    </cfRule>
  </conditionalFormatting>
  <conditionalFormatting sqref="I333:J333">
    <cfRule type="expression" dxfId="740" priority="675" stopIfTrue="1">
      <formula>I70&lt;&gt;0</formula>
    </cfRule>
  </conditionalFormatting>
  <conditionalFormatting sqref="L330:M330">
    <cfRule type="expression" dxfId="739" priority="674" stopIfTrue="1">
      <formula>L67&lt;&gt;0</formula>
    </cfRule>
  </conditionalFormatting>
  <conditionalFormatting sqref="L331:M331">
    <cfRule type="expression" dxfId="738" priority="673" stopIfTrue="1">
      <formula>L68&lt;&gt;0</formula>
    </cfRule>
  </conditionalFormatting>
  <conditionalFormatting sqref="L332:M332">
    <cfRule type="expression" dxfId="737" priority="672" stopIfTrue="1">
      <formula>L69&lt;&gt;0</formula>
    </cfRule>
  </conditionalFormatting>
  <conditionalFormatting sqref="L333:M333">
    <cfRule type="expression" dxfId="736" priority="671" stopIfTrue="1">
      <formula>L70&lt;&gt;0</formula>
    </cfRule>
  </conditionalFormatting>
  <conditionalFormatting sqref="O330:P330">
    <cfRule type="expression" dxfId="735" priority="670" stopIfTrue="1">
      <formula>O67&lt;&gt;0</formula>
    </cfRule>
  </conditionalFormatting>
  <conditionalFormatting sqref="O331:P331">
    <cfRule type="expression" dxfId="734" priority="669" stopIfTrue="1">
      <formula>O68&lt;&gt;0</formula>
    </cfRule>
  </conditionalFormatting>
  <conditionalFormatting sqref="O332:P332">
    <cfRule type="expression" dxfId="733" priority="668" stopIfTrue="1">
      <formula>O69&lt;&gt;0</formula>
    </cfRule>
  </conditionalFormatting>
  <conditionalFormatting sqref="O333:P333">
    <cfRule type="expression" dxfId="732" priority="667" stopIfTrue="1">
      <formula>O70&lt;&gt;0</formula>
    </cfRule>
  </conditionalFormatting>
  <conditionalFormatting sqref="R330:S330">
    <cfRule type="expression" dxfId="731" priority="666" stopIfTrue="1">
      <formula>R67&lt;&gt;0</formula>
    </cfRule>
  </conditionalFormatting>
  <conditionalFormatting sqref="R331:S331">
    <cfRule type="expression" dxfId="730" priority="665" stopIfTrue="1">
      <formula>R68&lt;&gt;0</formula>
    </cfRule>
  </conditionalFormatting>
  <conditionalFormatting sqref="R332:S332">
    <cfRule type="expression" dxfId="729" priority="664" stopIfTrue="1">
      <formula>R69&lt;&gt;0</formula>
    </cfRule>
  </conditionalFormatting>
  <conditionalFormatting sqref="R333:S333">
    <cfRule type="expression" dxfId="728" priority="663" stopIfTrue="1">
      <formula>R70&lt;&gt;0</formula>
    </cfRule>
  </conditionalFormatting>
  <conditionalFormatting sqref="C350:D350">
    <cfRule type="expression" dxfId="727" priority="658" stopIfTrue="1">
      <formula>C84&lt;&gt;0</formula>
    </cfRule>
  </conditionalFormatting>
  <conditionalFormatting sqref="C351:D351">
    <cfRule type="expression" dxfId="726" priority="657" stopIfTrue="1">
      <formula>C85&lt;&gt;0</formula>
    </cfRule>
  </conditionalFormatting>
  <conditionalFormatting sqref="C352:D352">
    <cfRule type="expression" dxfId="725" priority="656" stopIfTrue="1">
      <formula>C86&lt;&gt;0</formula>
    </cfRule>
  </conditionalFormatting>
  <conditionalFormatting sqref="C353:D353">
    <cfRule type="expression" dxfId="724" priority="655" stopIfTrue="1">
      <formula>C87&lt;&gt;0</formula>
    </cfRule>
  </conditionalFormatting>
  <conditionalFormatting sqref="F350:G350">
    <cfRule type="expression" dxfId="723" priority="653" stopIfTrue="1">
      <formula>F84&lt;&gt;0</formula>
    </cfRule>
  </conditionalFormatting>
  <conditionalFormatting sqref="F351:G351">
    <cfRule type="expression" dxfId="722" priority="652" stopIfTrue="1">
      <formula>F85&lt;&gt;0</formula>
    </cfRule>
  </conditionalFormatting>
  <conditionalFormatting sqref="F352:G352">
    <cfRule type="expression" dxfId="721" priority="651" stopIfTrue="1">
      <formula>F86&lt;&gt;0</formula>
    </cfRule>
  </conditionalFormatting>
  <conditionalFormatting sqref="F353:G353">
    <cfRule type="expression" dxfId="720" priority="650" stopIfTrue="1">
      <formula>F87&lt;&gt;0</formula>
    </cfRule>
  </conditionalFormatting>
  <conditionalFormatting sqref="I350:J350">
    <cfRule type="expression" dxfId="719" priority="649" stopIfTrue="1">
      <formula>I84&lt;&gt;0</formula>
    </cfRule>
  </conditionalFormatting>
  <conditionalFormatting sqref="I351:J351">
    <cfRule type="expression" dxfId="718" priority="648" stopIfTrue="1">
      <formula>I85&lt;&gt;0</formula>
    </cfRule>
  </conditionalFormatting>
  <conditionalFormatting sqref="I352:J352">
    <cfRule type="expression" dxfId="717" priority="647" stopIfTrue="1">
      <formula>I86&lt;&gt;0</formula>
    </cfRule>
  </conditionalFormatting>
  <conditionalFormatting sqref="I353:J353">
    <cfRule type="expression" dxfId="716" priority="646" stopIfTrue="1">
      <formula>I87&lt;&gt;0</formula>
    </cfRule>
  </conditionalFormatting>
  <conditionalFormatting sqref="L350:M350">
    <cfRule type="expression" dxfId="715" priority="645" stopIfTrue="1">
      <formula>L84&lt;&gt;0</formula>
    </cfRule>
  </conditionalFormatting>
  <conditionalFormatting sqref="L351:M351">
    <cfRule type="expression" dxfId="714" priority="644" stopIfTrue="1">
      <formula>L85&lt;&gt;0</formula>
    </cfRule>
  </conditionalFormatting>
  <conditionalFormatting sqref="L352:M352">
    <cfRule type="expression" dxfId="713" priority="643" stopIfTrue="1">
      <formula>L86&lt;&gt;0</formula>
    </cfRule>
  </conditionalFormatting>
  <conditionalFormatting sqref="L353:M353">
    <cfRule type="expression" dxfId="712" priority="642" stopIfTrue="1">
      <formula>L87&lt;&gt;0</formula>
    </cfRule>
  </conditionalFormatting>
  <conditionalFormatting sqref="O350:P350">
    <cfRule type="expression" dxfId="711" priority="641" stopIfTrue="1">
      <formula>O84&lt;&gt;0</formula>
    </cfRule>
  </conditionalFormatting>
  <conditionalFormatting sqref="O351:P351">
    <cfRule type="expression" dxfId="710" priority="640" stopIfTrue="1">
      <formula>O85&lt;&gt;0</formula>
    </cfRule>
  </conditionalFormatting>
  <conditionalFormatting sqref="O352:P352">
    <cfRule type="expression" dxfId="709" priority="639" stopIfTrue="1">
      <formula>O86&lt;&gt;0</formula>
    </cfRule>
  </conditionalFormatting>
  <conditionalFormatting sqref="O353:P353">
    <cfRule type="expression" dxfId="708" priority="638" stopIfTrue="1">
      <formula>O87&lt;&gt;0</formula>
    </cfRule>
  </conditionalFormatting>
  <conditionalFormatting sqref="R350:S350">
    <cfRule type="expression" dxfId="707" priority="637" stopIfTrue="1">
      <formula>R84&lt;&gt;0</formula>
    </cfRule>
  </conditionalFormatting>
  <conditionalFormatting sqref="R351:S351">
    <cfRule type="expression" dxfId="706" priority="636" stopIfTrue="1">
      <formula>R85&lt;&gt;0</formula>
    </cfRule>
  </conditionalFormatting>
  <conditionalFormatting sqref="R352:S352">
    <cfRule type="expression" dxfId="705" priority="635" stopIfTrue="1">
      <formula>R86&lt;&gt;0</formula>
    </cfRule>
  </conditionalFormatting>
  <conditionalFormatting sqref="R353:S353">
    <cfRule type="expression" dxfId="704" priority="634" stopIfTrue="1">
      <formula>R87&lt;&gt;0</formula>
    </cfRule>
  </conditionalFormatting>
  <conditionalFormatting sqref="C370:D370">
    <cfRule type="expression" dxfId="703" priority="633" stopIfTrue="1">
      <formula>C101&lt;&gt;0</formula>
    </cfRule>
  </conditionalFormatting>
  <conditionalFormatting sqref="C371:D371">
    <cfRule type="expression" dxfId="702" priority="632" stopIfTrue="1">
      <formula>C102&lt;&gt;0</formula>
    </cfRule>
  </conditionalFormatting>
  <conditionalFormatting sqref="C372:D372">
    <cfRule type="expression" dxfId="701" priority="631" stopIfTrue="1">
      <formula>C103&lt;&gt;0</formula>
    </cfRule>
  </conditionalFormatting>
  <conditionalFormatting sqref="C373:D373">
    <cfRule type="expression" dxfId="700" priority="630" stopIfTrue="1">
      <formula>C104&lt;&gt;0</formula>
    </cfRule>
  </conditionalFormatting>
  <conditionalFormatting sqref="F370:G370">
    <cfRule type="expression" dxfId="699" priority="629" stopIfTrue="1">
      <formula>F101&lt;&gt;0</formula>
    </cfRule>
  </conditionalFormatting>
  <conditionalFormatting sqref="F371:G371">
    <cfRule type="expression" dxfId="698" priority="628" stopIfTrue="1">
      <formula>F102&lt;&gt;0</formula>
    </cfRule>
  </conditionalFormatting>
  <conditionalFormatting sqref="F372:G372">
    <cfRule type="expression" dxfId="697" priority="627" stopIfTrue="1">
      <formula>F103&lt;&gt;0</formula>
    </cfRule>
  </conditionalFormatting>
  <conditionalFormatting sqref="F373:G373">
    <cfRule type="expression" dxfId="696" priority="626" stopIfTrue="1">
      <formula>F104&lt;&gt;0</formula>
    </cfRule>
  </conditionalFormatting>
  <conditionalFormatting sqref="I370:J370">
    <cfRule type="expression" dxfId="695" priority="625" stopIfTrue="1">
      <formula>I101&lt;&gt;0</formula>
    </cfRule>
  </conditionalFormatting>
  <conditionalFormatting sqref="I371:J371">
    <cfRule type="expression" dxfId="694" priority="624" stopIfTrue="1">
      <formula>I102&lt;&gt;0</formula>
    </cfRule>
  </conditionalFormatting>
  <conditionalFormatting sqref="I372:J372">
    <cfRule type="expression" dxfId="693" priority="623" stopIfTrue="1">
      <formula>I103&lt;&gt;0</formula>
    </cfRule>
  </conditionalFormatting>
  <conditionalFormatting sqref="I373:J373">
    <cfRule type="expression" dxfId="692" priority="622" stopIfTrue="1">
      <formula>I104&lt;&gt;0</formula>
    </cfRule>
  </conditionalFormatting>
  <conditionalFormatting sqref="L370:M370">
    <cfRule type="expression" dxfId="691" priority="621" stopIfTrue="1">
      <formula>L101&lt;&gt;0</formula>
    </cfRule>
  </conditionalFormatting>
  <conditionalFormatting sqref="L371:M371">
    <cfRule type="expression" dxfId="690" priority="620" stopIfTrue="1">
      <formula>L102&lt;&gt;0</formula>
    </cfRule>
  </conditionalFormatting>
  <conditionalFormatting sqref="L372:M372">
    <cfRule type="expression" dxfId="689" priority="619" stopIfTrue="1">
      <formula>L103&lt;&gt;0</formula>
    </cfRule>
  </conditionalFormatting>
  <conditionalFormatting sqref="L373:M373">
    <cfRule type="expression" dxfId="688" priority="618" stopIfTrue="1">
      <formula>L104&lt;&gt;0</formula>
    </cfRule>
  </conditionalFormatting>
  <conditionalFormatting sqref="O370:P370">
    <cfRule type="expression" dxfId="687" priority="617" stopIfTrue="1">
      <formula>O101&lt;&gt;0</formula>
    </cfRule>
  </conditionalFormatting>
  <conditionalFormatting sqref="O371:P371">
    <cfRule type="expression" dxfId="686" priority="616" stopIfTrue="1">
      <formula>O102&lt;&gt;0</formula>
    </cfRule>
  </conditionalFormatting>
  <conditionalFormatting sqref="O372:P372">
    <cfRule type="expression" dxfId="685" priority="615" stopIfTrue="1">
      <formula>O103&lt;&gt;0</formula>
    </cfRule>
  </conditionalFormatting>
  <conditionalFormatting sqref="O373:P373">
    <cfRule type="expression" dxfId="684" priority="614" stopIfTrue="1">
      <formula>O104&lt;&gt;0</formula>
    </cfRule>
  </conditionalFormatting>
  <conditionalFormatting sqref="R370:S370">
    <cfRule type="expression" dxfId="683" priority="613" stopIfTrue="1">
      <formula>R101&lt;&gt;0</formula>
    </cfRule>
  </conditionalFormatting>
  <conditionalFormatting sqref="R371:S371">
    <cfRule type="expression" dxfId="682" priority="612" stopIfTrue="1">
      <formula>R102&lt;&gt;0</formula>
    </cfRule>
  </conditionalFormatting>
  <conditionalFormatting sqref="R372:S372">
    <cfRule type="expression" dxfId="681" priority="611" stopIfTrue="1">
      <formula>R103&lt;&gt;0</formula>
    </cfRule>
  </conditionalFormatting>
  <conditionalFormatting sqref="R373:S373">
    <cfRule type="expression" dxfId="680" priority="610" stopIfTrue="1">
      <formula>R104&lt;&gt;0</formula>
    </cfRule>
  </conditionalFormatting>
  <conditionalFormatting sqref="C390:D390">
    <cfRule type="expression" dxfId="679" priority="609" stopIfTrue="1">
      <formula>C118&lt;&gt;0</formula>
    </cfRule>
  </conditionalFormatting>
  <conditionalFormatting sqref="C391:D391">
    <cfRule type="expression" dxfId="678" priority="608" stopIfTrue="1">
      <formula>C119&lt;&gt;0</formula>
    </cfRule>
  </conditionalFormatting>
  <conditionalFormatting sqref="C392:D392">
    <cfRule type="expression" dxfId="677" priority="607" stopIfTrue="1">
      <formula>C120&lt;&gt;0</formula>
    </cfRule>
  </conditionalFormatting>
  <conditionalFormatting sqref="C393:D393">
    <cfRule type="expression" dxfId="676" priority="606" stopIfTrue="1">
      <formula>C121&lt;&gt;0</formula>
    </cfRule>
  </conditionalFormatting>
  <conditionalFormatting sqref="F390:G390">
    <cfRule type="expression" dxfId="675" priority="605" stopIfTrue="1">
      <formula>F118&lt;&gt;0</formula>
    </cfRule>
  </conditionalFormatting>
  <conditionalFormatting sqref="F391:G391">
    <cfRule type="expression" dxfId="674" priority="604" stopIfTrue="1">
      <formula>F119&lt;&gt;0</formula>
    </cfRule>
  </conditionalFormatting>
  <conditionalFormatting sqref="F392:G392">
    <cfRule type="expression" dxfId="673" priority="603" stopIfTrue="1">
      <formula>F120&lt;&gt;0</formula>
    </cfRule>
  </conditionalFormatting>
  <conditionalFormatting sqref="F393:G393">
    <cfRule type="expression" dxfId="672" priority="602" stopIfTrue="1">
      <formula>F121&lt;&gt;0</formula>
    </cfRule>
  </conditionalFormatting>
  <conditionalFormatting sqref="I390:J390">
    <cfRule type="expression" dxfId="671" priority="601" stopIfTrue="1">
      <formula>I118&lt;&gt;0</formula>
    </cfRule>
  </conditionalFormatting>
  <conditionalFormatting sqref="I391:J391">
    <cfRule type="expression" dxfId="670" priority="600" stopIfTrue="1">
      <formula>I119&lt;&gt;0</formula>
    </cfRule>
  </conditionalFormatting>
  <conditionalFormatting sqref="I392:J392">
    <cfRule type="expression" dxfId="669" priority="599" stopIfTrue="1">
      <formula>I120&lt;&gt;0</formula>
    </cfRule>
  </conditionalFormatting>
  <conditionalFormatting sqref="I393:J393">
    <cfRule type="expression" dxfId="668" priority="598" stopIfTrue="1">
      <formula>I121&lt;&gt;0</formula>
    </cfRule>
  </conditionalFormatting>
  <conditionalFormatting sqref="L390:M390">
    <cfRule type="expression" dxfId="667" priority="597" stopIfTrue="1">
      <formula>L118&lt;&gt;0</formula>
    </cfRule>
  </conditionalFormatting>
  <conditionalFormatting sqref="L391:M391">
    <cfRule type="expression" dxfId="666" priority="596" stopIfTrue="1">
      <formula>L119&lt;&gt;0</formula>
    </cfRule>
  </conditionalFormatting>
  <conditionalFormatting sqref="L392:M392">
    <cfRule type="expression" dxfId="665" priority="595" stopIfTrue="1">
      <formula>L120&lt;&gt;0</formula>
    </cfRule>
  </conditionalFormatting>
  <conditionalFormatting sqref="L393:M393">
    <cfRule type="expression" dxfId="664" priority="594" stopIfTrue="1">
      <formula>L121&lt;&gt;0</formula>
    </cfRule>
  </conditionalFormatting>
  <conditionalFormatting sqref="O390:P390">
    <cfRule type="expression" dxfId="663" priority="593" stopIfTrue="1">
      <formula>O118&lt;&gt;0</formula>
    </cfRule>
  </conditionalFormatting>
  <conditionalFormatting sqref="O391:P391">
    <cfRule type="expression" dxfId="662" priority="592" stopIfTrue="1">
      <formula>O119&lt;&gt;0</formula>
    </cfRule>
  </conditionalFormatting>
  <conditionalFormatting sqref="O392:P392">
    <cfRule type="expression" dxfId="661" priority="591" stopIfTrue="1">
      <formula>O120&lt;&gt;0</formula>
    </cfRule>
  </conditionalFormatting>
  <conditionalFormatting sqref="O393:P393">
    <cfRule type="expression" dxfId="660" priority="590" stopIfTrue="1">
      <formula>O121&lt;&gt;0</formula>
    </cfRule>
  </conditionalFormatting>
  <conditionalFormatting sqref="R390:S390">
    <cfRule type="expression" dxfId="659" priority="589" stopIfTrue="1">
      <formula>R118&lt;&gt;0</formula>
    </cfRule>
  </conditionalFormatting>
  <conditionalFormatting sqref="R391:S391">
    <cfRule type="expression" dxfId="658" priority="588" stopIfTrue="1">
      <formula>R119&lt;&gt;0</formula>
    </cfRule>
  </conditionalFormatting>
  <conditionalFormatting sqref="R392:S392">
    <cfRule type="expression" dxfId="657" priority="587" stopIfTrue="1">
      <formula>R120&lt;&gt;0</formula>
    </cfRule>
  </conditionalFormatting>
  <conditionalFormatting sqref="R393:S393">
    <cfRule type="expression" dxfId="656" priority="586" stopIfTrue="1">
      <formula>R121&lt;&gt;0</formula>
    </cfRule>
  </conditionalFormatting>
  <conditionalFormatting sqref="C410:D410">
    <cfRule type="expression" dxfId="655" priority="581" stopIfTrue="1">
      <formula>C135&lt;&gt;0</formula>
    </cfRule>
  </conditionalFormatting>
  <conditionalFormatting sqref="C411:D411">
    <cfRule type="expression" dxfId="654" priority="580" stopIfTrue="1">
      <formula>C136&lt;&gt;0</formula>
    </cfRule>
  </conditionalFormatting>
  <conditionalFormatting sqref="C412:D412">
    <cfRule type="expression" dxfId="653" priority="579" stopIfTrue="1">
      <formula>C137&lt;&gt;0</formula>
    </cfRule>
  </conditionalFormatting>
  <conditionalFormatting sqref="C413:D413">
    <cfRule type="expression" dxfId="652" priority="578" stopIfTrue="1">
      <formula>C138&lt;&gt;0</formula>
    </cfRule>
  </conditionalFormatting>
  <conditionalFormatting sqref="F410:G410">
    <cfRule type="expression" dxfId="651" priority="577" stopIfTrue="1">
      <formula>F135&lt;&gt;0</formula>
    </cfRule>
  </conditionalFormatting>
  <conditionalFormatting sqref="F411:G411">
    <cfRule type="expression" dxfId="650" priority="576" stopIfTrue="1">
      <formula>F136&lt;&gt;0</formula>
    </cfRule>
  </conditionalFormatting>
  <conditionalFormatting sqref="F412:G412">
    <cfRule type="expression" dxfId="649" priority="575" stopIfTrue="1">
      <formula>F137&lt;&gt;0</formula>
    </cfRule>
  </conditionalFormatting>
  <conditionalFormatting sqref="F413:G413">
    <cfRule type="expression" dxfId="648" priority="574" stopIfTrue="1">
      <formula>F138&lt;&gt;0</formula>
    </cfRule>
  </conditionalFormatting>
  <conditionalFormatting sqref="I410:J410">
    <cfRule type="expression" dxfId="647" priority="573" stopIfTrue="1">
      <formula>I135&lt;&gt;0</formula>
    </cfRule>
  </conditionalFormatting>
  <conditionalFormatting sqref="I411:J411">
    <cfRule type="expression" dxfId="646" priority="572" stopIfTrue="1">
      <formula>I136&lt;&gt;0</formula>
    </cfRule>
  </conditionalFormatting>
  <conditionalFormatting sqref="I412:J412">
    <cfRule type="expression" dxfId="645" priority="571" stopIfTrue="1">
      <formula>I137&lt;&gt;0</formula>
    </cfRule>
  </conditionalFormatting>
  <conditionalFormatting sqref="I413:J413">
    <cfRule type="expression" dxfId="644" priority="570" stopIfTrue="1">
      <formula>I138&lt;&gt;0</formula>
    </cfRule>
  </conditionalFormatting>
  <conditionalFormatting sqref="L410:M410">
    <cfRule type="expression" dxfId="643" priority="569" stopIfTrue="1">
      <formula>L135&lt;&gt;0</formula>
    </cfRule>
  </conditionalFormatting>
  <conditionalFormatting sqref="L411:M411">
    <cfRule type="expression" dxfId="642" priority="568" stopIfTrue="1">
      <formula>L136&lt;&gt;0</formula>
    </cfRule>
  </conditionalFormatting>
  <conditionalFormatting sqref="L412:M412">
    <cfRule type="expression" dxfId="641" priority="567" stopIfTrue="1">
      <formula>L137&lt;&gt;0</formula>
    </cfRule>
  </conditionalFormatting>
  <conditionalFormatting sqref="L413:M413">
    <cfRule type="expression" dxfId="640" priority="566" stopIfTrue="1">
      <formula>L138&lt;&gt;0</formula>
    </cfRule>
  </conditionalFormatting>
  <conditionalFormatting sqref="O410:P410">
    <cfRule type="expression" dxfId="639" priority="565" stopIfTrue="1">
      <formula>O135&lt;&gt;0</formula>
    </cfRule>
  </conditionalFormatting>
  <conditionalFormatting sqref="O411:P411">
    <cfRule type="expression" dxfId="638" priority="564" stopIfTrue="1">
      <formula>O136&lt;&gt;0</formula>
    </cfRule>
  </conditionalFormatting>
  <conditionalFormatting sqref="O412:P412">
    <cfRule type="expression" dxfId="637" priority="563" stopIfTrue="1">
      <formula>O137&lt;&gt;0</formula>
    </cfRule>
  </conditionalFormatting>
  <conditionalFormatting sqref="O413:P413">
    <cfRule type="expression" dxfId="636" priority="562" stopIfTrue="1">
      <formula>O138&lt;&gt;0</formula>
    </cfRule>
  </conditionalFormatting>
  <conditionalFormatting sqref="R410:S410">
    <cfRule type="expression" dxfId="635" priority="561" stopIfTrue="1">
      <formula>R135&lt;&gt;0</formula>
    </cfRule>
  </conditionalFormatting>
  <conditionalFormatting sqref="R411:S411">
    <cfRule type="expression" dxfId="634" priority="560" stopIfTrue="1">
      <formula>R136&lt;&gt;0</formula>
    </cfRule>
  </conditionalFormatting>
  <conditionalFormatting sqref="R412:S412">
    <cfRule type="expression" dxfId="633" priority="559" stopIfTrue="1">
      <formula>R137&lt;&gt;0</formula>
    </cfRule>
  </conditionalFormatting>
  <conditionalFormatting sqref="R413:S413">
    <cfRule type="expression" dxfId="632" priority="558" stopIfTrue="1">
      <formula>R138&lt;&gt;0</formula>
    </cfRule>
  </conditionalFormatting>
  <conditionalFormatting sqref="C430:D430">
    <cfRule type="expression" dxfId="631" priority="557" stopIfTrue="1">
      <formula>C152&lt;&gt;0</formula>
    </cfRule>
  </conditionalFormatting>
  <conditionalFormatting sqref="C431:D431">
    <cfRule type="expression" dxfId="630" priority="556" stopIfTrue="1">
      <formula>C153&lt;&gt;0</formula>
    </cfRule>
  </conditionalFormatting>
  <conditionalFormatting sqref="C432:D432">
    <cfRule type="expression" dxfId="629" priority="555" stopIfTrue="1">
      <formula>C154&lt;&gt;0</formula>
    </cfRule>
  </conditionalFormatting>
  <conditionalFormatting sqref="C433:D433">
    <cfRule type="expression" dxfId="628" priority="554" stopIfTrue="1">
      <formula>C155&lt;&gt;0</formula>
    </cfRule>
  </conditionalFormatting>
  <conditionalFormatting sqref="F430:G430">
    <cfRule type="expression" dxfId="627" priority="553" stopIfTrue="1">
      <formula>F152&lt;&gt;0</formula>
    </cfRule>
  </conditionalFormatting>
  <conditionalFormatting sqref="F431:G431">
    <cfRule type="expression" dxfId="626" priority="552" stopIfTrue="1">
      <formula>F153&lt;&gt;0</formula>
    </cfRule>
  </conditionalFormatting>
  <conditionalFormatting sqref="F432:G432">
    <cfRule type="expression" dxfId="625" priority="551" stopIfTrue="1">
      <formula>F154&lt;&gt;0</formula>
    </cfRule>
  </conditionalFormatting>
  <conditionalFormatting sqref="F433:G433">
    <cfRule type="expression" dxfId="624" priority="550" stopIfTrue="1">
      <formula>F155&lt;&gt;0</formula>
    </cfRule>
  </conditionalFormatting>
  <conditionalFormatting sqref="I430:J430">
    <cfRule type="expression" dxfId="623" priority="549" stopIfTrue="1">
      <formula>I152&lt;&gt;0</formula>
    </cfRule>
  </conditionalFormatting>
  <conditionalFormatting sqref="I431:J431">
    <cfRule type="expression" dxfId="622" priority="548" stopIfTrue="1">
      <formula>I153&lt;&gt;0</formula>
    </cfRule>
  </conditionalFormatting>
  <conditionalFormatting sqref="I432:J432">
    <cfRule type="expression" dxfId="621" priority="547" stopIfTrue="1">
      <formula>I154&lt;&gt;0</formula>
    </cfRule>
  </conditionalFormatting>
  <conditionalFormatting sqref="I433:J433">
    <cfRule type="expression" dxfId="620" priority="546" stopIfTrue="1">
      <formula>I155&lt;&gt;0</formula>
    </cfRule>
  </conditionalFormatting>
  <conditionalFormatting sqref="L430:M430">
    <cfRule type="expression" dxfId="619" priority="545" stopIfTrue="1">
      <formula>L152&lt;&gt;0</formula>
    </cfRule>
  </conditionalFormatting>
  <conditionalFormatting sqref="L431:M431">
    <cfRule type="expression" dxfId="618" priority="544" stopIfTrue="1">
      <formula>L153&lt;&gt;0</formula>
    </cfRule>
  </conditionalFormatting>
  <conditionalFormatting sqref="L432:M432">
    <cfRule type="expression" dxfId="617" priority="543" stopIfTrue="1">
      <formula>L154&lt;&gt;0</formula>
    </cfRule>
  </conditionalFormatting>
  <conditionalFormatting sqref="L433:M433">
    <cfRule type="expression" dxfId="616" priority="542" stopIfTrue="1">
      <formula>L155&lt;&gt;0</formula>
    </cfRule>
  </conditionalFormatting>
  <conditionalFormatting sqref="O430:P430">
    <cfRule type="expression" dxfId="615" priority="541" stopIfTrue="1">
      <formula>O152&lt;&gt;0</formula>
    </cfRule>
  </conditionalFormatting>
  <conditionalFormatting sqref="O431:P431">
    <cfRule type="expression" dxfId="614" priority="540" stopIfTrue="1">
      <formula>O153&lt;&gt;0</formula>
    </cfRule>
  </conditionalFormatting>
  <conditionalFormatting sqref="O432:P432">
    <cfRule type="expression" dxfId="613" priority="539" stopIfTrue="1">
      <formula>O154&lt;&gt;0</formula>
    </cfRule>
  </conditionalFormatting>
  <conditionalFormatting sqref="O433:P433">
    <cfRule type="expression" dxfId="612" priority="538" stopIfTrue="1">
      <formula>O155&lt;&gt;0</formula>
    </cfRule>
  </conditionalFormatting>
  <conditionalFormatting sqref="R430:S430">
    <cfRule type="expression" dxfId="611" priority="537" stopIfTrue="1">
      <formula>R152&lt;&gt;0</formula>
    </cfRule>
  </conditionalFormatting>
  <conditionalFormatting sqref="R431:S431">
    <cfRule type="expression" dxfId="610" priority="536" stopIfTrue="1">
      <formula>R153&lt;&gt;0</formula>
    </cfRule>
  </conditionalFormatting>
  <conditionalFormatting sqref="R432:S432">
    <cfRule type="expression" dxfId="609" priority="535" stopIfTrue="1">
      <formula>R154&lt;&gt;0</formula>
    </cfRule>
  </conditionalFormatting>
  <conditionalFormatting sqref="R433:S433">
    <cfRule type="expression" dxfId="608" priority="534" stopIfTrue="1">
      <formula>R155&lt;&gt;0</formula>
    </cfRule>
  </conditionalFormatting>
  <conditionalFormatting sqref="C450:D450">
    <cfRule type="expression" dxfId="607" priority="533" stopIfTrue="1">
      <formula>C169&lt;&gt;0</formula>
    </cfRule>
  </conditionalFormatting>
  <conditionalFormatting sqref="C451:D451">
    <cfRule type="expression" dxfId="606" priority="532" stopIfTrue="1">
      <formula>C170&lt;&gt;0</formula>
    </cfRule>
  </conditionalFormatting>
  <conditionalFormatting sqref="C452:D452">
    <cfRule type="expression" dxfId="605" priority="531" stopIfTrue="1">
      <formula>C171&lt;&gt;0</formula>
    </cfRule>
  </conditionalFormatting>
  <conditionalFormatting sqref="C453:D453">
    <cfRule type="expression" dxfId="604" priority="530" stopIfTrue="1">
      <formula>C172&lt;&gt;0</formula>
    </cfRule>
  </conditionalFormatting>
  <conditionalFormatting sqref="F450:G450">
    <cfRule type="expression" dxfId="603" priority="529" stopIfTrue="1">
      <formula>F169&lt;&gt;0</formula>
    </cfRule>
  </conditionalFormatting>
  <conditionalFormatting sqref="F451:G451">
    <cfRule type="expression" dxfId="602" priority="528" stopIfTrue="1">
      <formula>F170&lt;&gt;0</formula>
    </cfRule>
  </conditionalFormatting>
  <conditionalFormatting sqref="F452:G452">
    <cfRule type="expression" dxfId="601" priority="527" stopIfTrue="1">
      <formula>F171&lt;&gt;0</formula>
    </cfRule>
  </conditionalFormatting>
  <conditionalFormatting sqref="F453:G453">
    <cfRule type="expression" dxfId="600" priority="526" stopIfTrue="1">
      <formula>F172&lt;&gt;0</formula>
    </cfRule>
  </conditionalFormatting>
  <conditionalFormatting sqref="I450:J450">
    <cfRule type="expression" dxfId="599" priority="525" stopIfTrue="1">
      <formula>I169&lt;&gt;0</formula>
    </cfRule>
  </conditionalFormatting>
  <conditionalFormatting sqref="I451:J451">
    <cfRule type="expression" dxfId="598" priority="524" stopIfTrue="1">
      <formula>I170&lt;&gt;0</formula>
    </cfRule>
  </conditionalFormatting>
  <conditionalFormatting sqref="I452:J452">
    <cfRule type="expression" dxfId="597" priority="523" stopIfTrue="1">
      <formula>I171&lt;&gt;0</formula>
    </cfRule>
  </conditionalFormatting>
  <conditionalFormatting sqref="I453:J453">
    <cfRule type="expression" dxfId="596" priority="522" stopIfTrue="1">
      <formula>I172&lt;&gt;0</formula>
    </cfRule>
  </conditionalFormatting>
  <conditionalFormatting sqref="L450:M450">
    <cfRule type="expression" dxfId="595" priority="521" stopIfTrue="1">
      <formula>L169&lt;&gt;0</formula>
    </cfRule>
  </conditionalFormatting>
  <conditionalFormatting sqref="L451:M451">
    <cfRule type="expression" dxfId="594" priority="520" stopIfTrue="1">
      <formula>L170&lt;&gt;0</formula>
    </cfRule>
  </conditionalFormatting>
  <conditionalFormatting sqref="L452:M452">
    <cfRule type="expression" dxfId="593" priority="519" stopIfTrue="1">
      <formula>L171&lt;&gt;0</formula>
    </cfRule>
  </conditionalFormatting>
  <conditionalFormatting sqref="L453:M453">
    <cfRule type="expression" dxfId="592" priority="518" stopIfTrue="1">
      <formula>L172&lt;&gt;0</formula>
    </cfRule>
  </conditionalFormatting>
  <conditionalFormatting sqref="O450:P450">
    <cfRule type="expression" dxfId="591" priority="517" stopIfTrue="1">
      <formula>O169&lt;&gt;0</formula>
    </cfRule>
  </conditionalFormatting>
  <conditionalFormatting sqref="O451:P451">
    <cfRule type="expression" dxfId="590" priority="516" stopIfTrue="1">
      <formula>O170&lt;&gt;0</formula>
    </cfRule>
  </conditionalFormatting>
  <conditionalFormatting sqref="O452:P452">
    <cfRule type="expression" dxfId="589" priority="515" stopIfTrue="1">
      <formula>O171&lt;&gt;0</formula>
    </cfRule>
  </conditionalFormatting>
  <conditionalFormatting sqref="O453:P453">
    <cfRule type="expression" dxfId="588" priority="514" stopIfTrue="1">
      <formula>O172&lt;&gt;0</formula>
    </cfRule>
  </conditionalFormatting>
  <conditionalFormatting sqref="R450:S450">
    <cfRule type="expression" dxfId="587" priority="513" stopIfTrue="1">
      <formula>R169&lt;&gt;0</formula>
    </cfRule>
  </conditionalFormatting>
  <conditionalFormatting sqref="R451:S451">
    <cfRule type="expression" dxfId="586" priority="512" stopIfTrue="1">
      <formula>R170&lt;&gt;0</formula>
    </cfRule>
  </conditionalFormatting>
  <conditionalFormatting sqref="R452:S452">
    <cfRule type="expression" dxfId="585" priority="511" stopIfTrue="1">
      <formula>R171&lt;&gt;0</formula>
    </cfRule>
  </conditionalFormatting>
  <conditionalFormatting sqref="R453:S453">
    <cfRule type="expression" dxfId="584" priority="510" stopIfTrue="1">
      <formula>R172&lt;&gt;0</formula>
    </cfRule>
  </conditionalFormatting>
  <conditionalFormatting sqref="C470:D470">
    <cfRule type="expression" dxfId="583" priority="509" stopIfTrue="1">
      <formula>C186&lt;&gt;0</formula>
    </cfRule>
  </conditionalFormatting>
  <conditionalFormatting sqref="C471:D471">
    <cfRule type="expression" dxfId="582" priority="508" stopIfTrue="1">
      <formula>C187&lt;&gt;0</formula>
    </cfRule>
  </conditionalFormatting>
  <conditionalFormatting sqref="C472:D472">
    <cfRule type="expression" dxfId="581" priority="507" stopIfTrue="1">
      <formula>C188&lt;&gt;0</formula>
    </cfRule>
  </conditionalFormatting>
  <conditionalFormatting sqref="C473:D473">
    <cfRule type="expression" dxfId="580" priority="506" stopIfTrue="1">
      <formula>C189&lt;&gt;0</formula>
    </cfRule>
  </conditionalFormatting>
  <conditionalFormatting sqref="F470:G470">
    <cfRule type="expression" dxfId="579" priority="505" stopIfTrue="1">
      <formula>F186&lt;&gt;0</formula>
    </cfRule>
  </conditionalFormatting>
  <conditionalFormatting sqref="F471:G471">
    <cfRule type="expression" dxfId="578" priority="504" stopIfTrue="1">
      <formula>F187&lt;&gt;0</formula>
    </cfRule>
  </conditionalFormatting>
  <conditionalFormatting sqref="F472:G472">
    <cfRule type="expression" dxfId="577" priority="503" stopIfTrue="1">
      <formula>F188&lt;&gt;0</formula>
    </cfRule>
  </conditionalFormatting>
  <conditionalFormatting sqref="F473:G473">
    <cfRule type="expression" dxfId="576" priority="502" stopIfTrue="1">
      <formula>F189&lt;&gt;0</formula>
    </cfRule>
  </conditionalFormatting>
  <conditionalFormatting sqref="I470:J470">
    <cfRule type="expression" dxfId="575" priority="501" stopIfTrue="1">
      <formula>I186&lt;&gt;0</formula>
    </cfRule>
  </conditionalFormatting>
  <conditionalFormatting sqref="I471:J471">
    <cfRule type="expression" dxfId="574" priority="500" stopIfTrue="1">
      <formula>I187&lt;&gt;0</formula>
    </cfRule>
  </conditionalFormatting>
  <conditionalFormatting sqref="I472:J472">
    <cfRule type="expression" dxfId="573" priority="499" stopIfTrue="1">
      <formula>I188&lt;&gt;0</formula>
    </cfRule>
  </conditionalFormatting>
  <conditionalFormatting sqref="I473:J473">
    <cfRule type="expression" dxfId="572" priority="498" stopIfTrue="1">
      <formula>I189&lt;&gt;0</formula>
    </cfRule>
  </conditionalFormatting>
  <conditionalFormatting sqref="L470:M470">
    <cfRule type="expression" dxfId="571" priority="497" stopIfTrue="1">
      <formula>L186&lt;&gt;0</formula>
    </cfRule>
  </conditionalFormatting>
  <conditionalFormatting sqref="L471:M471">
    <cfRule type="expression" dxfId="570" priority="496" stopIfTrue="1">
      <formula>L187&lt;&gt;0</formula>
    </cfRule>
  </conditionalFormatting>
  <conditionalFormatting sqref="L472:M472">
    <cfRule type="expression" dxfId="569" priority="495" stopIfTrue="1">
      <formula>L188&lt;&gt;0</formula>
    </cfRule>
  </conditionalFormatting>
  <conditionalFormatting sqref="L473:M473">
    <cfRule type="expression" dxfId="568" priority="494" stopIfTrue="1">
      <formula>L189&lt;&gt;0</formula>
    </cfRule>
  </conditionalFormatting>
  <conditionalFormatting sqref="O470:P470">
    <cfRule type="expression" dxfId="567" priority="493" stopIfTrue="1">
      <formula>O186&lt;&gt;0</formula>
    </cfRule>
  </conditionalFormatting>
  <conditionalFormatting sqref="O471:P471">
    <cfRule type="expression" dxfId="566" priority="492" stopIfTrue="1">
      <formula>O187&lt;&gt;0</formula>
    </cfRule>
  </conditionalFormatting>
  <conditionalFormatting sqref="O472:P472">
    <cfRule type="expression" dxfId="565" priority="491" stopIfTrue="1">
      <formula>O188&lt;&gt;0</formula>
    </cfRule>
  </conditionalFormatting>
  <conditionalFormatting sqref="O473:P473">
    <cfRule type="expression" dxfId="564" priority="490" stopIfTrue="1">
      <formula>O189&lt;&gt;0</formula>
    </cfRule>
  </conditionalFormatting>
  <conditionalFormatting sqref="R470:S470">
    <cfRule type="expression" dxfId="563" priority="489" stopIfTrue="1">
      <formula>R186&lt;&gt;0</formula>
    </cfRule>
  </conditionalFormatting>
  <conditionalFormatting sqref="R471:S471">
    <cfRule type="expression" dxfId="562" priority="488" stopIfTrue="1">
      <formula>R187&lt;&gt;0</formula>
    </cfRule>
  </conditionalFormatting>
  <conditionalFormatting sqref="R472:S472">
    <cfRule type="expression" dxfId="561" priority="487" stopIfTrue="1">
      <formula>R188&lt;&gt;0</formula>
    </cfRule>
  </conditionalFormatting>
  <conditionalFormatting sqref="R473:S473">
    <cfRule type="expression" dxfId="560" priority="486" stopIfTrue="1">
      <formula>R189&lt;&gt;0</formula>
    </cfRule>
  </conditionalFormatting>
  <conditionalFormatting sqref="C490:D490">
    <cfRule type="expression" dxfId="559" priority="480" stopIfTrue="1">
      <formula>C203&lt;&gt;0</formula>
    </cfRule>
  </conditionalFormatting>
  <conditionalFormatting sqref="C491:D491">
    <cfRule type="expression" dxfId="558" priority="479" stopIfTrue="1">
      <formula>C204&lt;&gt;0</formula>
    </cfRule>
  </conditionalFormatting>
  <conditionalFormatting sqref="C492:D492">
    <cfRule type="expression" dxfId="557" priority="478" stopIfTrue="1">
      <formula>C205&lt;&gt;0</formula>
    </cfRule>
  </conditionalFormatting>
  <conditionalFormatting sqref="C493:D493">
    <cfRule type="expression" dxfId="556" priority="477" stopIfTrue="1">
      <formula>C206&lt;&gt;0</formula>
    </cfRule>
  </conditionalFormatting>
  <conditionalFormatting sqref="F490:G490">
    <cfRule type="expression" dxfId="555" priority="476" stopIfTrue="1">
      <formula>F203&lt;&gt;0</formula>
    </cfRule>
  </conditionalFormatting>
  <conditionalFormatting sqref="F491:G491">
    <cfRule type="expression" dxfId="554" priority="475" stopIfTrue="1">
      <formula>F204&lt;&gt;0</formula>
    </cfRule>
  </conditionalFormatting>
  <conditionalFormatting sqref="F492:G492">
    <cfRule type="expression" dxfId="553" priority="474" stopIfTrue="1">
      <formula>F205&lt;&gt;0</formula>
    </cfRule>
  </conditionalFormatting>
  <conditionalFormatting sqref="F493:G493">
    <cfRule type="expression" dxfId="552" priority="473" stopIfTrue="1">
      <formula>F206&lt;&gt;0</formula>
    </cfRule>
  </conditionalFormatting>
  <conditionalFormatting sqref="I490:J490">
    <cfRule type="expression" dxfId="551" priority="472" stopIfTrue="1">
      <formula>I203&lt;&gt;0</formula>
    </cfRule>
  </conditionalFormatting>
  <conditionalFormatting sqref="I491:J491">
    <cfRule type="expression" dxfId="550" priority="471" stopIfTrue="1">
      <formula>I204&lt;&gt;0</formula>
    </cfRule>
  </conditionalFormatting>
  <conditionalFormatting sqref="I492:J492">
    <cfRule type="expression" dxfId="549" priority="470" stopIfTrue="1">
      <formula>I205&lt;&gt;0</formula>
    </cfRule>
  </conditionalFormatting>
  <conditionalFormatting sqref="I493:J493">
    <cfRule type="expression" dxfId="548" priority="469" stopIfTrue="1">
      <formula>I206&lt;&gt;0</formula>
    </cfRule>
  </conditionalFormatting>
  <conditionalFormatting sqref="L490:M490">
    <cfRule type="expression" dxfId="547" priority="468" stopIfTrue="1">
      <formula>L203&lt;&gt;0</formula>
    </cfRule>
  </conditionalFormatting>
  <conditionalFormatting sqref="L491:M491">
    <cfRule type="expression" dxfId="546" priority="467" stopIfTrue="1">
      <formula>L204&lt;&gt;0</formula>
    </cfRule>
  </conditionalFormatting>
  <conditionalFormatting sqref="L492:M492">
    <cfRule type="expression" dxfId="545" priority="466" stopIfTrue="1">
      <formula>L205&lt;&gt;0</formula>
    </cfRule>
  </conditionalFormatting>
  <conditionalFormatting sqref="L493:M493">
    <cfRule type="expression" dxfId="544" priority="465" stopIfTrue="1">
      <formula>L206&lt;&gt;0</formula>
    </cfRule>
  </conditionalFormatting>
  <conditionalFormatting sqref="O490:P490">
    <cfRule type="expression" dxfId="543" priority="464" stopIfTrue="1">
      <formula>O203&lt;&gt;0</formula>
    </cfRule>
  </conditionalFormatting>
  <conditionalFormatting sqref="O491:P491">
    <cfRule type="expression" dxfId="542" priority="463" stopIfTrue="1">
      <formula>O204&lt;&gt;0</formula>
    </cfRule>
  </conditionalFormatting>
  <conditionalFormatting sqref="O492:P492">
    <cfRule type="expression" dxfId="541" priority="462" stopIfTrue="1">
      <formula>O205&lt;&gt;0</formula>
    </cfRule>
  </conditionalFormatting>
  <conditionalFormatting sqref="O493:P493">
    <cfRule type="expression" dxfId="540" priority="461" stopIfTrue="1">
      <formula>O206&lt;&gt;0</formula>
    </cfRule>
  </conditionalFormatting>
  <conditionalFormatting sqref="R490:S490">
    <cfRule type="expression" dxfId="539" priority="460" stopIfTrue="1">
      <formula>R203&lt;&gt;0</formula>
    </cfRule>
  </conditionalFormatting>
  <conditionalFormatting sqref="R491:S491">
    <cfRule type="expression" dxfId="538" priority="459" stopIfTrue="1">
      <formula>R204&lt;&gt;0</formula>
    </cfRule>
  </conditionalFormatting>
  <conditionalFormatting sqref="R492:S492">
    <cfRule type="expression" dxfId="537" priority="458" stopIfTrue="1">
      <formula>R205&lt;&gt;0</formula>
    </cfRule>
  </conditionalFormatting>
  <conditionalFormatting sqref="R493:S493">
    <cfRule type="expression" dxfId="536" priority="457" stopIfTrue="1">
      <formula>R206&lt;&gt;0</formula>
    </cfRule>
  </conditionalFormatting>
  <conditionalFormatting sqref="C510:D510">
    <cfRule type="expression" dxfId="535" priority="456" stopIfTrue="1">
      <formula>C220&lt;&gt;0</formula>
    </cfRule>
  </conditionalFormatting>
  <conditionalFormatting sqref="C511:D511">
    <cfRule type="expression" dxfId="534" priority="455" stopIfTrue="1">
      <formula>C221&lt;&gt;0</formula>
    </cfRule>
  </conditionalFormatting>
  <conditionalFormatting sqref="C512:D512">
    <cfRule type="expression" dxfId="533" priority="454" stopIfTrue="1">
      <formula>C222&lt;&gt;0</formula>
    </cfRule>
  </conditionalFormatting>
  <conditionalFormatting sqref="C513:D513">
    <cfRule type="expression" dxfId="532" priority="453" stopIfTrue="1">
      <formula>C223&lt;&gt;0</formula>
    </cfRule>
  </conditionalFormatting>
  <conditionalFormatting sqref="F510:G510">
    <cfRule type="expression" dxfId="531" priority="452" stopIfTrue="1">
      <formula>F220&lt;&gt;0</formula>
    </cfRule>
  </conditionalFormatting>
  <conditionalFormatting sqref="F511:G511">
    <cfRule type="expression" dxfId="530" priority="451" stopIfTrue="1">
      <formula>F221&lt;&gt;0</formula>
    </cfRule>
  </conditionalFormatting>
  <conditionalFormatting sqref="F512:G512">
    <cfRule type="expression" dxfId="529" priority="450" stopIfTrue="1">
      <formula>F222&lt;&gt;0</formula>
    </cfRule>
  </conditionalFormatting>
  <conditionalFormatting sqref="F513:G513">
    <cfRule type="expression" dxfId="528" priority="449" stopIfTrue="1">
      <formula>F223&lt;&gt;0</formula>
    </cfRule>
  </conditionalFormatting>
  <conditionalFormatting sqref="I510:J510">
    <cfRule type="expression" dxfId="527" priority="448" stopIfTrue="1">
      <formula>I220&lt;&gt;0</formula>
    </cfRule>
  </conditionalFormatting>
  <conditionalFormatting sqref="I511:J511">
    <cfRule type="expression" dxfId="526" priority="447" stopIfTrue="1">
      <formula>I221&lt;&gt;0</formula>
    </cfRule>
  </conditionalFormatting>
  <conditionalFormatting sqref="I512:J512">
    <cfRule type="expression" dxfId="525" priority="446" stopIfTrue="1">
      <formula>I222&lt;&gt;0</formula>
    </cfRule>
  </conditionalFormatting>
  <conditionalFormatting sqref="I513:J513">
    <cfRule type="expression" dxfId="524" priority="445" stopIfTrue="1">
      <formula>I223&lt;&gt;0</formula>
    </cfRule>
  </conditionalFormatting>
  <conditionalFormatting sqref="L510:M510">
    <cfRule type="expression" dxfId="523" priority="444" stopIfTrue="1">
      <formula>L220&lt;&gt;0</formula>
    </cfRule>
  </conditionalFormatting>
  <conditionalFormatting sqref="L511:M511">
    <cfRule type="expression" dxfId="522" priority="443" stopIfTrue="1">
      <formula>L221&lt;&gt;0</formula>
    </cfRule>
  </conditionalFormatting>
  <conditionalFormatting sqref="L512:M512">
    <cfRule type="expression" dxfId="521" priority="442" stopIfTrue="1">
      <formula>L222&lt;&gt;0</formula>
    </cfRule>
  </conditionalFormatting>
  <conditionalFormatting sqref="L513:M513">
    <cfRule type="expression" dxfId="520" priority="441" stopIfTrue="1">
      <formula>L223&lt;&gt;0</formula>
    </cfRule>
  </conditionalFormatting>
  <conditionalFormatting sqref="O510:P510">
    <cfRule type="expression" dxfId="519" priority="440" stopIfTrue="1">
      <formula>O220&lt;&gt;0</formula>
    </cfRule>
  </conditionalFormatting>
  <conditionalFormatting sqref="O511:P511">
    <cfRule type="expression" dxfId="518" priority="439" stopIfTrue="1">
      <formula>O221&lt;&gt;0</formula>
    </cfRule>
  </conditionalFormatting>
  <conditionalFormatting sqref="O512:P512">
    <cfRule type="expression" dxfId="517" priority="438" stopIfTrue="1">
      <formula>O222&lt;&gt;0</formula>
    </cfRule>
  </conditionalFormatting>
  <conditionalFormatting sqref="O513:P513">
    <cfRule type="expression" dxfId="516" priority="437" stopIfTrue="1">
      <formula>O223&lt;&gt;0</formula>
    </cfRule>
  </conditionalFormatting>
  <conditionalFormatting sqref="R510:S510">
    <cfRule type="expression" dxfId="515" priority="436" stopIfTrue="1">
      <formula>R220&lt;&gt;0</formula>
    </cfRule>
  </conditionalFormatting>
  <conditionalFormatting sqref="R511:S511">
    <cfRule type="expression" dxfId="514" priority="435" stopIfTrue="1">
      <formula>R221&lt;&gt;0</formula>
    </cfRule>
  </conditionalFormatting>
  <conditionalFormatting sqref="R512:S512">
    <cfRule type="expression" dxfId="513" priority="434" stopIfTrue="1">
      <formula>R222&lt;&gt;0</formula>
    </cfRule>
  </conditionalFormatting>
  <conditionalFormatting sqref="R513:S513">
    <cfRule type="expression" dxfId="512" priority="433" stopIfTrue="1">
      <formula>R223&lt;&gt;0</formula>
    </cfRule>
  </conditionalFormatting>
  <conditionalFormatting sqref="C530:D530">
    <cfRule type="expression" dxfId="511" priority="432" stopIfTrue="1">
      <formula>C237&lt;&gt;0</formula>
    </cfRule>
  </conditionalFormatting>
  <conditionalFormatting sqref="C531:D531">
    <cfRule type="expression" dxfId="510" priority="431" stopIfTrue="1">
      <formula>C238&lt;&gt;0</formula>
    </cfRule>
  </conditionalFormatting>
  <conditionalFormatting sqref="C532:D532">
    <cfRule type="expression" dxfId="509" priority="430" stopIfTrue="1">
      <formula>C239&lt;&gt;0</formula>
    </cfRule>
  </conditionalFormatting>
  <conditionalFormatting sqref="C533:D533">
    <cfRule type="expression" dxfId="508" priority="429" stopIfTrue="1">
      <formula>C240&lt;&gt;0</formula>
    </cfRule>
  </conditionalFormatting>
  <conditionalFormatting sqref="F530:G530">
    <cfRule type="expression" dxfId="507" priority="428" stopIfTrue="1">
      <formula>F237&lt;&gt;0</formula>
    </cfRule>
  </conditionalFormatting>
  <conditionalFormatting sqref="F531:G531">
    <cfRule type="expression" dxfId="506" priority="427" stopIfTrue="1">
      <formula>F238&lt;&gt;0</formula>
    </cfRule>
  </conditionalFormatting>
  <conditionalFormatting sqref="F532:G532">
    <cfRule type="expression" dxfId="505" priority="426" stopIfTrue="1">
      <formula>F239&lt;&gt;0</formula>
    </cfRule>
  </conditionalFormatting>
  <conditionalFormatting sqref="F533:G533">
    <cfRule type="expression" dxfId="504" priority="425" stopIfTrue="1">
      <formula>F240&lt;&gt;0</formula>
    </cfRule>
  </conditionalFormatting>
  <conditionalFormatting sqref="I530:J530">
    <cfRule type="expression" dxfId="503" priority="424" stopIfTrue="1">
      <formula>I237&lt;&gt;0</formula>
    </cfRule>
  </conditionalFormatting>
  <conditionalFormatting sqref="I531:J531">
    <cfRule type="expression" dxfId="502" priority="423" stopIfTrue="1">
      <formula>I238&lt;&gt;0</formula>
    </cfRule>
  </conditionalFormatting>
  <conditionalFormatting sqref="I532:J532">
    <cfRule type="expression" dxfId="501" priority="422" stopIfTrue="1">
      <formula>I239&lt;&gt;0</formula>
    </cfRule>
  </conditionalFormatting>
  <conditionalFormatting sqref="I533:J533">
    <cfRule type="expression" dxfId="500" priority="421" stopIfTrue="1">
      <formula>I240&lt;&gt;0</formula>
    </cfRule>
  </conditionalFormatting>
  <conditionalFormatting sqref="L530:M530">
    <cfRule type="expression" dxfId="499" priority="420" stopIfTrue="1">
      <formula>L237&lt;&gt;0</formula>
    </cfRule>
  </conditionalFormatting>
  <conditionalFormatting sqref="L531:M531">
    <cfRule type="expression" dxfId="498" priority="419" stopIfTrue="1">
      <formula>L238&lt;&gt;0</formula>
    </cfRule>
  </conditionalFormatting>
  <conditionalFormatting sqref="L532:M532">
    <cfRule type="expression" dxfId="497" priority="418" stopIfTrue="1">
      <formula>L239&lt;&gt;0</formula>
    </cfRule>
  </conditionalFormatting>
  <conditionalFormatting sqref="L533:M533">
    <cfRule type="expression" dxfId="496" priority="417" stopIfTrue="1">
      <formula>L240&lt;&gt;0</formula>
    </cfRule>
  </conditionalFormatting>
  <conditionalFormatting sqref="O530:P530">
    <cfRule type="expression" dxfId="495" priority="416" stopIfTrue="1">
      <formula>O237&lt;&gt;0</formula>
    </cfRule>
  </conditionalFormatting>
  <conditionalFormatting sqref="O531:P531">
    <cfRule type="expression" dxfId="494" priority="415" stopIfTrue="1">
      <formula>O238&lt;&gt;0</formula>
    </cfRule>
  </conditionalFormatting>
  <conditionalFormatting sqref="O532:P532">
    <cfRule type="expression" dxfId="493" priority="414" stopIfTrue="1">
      <formula>O239&lt;&gt;0</formula>
    </cfRule>
  </conditionalFormatting>
  <conditionalFormatting sqref="O533:P533">
    <cfRule type="expression" dxfId="492" priority="413" stopIfTrue="1">
      <formula>O240&lt;&gt;0</formula>
    </cfRule>
  </conditionalFormatting>
  <conditionalFormatting sqref="R530:S530">
    <cfRule type="expression" dxfId="491" priority="412" stopIfTrue="1">
      <formula>R237&lt;&gt;0</formula>
    </cfRule>
  </conditionalFormatting>
  <conditionalFormatting sqref="R531:S531">
    <cfRule type="expression" dxfId="490" priority="411" stopIfTrue="1">
      <formula>R238&lt;&gt;0</formula>
    </cfRule>
  </conditionalFormatting>
  <conditionalFormatting sqref="R532:S532">
    <cfRule type="expression" dxfId="489" priority="410" stopIfTrue="1">
      <formula>R239&lt;&gt;0</formula>
    </cfRule>
  </conditionalFormatting>
  <conditionalFormatting sqref="R533:S533">
    <cfRule type="expression" dxfId="488" priority="409" stopIfTrue="1">
      <formula>R240&lt;&gt;0</formula>
    </cfRule>
  </conditionalFormatting>
  <conditionalFormatting sqref="C550:D550">
    <cfRule type="expression" dxfId="487" priority="408" stopIfTrue="1">
      <formula>C254&lt;&gt;0</formula>
    </cfRule>
  </conditionalFormatting>
  <conditionalFormatting sqref="C551:D551">
    <cfRule type="expression" dxfId="486" priority="407" stopIfTrue="1">
      <formula>C255&lt;&gt;0</formula>
    </cfRule>
  </conditionalFormatting>
  <conditionalFormatting sqref="C552:D552">
    <cfRule type="expression" dxfId="485" priority="406" stopIfTrue="1">
      <formula>C256&lt;&gt;0</formula>
    </cfRule>
  </conditionalFormatting>
  <conditionalFormatting sqref="C553:D553">
    <cfRule type="expression" dxfId="484" priority="405" stopIfTrue="1">
      <formula>C257&lt;&gt;0</formula>
    </cfRule>
  </conditionalFormatting>
  <conditionalFormatting sqref="F550:G550">
    <cfRule type="expression" dxfId="483" priority="404" stopIfTrue="1">
      <formula>F254&lt;&gt;0</formula>
    </cfRule>
  </conditionalFormatting>
  <conditionalFormatting sqref="F551:G551">
    <cfRule type="expression" dxfId="482" priority="403" stopIfTrue="1">
      <formula>F255&lt;&gt;0</formula>
    </cfRule>
  </conditionalFormatting>
  <conditionalFormatting sqref="F552:G552">
    <cfRule type="expression" dxfId="481" priority="402" stopIfTrue="1">
      <formula>F256&lt;&gt;0</formula>
    </cfRule>
  </conditionalFormatting>
  <conditionalFormatting sqref="F553:G553">
    <cfRule type="expression" dxfId="480" priority="401" stopIfTrue="1">
      <formula>F257&lt;&gt;0</formula>
    </cfRule>
  </conditionalFormatting>
  <conditionalFormatting sqref="I550:J550">
    <cfRule type="expression" dxfId="479" priority="400" stopIfTrue="1">
      <formula>I254&lt;&gt;0</formula>
    </cfRule>
  </conditionalFormatting>
  <conditionalFormatting sqref="I551:J551">
    <cfRule type="expression" dxfId="478" priority="399" stopIfTrue="1">
      <formula>I255&lt;&gt;0</formula>
    </cfRule>
  </conditionalFormatting>
  <conditionalFormatting sqref="I552:J552">
    <cfRule type="expression" dxfId="477" priority="398" stopIfTrue="1">
      <formula>I256&lt;&gt;0</formula>
    </cfRule>
  </conditionalFormatting>
  <conditionalFormatting sqref="I553:J553">
    <cfRule type="expression" dxfId="476" priority="397" stopIfTrue="1">
      <formula>I257&lt;&gt;0</formula>
    </cfRule>
  </conditionalFormatting>
  <conditionalFormatting sqref="L550:M550">
    <cfRule type="expression" dxfId="475" priority="396" stopIfTrue="1">
      <formula>L254&lt;&gt;0</formula>
    </cfRule>
  </conditionalFormatting>
  <conditionalFormatting sqref="L551:M551">
    <cfRule type="expression" dxfId="474" priority="395" stopIfTrue="1">
      <formula>L255&lt;&gt;0</formula>
    </cfRule>
  </conditionalFormatting>
  <conditionalFormatting sqref="L552:M552">
    <cfRule type="expression" dxfId="473" priority="394" stopIfTrue="1">
      <formula>L256&lt;&gt;0</formula>
    </cfRule>
  </conditionalFormatting>
  <conditionalFormatting sqref="L553:M553">
    <cfRule type="expression" dxfId="472" priority="393" stopIfTrue="1">
      <formula>L257&lt;&gt;0</formula>
    </cfRule>
  </conditionalFormatting>
  <conditionalFormatting sqref="O550:P550">
    <cfRule type="expression" dxfId="471" priority="392" stopIfTrue="1">
      <formula>O254&lt;&gt;0</formula>
    </cfRule>
  </conditionalFormatting>
  <conditionalFormatting sqref="O551:P551">
    <cfRule type="expression" dxfId="470" priority="391" stopIfTrue="1">
      <formula>O255&lt;&gt;0</formula>
    </cfRule>
  </conditionalFormatting>
  <conditionalFormatting sqref="O552:P552">
    <cfRule type="expression" dxfId="469" priority="390" stopIfTrue="1">
      <formula>O256&lt;&gt;0</formula>
    </cfRule>
  </conditionalFormatting>
  <conditionalFormatting sqref="O553:P553">
    <cfRule type="expression" dxfId="468" priority="389" stopIfTrue="1">
      <formula>O257&lt;&gt;0</formula>
    </cfRule>
  </conditionalFormatting>
  <conditionalFormatting sqref="R550:S550">
    <cfRule type="expression" dxfId="467" priority="388" stopIfTrue="1">
      <formula>R254&lt;&gt;0</formula>
    </cfRule>
  </conditionalFormatting>
  <conditionalFormatting sqref="R551:S551">
    <cfRule type="expression" dxfId="466" priority="387" stopIfTrue="1">
      <formula>R255&lt;&gt;0</formula>
    </cfRule>
  </conditionalFormatting>
  <conditionalFormatting sqref="R552:S552">
    <cfRule type="expression" dxfId="465" priority="386" stopIfTrue="1">
      <formula>R256&lt;&gt;0</formula>
    </cfRule>
  </conditionalFormatting>
  <conditionalFormatting sqref="R553:S553">
    <cfRule type="expression" dxfId="464" priority="385" stopIfTrue="1">
      <formula>R257&lt;&gt;0</formula>
    </cfRule>
  </conditionalFormatting>
  <conditionalFormatting sqref="C570:D570">
    <cfRule type="expression" dxfId="463" priority="384" stopIfTrue="1">
      <formula>C271&lt;&gt;0</formula>
    </cfRule>
  </conditionalFormatting>
  <conditionalFormatting sqref="C571:D571">
    <cfRule type="expression" dxfId="462" priority="383" stopIfTrue="1">
      <formula>C272&lt;&gt;0</formula>
    </cfRule>
  </conditionalFormatting>
  <conditionalFormatting sqref="C572:D572">
    <cfRule type="expression" dxfId="461" priority="382" stopIfTrue="1">
      <formula>C273&lt;&gt;0</formula>
    </cfRule>
  </conditionalFormatting>
  <conditionalFormatting sqref="C573:D573">
    <cfRule type="expression" dxfId="460" priority="381" stopIfTrue="1">
      <formula>C274&lt;&gt;0</formula>
    </cfRule>
  </conditionalFormatting>
  <conditionalFormatting sqref="F570:G570">
    <cfRule type="expression" dxfId="459" priority="380" stopIfTrue="1">
      <formula>F271&lt;&gt;0</formula>
    </cfRule>
  </conditionalFormatting>
  <conditionalFormatting sqref="F571:G571">
    <cfRule type="expression" dxfId="458" priority="379" stopIfTrue="1">
      <formula>F272&lt;&gt;0</formula>
    </cfRule>
  </conditionalFormatting>
  <conditionalFormatting sqref="F572:G572">
    <cfRule type="expression" dxfId="457" priority="378" stopIfTrue="1">
      <formula>F273&lt;&gt;0</formula>
    </cfRule>
  </conditionalFormatting>
  <conditionalFormatting sqref="F573:G573">
    <cfRule type="expression" dxfId="456" priority="377" stopIfTrue="1">
      <formula>F274&lt;&gt;0</formula>
    </cfRule>
  </conditionalFormatting>
  <conditionalFormatting sqref="I570:J570">
    <cfRule type="expression" dxfId="455" priority="376" stopIfTrue="1">
      <formula>I271&lt;&gt;0</formula>
    </cfRule>
  </conditionalFormatting>
  <conditionalFormatting sqref="I571:J571">
    <cfRule type="expression" dxfId="454" priority="375" stopIfTrue="1">
      <formula>I272&lt;&gt;0</formula>
    </cfRule>
  </conditionalFormatting>
  <conditionalFormatting sqref="I572:J572">
    <cfRule type="expression" dxfId="453" priority="374" stopIfTrue="1">
      <formula>I273&lt;&gt;0</formula>
    </cfRule>
  </conditionalFormatting>
  <conditionalFormatting sqref="I573:J573">
    <cfRule type="expression" dxfId="452" priority="373" stopIfTrue="1">
      <formula>I274&lt;&gt;0</formula>
    </cfRule>
  </conditionalFormatting>
  <conditionalFormatting sqref="L570:M570">
    <cfRule type="expression" dxfId="451" priority="372" stopIfTrue="1">
      <formula>L271&lt;&gt;0</formula>
    </cfRule>
  </conditionalFormatting>
  <conditionalFormatting sqref="L571:M571">
    <cfRule type="expression" dxfId="450" priority="371" stopIfTrue="1">
      <formula>L272&lt;&gt;0</formula>
    </cfRule>
  </conditionalFormatting>
  <conditionalFormatting sqref="L572:M572">
    <cfRule type="expression" dxfId="449" priority="370" stopIfTrue="1">
      <formula>L273&lt;&gt;0</formula>
    </cfRule>
  </conditionalFormatting>
  <conditionalFormatting sqref="L573:M573">
    <cfRule type="expression" dxfId="448" priority="369" stopIfTrue="1">
      <formula>L274&lt;&gt;0</formula>
    </cfRule>
  </conditionalFormatting>
  <conditionalFormatting sqref="O570:P570">
    <cfRule type="expression" dxfId="447" priority="368" stopIfTrue="1">
      <formula>O271&lt;&gt;0</formula>
    </cfRule>
  </conditionalFormatting>
  <conditionalFormatting sqref="O571:P571">
    <cfRule type="expression" dxfId="446" priority="367" stopIfTrue="1">
      <formula>O272&lt;&gt;0</formula>
    </cfRule>
  </conditionalFormatting>
  <conditionalFormatting sqref="O572:P572">
    <cfRule type="expression" dxfId="445" priority="366" stopIfTrue="1">
      <formula>O273&lt;&gt;0</formula>
    </cfRule>
  </conditionalFormatting>
  <conditionalFormatting sqref="O573:P573">
    <cfRule type="expression" dxfId="444" priority="365" stopIfTrue="1">
      <formula>O274&lt;&gt;0</formula>
    </cfRule>
  </conditionalFormatting>
  <conditionalFormatting sqref="R570:S570">
    <cfRule type="expression" dxfId="443" priority="364" stopIfTrue="1">
      <formula>R271&lt;&gt;0</formula>
    </cfRule>
  </conditionalFormatting>
  <conditionalFormatting sqref="R571:S571">
    <cfRule type="expression" dxfId="442" priority="363" stopIfTrue="1">
      <formula>R272&lt;&gt;0</formula>
    </cfRule>
  </conditionalFormatting>
  <conditionalFormatting sqref="R572:S572">
    <cfRule type="expression" dxfId="441" priority="362" stopIfTrue="1">
      <formula>R273&lt;&gt;0</formula>
    </cfRule>
  </conditionalFormatting>
  <conditionalFormatting sqref="R573:S573">
    <cfRule type="expression" dxfId="440" priority="361" stopIfTrue="1">
      <formula>R274&lt;&gt;0</formula>
    </cfRule>
  </conditionalFormatting>
  <conditionalFormatting sqref="C290:D290">
    <cfRule type="expression" dxfId="439" priority="360" stopIfTrue="1">
      <formula>C33&lt;&gt;0</formula>
    </cfRule>
  </conditionalFormatting>
  <conditionalFormatting sqref="C291:D291">
    <cfRule type="expression" dxfId="438" priority="359" stopIfTrue="1">
      <formula>C34&lt;&gt;0</formula>
    </cfRule>
  </conditionalFormatting>
  <conditionalFormatting sqref="C292:D292">
    <cfRule type="expression" dxfId="437" priority="358" stopIfTrue="1">
      <formula>C35&lt;&gt;0</formula>
    </cfRule>
  </conditionalFormatting>
  <conditionalFormatting sqref="C293:D293">
    <cfRule type="expression" dxfId="436" priority="357" stopIfTrue="1">
      <formula>C36&lt;&gt;0</formula>
    </cfRule>
  </conditionalFormatting>
  <conditionalFormatting sqref="F290:G290">
    <cfRule type="expression" dxfId="435" priority="356" stopIfTrue="1">
      <formula>F33&lt;&gt;0</formula>
    </cfRule>
  </conditionalFormatting>
  <conditionalFormatting sqref="F291:G291">
    <cfRule type="expression" dxfId="434" priority="355" stopIfTrue="1">
      <formula>F34&lt;&gt;0</formula>
    </cfRule>
  </conditionalFormatting>
  <conditionalFormatting sqref="F292:G292">
    <cfRule type="expression" dxfId="433" priority="354" stopIfTrue="1">
      <formula>F35&lt;&gt;0</formula>
    </cfRule>
  </conditionalFormatting>
  <conditionalFormatting sqref="F293:G293">
    <cfRule type="expression" dxfId="432" priority="353" stopIfTrue="1">
      <formula>F36&lt;&gt;0</formula>
    </cfRule>
  </conditionalFormatting>
  <conditionalFormatting sqref="I290:J290">
    <cfRule type="expression" dxfId="431" priority="352" stopIfTrue="1">
      <formula>I33&lt;&gt;0</formula>
    </cfRule>
  </conditionalFormatting>
  <conditionalFormatting sqref="I291:J291">
    <cfRule type="expression" dxfId="430" priority="351" stopIfTrue="1">
      <formula>I34&lt;&gt;0</formula>
    </cfRule>
  </conditionalFormatting>
  <conditionalFormatting sqref="I292:J292">
    <cfRule type="expression" dxfId="429" priority="350" stopIfTrue="1">
      <formula>I35&lt;&gt;0</formula>
    </cfRule>
  </conditionalFormatting>
  <conditionalFormatting sqref="I293:J293">
    <cfRule type="expression" dxfId="428" priority="349" stopIfTrue="1">
      <formula>I36&lt;&gt;0</formula>
    </cfRule>
  </conditionalFormatting>
  <conditionalFormatting sqref="L290:M290">
    <cfRule type="expression" dxfId="427" priority="348" stopIfTrue="1">
      <formula>L33&lt;&gt;0</formula>
    </cfRule>
  </conditionalFormatting>
  <conditionalFormatting sqref="L291:M291">
    <cfRule type="expression" dxfId="426" priority="347" stopIfTrue="1">
      <formula>L34&lt;&gt;0</formula>
    </cfRule>
  </conditionalFormatting>
  <conditionalFormatting sqref="L292:M292">
    <cfRule type="expression" dxfId="425" priority="346" stopIfTrue="1">
      <formula>L35&lt;&gt;0</formula>
    </cfRule>
  </conditionalFormatting>
  <conditionalFormatting sqref="L293:M293">
    <cfRule type="expression" dxfId="424" priority="345" stopIfTrue="1">
      <formula>L36&lt;&gt;0</formula>
    </cfRule>
  </conditionalFormatting>
  <conditionalFormatting sqref="O290:P290">
    <cfRule type="expression" dxfId="423" priority="344" stopIfTrue="1">
      <formula>O33&lt;&gt;0</formula>
    </cfRule>
  </conditionalFormatting>
  <conditionalFormatting sqref="O291:P291">
    <cfRule type="expression" dxfId="422" priority="343" stopIfTrue="1">
      <formula>O34&lt;&gt;0</formula>
    </cfRule>
  </conditionalFormatting>
  <conditionalFormatting sqref="O292:P292">
    <cfRule type="expression" dxfId="421" priority="342" stopIfTrue="1">
      <formula>O35&lt;&gt;0</formula>
    </cfRule>
  </conditionalFormatting>
  <conditionalFormatting sqref="O293:P293">
    <cfRule type="expression" dxfId="420" priority="341" stopIfTrue="1">
      <formula>O36&lt;&gt;0</formula>
    </cfRule>
  </conditionalFormatting>
  <conditionalFormatting sqref="R290:S290">
    <cfRule type="expression" dxfId="419" priority="340" stopIfTrue="1">
      <formula>R33&lt;&gt;0</formula>
    </cfRule>
  </conditionalFormatting>
  <conditionalFormatting sqref="R291:S291">
    <cfRule type="expression" dxfId="418" priority="339" stopIfTrue="1">
      <formula>R34&lt;&gt;0</formula>
    </cfRule>
  </conditionalFormatting>
  <conditionalFormatting sqref="R292:S292">
    <cfRule type="expression" dxfId="417" priority="338" stopIfTrue="1">
      <formula>R35&lt;&gt;0</formula>
    </cfRule>
  </conditionalFormatting>
  <conditionalFormatting sqref="R293:S293">
    <cfRule type="expression" dxfId="416" priority="337" stopIfTrue="1">
      <formula>R36&lt;&gt;0</formula>
    </cfRule>
  </conditionalFormatting>
  <conditionalFormatting sqref="C310:D310">
    <cfRule type="expression" dxfId="415" priority="336" stopIfTrue="1">
      <formula>C50&lt;&gt;0</formula>
    </cfRule>
  </conditionalFormatting>
  <conditionalFormatting sqref="C311:D311">
    <cfRule type="expression" dxfId="414" priority="335" stopIfTrue="1">
      <formula>C51&lt;&gt;0</formula>
    </cfRule>
  </conditionalFormatting>
  <conditionalFormatting sqref="C312:D312">
    <cfRule type="expression" dxfId="413" priority="334" stopIfTrue="1">
      <formula>C52&lt;&gt;0</formula>
    </cfRule>
  </conditionalFormatting>
  <conditionalFormatting sqref="C313:D313">
    <cfRule type="expression" dxfId="412" priority="333" stopIfTrue="1">
      <formula>C53&lt;&gt;0</formula>
    </cfRule>
  </conditionalFormatting>
  <conditionalFormatting sqref="F310:G310">
    <cfRule type="expression" dxfId="411" priority="332" stopIfTrue="1">
      <formula>F50&lt;&gt;0</formula>
    </cfRule>
  </conditionalFormatting>
  <conditionalFormatting sqref="F311:G311">
    <cfRule type="expression" dxfId="410" priority="331" stopIfTrue="1">
      <formula>F51&lt;&gt;0</formula>
    </cfRule>
  </conditionalFormatting>
  <conditionalFormatting sqref="F312:G312">
    <cfRule type="expression" dxfId="409" priority="330" stopIfTrue="1">
      <formula>F52&lt;&gt;0</formula>
    </cfRule>
  </conditionalFormatting>
  <conditionalFormatting sqref="F313:G313">
    <cfRule type="expression" dxfId="408" priority="329" stopIfTrue="1">
      <formula>F53&lt;&gt;0</formula>
    </cfRule>
  </conditionalFormatting>
  <conditionalFormatting sqref="I310:J310">
    <cfRule type="expression" dxfId="407" priority="328" stopIfTrue="1">
      <formula>I50&lt;&gt;0</formula>
    </cfRule>
  </conditionalFormatting>
  <conditionalFormatting sqref="I311:J311">
    <cfRule type="expression" dxfId="406" priority="327" stopIfTrue="1">
      <formula>I51&lt;&gt;0</formula>
    </cfRule>
  </conditionalFormatting>
  <conditionalFormatting sqref="I312:J312">
    <cfRule type="expression" dxfId="405" priority="326" stopIfTrue="1">
      <formula>I52&lt;&gt;0</formula>
    </cfRule>
  </conditionalFormatting>
  <conditionalFormatting sqref="I313:J313">
    <cfRule type="expression" dxfId="404" priority="325" stopIfTrue="1">
      <formula>I53&lt;&gt;0</formula>
    </cfRule>
  </conditionalFormatting>
  <conditionalFormatting sqref="L310:M310">
    <cfRule type="expression" dxfId="403" priority="324" stopIfTrue="1">
      <formula>L50&lt;&gt;0</formula>
    </cfRule>
  </conditionalFormatting>
  <conditionalFormatting sqref="L311:M311">
    <cfRule type="expression" dxfId="402" priority="323" stopIfTrue="1">
      <formula>L51&lt;&gt;0</formula>
    </cfRule>
  </conditionalFormatting>
  <conditionalFormatting sqref="L312:M312">
    <cfRule type="expression" dxfId="401" priority="322" stopIfTrue="1">
      <formula>L52&lt;&gt;0</formula>
    </cfRule>
  </conditionalFormatting>
  <conditionalFormatting sqref="L313:M313">
    <cfRule type="expression" dxfId="400" priority="321" stopIfTrue="1">
      <formula>L53&lt;&gt;0</formula>
    </cfRule>
  </conditionalFormatting>
  <conditionalFormatting sqref="O310:P310">
    <cfRule type="expression" dxfId="399" priority="320" stopIfTrue="1">
      <formula>O50&lt;&gt;0</formula>
    </cfRule>
  </conditionalFormatting>
  <conditionalFormatting sqref="O311:P311">
    <cfRule type="expression" dxfId="398" priority="319" stopIfTrue="1">
      <formula>O51&lt;&gt;0</formula>
    </cfRule>
  </conditionalFormatting>
  <conditionalFormatting sqref="O312:P312">
    <cfRule type="expression" dxfId="397" priority="318" stopIfTrue="1">
      <formula>O52&lt;&gt;0</formula>
    </cfRule>
  </conditionalFormatting>
  <conditionalFormatting sqref="O313:P313">
    <cfRule type="expression" dxfId="396" priority="317" stopIfTrue="1">
      <formula>O53&lt;&gt;0</formula>
    </cfRule>
  </conditionalFormatting>
  <conditionalFormatting sqref="R310:S310">
    <cfRule type="expression" dxfId="395" priority="316" stopIfTrue="1">
      <formula>R50&lt;&gt;0</formula>
    </cfRule>
  </conditionalFormatting>
  <conditionalFormatting sqref="R311:S311">
    <cfRule type="expression" dxfId="394" priority="315" stopIfTrue="1">
      <formula>R51&lt;&gt;0</formula>
    </cfRule>
  </conditionalFormatting>
  <conditionalFormatting sqref="R312:S312">
    <cfRule type="expression" dxfId="393" priority="314" stopIfTrue="1">
      <formula>R52&lt;&gt;0</formula>
    </cfRule>
  </conditionalFormatting>
  <conditionalFormatting sqref="R313:S313">
    <cfRule type="expression" dxfId="392" priority="313" stopIfTrue="1">
      <formula>R53&lt;&gt;0</formula>
    </cfRule>
  </conditionalFormatting>
  <conditionalFormatting sqref="C330:D330">
    <cfRule type="expression" dxfId="391" priority="312" stopIfTrue="1">
      <formula>C67&lt;&gt;0</formula>
    </cfRule>
  </conditionalFormatting>
  <conditionalFormatting sqref="C331:D331">
    <cfRule type="expression" dxfId="390" priority="311" stopIfTrue="1">
      <formula>C68&lt;&gt;0</formula>
    </cfRule>
  </conditionalFormatting>
  <conditionalFormatting sqref="C332:D332">
    <cfRule type="expression" dxfId="389" priority="310" stopIfTrue="1">
      <formula>C69&lt;&gt;0</formula>
    </cfRule>
  </conditionalFormatting>
  <conditionalFormatting sqref="C333:D333">
    <cfRule type="expression" dxfId="388" priority="309" stopIfTrue="1">
      <formula>C70&lt;&gt;0</formula>
    </cfRule>
  </conditionalFormatting>
  <conditionalFormatting sqref="F330:G330">
    <cfRule type="expression" dxfId="387" priority="308" stopIfTrue="1">
      <formula>F67&lt;&gt;0</formula>
    </cfRule>
  </conditionalFormatting>
  <conditionalFormatting sqref="F331:G331">
    <cfRule type="expression" dxfId="386" priority="307" stopIfTrue="1">
      <formula>F68&lt;&gt;0</formula>
    </cfRule>
  </conditionalFormatting>
  <conditionalFormatting sqref="F332:G332">
    <cfRule type="expression" dxfId="385" priority="306" stopIfTrue="1">
      <formula>F69&lt;&gt;0</formula>
    </cfRule>
  </conditionalFormatting>
  <conditionalFormatting sqref="F333:G333">
    <cfRule type="expression" dxfId="384" priority="305" stopIfTrue="1">
      <formula>F70&lt;&gt;0</formula>
    </cfRule>
  </conditionalFormatting>
  <conditionalFormatting sqref="I330:J330">
    <cfRule type="expression" dxfId="383" priority="304" stopIfTrue="1">
      <formula>I67&lt;&gt;0</formula>
    </cfRule>
  </conditionalFormatting>
  <conditionalFormatting sqref="I331:J331">
    <cfRule type="expression" dxfId="382" priority="303" stopIfTrue="1">
      <formula>I68&lt;&gt;0</formula>
    </cfRule>
  </conditionalFormatting>
  <conditionalFormatting sqref="I332:J332">
    <cfRule type="expression" dxfId="381" priority="302" stopIfTrue="1">
      <formula>I69&lt;&gt;0</formula>
    </cfRule>
  </conditionalFormatting>
  <conditionalFormatting sqref="I333:J333">
    <cfRule type="expression" dxfId="380" priority="301" stopIfTrue="1">
      <formula>I70&lt;&gt;0</formula>
    </cfRule>
  </conditionalFormatting>
  <conditionalFormatting sqref="L330:M330">
    <cfRule type="expression" dxfId="379" priority="300" stopIfTrue="1">
      <formula>L67&lt;&gt;0</formula>
    </cfRule>
  </conditionalFormatting>
  <conditionalFormatting sqref="L331:M331">
    <cfRule type="expression" dxfId="378" priority="299" stopIfTrue="1">
      <formula>L68&lt;&gt;0</formula>
    </cfRule>
  </conditionalFormatting>
  <conditionalFormatting sqref="L332:M332">
    <cfRule type="expression" dxfId="377" priority="298" stopIfTrue="1">
      <formula>L69&lt;&gt;0</formula>
    </cfRule>
  </conditionalFormatting>
  <conditionalFormatting sqref="L333:M333">
    <cfRule type="expression" dxfId="376" priority="297" stopIfTrue="1">
      <formula>L70&lt;&gt;0</formula>
    </cfRule>
  </conditionalFormatting>
  <conditionalFormatting sqref="O330:P330">
    <cfRule type="expression" dxfId="375" priority="296" stopIfTrue="1">
      <formula>O67&lt;&gt;0</formula>
    </cfRule>
  </conditionalFormatting>
  <conditionalFormatting sqref="O331:P331">
    <cfRule type="expression" dxfId="374" priority="295" stopIfTrue="1">
      <formula>O68&lt;&gt;0</formula>
    </cfRule>
  </conditionalFormatting>
  <conditionalFormatting sqref="O332:P332">
    <cfRule type="expression" dxfId="373" priority="294" stopIfTrue="1">
      <formula>O69&lt;&gt;0</formula>
    </cfRule>
  </conditionalFormatting>
  <conditionalFormatting sqref="O333:P333">
    <cfRule type="expression" dxfId="372" priority="293" stopIfTrue="1">
      <formula>O70&lt;&gt;0</formula>
    </cfRule>
  </conditionalFormatting>
  <conditionalFormatting sqref="R330:S330">
    <cfRule type="expression" dxfId="371" priority="292" stopIfTrue="1">
      <formula>R67&lt;&gt;0</formula>
    </cfRule>
  </conditionalFormatting>
  <conditionalFormatting sqref="R331:S331">
    <cfRule type="expression" dxfId="370" priority="291" stopIfTrue="1">
      <formula>R68&lt;&gt;0</formula>
    </cfRule>
  </conditionalFormatting>
  <conditionalFormatting sqref="R332:S332">
    <cfRule type="expression" dxfId="369" priority="290" stopIfTrue="1">
      <formula>R69&lt;&gt;0</formula>
    </cfRule>
  </conditionalFormatting>
  <conditionalFormatting sqref="R333:S333">
    <cfRule type="expression" dxfId="368" priority="289" stopIfTrue="1">
      <formula>R70&lt;&gt;0</formula>
    </cfRule>
  </conditionalFormatting>
  <conditionalFormatting sqref="C350:D350">
    <cfRule type="expression" dxfId="367" priority="288" stopIfTrue="1">
      <formula>C84&lt;&gt;0</formula>
    </cfRule>
  </conditionalFormatting>
  <conditionalFormatting sqref="C351:D351">
    <cfRule type="expression" dxfId="366" priority="287" stopIfTrue="1">
      <formula>C85&lt;&gt;0</formula>
    </cfRule>
  </conditionalFormatting>
  <conditionalFormatting sqref="C352:D352">
    <cfRule type="expression" dxfId="365" priority="286" stopIfTrue="1">
      <formula>C86&lt;&gt;0</formula>
    </cfRule>
  </conditionalFormatting>
  <conditionalFormatting sqref="C353:D353">
    <cfRule type="expression" dxfId="364" priority="285" stopIfTrue="1">
      <formula>C87&lt;&gt;0</formula>
    </cfRule>
  </conditionalFormatting>
  <conditionalFormatting sqref="F350:G350">
    <cfRule type="expression" dxfId="363" priority="284" stopIfTrue="1">
      <formula>F84&lt;&gt;0</formula>
    </cfRule>
  </conditionalFormatting>
  <conditionalFormatting sqref="F351:G351">
    <cfRule type="expression" dxfId="362" priority="283" stopIfTrue="1">
      <formula>F85&lt;&gt;0</formula>
    </cfRule>
  </conditionalFormatting>
  <conditionalFormatting sqref="F352:G352">
    <cfRule type="expression" dxfId="361" priority="282" stopIfTrue="1">
      <formula>F86&lt;&gt;0</formula>
    </cfRule>
  </conditionalFormatting>
  <conditionalFormatting sqref="F353:G353">
    <cfRule type="expression" dxfId="360" priority="281" stopIfTrue="1">
      <formula>F87&lt;&gt;0</formula>
    </cfRule>
  </conditionalFormatting>
  <conditionalFormatting sqref="I350:J350">
    <cfRule type="expression" dxfId="359" priority="280" stopIfTrue="1">
      <formula>I84&lt;&gt;0</formula>
    </cfRule>
  </conditionalFormatting>
  <conditionalFormatting sqref="I351:J351">
    <cfRule type="expression" dxfId="358" priority="279" stopIfTrue="1">
      <formula>I85&lt;&gt;0</formula>
    </cfRule>
  </conditionalFormatting>
  <conditionalFormatting sqref="I352:J352">
    <cfRule type="expression" dxfId="357" priority="278" stopIfTrue="1">
      <formula>I86&lt;&gt;0</formula>
    </cfRule>
  </conditionalFormatting>
  <conditionalFormatting sqref="I353:J353">
    <cfRule type="expression" dxfId="356" priority="277" stopIfTrue="1">
      <formula>I87&lt;&gt;0</formula>
    </cfRule>
  </conditionalFormatting>
  <conditionalFormatting sqref="L350:M350">
    <cfRule type="expression" dxfId="355" priority="276" stopIfTrue="1">
      <formula>L84&lt;&gt;0</formula>
    </cfRule>
  </conditionalFormatting>
  <conditionalFormatting sqref="L351:M351">
    <cfRule type="expression" dxfId="354" priority="275" stopIfTrue="1">
      <formula>L85&lt;&gt;0</formula>
    </cfRule>
  </conditionalFormatting>
  <conditionalFormatting sqref="L352:M352">
    <cfRule type="expression" dxfId="353" priority="274" stopIfTrue="1">
      <formula>L86&lt;&gt;0</formula>
    </cfRule>
  </conditionalFormatting>
  <conditionalFormatting sqref="L353:M353">
    <cfRule type="expression" dxfId="352" priority="273" stopIfTrue="1">
      <formula>L87&lt;&gt;0</formula>
    </cfRule>
  </conditionalFormatting>
  <conditionalFormatting sqref="O350:P350">
    <cfRule type="expression" dxfId="351" priority="272" stopIfTrue="1">
      <formula>O84&lt;&gt;0</formula>
    </cfRule>
  </conditionalFormatting>
  <conditionalFormatting sqref="O351:P351">
    <cfRule type="expression" dxfId="350" priority="271" stopIfTrue="1">
      <formula>O85&lt;&gt;0</formula>
    </cfRule>
  </conditionalFormatting>
  <conditionalFormatting sqref="O352:P352">
    <cfRule type="expression" dxfId="349" priority="270" stopIfTrue="1">
      <formula>O86&lt;&gt;0</formula>
    </cfRule>
  </conditionalFormatting>
  <conditionalFormatting sqref="O353:P353">
    <cfRule type="expression" dxfId="348" priority="269" stopIfTrue="1">
      <formula>O87&lt;&gt;0</formula>
    </cfRule>
  </conditionalFormatting>
  <conditionalFormatting sqref="R350:S350">
    <cfRule type="expression" dxfId="347" priority="268" stopIfTrue="1">
      <formula>R84&lt;&gt;0</formula>
    </cfRule>
  </conditionalFormatting>
  <conditionalFormatting sqref="R351:S351">
    <cfRule type="expression" dxfId="346" priority="267" stopIfTrue="1">
      <formula>R85&lt;&gt;0</formula>
    </cfRule>
  </conditionalFormatting>
  <conditionalFormatting sqref="R352:S352">
    <cfRule type="expression" dxfId="345" priority="266" stopIfTrue="1">
      <formula>R86&lt;&gt;0</formula>
    </cfRule>
  </conditionalFormatting>
  <conditionalFormatting sqref="R353:S353">
    <cfRule type="expression" dxfId="344" priority="265" stopIfTrue="1">
      <formula>R87&lt;&gt;0</formula>
    </cfRule>
  </conditionalFormatting>
  <conditionalFormatting sqref="C370:D370">
    <cfRule type="expression" dxfId="343" priority="264" stopIfTrue="1">
      <formula>C101&lt;&gt;0</formula>
    </cfRule>
  </conditionalFormatting>
  <conditionalFormatting sqref="C371:D371">
    <cfRule type="expression" dxfId="342" priority="263" stopIfTrue="1">
      <formula>C102&lt;&gt;0</formula>
    </cfRule>
  </conditionalFormatting>
  <conditionalFormatting sqref="C372:D372">
    <cfRule type="expression" dxfId="341" priority="262" stopIfTrue="1">
      <formula>C103&lt;&gt;0</formula>
    </cfRule>
  </conditionalFormatting>
  <conditionalFormatting sqref="C373:D373">
    <cfRule type="expression" dxfId="340" priority="261" stopIfTrue="1">
      <formula>C104&lt;&gt;0</formula>
    </cfRule>
  </conditionalFormatting>
  <conditionalFormatting sqref="F370:G370">
    <cfRule type="expression" dxfId="339" priority="260" stopIfTrue="1">
      <formula>F101&lt;&gt;0</formula>
    </cfRule>
  </conditionalFormatting>
  <conditionalFormatting sqref="F371:G371">
    <cfRule type="expression" dxfId="338" priority="259" stopIfTrue="1">
      <formula>F102&lt;&gt;0</formula>
    </cfRule>
  </conditionalFormatting>
  <conditionalFormatting sqref="F372:G372">
    <cfRule type="expression" dxfId="337" priority="258" stopIfTrue="1">
      <formula>F103&lt;&gt;0</formula>
    </cfRule>
  </conditionalFormatting>
  <conditionalFormatting sqref="F373:G373">
    <cfRule type="expression" dxfId="336" priority="257" stopIfTrue="1">
      <formula>F104&lt;&gt;0</formula>
    </cfRule>
  </conditionalFormatting>
  <conditionalFormatting sqref="I370:J370">
    <cfRule type="expression" dxfId="335" priority="256" stopIfTrue="1">
      <formula>I101&lt;&gt;0</formula>
    </cfRule>
  </conditionalFormatting>
  <conditionalFormatting sqref="I371:J371">
    <cfRule type="expression" dxfId="334" priority="255" stopIfTrue="1">
      <formula>I102&lt;&gt;0</formula>
    </cfRule>
  </conditionalFormatting>
  <conditionalFormatting sqref="I372:J372">
    <cfRule type="expression" dxfId="333" priority="254" stopIfTrue="1">
      <formula>I103&lt;&gt;0</formula>
    </cfRule>
  </conditionalFormatting>
  <conditionalFormatting sqref="I373:J373">
    <cfRule type="expression" dxfId="332" priority="253" stopIfTrue="1">
      <formula>I104&lt;&gt;0</formula>
    </cfRule>
  </conditionalFormatting>
  <conditionalFormatting sqref="L370:M370">
    <cfRule type="expression" dxfId="331" priority="252" stopIfTrue="1">
      <formula>L101&lt;&gt;0</formula>
    </cfRule>
  </conditionalFormatting>
  <conditionalFormatting sqref="L371:M371">
    <cfRule type="expression" dxfId="330" priority="251" stopIfTrue="1">
      <formula>L102&lt;&gt;0</formula>
    </cfRule>
  </conditionalFormatting>
  <conditionalFormatting sqref="L372:M372">
    <cfRule type="expression" dxfId="329" priority="250" stopIfTrue="1">
      <formula>L103&lt;&gt;0</formula>
    </cfRule>
  </conditionalFormatting>
  <conditionalFormatting sqref="L373:M373">
    <cfRule type="expression" dxfId="328" priority="249" stopIfTrue="1">
      <formula>L104&lt;&gt;0</formula>
    </cfRule>
  </conditionalFormatting>
  <conditionalFormatting sqref="O370:P370">
    <cfRule type="expression" dxfId="327" priority="248" stopIfTrue="1">
      <formula>O101&lt;&gt;0</formula>
    </cfRule>
  </conditionalFormatting>
  <conditionalFormatting sqref="O371:P371">
    <cfRule type="expression" dxfId="326" priority="247" stopIfTrue="1">
      <formula>O102&lt;&gt;0</formula>
    </cfRule>
  </conditionalFormatting>
  <conditionalFormatting sqref="O372:P372">
    <cfRule type="expression" dxfId="325" priority="246" stopIfTrue="1">
      <formula>O103&lt;&gt;0</formula>
    </cfRule>
  </conditionalFormatting>
  <conditionalFormatting sqref="O373:P373">
    <cfRule type="expression" dxfId="324" priority="245" stopIfTrue="1">
      <formula>O104&lt;&gt;0</formula>
    </cfRule>
  </conditionalFormatting>
  <conditionalFormatting sqref="R370:S370">
    <cfRule type="expression" dxfId="323" priority="244" stopIfTrue="1">
      <formula>R101&lt;&gt;0</formula>
    </cfRule>
  </conditionalFormatting>
  <conditionalFormatting sqref="R371:S371">
    <cfRule type="expression" dxfId="322" priority="243" stopIfTrue="1">
      <formula>R102&lt;&gt;0</formula>
    </cfRule>
  </conditionalFormatting>
  <conditionalFormatting sqref="R372:S372">
    <cfRule type="expression" dxfId="321" priority="242" stopIfTrue="1">
      <formula>R103&lt;&gt;0</formula>
    </cfRule>
  </conditionalFormatting>
  <conditionalFormatting sqref="R373:S373">
    <cfRule type="expression" dxfId="320" priority="241" stopIfTrue="1">
      <formula>R104&lt;&gt;0</formula>
    </cfRule>
  </conditionalFormatting>
  <conditionalFormatting sqref="C390:D390">
    <cfRule type="expression" dxfId="319" priority="240" stopIfTrue="1">
      <formula>C118&lt;&gt;0</formula>
    </cfRule>
  </conditionalFormatting>
  <conditionalFormatting sqref="C391:D391">
    <cfRule type="expression" dxfId="318" priority="239" stopIfTrue="1">
      <formula>C119&lt;&gt;0</formula>
    </cfRule>
  </conditionalFormatting>
  <conditionalFormatting sqref="C392:D392">
    <cfRule type="expression" dxfId="317" priority="238" stopIfTrue="1">
      <formula>C120&lt;&gt;0</formula>
    </cfRule>
  </conditionalFormatting>
  <conditionalFormatting sqref="C393:D393">
    <cfRule type="expression" dxfId="316" priority="237" stopIfTrue="1">
      <formula>C121&lt;&gt;0</formula>
    </cfRule>
  </conditionalFormatting>
  <conditionalFormatting sqref="F390:G390">
    <cfRule type="expression" dxfId="315" priority="236" stopIfTrue="1">
      <formula>F118&lt;&gt;0</formula>
    </cfRule>
  </conditionalFormatting>
  <conditionalFormatting sqref="F391:G391">
    <cfRule type="expression" dxfId="314" priority="235" stopIfTrue="1">
      <formula>F119&lt;&gt;0</formula>
    </cfRule>
  </conditionalFormatting>
  <conditionalFormatting sqref="F392:G392">
    <cfRule type="expression" dxfId="313" priority="234" stopIfTrue="1">
      <formula>F120&lt;&gt;0</formula>
    </cfRule>
  </conditionalFormatting>
  <conditionalFormatting sqref="F393:G393">
    <cfRule type="expression" dxfId="312" priority="233" stopIfTrue="1">
      <formula>F121&lt;&gt;0</formula>
    </cfRule>
  </conditionalFormatting>
  <conditionalFormatting sqref="I390:J390">
    <cfRule type="expression" dxfId="311" priority="232" stopIfTrue="1">
      <formula>I118&lt;&gt;0</formula>
    </cfRule>
  </conditionalFormatting>
  <conditionalFormatting sqref="I391:J391">
    <cfRule type="expression" dxfId="310" priority="231" stopIfTrue="1">
      <formula>I119&lt;&gt;0</formula>
    </cfRule>
  </conditionalFormatting>
  <conditionalFormatting sqref="I392:J392">
    <cfRule type="expression" dxfId="309" priority="230" stopIfTrue="1">
      <formula>I120&lt;&gt;0</formula>
    </cfRule>
  </conditionalFormatting>
  <conditionalFormatting sqref="I393:J393">
    <cfRule type="expression" dxfId="308" priority="229" stopIfTrue="1">
      <formula>I121&lt;&gt;0</formula>
    </cfRule>
  </conditionalFormatting>
  <conditionalFormatting sqref="L390:M390">
    <cfRule type="expression" dxfId="307" priority="228" stopIfTrue="1">
      <formula>L118&lt;&gt;0</formula>
    </cfRule>
  </conditionalFormatting>
  <conditionalFormatting sqref="L391:M391">
    <cfRule type="expression" dxfId="306" priority="227" stopIfTrue="1">
      <formula>L119&lt;&gt;0</formula>
    </cfRule>
  </conditionalFormatting>
  <conditionalFormatting sqref="L392:M392">
    <cfRule type="expression" dxfId="305" priority="226" stopIfTrue="1">
      <formula>L120&lt;&gt;0</formula>
    </cfRule>
  </conditionalFormatting>
  <conditionalFormatting sqref="L393:M393">
    <cfRule type="expression" dxfId="304" priority="225" stopIfTrue="1">
      <formula>L121&lt;&gt;0</formula>
    </cfRule>
  </conditionalFormatting>
  <conditionalFormatting sqref="O390:P390">
    <cfRule type="expression" dxfId="303" priority="224" stopIfTrue="1">
      <formula>O118&lt;&gt;0</formula>
    </cfRule>
  </conditionalFormatting>
  <conditionalFormatting sqref="O391:P391">
    <cfRule type="expression" dxfId="302" priority="223" stopIfTrue="1">
      <formula>O119&lt;&gt;0</formula>
    </cfRule>
  </conditionalFormatting>
  <conditionalFormatting sqref="O392:P392">
    <cfRule type="expression" dxfId="301" priority="222" stopIfTrue="1">
      <formula>O120&lt;&gt;0</formula>
    </cfRule>
  </conditionalFormatting>
  <conditionalFormatting sqref="O393:P393">
    <cfRule type="expression" dxfId="300" priority="221" stopIfTrue="1">
      <formula>O121&lt;&gt;0</formula>
    </cfRule>
  </conditionalFormatting>
  <conditionalFormatting sqref="R390:S390">
    <cfRule type="expression" dxfId="299" priority="220" stopIfTrue="1">
      <formula>R118&lt;&gt;0</formula>
    </cfRule>
  </conditionalFormatting>
  <conditionalFormatting sqref="R391:S391">
    <cfRule type="expression" dxfId="298" priority="219" stopIfTrue="1">
      <formula>R119&lt;&gt;0</formula>
    </cfRule>
  </conditionalFormatting>
  <conditionalFormatting sqref="R392:S392">
    <cfRule type="expression" dxfId="297" priority="218" stopIfTrue="1">
      <formula>R120&lt;&gt;0</formula>
    </cfRule>
  </conditionalFormatting>
  <conditionalFormatting sqref="R393:S393">
    <cfRule type="expression" dxfId="296" priority="217" stopIfTrue="1">
      <formula>R121&lt;&gt;0</formula>
    </cfRule>
  </conditionalFormatting>
  <conditionalFormatting sqref="C410:D410">
    <cfRule type="expression" dxfId="295" priority="216" stopIfTrue="1">
      <formula>C135&lt;&gt;0</formula>
    </cfRule>
  </conditionalFormatting>
  <conditionalFormatting sqref="C411:D411">
    <cfRule type="expression" dxfId="294" priority="215" stopIfTrue="1">
      <formula>C136&lt;&gt;0</formula>
    </cfRule>
  </conditionalFormatting>
  <conditionalFormatting sqref="C412:D412">
    <cfRule type="expression" dxfId="293" priority="214" stopIfTrue="1">
      <formula>C137&lt;&gt;0</formula>
    </cfRule>
  </conditionalFormatting>
  <conditionalFormatting sqref="C413:D413">
    <cfRule type="expression" dxfId="292" priority="213" stopIfTrue="1">
      <formula>C138&lt;&gt;0</formula>
    </cfRule>
  </conditionalFormatting>
  <conditionalFormatting sqref="F410:G410">
    <cfRule type="expression" dxfId="291" priority="212" stopIfTrue="1">
      <formula>F135&lt;&gt;0</formula>
    </cfRule>
  </conditionalFormatting>
  <conditionalFormatting sqref="F411:G411">
    <cfRule type="expression" dxfId="290" priority="211" stopIfTrue="1">
      <formula>F136&lt;&gt;0</formula>
    </cfRule>
  </conditionalFormatting>
  <conditionalFormatting sqref="F412:G412">
    <cfRule type="expression" dxfId="289" priority="210" stopIfTrue="1">
      <formula>F137&lt;&gt;0</formula>
    </cfRule>
  </conditionalFormatting>
  <conditionalFormatting sqref="F413:G413">
    <cfRule type="expression" dxfId="288" priority="209" stopIfTrue="1">
      <formula>F138&lt;&gt;0</formula>
    </cfRule>
  </conditionalFormatting>
  <conditionalFormatting sqref="I410:J410">
    <cfRule type="expression" dxfId="287" priority="208" stopIfTrue="1">
      <formula>I135&lt;&gt;0</formula>
    </cfRule>
  </conditionalFormatting>
  <conditionalFormatting sqref="I411:J411">
    <cfRule type="expression" dxfId="286" priority="207" stopIfTrue="1">
      <formula>I136&lt;&gt;0</formula>
    </cfRule>
  </conditionalFormatting>
  <conditionalFormatting sqref="I412:J412">
    <cfRule type="expression" dxfId="285" priority="206" stopIfTrue="1">
      <formula>I137&lt;&gt;0</formula>
    </cfRule>
  </conditionalFormatting>
  <conditionalFormatting sqref="I413:J413">
    <cfRule type="expression" dxfId="284" priority="205" stopIfTrue="1">
      <formula>I138&lt;&gt;0</formula>
    </cfRule>
  </conditionalFormatting>
  <conditionalFormatting sqref="L410:M410">
    <cfRule type="expression" dxfId="283" priority="204" stopIfTrue="1">
      <formula>L135&lt;&gt;0</formula>
    </cfRule>
  </conditionalFormatting>
  <conditionalFormatting sqref="L411:M411">
    <cfRule type="expression" dxfId="282" priority="203" stopIfTrue="1">
      <formula>L136&lt;&gt;0</formula>
    </cfRule>
  </conditionalFormatting>
  <conditionalFormatting sqref="L412:M412">
    <cfRule type="expression" dxfId="281" priority="202" stopIfTrue="1">
      <formula>L137&lt;&gt;0</formula>
    </cfRule>
  </conditionalFormatting>
  <conditionalFormatting sqref="L413:M413">
    <cfRule type="expression" dxfId="280" priority="201" stopIfTrue="1">
      <formula>L138&lt;&gt;0</formula>
    </cfRule>
  </conditionalFormatting>
  <conditionalFormatting sqref="O410:P410">
    <cfRule type="expression" dxfId="279" priority="200" stopIfTrue="1">
      <formula>O135&lt;&gt;0</formula>
    </cfRule>
  </conditionalFormatting>
  <conditionalFormatting sqref="O411:P411">
    <cfRule type="expression" dxfId="278" priority="199" stopIfTrue="1">
      <formula>O136&lt;&gt;0</formula>
    </cfRule>
  </conditionalFormatting>
  <conditionalFormatting sqref="O412:P412">
    <cfRule type="expression" dxfId="277" priority="198" stopIfTrue="1">
      <formula>O137&lt;&gt;0</formula>
    </cfRule>
  </conditionalFormatting>
  <conditionalFormatting sqref="O413:P413">
    <cfRule type="expression" dxfId="276" priority="197" stopIfTrue="1">
      <formula>O138&lt;&gt;0</formula>
    </cfRule>
  </conditionalFormatting>
  <conditionalFormatting sqref="R410:S410">
    <cfRule type="expression" dxfId="275" priority="196" stopIfTrue="1">
      <formula>R135&lt;&gt;0</formula>
    </cfRule>
  </conditionalFormatting>
  <conditionalFormatting sqref="R411:S411">
    <cfRule type="expression" dxfId="274" priority="195" stopIfTrue="1">
      <formula>R136&lt;&gt;0</formula>
    </cfRule>
  </conditionalFormatting>
  <conditionalFormatting sqref="R412:S412">
    <cfRule type="expression" dxfId="273" priority="194" stopIfTrue="1">
      <formula>R137&lt;&gt;0</formula>
    </cfRule>
  </conditionalFormatting>
  <conditionalFormatting sqref="R413:S413">
    <cfRule type="expression" dxfId="272" priority="193" stopIfTrue="1">
      <formula>R138&lt;&gt;0</formula>
    </cfRule>
  </conditionalFormatting>
  <conditionalFormatting sqref="C430:D430">
    <cfRule type="expression" dxfId="271" priority="192" stopIfTrue="1">
      <formula>C152&lt;&gt;0</formula>
    </cfRule>
  </conditionalFormatting>
  <conditionalFormatting sqref="C431:D431">
    <cfRule type="expression" dxfId="270" priority="191" stopIfTrue="1">
      <formula>C153&lt;&gt;0</formula>
    </cfRule>
  </conditionalFormatting>
  <conditionalFormatting sqref="C432:D432">
    <cfRule type="expression" dxfId="269" priority="190" stopIfTrue="1">
      <formula>C154&lt;&gt;0</formula>
    </cfRule>
  </conditionalFormatting>
  <conditionalFormatting sqref="C433:D433">
    <cfRule type="expression" dxfId="268" priority="189" stopIfTrue="1">
      <formula>C155&lt;&gt;0</formula>
    </cfRule>
  </conditionalFormatting>
  <conditionalFormatting sqref="F430:G430">
    <cfRule type="expression" dxfId="267" priority="188" stopIfTrue="1">
      <formula>F152&lt;&gt;0</formula>
    </cfRule>
  </conditionalFormatting>
  <conditionalFormatting sqref="F431:G431">
    <cfRule type="expression" dxfId="266" priority="187" stopIfTrue="1">
      <formula>F153&lt;&gt;0</formula>
    </cfRule>
  </conditionalFormatting>
  <conditionalFormatting sqref="F432:G432">
    <cfRule type="expression" dxfId="265" priority="186" stopIfTrue="1">
      <formula>F154&lt;&gt;0</formula>
    </cfRule>
  </conditionalFormatting>
  <conditionalFormatting sqref="F433:G433">
    <cfRule type="expression" dxfId="264" priority="185" stopIfTrue="1">
      <formula>F155&lt;&gt;0</formula>
    </cfRule>
  </conditionalFormatting>
  <conditionalFormatting sqref="I430:J430">
    <cfRule type="expression" dxfId="263" priority="184" stopIfTrue="1">
      <formula>I152&lt;&gt;0</formula>
    </cfRule>
  </conditionalFormatting>
  <conditionalFormatting sqref="I431:J431">
    <cfRule type="expression" dxfId="262" priority="183" stopIfTrue="1">
      <formula>I153&lt;&gt;0</formula>
    </cfRule>
  </conditionalFormatting>
  <conditionalFormatting sqref="I432:J432">
    <cfRule type="expression" dxfId="261" priority="182" stopIfTrue="1">
      <formula>I154&lt;&gt;0</formula>
    </cfRule>
  </conditionalFormatting>
  <conditionalFormatting sqref="I433:J433">
    <cfRule type="expression" dxfId="260" priority="181" stopIfTrue="1">
      <formula>I155&lt;&gt;0</formula>
    </cfRule>
  </conditionalFormatting>
  <conditionalFormatting sqref="L430:M430">
    <cfRule type="expression" dxfId="259" priority="180" stopIfTrue="1">
      <formula>L152&lt;&gt;0</formula>
    </cfRule>
  </conditionalFormatting>
  <conditionalFormatting sqref="L431:M431">
    <cfRule type="expression" dxfId="258" priority="179" stopIfTrue="1">
      <formula>L153&lt;&gt;0</formula>
    </cfRule>
  </conditionalFormatting>
  <conditionalFormatting sqref="L432:M432">
    <cfRule type="expression" dxfId="257" priority="178" stopIfTrue="1">
      <formula>L154&lt;&gt;0</formula>
    </cfRule>
  </conditionalFormatting>
  <conditionalFormatting sqref="L433:M433">
    <cfRule type="expression" dxfId="256" priority="177" stopIfTrue="1">
      <formula>L155&lt;&gt;0</formula>
    </cfRule>
  </conditionalFormatting>
  <conditionalFormatting sqref="O430:P430">
    <cfRule type="expression" dxfId="255" priority="176" stopIfTrue="1">
      <formula>O152&lt;&gt;0</formula>
    </cfRule>
  </conditionalFormatting>
  <conditionalFormatting sqref="O431:P431">
    <cfRule type="expression" dxfId="254" priority="175" stopIfTrue="1">
      <formula>O153&lt;&gt;0</formula>
    </cfRule>
  </conditionalFormatting>
  <conditionalFormatting sqref="O432:P432">
    <cfRule type="expression" dxfId="253" priority="174" stopIfTrue="1">
      <formula>O154&lt;&gt;0</formula>
    </cfRule>
  </conditionalFormatting>
  <conditionalFormatting sqref="O433:P433">
    <cfRule type="expression" dxfId="252" priority="173" stopIfTrue="1">
      <formula>O155&lt;&gt;0</formula>
    </cfRule>
  </conditionalFormatting>
  <conditionalFormatting sqref="R430:S430">
    <cfRule type="expression" dxfId="251" priority="172" stopIfTrue="1">
      <formula>R152&lt;&gt;0</formula>
    </cfRule>
  </conditionalFormatting>
  <conditionalFormatting sqref="R431:S431">
    <cfRule type="expression" dxfId="250" priority="171" stopIfTrue="1">
      <formula>R153&lt;&gt;0</formula>
    </cfRule>
  </conditionalFormatting>
  <conditionalFormatting sqref="R432:S432">
    <cfRule type="expression" dxfId="249" priority="170" stopIfTrue="1">
      <formula>R154&lt;&gt;0</formula>
    </cfRule>
  </conditionalFormatting>
  <conditionalFormatting sqref="R433:S433">
    <cfRule type="expression" dxfId="248" priority="169" stopIfTrue="1">
      <formula>R155&lt;&gt;0</formula>
    </cfRule>
  </conditionalFormatting>
  <conditionalFormatting sqref="C450:D450">
    <cfRule type="expression" dxfId="247" priority="168" stopIfTrue="1">
      <formula>C169&lt;&gt;0</formula>
    </cfRule>
  </conditionalFormatting>
  <conditionalFormatting sqref="C451:D451">
    <cfRule type="expression" dxfId="246" priority="167" stopIfTrue="1">
      <formula>C170&lt;&gt;0</formula>
    </cfRule>
  </conditionalFormatting>
  <conditionalFormatting sqref="C452:D452">
    <cfRule type="expression" dxfId="245" priority="166" stopIfTrue="1">
      <formula>C171&lt;&gt;0</formula>
    </cfRule>
  </conditionalFormatting>
  <conditionalFormatting sqref="C453:D453">
    <cfRule type="expression" dxfId="244" priority="165" stopIfTrue="1">
      <formula>C172&lt;&gt;0</formula>
    </cfRule>
  </conditionalFormatting>
  <conditionalFormatting sqref="F450:G450">
    <cfRule type="expression" dxfId="243" priority="164" stopIfTrue="1">
      <formula>F169&lt;&gt;0</formula>
    </cfRule>
  </conditionalFormatting>
  <conditionalFormatting sqref="F451:G451">
    <cfRule type="expression" dxfId="242" priority="163" stopIfTrue="1">
      <formula>F170&lt;&gt;0</formula>
    </cfRule>
  </conditionalFormatting>
  <conditionalFormatting sqref="F452:G452">
    <cfRule type="expression" dxfId="241" priority="162" stopIfTrue="1">
      <formula>F171&lt;&gt;0</formula>
    </cfRule>
  </conditionalFormatting>
  <conditionalFormatting sqref="F453:G453">
    <cfRule type="expression" dxfId="240" priority="161" stopIfTrue="1">
      <formula>F172&lt;&gt;0</formula>
    </cfRule>
  </conditionalFormatting>
  <conditionalFormatting sqref="I450:J450">
    <cfRule type="expression" dxfId="239" priority="160" stopIfTrue="1">
      <formula>I169&lt;&gt;0</formula>
    </cfRule>
  </conditionalFormatting>
  <conditionalFormatting sqref="I451:J451">
    <cfRule type="expression" dxfId="238" priority="159" stopIfTrue="1">
      <formula>I170&lt;&gt;0</formula>
    </cfRule>
  </conditionalFormatting>
  <conditionalFormatting sqref="I452:J452">
    <cfRule type="expression" dxfId="237" priority="158" stopIfTrue="1">
      <formula>I171&lt;&gt;0</formula>
    </cfRule>
  </conditionalFormatting>
  <conditionalFormatting sqref="I453:J453">
    <cfRule type="expression" dxfId="236" priority="157" stopIfTrue="1">
      <formula>I172&lt;&gt;0</formula>
    </cfRule>
  </conditionalFormatting>
  <conditionalFormatting sqref="L450:M450">
    <cfRule type="expression" dxfId="235" priority="156" stopIfTrue="1">
      <formula>L169&lt;&gt;0</formula>
    </cfRule>
  </conditionalFormatting>
  <conditionalFormatting sqref="L451:M451">
    <cfRule type="expression" dxfId="234" priority="155" stopIfTrue="1">
      <formula>L170&lt;&gt;0</formula>
    </cfRule>
  </conditionalFormatting>
  <conditionalFormatting sqref="L452:M452">
    <cfRule type="expression" dxfId="233" priority="154" stopIfTrue="1">
      <formula>L171&lt;&gt;0</formula>
    </cfRule>
  </conditionalFormatting>
  <conditionalFormatting sqref="L453:M453">
    <cfRule type="expression" dxfId="232" priority="153" stopIfTrue="1">
      <formula>L172&lt;&gt;0</formula>
    </cfRule>
  </conditionalFormatting>
  <conditionalFormatting sqref="O450:P450">
    <cfRule type="expression" dxfId="231" priority="152" stopIfTrue="1">
      <formula>O169&lt;&gt;0</formula>
    </cfRule>
  </conditionalFormatting>
  <conditionalFormatting sqref="O451:P451">
    <cfRule type="expression" dxfId="230" priority="151" stopIfTrue="1">
      <formula>O170&lt;&gt;0</formula>
    </cfRule>
  </conditionalFormatting>
  <conditionalFormatting sqref="O452:P452">
    <cfRule type="expression" dxfId="229" priority="150" stopIfTrue="1">
      <formula>O171&lt;&gt;0</formula>
    </cfRule>
  </conditionalFormatting>
  <conditionalFormatting sqref="O453:P453">
    <cfRule type="expression" dxfId="228" priority="149" stopIfTrue="1">
      <formula>O172&lt;&gt;0</formula>
    </cfRule>
  </conditionalFormatting>
  <conditionalFormatting sqref="R450:S450">
    <cfRule type="expression" dxfId="227" priority="148" stopIfTrue="1">
      <formula>R169&lt;&gt;0</formula>
    </cfRule>
  </conditionalFormatting>
  <conditionalFormatting sqref="R451:S451">
    <cfRule type="expression" dxfId="226" priority="147" stopIfTrue="1">
      <formula>R170&lt;&gt;0</formula>
    </cfRule>
  </conditionalFormatting>
  <conditionalFormatting sqref="R452:S452">
    <cfRule type="expression" dxfId="225" priority="146" stopIfTrue="1">
      <formula>R171&lt;&gt;0</formula>
    </cfRule>
  </conditionalFormatting>
  <conditionalFormatting sqref="R453:S453">
    <cfRule type="expression" dxfId="224" priority="145" stopIfTrue="1">
      <formula>R172&lt;&gt;0</formula>
    </cfRule>
  </conditionalFormatting>
  <conditionalFormatting sqref="C470:D470">
    <cfRule type="expression" dxfId="223" priority="144" stopIfTrue="1">
      <formula>C186&lt;&gt;0</formula>
    </cfRule>
  </conditionalFormatting>
  <conditionalFormatting sqref="C471:D471">
    <cfRule type="expression" dxfId="222" priority="143" stopIfTrue="1">
      <formula>C187&lt;&gt;0</formula>
    </cfRule>
  </conditionalFormatting>
  <conditionalFormatting sqref="C472:D472">
    <cfRule type="expression" dxfId="221" priority="142" stopIfTrue="1">
      <formula>C188&lt;&gt;0</formula>
    </cfRule>
  </conditionalFormatting>
  <conditionalFormatting sqref="C473:D473">
    <cfRule type="expression" dxfId="220" priority="141" stopIfTrue="1">
      <formula>C189&lt;&gt;0</formula>
    </cfRule>
  </conditionalFormatting>
  <conditionalFormatting sqref="F470:G470">
    <cfRule type="expression" dxfId="219" priority="140" stopIfTrue="1">
      <formula>F186&lt;&gt;0</formula>
    </cfRule>
  </conditionalFormatting>
  <conditionalFormatting sqref="F471:G471">
    <cfRule type="expression" dxfId="218" priority="139" stopIfTrue="1">
      <formula>F187&lt;&gt;0</formula>
    </cfRule>
  </conditionalFormatting>
  <conditionalFormatting sqref="F472:G472">
    <cfRule type="expression" dxfId="217" priority="138" stopIfTrue="1">
      <formula>F188&lt;&gt;0</formula>
    </cfRule>
  </conditionalFormatting>
  <conditionalFormatting sqref="F473:G473">
    <cfRule type="expression" dxfId="216" priority="137" stopIfTrue="1">
      <formula>F189&lt;&gt;0</formula>
    </cfRule>
  </conditionalFormatting>
  <conditionalFormatting sqref="I470:J470">
    <cfRule type="expression" dxfId="215" priority="136" stopIfTrue="1">
      <formula>I186&lt;&gt;0</formula>
    </cfRule>
  </conditionalFormatting>
  <conditionalFormatting sqref="I471:J471">
    <cfRule type="expression" dxfId="214" priority="135" stopIfTrue="1">
      <formula>I187&lt;&gt;0</formula>
    </cfRule>
  </conditionalFormatting>
  <conditionalFormatting sqref="I472:J472">
    <cfRule type="expression" dxfId="213" priority="134" stopIfTrue="1">
      <formula>I188&lt;&gt;0</formula>
    </cfRule>
  </conditionalFormatting>
  <conditionalFormatting sqref="I473:J473">
    <cfRule type="expression" dxfId="212" priority="133" stopIfTrue="1">
      <formula>I189&lt;&gt;0</formula>
    </cfRule>
  </conditionalFormatting>
  <conditionalFormatting sqref="L470:M470">
    <cfRule type="expression" dxfId="211" priority="132" stopIfTrue="1">
      <formula>L186&lt;&gt;0</formula>
    </cfRule>
  </conditionalFormatting>
  <conditionalFormatting sqref="L471:M471">
    <cfRule type="expression" dxfId="210" priority="131" stopIfTrue="1">
      <formula>L187&lt;&gt;0</formula>
    </cfRule>
  </conditionalFormatting>
  <conditionalFormatting sqref="L472:M472">
    <cfRule type="expression" dxfId="209" priority="130" stopIfTrue="1">
      <formula>L188&lt;&gt;0</formula>
    </cfRule>
  </conditionalFormatting>
  <conditionalFormatting sqref="L473:M473">
    <cfRule type="expression" dxfId="208" priority="129" stopIfTrue="1">
      <formula>L189&lt;&gt;0</formula>
    </cfRule>
  </conditionalFormatting>
  <conditionalFormatting sqref="O470:P470">
    <cfRule type="expression" dxfId="207" priority="128" stopIfTrue="1">
      <formula>O186&lt;&gt;0</formula>
    </cfRule>
  </conditionalFormatting>
  <conditionalFormatting sqref="O471:P471">
    <cfRule type="expression" dxfId="206" priority="127" stopIfTrue="1">
      <formula>O187&lt;&gt;0</formula>
    </cfRule>
  </conditionalFormatting>
  <conditionalFormatting sqref="O472:P472">
    <cfRule type="expression" dxfId="205" priority="126" stopIfTrue="1">
      <formula>O188&lt;&gt;0</formula>
    </cfRule>
  </conditionalFormatting>
  <conditionalFormatting sqref="O473:P473">
    <cfRule type="expression" dxfId="204" priority="125" stopIfTrue="1">
      <formula>O189&lt;&gt;0</formula>
    </cfRule>
  </conditionalFormatting>
  <conditionalFormatting sqref="R470:S470">
    <cfRule type="expression" dxfId="203" priority="124" stopIfTrue="1">
      <formula>R186&lt;&gt;0</formula>
    </cfRule>
  </conditionalFormatting>
  <conditionalFormatting sqref="R471:S471">
    <cfRule type="expression" dxfId="202" priority="123" stopIfTrue="1">
      <formula>R187&lt;&gt;0</formula>
    </cfRule>
  </conditionalFormatting>
  <conditionalFormatting sqref="R472:S472">
    <cfRule type="expression" dxfId="201" priority="122" stopIfTrue="1">
      <formula>R188&lt;&gt;0</formula>
    </cfRule>
  </conditionalFormatting>
  <conditionalFormatting sqref="R473:S473">
    <cfRule type="expression" dxfId="200" priority="121" stopIfTrue="1">
      <formula>R189&lt;&gt;0</formula>
    </cfRule>
  </conditionalFormatting>
  <conditionalFormatting sqref="C490:D490">
    <cfRule type="expression" dxfId="199" priority="120" stopIfTrue="1">
      <formula>C203&lt;&gt;0</formula>
    </cfRule>
  </conditionalFormatting>
  <conditionalFormatting sqref="C491:D491">
    <cfRule type="expression" dxfId="198" priority="119" stopIfTrue="1">
      <formula>C204&lt;&gt;0</formula>
    </cfRule>
  </conditionalFormatting>
  <conditionalFormatting sqref="C492:D492">
    <cfRule type="expression" dxfId="197" priority="118" stopIfTrue="1">
      <formula>C205&lt;&gt;0</formula>
    </cfRule>
  </conditionalFormatting>
  <conditionalFormatting sqref="C493:D493">
    <cfRule type="expression" dxfId="196" priority="117" stopIfTrue="1">
      <formula>C206&lt;&gt;0</formula>
    </cfRule>
  </conditionalFormatting>
  <conditionalFormatting sqref="F490:G490">
    <cfRule type="expression" dxfId="195" priority="116" stopIfTrue="1">
      <formula>F203&lt;&gt;0</formula>
    </cfRule>
  </conditionalFormatting>
  <conditionalFormatting sqref="F491:G491">
    <cfRule type="expression" dxfId="194" priority="115" stopIfTrue="1">
      <formula>F204&lt;&gt;0</formula>
    </cfRule>
  </conditionalFormatting>
  <conditionalFormatting sqref="F492:G492">
    <cfRule type="expression" dxfId="193" priority="114" stopIfTrue="1">
      <formula>F205&lt;&gt;0</formula>
    </cfRule>
  </conditionalFormatting>
  <conditionalFormatting sqref="F493:G493">
    <cfRule type="expression" dxfId="192" priority="113" stopIfTrue="1">
      <formula>F206&lt;&gt;0</formula>
    </cfRule>
  </conditionalFormatting>
  <conditionalFormatting sqref="I490:J490">
    <cfRule type="expression" dxfId="191" priority="112" stopIfTrue="1">
      <formula>I203&lt;&gt;0</formula>
    </cfRule>
  </conditionalFormatting>
  <conditionalFormatting sqref="I491:J491">
    <cfRule type="expression" dxfId="190" priority="111" stopIfTrue="1">
      <formula>I204&lt;&gt;0</formula>
    </cfRule>
  </conditionalFormatting>
  <conditionalFormatting sqref="I492:J492">
    <cfRule type="expression" dxfId="189" priority="110" stopIfTrue="1">
      <formula>I205&lt;&gt;0</formula>
    </cfRule>
  </conditionalFormatting>
  <conditionalFormatting sqref="I493:J493">
    <cfRule type="expression" dxfId="188" priority="109" stopIfTrue="1">
      <formula>I206&lt;&gt;0</formula>
    </cfRule>
  </conditionalFormatting>
  <conditionalFormatting sqref="L490:M490">
    <cfRule type="expression" dxfId="187" priority="108" stopIfTrue="1">
      <formula>L203&lt;&gt;0</formula>
    </cfRule>
  </conditionalFormatting>
  <conditionalFormatting sqref="L491:M491">
    <cfRule type="expression" dxfId="186" priority="107" stopIfTrue="1">
      <formula>L204&lt;&gt;0</formula>
    </cfRule>
  </conditionalFormatting>
  <conditionalFormatting sqref="L492:M492">
    <cfRule type="expression" dxfId="185" priority="106" stopIfTrue="1">
      <formula>L205&lt;&gt;0</formula>
    </cfRule>
  </conditionalFormatting>
  <conditionalFormatting sqref="L493:M493">
    <cfRule type="expression" dxfId="184" priority="105" stopIfTrue="1">
      <formula>L206&lt;&gt;0</formula>
    </cfRule>
  </conditionalFormatting>
  <conditionalFormatting sqref="O490:P490">
    <cfRule type="expression" dxfId="183" priority="104" stopIfTrue="1">
      <formula>O203&lt;&gt;0</formula>
    </cfRule>
  </conditionalFormatting>
  <conditionalFormatting sqref="O491:P491">
    <cfRule type="expression" dxfId="182" priority="103" stopIfTrue="1">
      <formula>O204&lt;&gt;0</formula>
    </cfRule>
  </conditionalFormatting>
  <conditionalFormatting sqref="O492:P492">
    <cfRule type="expression" dxfId="181" priority="102" stopIfTrue="1">
      <formula>O205&lt;&gt;0</formula>
    </cfRule>
  </conditionalFormatting>
  <conditionalFormatting sqref="O493:P493">
    <cfRule type="expression" dxfId="180" priority="101" stopIfTrue="1">
      <formula>O206&lt;&gt;0</formula>
    </cfRule>
  </conditionalFormatting>
  <conditionalFormatting sqref="R490:S490">
    <cfRule type="expression" dxfId="179" priority="100" stopIfTrue="1">
      <formula>R203&lt;&gt;0</formula>
    </cfRule>
  </conditionalFormatting>
  <conditionalFormatting sqref="R491:S491">
    <cfRule type="expression" dxfId="178" priority="99" stopIfTrue="1">
      <formula>R204&lt;&gt;0</formula>
    </cfRule>
  </conditionalFormatting>
  <conditionalFormatting sqref="R492:S492">
    <cfRule type="expression" dxfId="177" priority="98" stopIfTrue="1">
      <formula>R205&lt;&gt;0</formula>
    </cfRule>
  </conditionalFormatting>
  <conditionalFormatting sqref="R493:S493">
    <cfRule type="expression" dxfId="176" priority="97" stopIfTrue="1">
      <formula>R206&lt;&gt;0</formula>
    </cfRule>
  </conditionalFormatting>
  <conditionalFormatting sqref="C510:D510">
    <cfRule type="expression" dxfId="175" priority="96" stopIfTrue="1">
      <formula>C220&lt;&gt;0</formula>
    </cfRule>
  </conditionalFormatting>
  <conditionalFormatting sqref="C511:D511">
    <cfRule type="expression" dxfId="174" priority="95" stopIfTrue="1">
      <formula>C221&lt;&gt;0</formula>
    </cfRule>
  </conditionalFormatting>
  <conditionalFormatting sqref="C512:D512">
    <cfRule type="expression" dxfId="173" priority="94" stopIfTrue="1">
      <formula>C222&lt;&gt;0</formula>
    </cfRule>
  </conditionalFormatting>
  <conditionalFormatting sqref="C513:D513">
    <cfRule type="expression" dxfId="172" priority="93" stopIfTrue="1">
      <formula>C223&lt;&gt;0</formula>
    </cfRule>
  </conditionalFormatting>
  <conditionalFormatting sqref="F510:G510">
    <cfRule type="expression" dxfId="171" priority="92" stopIfTrue="1">
      <formula>F220&lt;&gt;0</formula>
    </cfRule>
  </conditionalFormatting>
  <conditionalFormatting sqref="F511:G511">
    <cfRule type="expression" dxfId="170" priority="91" stopIfTrue="1">
      <formula>F221&lt;&gt;0</formula>
    </cfRule>
  </conditionalFormatting>
  <conditionalFormatting sqref="F512:G512">
    <cfRule type="expression" dxfId="169" priority="90" stopIfTrue="1">
      <formula>F222&lt;&gt;0</formula>
    </cfRule>
  </conditionalFormatting>
  <conditionalFormatting sqref="F513:G513">
    <cfRule type="expression" dxfId="168" priority="89" stopIfTrue="1">
      <formula>F223&lt;&gt;0</formula>
    </cfRule>
  </conditionalFormatting>
  <conditionalFormatting sqref="I510:J510">
    <cfRule type="expression" dxfId="167" priority="88" stopIfTrue="1">
      <formula>I220&lt;&gt;0</formula>
    </cfRule>
  </conditionalFormatting>
  <conditionalFormatting sqref="I511:J511">
    <cfRule type="expression" dxfId="166" priority="87" stopIfTrue="1">
      <formula>I221&lt;&gt;0</formula>
    </cfRule>
  </conditionalFormatting>
  <conditionalFormatting sqref="I512:J512">
    <cfRule type="expression" dxfId="165" priority="86" stopIfTrue="1">
      <formula>I222&lt;&gt;0</formula>
    </cfRule>
  </conditionalFormatting>
  <conditionalFormatting sqref="I513:J513">
    <cfRule type="expression" dxfId="164" priority="85" stopIfTrue="1">
      <formula>I223&lt;&gt;0</formula>
    </cfRule>
  </conditionalFormatting>
  <conditionalFormatting sqref="L510:M510">
    <cfRule type="expression" dxfId="163" priority="84" stopIfTrue="1">
      <formula>L220&lt;&gt;0</formula>
    </cfRule>
  </conditionalFormatting>
  <conditionalFormatting sqref="L511:M511">
    <cfRule type="expression" dxfId="162" priority="83" stopIfTrue="1">
      <formula>L221&lt;&gt;0</formula>
    </cfRule>
  </conditionalFormatting>
  <conditionalFormatting sqref="L512:M512">
    <cfRule type="expression" dxfId="161" priority="82" stopIfTrue="1">
      <formula>L222&lt;&gt;0</formula>
    </cfRule>
  </conditionalFormatting>
  <conditionalFormatting sqref="L513:M513">
    <cfRule type="expression" dxfId="160" priority="81" stopIfTrue="1">
      <formula>L223&lt;&gt;0</formula>
    </cfRule>
  </conditionalFormatting>
  <conditionalFormatting sqref="O510:P510">
    <cfRule type="expression" dxfId="159" priority="80" stopIfTrue="1">
      <formula>O220&lt;&gt;0</formula>
    </cfRule>
  </conditionalFormatting>
  <conditionalFormatting sqref="O511:P511">
    <cfRule type="expression" dxfId="158" priority="79" stopIfTrue="1">
      <formula>O221&lt;&gt;0</formula>
    </cfRule>
  </conditionalFormatting>
  <conditionalFormatting sqref="O512:P512">
    <cfRule type="expression" dxfId="157" priority="78" stopIfTrue="1">
      <formula>O222&lt;&gt;0</formula>
    </cfRule>
  </conditionalFormatting>
  <conditionalFormatting sqref="O513:P513">
    <cfRule type="expression" dxfId="156" priority="77" stopIfTrue="1">
      <formula>O223&lt;&gt;0</formula>
    </cfRule>
  </conditionalFormatting>
  <conditionalFormatting sqref="R510:S510">
    <cfRule type="expression" dxfId="155" priority="76" stopIfTrue="1">
      <formula>R220&lt;&gt;0</formula>
    </cfRule>
  </conditionalFormatting>
  <conditionalFormatting sqref="R511:S511">
    <cfRule type="expression" dxfId="154" priority="75" stopIfTrue="1">
      <formula>R221&lt;&gt;0</formula>
    </cfRule>
  </conditionalFormatting>
  <conditionalFormatting sqref="R512:S512">
    <cfRule type="expression" dxfId="153" priority="74" stopIfTrue="1">
      <formula>R222&lt;&gt;0</formula>
    </cfRule>
  </conditionalFormatting>
  <conditionalFormatting sqref="R513:S513">
    <cfRule type="expression" dxfId="152" priority="73" stopIfTrue="1">
      <formula>R223&lt;&gt;0</formula>
    </cfRule>
  </conditionalFormatting>
  <conditionalFormatting sqref="C530:D530">
    <cfRule type="expression" dxfId="151" priority="72" stopIfTrue="1">
      <formula>C237&lt;&gt;0</formula>
    </cfRule>
  </conditionalFormatting>
  <conditionalFormatting sqref="C531:D531">
    <cfRule type="expression" dxfId="150" priority="71" stopIfTrue="1">
      <formula>C238&lt;&gt;0</formula>
    </cfRule>
  </conditionalFormatting>
  <conditionalFormatting sqref="C532:D532">
    <cfRule type="expression" dxfId="149" priority="70" stopIfTrue="1">
      <formula>C239&lt;&gt;0</formula>
    </cfRule>
  </conditionalFormatting>
  <conditionalFormatting sqref="C533:D533">
    <cfRule type="expression" dxfId="148" priority="69" stopIfTrue="1">
      <formula>C240&lt;&gt;0</formula>
    </cfRule>
  </conditionalFormatting>
  <conditionalFormatting sqref="F530:G530">
    <cfRule type="expression" dxfId="147" priority="68" stopIfTrue="1">
      <formula>F237&lt;&gt;0</formula>
    </cfRule>
  </conditionalFormatting>
  <conditionalFormatting sqref="F531:G531">
    <cfRule type="expression" dxfId="146" priority="67" stopIfTrue="1">
      <formula>F238&lt;&gt;0</formula>
    </cfRule>
  </conditionalFormatting>
  <conditionalFormatting sqref="F532:G532">
    <cfRule type="expression" dxfId="145" priority="66" stopIfTrue="1">
      <formula>F239&lt;&gt;0</formula>
    </cfRule>
  </conditionalFormatting>
  <conditionalFormatting sqref="F533:G533">
    <cfRule type="expression" dxfId="144" priority="65" stopIfTrue="1">
      <formula>F240&lt;&gt;0</formula>
    </cfRule>
  </conditionalFormatting>
  <conditionalFormatting sqref="I530:J530">
    <cfRule type="expression" dxfId="143" priority="64" stopIfTrue="1">
      <formula>I237&lt;&gt;0</formula>
    </cfRule>
  </conditionalFormatting>
  <conditionalFormatting sqref="I531:J531">
    <cfRule type="expression" dxfId="142" priority="63" stopIfTrue="1">
      <formula>I238&lt;&gt;0</formula>
    </cfRule>
  </conditionalFormatting>
  <conditionalFormatting sqref="I532:J532">
    <cfRule type="expression" dxfId="141" priority="62" stopIfTrue="1">
      <formula>I239&lt;&gt;0</formula>
    </cfRule>
  </conditionalFormatting>
  <conditionalFormatting sqref="I533:J533">
    <cfRule type="expression" dxfId="140" priority="61" stopIfTrue="1">
      <formula>I240&lt;&gt;0</formula>
    </cfRule>
  </conditionalFormatting>
  <conditionalFormatting sqref="L530:M530">
    <cfRule type="expression" dxfId="139" priority="60" stopIfTrue="1">
      <formula>L237&lt;&gt;0</formula>
    </cfRule>
  </conditionalFormatting>
  <conditionalFormatting sqref="L531:M531">
    <cfRule type="expression" dxfId="138" priority="59" stopIfTrue="1">
      <formula>L238&lt;&gt;0</formula>
    </cfRule>
  </conditionalFormatting>
  <conditionalFormatting sqref="L532:M532">
    <cfRule type="expression" dxfId="137" priority="58" stopIfTrue="1">
      <formula>L239&lt;&gt;0</formula>
    </cfRule>
  </conditionalFormatting>
  <conditionalFormatting sqref="L533:M533">
    <cfRule type="expression" dxfId="136" priority="57" stopIfTrue="1">
      <formula>L240&lt;&gt;0</formula>
    </cfRule>
  </conditionalFormatting>
  <conditionalFormatting sqref="O530:P530">
    <cfRule type="expression" dxfId="135" priority="56" stopIfTrue="1">
      <formula>O237&lt;&gt;0</formula>
    </cfRule>
  </conditionalFormatting>
  <conditionalFormatting sqref="O531:P531">
    <cfRule type="expression" dxfId="134" priority="55" stopIfTrue="1">
      <formula>O238&lt;&gt;0</formula>
    </cfRule>
  </conditionalFormatting>
  <conditionalFormatting sqref="O532:P532">
    <cfRule type="expression" dxfId="133" priority="54" stopIfTrue="1">
      <formula>O239&lt;&gt;0</formula>
    </cfRule>
  </conditionalFormatting>
  <conditionalFormatting sqref="O533:P533">
    <cfRule type="expression" dxfId="132" priority="53" stopIfTrue="1">
      <formula>O240&lt;&gt;0</formula>
    </cfRule>
  </conditionalFormatting>
  <conditionalFormatting sqref="R530:S530">
    <cfRule type="expression" dxfId="131" priority="52" stopIfTrue="1">
      <formula>R237&lt;&gt;0</formula>
    </cfRule>
  </conditionalFormatting>
  <conditionalFormatting sqref="R531:S531">
    <cfRule type="expression" dxfId="130" priority="51" stopIfTrue="1">
      <formula>R238&lt;&gt;0</formula>
    </cfRule>
  </conditionalFormatting>
  <conditionalFormatting sqref="R532:S532">
    <cfRule type="expression" dxfId="129" priority="50" stopIfTrue="1">
      <formula>R239&lt;&gt;0</formula>
    </cfRule>
  </conditionalFormatting>
  <conditionalFormatting sqref="R533:S533">
    <cfRule type="expression" dxfId="128" priority="49" stopIfTrue="1">
      <formula>R240&lt;&gt;0</formula>
    </cfRule>
  </conditionalFormatting>
  <conditionalFormatting sqref="C550:D550">
    <cfRule type="expression" dxfId="127" priority="48" stopIfTrue="1">
      <formula>C254&lt;&gt;0</formula>
    </cfRule>
  </conditionalFormatting>
  <conditionalFormatting sqref="C551:D551">
    <cfRule type="expression" dxfId="126" priority="47" stopIfTrue="1">
      <formula>C255&lt;&gt;0</formula>
    </cfRule>
  </conditionalFormatting>
  <conditionalFormatting sqref="C552:D552">
    <cfRule type="expression" dxfId="125" priority="46" stopIfTrue="1">
      <formula>C256&lt;&gt;0</formula>
    </cfRule>
  </conditionalFormatting>
  <conditionalFormatting sqref="C553:D553">
    <cfRule type="expression" dxfId="124" priority="45" stopIfTrue="1">
      <formula>C257&lt;&gt;0</formula>
    </cfRule>
  </conditionalFormatting>
  <conditionalFormatting sqref="F550:G550">
    <cfRule type="expression" dxfId="123" priority="44" stopIfTrue="1">
      <formula>F254&lt;&gt;0</formula>
    </cfRule>
  </conditionalFormatting>
  <conditionalFormatting sqref="F551:G551">
    <cfRule type="expression" dxfId="122" priority="43" stopIfTrue="1">
      <formula>F255&lt;&gt;0</formula>
    </cfRule>
  </conditionalFormatting>
  <conditionalFormatting sqref="F552:G552">
    <cfRule type="expression" dxfId="121" priority="42" stopIfTrue="1">
      <formula>F256&lt;&gt;0</formula>
    </cfRule>
  </conditionalFormatting>
  <conditionalFormatting sqref="F553:G553">
    <cfRule type="expression" dxfId="120" priority="41" stopIfTrue="1">
      <formula>F257&lt;&gt;0</formula>
    </cfRule>
  </conditionalFormatting>
  <conditionalFormatting sqref="I550:J550">
    <cfRule type="expression" dxfId="119" priority="40" stopIfTrue="1">
      <formula>I254&lt;&gt;0</formula>
    </cfRule>
  </conditionalFormatting>
  <conditionalFormatting sqref="I551:J551">
    <cfRule type="expression" dxfId="118" priority="39" stopIfTrue="1">
      <formula>I255&lt;&gt;0</formula>
    </cfRule>
  </conditionalFormatting>
  <conditionalFormatting sqref="I552:J552">
    <cfRule type="expression" dxfId="117" priority="38" stopIfTrue="1">
      <formula>I256&lt;&gt;0</formula>
    </cfRule>
  </conditionalFormatting>
  <conditionalFormatting sqref="I553:J553">
    <cfRule type="expression" dxfId="116" priority="37" stopIfTrue="1">
      <formula>I257&lt;&gt;0</formula>
    </cfRule>
  </conditionalFormatting>
  <conditionalFormatting sqref="L550:M550">
    <cfRule type="expression" dxfId="115" priority="36" stopIfTrue="1">
      <formula>L254&lt;&gt;0</formula>
    </cfRule>
  </conditionalFormatting>
  <conditionalFormatting sqref="L551:M551">
    <cfRule type="expression" dxfId="114" priority="35" stopIfTrue="1">
      <formula>L255&lt;&gt;0</formula>
    </cfRule>
  </conditionalFormatting>
  <conditionalFormatting sqref="L552:M552">
    <cfRule type="expression" dxfId="113" priority="34" stopIfTrue="1">
      <formula>L256&lt;&gt;0</formula>
    </cfRule>
  </conditionalFormatting>
  <conditionalFormatting sqref="L553:M553">
    <cfRule type="expression" dxfId="112" priority="33" stopIfTrue="1">
      <formula>L257&lt;&gt;0</formula>
    </cfRule>
  </conditionalFormatting>
  <conditionalFormatting sqref="O550:P550">
    <cfRule type="expression" dxfId="111" priority="32" stopIfTrue="1">
      <formula>O254&lt;&gt;0</formula>
    </cfRule>
  </conditionalFormatting>
  <conditionalFormatting sqref="O551:P551">
    <cfRule type="expression" dxfId="110" priority="31" stopIfTrue="1">
      <formula>O255&lt;&gt;0</formula>
    </cfRule>
  </conditionalFormatting>
  <conditionalFormatting sqref="O552:P552">
    <cfRule type="expression" dxfId="109" priority="30" stopIfTrue="1">
      <formula>O256&lt;&gt;0</formula>
    </cfRule>
  </conditionalFormatting>
  <conditionalFormatting sqref="O553:P553">
    <cfRule type="expression" dxfId="108" priority="29" stopIfTrue="1">
      <formula>O257&lt;&gt;0</formula>
    </cfRule>
  </conditionalFormatting>
  <conditionalFormatting sqref="R550:S550">
    <cfRule type="expression" dxfId="107" priority="28" stopIfTrue="1">
      <formula>R254&lt;&gt;0</formula>
    </cfRule>
  </conditionalFormatting>
  <conditionalFormatting sqref="R551:S551">
    <cfRule type="expression" dxfId="106" priority="27" stopIfTrue="1">
      <formula>R255&lt;&gt;0</formula>
    </cfRule>
  </conditionalFormatting>
  <conditionalFormatting sqref="R552:S552">
    <cfRule type="expression" dxfId="105" priority="26" stopIfTrue="1">
      <formula>R256&lt;&gt;0</formula>
    </cfRule>
  </conditionalFormatting>
  <conditionalFormatting sqref="R553:S553">
    <cfRule type="expression" dxfId="104" priority="25" stopIfTrue="1">
      <formula>R257&lt;&gt;0</formula>
    </cfRule>
  </conditionalFormatting>
  <conditionalFormatting sqref="C570:D570">
    <cfRule type="expression" dxfId="103" priority="24" stopIfTrue="1">
      <formula>C271&lt;&gt;0</formula>
    </cfRule>
  </conditionalFormatting>
  <conditionalFormatting sqref="C571:D571">
    <cfRule type="expression" dxfId="102" priority="23" stopIfTrue="1">
      <formula>C272&lt;&gt;0</formula>
    </cfRule>
  </conditionalFormatting>
  <conditionalFormatting sqref="C572:D572">
    <cfRule type="expression" dxfId="101" priority="22" stopIfTrue="1">
      <formula>C273&lt;&gt;0</formula>
    </cfRule>
  </conditionalFormatting>
  <conditionalFormatting sqref="C573:D573">
    <cfRule type="expression" dxfId="100" priority="21" stopIfTrue="1">
      <formula>C274&lt;&gt;0</formula>
    </cfRule>
  </conditionalFormatting>
  <conditionalFormatting sqref="F570:G570">
    <cfRule type="expression" dxfId="99" priority="20" stopIfTrue="1">
      <formula>F271&lt;&gt;0</formula>
    </cfRule>
  </conditionalFormatting>
  <conditionalFormatting sqref="F571:G571">
    <cfRule type="expression" dxfId="98" priority="19" stopIfTrue="1">
      <formula>F272&lt;&gt;0</formula>
    </cfRule>
  </conditionalFormatting>
  <conditionalFormatting sqref="F572:G572">
    <cfRule type="expression" dxfId="97" priority="18" stopIfTrue="1">
      <formula>F273&lt;&gt;0</formula>
    </cfRule>
  </conditionalFormatting>
  <conditionalFormatting sqref="F573:G573">
    <cfRule type="expression" dxfId="96" priority="17" stopIfTrue="1">
      <formula>F274&lt;&gt;0</formula>
    </cfRule>
  </conditionalFormatting>
  <conditionalFormatting sqref="I570:J570">
    <cfRule type="expression" dxfId="95" priority="16" stopIfTrue="1">
      <formula>I271&lt;&gt;0</formula>
    </cfRule>
  </conditionalFormatting>
  <conditionalFormatting sqref="I571:J571">
    <cfRule type="expression" dxfId="94" priority="15" stopIfTrue="1">
      <formula>I272&lt;&gt;0</formula>
    </cfRule>
  </conditionalFormatting>
  <conditionalFormatting sqref="I572:J572">
    <cfRule type="expression" dxfId="93" priority="14" stopIfTrue="1">
      <formula>I273&lt;&gt;0</formula>
    </cfRule>
  </conditionalFormatting>
  <conditionalFormatting sqref="I573:J573">
    <cfRule type="expression" dxfId="92" priority="13" stopIfTrue="1">
      <formula>I274&lt;&gt;0</formula>
    </cfRule>
  </conditionalFormatting>
  <conditionalFormatting sqref="L570:M570">
    <cfRule type="expression" dxfId="91" priority="12" stopIfTrue="1">
      <formula>L271&lt;&gt;0</formula>
    </cfRule>
  </conditionalFormatting>
  <conditionalFormatting sqref="L571:M571">
    <cfRule type="expression" dxfId="90" priority="11" stopIfTrue="1">
      <formula>L272&lt;&gt;0</formula>
    </cfRule>
  </conditionalFormatting>
  <conditionalFormatting sqref="L572:M572">
    <cfRule type="expression" dxfId="89" priority="10" stopIfTrue="1">
      <formula>L273&lt;&gt;0</formula>
    </cfRule>
  </conditionalFormatting>
  <conditionalFormatting sqref="L573:M573">
    <cfRule type="expression" dxfId="88" priority="9" stopIfTrue="1">
      <formula>L274&lt;&gt;0</formula>
    </cfRule>
  </conditionalFormatting>
  <conditionalFormatting sqref="O570:P570">
    <cfRule type="expression" dxfId="87" priority="8" stopIfTrue="1">
      <formula>O271&lt;&gt;0</formula>
    </cfRule>
  </conditionalFormatting>
  <conditionalFormatting sqref="O571:P571">
    <cfRule type="expression" dxfId="86" priority="7" stopIfTrue="1">
      <formula>O272&lt;&gt;0</formula>
    </cfRule>
  </conditionalFormatting>
  <conditionalFormatting sqref="O572:P572">
    <cfRule type="expression" dxfId="85" priority="6" stopIfTrue="1">
      <formula>O273&lt;&gt;0</formula>
    </cfRule>
  </conditionalFormatting>
  <conditionalFormatting sqref="O573:P573">
    <cfRule type="expression" dxfId="84" priority="5" stopIfTrue="1">
      <formula>O274&lt;&gt;0</formula>
    </cfRule>
  </conditionalFormatting>
  <conditionalFormatting sqref="R570:S570">
    <cfRule type="expression" dxfId="83" priority="4" stopIfTrue="1">
      <formula>R271&lt;&gt;0</formula>
    </cfRule>
  </conditionalFormatting>
  <conditionalFormatting sqref="R571:S571">
    <cfRule type="expression" dxfId="82" priority="3" stopIfTrue="1">
      <formula>R272&lt;&gt;0</formula>
    </cfRule>
  </conditionalFormatting>
  <conditionalFormatting sqref="R572:S572">
    <cfRule type="expression" dxfId="81" priority="2" stopIfTrue="1">
      <formula>R273&lt;&gt;0</formula>
    </cfRule>
  </conditionalFormatting>
  <conditionalFormatting sqref="R573:S573">
    <cfRule type="expression" dxfId="80" priority="1" stopIfTrue="1">
      <formula>R274&lt;&gt;0</formula>
    </cfRule>
  </conditionalFormatting>
  <dataValidations xWindow="431" yWindow="171" count="6">
    <dataValidation allowBlank="1" showInputMessage="1" showErrorMessage="1" prompt="Masukkan dengan format mmm-yy_x000a_misalnya des 2013 maka informasi yang dimasukkan 12/13" sqref="B31:D31"/>
    <dataValidation operator="lessThanOrEqual" allowBlank="1" showInputMessage="1" showErrorMessage="1" sqref="M180:N182 M248:N250 M231:N233 M214:N216 M197:N199 M265:N267 M44:N46 M163:N165 M146:N148 M129:N131 M112:N114 M95:N97 M78:N80 M61:N63 M27:N29"/>
    <dataValidation type="whole" operator="lessThanOrEqual" allowBlank="1" showInputMessage="1" showErrorMessage="1" prompt="Masukkan nilai saldo debit dalam nilai negatif" sqref="C186:C189 R203:R206 O203:O206 L203:L206 I203:I206 F203:F206 C203:C206 R220:R223 O220:O223 L220:L223 I220:I223 F220:F223 C220:C223 I237:I240 F237:F240 C237:C240 R237:R240 O237:O240 L237:L240 R254:R257 O254:O257 L254:L257 I254:I257 F254:F257 C254:C257 I271:I274 F271:F274 L271:L274 R271:R274 O271:O274 C271:C274 R50:R53 O50:O53 L50:L53 I50:I53 F50:F53 C50:C53 R33:R36 L33:L36 I33:I36 F33:F36 O33:O36 C33:C36 R67:R70 O67:O70 L67:L70 I67:I70 F67:F70 C67:C70 R84:R87 O84:O87 L84:L87 I84:I87 F84:F87 C84:C87 R101:R104 O101:O104 L101:L104 I101:I104 F101:F104 C101:C104 R118:R121 O118:O121 L118:L121 I118:I121 F118:F121 C118:C121 R135:R138 O135:O138 L135:L138 I135:I138 F135:F138 C135:C138 I152:I155 F152:F155 C152:C155 R152:R155 O152:O155 L152:L155 R169:R172 O169:O172 L169:L172 I169:I172 F169:F172 C169:C172 I186:I189 F186:F189 L186:L189 R186:R189 O186:O189">
      <formula1>0</formula1>
    </dataValidation>
    <dataValidation allowBlank="1" showInputMessage="1" showErrorMessage="1" prompt="Diisi jika kolom berwarna putih" sqref="I290:J293 R310:S313 O290:P293 F290:G293 C290:D293 L290:M293 F310:G313 O310:P313 L310:M313 C310:D313 R290:S293 I310:J313 O330:P333 C330:D333 L330:M333 I330:J333 F570:G573 F330:G333 O350:P353 C350:D353 L350:M353 I350:J353 R330:S333 F350:G353 O370:P373 C370:D373 L370:M373 I370:J373 R350:S353 F370:G373 O390:P393 C390:D393 L390:M393 I390:J393 R370:S373 F390:G393 O410:P413 C410:D413 L410:M413 I410:J413 R390:S393 F410:G413 O430:P433 C430:D433 L430:M433 I430:J433 R410:S413 F430:G433 O450:P453 C450:D453 L450:M453 I450:J453 R430:S433 F450:G453 O470:P473 C470:D473 L470:M473 I470:J473 R450:S453 F470:G473 O490:P493 C490:D493 L490:M493 I490:J493 R470:S473 F490:G493 O510:P513 C510:D513 L510:M513 I510:J513 R490:S493 F510:G513 O530:P533 C530:D533 L530:M533 I530:J533 R510:S513 F530:G533 O550:P553 C550:D553 L550:M553 I550:J553 R530:S533 F550:G553 O570:P573 C570:D573 L570:M573 I570:J573 R550:S553 R570:S573"/>
    <dataValidation type="list" allowBlank="1" showInputMessage="1" showErrorMessage="1" sqref="O20">
      <formula1>tolakan_2</formula1>
    </dataValidation>
    <dataValidation type="list" allowBlank="1" showInputMessage="1" showErrorMessage="1" sqref="D29:F29 D46:F46 D63:F63 D80:F80 D97:F97 D114:F114 D131:F131 D148:F148 D165:F165 D182:F182 D199:F199 D216:F216 D233:F233 D250:F250 D267:F267">
      <formula1>currency_2</formula1>
    </dataValidation>
  </dataValidations>
  <pageMargins left="0.59055118110236204" right="0.196850393700787" top="0.23622047244094499" bottom="0.32" header="0.196850393700787" footer="0.16"/>
  <pageSetup paperSize="9" scale="68" orientation="landscape" r:id="rId1"/>
  <headerFooter>
    <oddFooter>&amp;RTemplate &amp;"-,Italic"small size&amp;"-,Regular" 2017 v.3 - Page &amp;P of &amp;N</oddFooter>
  </headerFooter>
  <rowBreaks count="2" manualBreakCount="2">
    <brk id="57" max="18" man="1"/>
    <brk id="320" max="18"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1"/>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S115"/>
  <sheetViews>
    <sheetView showGridLines="0" showZeros="0" view="pageBreakPreview" zoomScaleNormal="80" zoomScaleSheetLayoutView="100" workbookViewId="0">
      <selection activeCell="C43" sqref="C43:D43"/>
    </sheetView>
  </sheetViews>
  <sheetFormatPr defaultRowHeight="12.75" x14ac:dyDescent="0.2"/>
  <cols>
    <col min="1" max="1" width="6.42578125" style="350" customWidth="1"/>
    <col min="2" max="2" width="34.7109375" style="333" customWidth="1"/>
    <col min="3" max="4" width="14.7109375" style="351" customWidth="1"/>
    <col min="5" max="7" width="14.7109375" style="333" customWidth="1"/>
    <col min="8" max="8" width="15.7109375" style="333" customWidth="1"/>
    <col min="9" max="9" width="36.7109375" style="383" customWidth="1"/>
    <col min="10" max="11" width="10.7109375" style="352" hidden="1" customWidth="1"/>
    <col min="12" max="14" width="9.140625" style="352" hidden="1" customWidth="1"/>
    <col min="15" max="19" width="9.140625" style="333" hidden="1" customWidth="1"/>
    <col min="20" max="16384" width="9.140625" style="333"/>
  </cols>
  <sheetData>
    <row r="1" spans="1:14" x14ac:dyDescent="0.2">
      <c r="B1" s="332"/>
    </row>
    <row r="2" spans="1:14" ht="36.75" customHeight="1" x14ac:dyDescent="0.2">
      <c r="A2" s="1870" t="s">
        <v>327</v>
      </c>
      <c r="B2" s="1870"/>
      <c r="C2" s="1870"/>
      <c r="D2" s="1870"/>
      <c r="E2" s="1870"/>
      <c r="F2" s="1870"/>
      <c r="G2" s="1870"/>
      <c r="H2" s="1870"/>
      <c r="I2" s="1870"/>
    </row>
    <row r="3" spans="1:14" x14ac:dyDescent="0.2">
      <c r="A3" s="77"/>
      <c r="B3" s="10"/>
      <c r="C3" s="76"/>
      <c r="D3" s="76"/>
      <c r="E3" s="10"/>
      <c r="F3" s="10"/>
      <c r="G3" s="10"/>
      <c r="H3" s="10"/>
      <c r="I3" s="10"/>
    </row>
    <row r="4" spans="1:14" x14ac:dyDescent="0.2">
      <c r="A4" s="77"/>
      <c r="B4" s="10"/>
      <c r="C4" s="166"/>
      <c r="D4" s="166"/>
      <c r="E4" s="10"/>
      <c r="F4" s="10"/>
      <c r="G4" s="10"/>
      <c r="H4" s="10"/>
      <c r="I4" s="10"/>
    </row>
    <row r="5" spans="1:14" s="383" customFormat="1" x14ac:dyDescent="0.2">
      <c r="A5" s="10"/>
      <c r="B5" s="17"/>
      <c r="C5" s="17"/>
      <c r="D5" s="745"/>
      <c r="E5" s="10"/>
      <c r="F5" s="10"/>
      <c r="G5" s="10" t="s">
        <v>7814</v>
      </c>
      <c r="H5" s="1871" t="str">
        <f>MKK!G10</f>
        <v xml:space="preserve">OH NJEN LIENG </v>
      </c>
      <c r="I5" s="1871"/>
      <c r="J5" s="352"/>
      <c r="K5" s="352"/>
      <c r="L5" s="352"/>
      <c r="M5" s="352"/>
      <c r="N5" s="352"/>
    </row>
    <row r="6" spans="1:14" s="383" customFormat="1" x14ac:dyDescent="0.2">
      <c r="A6" s="50"/>
      <c r="B6" s="17"/>
      <c r="C6" s="17"/>
      <c r="D6" s="745"/>
      <c r="E6" s="10"/>
      <c r="F6" s="10"/>
      <c r="G6" s="50" t="s">
        <v>7919</v>
      </c>
      <c r="H6" s="1872">
        <f>MKK!B10</f>
        <v>0</v>
      </c>
      <c r="I6" s="1872"/>
      <c r="J6" s="352"/>
      <c r="K6" s="352"/>
      <c r="L6" s="352"/>
      <c r="M6" s="352"/>
      <c r="N6" s="352"/>
    </row>
    <row r="7" spans="1:14" s="383" customFormat="1" x14ac:dyDescent="0.2">
      <c r="A7" s="10"/>
      <c r="B7" s="17"/>
      <c r="C7" s="17"/>
      <c r="D7" s="745"/>
      <c r="E7" s="10"/>
      <c r="F7" s="10"/>
      <c r="G7" s="10" t="s">
        <v>7920</v>
      </c>
      <c r="H7" s="1872" t="str">
        <f>MKK!B11</f>
        <v>0008C00010251</v>
      </c>
      <c r="I7" s="1872"/>
      <c r="J7" s="352"/>
      <c r="K7" s="352"/>
      <c r="L7" s="352"/>
      <c r="M7" s="352"/>
      <c r="N7" s="352"/>
    </row>
    <row r="8" spans="1:14" s="383" customFormat="1" x14ac:dyDescent="0.2">
      <c r="A8" s="77"/>
      <c r="B8" s="10"/>
      <c r="C8" s="745"/>
      <c r="D8" s="745"/>
      <c r="E8" s="10"/>
      <c r="F8" s="10"/>
      <c r="G8" s="10"/>
      <c r="H8" s="10"/>
      <c r="I8" s="10"/>
      <c r="J8" s="352"/>
      <c r="K8" s="352"/>
      <c r="L8" s="352"/>
      <c r="M8" s="352"/>
      <c r="N8" s="352"/>
    </row>
    <row r="9" spans="1:14" ht="15" x14ac:dyDescent="0.25">
      <c r="A9" s="1852" t="s">
        <v>754</v>
      </c>
      <c r="B9" s="1852"/>
      <c r="C9" s="1852"/>
      <c r="D9" s="1852"/>
      <c r="E9" s="1852"/>
      <c r="F9" s="1852"/>
      <c r="G9" s="1852"/>
      <c r="H9" s="1852"/>
      <c r="I9" s="798"/>
    </row>
    <row r="10" spans="1:14" x14ac:dyDescent="0.2">
      <c r="A10" s="77"/>
      <c r="B10" s="10"/>
      <c r="C10" s="166"/>
      <c r="D10" s="166"/>
      <c r="E10" s="10"/>
      <c r="F10" s="10"/>
      <c r="G10" s="10"/>
      <c r="H10" s="10"/>
      <c r="I10" s="10"/>
    </row>
    <row r="11" spans="1:14" x14ac:dyDescent="0.2">
      <c r="A11" s="1873" t="s">
        <v>757</v>
      </c>
      <c r="B11" s="1873"/>
      <c r="C11" s="1873"/>
      <c r="D11" s="1873"/>
      <c r="E11" s="809" t="s">
        <v>758</v>
      </c>
      <c r="F11" s="1853" t="s">
        <v>438</v>
      </c>
      <c r="G11" s="1854"/>
      <c r="H11" s="1854"/>
      <c r="I11" s="1855"/>
    </row>
    <row r="12" spans="1:14" x14ac:dyDescent="0.2">
      <c r="A12" s="1892" t="s">
        <v>7917</v>
      </c>
      <c r="B12" s="1893"/>
      <c r="C12" s="1893"/>
      <c r="D12" s="1894"/>
      <c r="E12" s="811" t="str">
        <f>'Informasi Debitur'!H138</f>
        <v>Ya</v>
      </c>
      <c r="F12" s="1856"/>
      <c r="G12" s="1857"/>
      <c r="H12" s="1857"/>
      <c r="I12" s="1858"/>
      <c r="J12" s="810">
        <f>IF(E12="Ya",1,IF(E12="Tidak",0,""))</f>
        <v>1</v>
      </c>
    </row>
    <row r="13" spans="1:14" x14ac:dyDescent="0.2">
      <c r="A13" s="1889" t="s">
        <v>7921</v>
      </c>
      <c r="B13" s="1890"/>
      <c r="C13" s="1890"/>
      <c r="D13" s="1891"/>
      <c r="E13" s="811" t="str">
        <f>'Informasi Debitur'!H139</f>
        <v>Ya</v>
      </c>
      <c r="F13" s="1332"/>
      <c r="G13" s="1333"/>
      <c r="H13" s="1333"/>
      <c r="I13" s="1869"/>
      <c r="J13" s="810">
        <f>IF(E13="Ya",1,IF(E13="Tidak",0,""))</f>
        <v>1</v>
      </c>
    </row>
    <row r="14" spans="1:14" ht="39" customHeight="1" x14ac:dyDescent="0.2">
      <c r="A14" s="1896" t="s">
        <v>7918</v>
      </c>
      <c r="B14" s="1897"/>
      <c r="C14" s="1897"/>
      <c r="D14" s="1898"/>
      <c r="E14" s="812" t="str">
        <f>'Informasi Debitur'!H140</f>
        <v>Ya</v>
      </c>
      <c r="F14" s="1332"/>
      <c r="G14" s="1333"/>
      <c r="H14" s="1333"/>
      <c r="I14" s="1869"/>
      <c r="J14" s="810">
        <f>IF(E14="Ya",1,IF(E14="Tidak",0,""))</f>
        <v>1</v>
      </c>
    </row>
    <row r="15" spans="1:14" x14ac:dyDescent="0.2">
      <c r="A15" s="1889" t="s">
        <v>259</v>
      </c>
      <c r="B15" s="1890"/>
      <c r="C15" s="1890"/>
      <c r="D15" s="1891"/>
      <c r="E15" s="811" t="str">
        <f>'Informasi Debitur'!H141</f>
        <v>Ya</v>
      </c>
      <c r="F15" s="1818"/>
      <c r="G15" s="1379"/>
      <c r="H15" s="1379"/>
      <c r="I15" s="1819"/>
      <c r="J15" s="810">
        <f>IF(E15="Ya",1,IF(E15="Tidak",0,""))</f>
        <v>1</v>
      </c>
    </row>
    <row r="16" spans="1:14" x14ac:dyDescent="0.2">
      <c r="A16" s="1880" t="s">
        <v>7922</v>
      </c>
      <c r="B16" s="1881"/>
      <c r="C16" s="1881"/>
      <c r="D16" s="1882"/>
      <c r="E16" s="813" t="str">
        <f>'Informasi Debitur'!H142</f>
        <v>Ya</v>
      </c>
      <c r="F16" s="1877"/>
      <c r="G16" s="1878"/>
      <c r="H16" s="1878"/>
      <c r="I16" s="1879"/>
      <c r="J16" s="810">
        <f>IF(E16="Ya",1,IF(E16="Tidak",0,""))</f>
        <v>1</v>
      </c>
    </row>
    <row r="17" spans="1:19" ht="13.5" thickBot="1" x14ac:dyDescent="0.25">
      <c r="A17" s="1895"/>
      <c r="B17" s="1895"/>
      <c r="C17" s="1895"/>
      <c r="D17" s="1895"/>
      <c r="E17" s="1895"/>
      <c r="F17" s="1895"/>
      <c r="G17" s="1895"/>
      <c r="H17" s="1895"/>
      <c r="I17" s="799"/>
    </row>
    <row r="18" spans="1:19" ht="21" customHeight="1" x14ac:dyDescent="0.2">
      <c r="A18" s="77"/>
      <c r="B18" s="10"/>
      <c r="C18" s="166"/>
      <c r="D18" s="166"/>
      <c r="E18" s="10"/>
      <c r="F18" s="10"/>
      <c r="G18" s="10"/>
      <c r="H18" s="1883" t="str">
        <f>IF(COUNT(J12:J16)=5,IF(SUM(J12:J16)=5,"Lanjutkan ke proses selanjutnya","Stop"),"")</f>
        <v>Lanjutkan ke proses selanjutnya</v>
      </c>
      <c r="I18" s="1884"/>
    </row>
    <row r="19" spans="1:19" ht="15" customHeight="1" x14ac:dyDescent="0.2">
      <c r="A19" s="77"/>
      <c r="B19" s="10"/>
      <c r="C19" s="166"/>
      <c r="D19" s="166"/>
      <c r="E19" s="10"/>
      <c r="F19" s="10"/>
      <c r="G19" s="10"/>
      <c r="H19" s="1885"/>
      <c r="I19" s="1886"/>
      <c r="J19" s="352">
        <f>COUNT(J12:J16)</f>
        <v>5</v>
      </c>
    </row>
    <row r="20" spans="1:19" ht="18" customHeight="1" thickBot="1" x14ac:dyDescent="0.25">
      <c r="A20" s="77"/>
      <c r="B20" s="10"/>
      <c r="C20" s="166"/>
      <c r="D20" s="166"/>
      <c r="E20" s="10"/>
      <c r="F20" s="10"/>
      <c r="G20" s="10"/>
      <c r="H20" s="1887"/>
      <c r="I20" s="1888"/>
    </row>
    <row r="21" spans="1:19" ht="5.0999999999999996" customHeight="1" x14ac:dyDescent="0.2">
      <c r="A21" s="77"/>
      <c r="B21" s="10"/>
      <c r="C21" s="166"/>
      <c r="D21" s="166"/>
      <c r="E21" s="10"/>
      <c r="F21" s="10"/>
      <c r="G21" s="10"/>
      <c r="H21" s="10"/>
      <c r="I21" s="10"/>
    </row>
    <row r="22" spans="1:19" ht="15" x14ac:dyDescent="0.25">
      <c r="A22" s="1852" t="s">
        <v>755</v>
      </c>
      <c r="B22" s="1852"/>
      <c r="C22" s="1852"/>
      <c r="D22" s="1852"/>
      <c r="E22" s="1852"/>
      <c r="F22" s="1852"/>
      <c r="G22" s="1852"/>
      <c r="H22" s="1852"/>
      <c r="I22" s="798"/>
      <c r="L22" s="353" t="s">
        <v>8043</v>
      </c>
      <c r="M22" s="353" t="s">
        <v>8044</v>
      </c>
    </row>
    <row r="23" spans="1:19" ht="15" customHeight="1" x14ac:dyDescent="0.2">
      <c r="A23" s="10"/>
      <c r="B23" s="10"/>
      <c r="C23" s="76"/>
      <c r="D23" s="76"/>
      <c r="E23" s="10"/>
      <c r="F23" s="10"/>
      <c r="G23" s="10"/>
      <c r="H23" s="10"/>
      <c r="I23" s="10"/>
      <c r="J23" s="353" t="s">
        <v>7936</v>
      </c>
      <c r="K23" s="1239">
        <f>MKK!G41</f>
        <v>1000</v>
      </c>
      <c r="L23" s="881">
        <f>MKK!E20</f>
        <v>1000</v>
      </c>
      <c r="M23" s="881">
        <f>'Analisa Lap Keu'!I68</f>
        <v>7223.2888888888892</v>
      </c>
      <c r="O23" s="352"/>
      <c r="R23" s="383" t="s">
        <v>349</v>
      </c>
    </row>
    <row r="24" spans="1:19" s="383" customFormat="1" ht="21" customHeight="1" x14ac:dyDescent="0.2">
      <c r="A24" s="10"/>
      <c r="B24" s="10"/>
      <c r="C24" s="818"/>
      <c r="D24" s="818"/>
      <c r="E24" s="10"/>
      <c r="F24" s="10"/>
      <c r="G24" s="10"/>
      <c r="H24" s="64"/>
      <c r="I24" s="10"/>
      <c r="J24" s="352"/>
      <c r="K24" s="359"/>
      <c r="L24" s="885"/>
      <c r="M24" s="885"/>
      <c r="N24" s="1820" t="s">
        <v>7965</v>
      </c>
      <c r="O24" s="810"/>
      <c r="P24" s="1820" t="s">
        <v>7961</v>
      </c>
    </row>
    <row r="25" spans="1:19" x14ac:dyDescent="0.2">
      <c r="A25" s="77"/>
      <c r="B25" s="10"/>
      <c r="C25" s="806" t="s">
        <v>7932</v>
      </c>
      <c r="D25" s="806" t="s">
        <v>7933</v>
      </c>
      <c r="E25" s="806" t="s">
        <v>7934</v>
      </c>
      <c r="F25" s="806" t="s">
        <v>7935</v>
      </c>
      <c r="G25" s="151" t="s">
        <v>461</v>
      </c>
      <c r="H25" s="151" t="s">
        <v>350</v>
      </c>
      <c r="I25" s="151" t="s">
        <v>15</v>
      </c>
      <c r="J25" s="353">
        <f>IF(C26&lt;&gt;"",IF(OR(C26="Tidak Ada",C26&lt;=0.6),1,IF(C26&lt;=0.65,2,IF(C26&lt;=0.7,3,IF(C26&lt;=0.75,4,IF(C26&lt;=0.8,5,IF(C26&lt;=0.85,6,IF(C26&lt;=0.9,7,""))))))),"")</f>
        <v>1</v>
      </c>
      <c r="K25" s="884">
        <f>IF(D26&lt;&gt;"",IF(OR(D26="Tidak Ada",D26&lt;=0.6),1,IF(D26&lt;=0.65,2,IF(D26&lt;=0.7,3,IF(D26&lt;=0.75,4,IF(D26&lt;=0.8,5,IF(D26&lt;=0.85,6,IF(D26&lt;=0.9,7,""))))))),"")</f>
        <v>1</v>
      </c>
      <c r="L25" s="353" t="s">
        <v>4243</v>
      </c>
      <c r="M25" s="353" t="s">
        <v>4244</v>
      </c>
      <c r="N25" s="1820"/>
      <c r="O25" s="353" t="s">
        <v>456</v>
      </c>
      <c r="P25" s="1820"/>
      <c r="Q25" s="352"/>
      <c r="R25" s="333">
        <v>1</v>
      </c>
      <c r="S25" s="383" t="s">
        <v>328</v>
      </c>
    </row>
    <row r="26" spans="1:19" ht="27" customHeight="1" x14ac:dyDescent="0.2">
      <c r="A26" s="1874">
        <v>1</v>
      </c>
      <c r="B26" s="803" t="s">
        <v>7923</v>
      </c>
      <c r="C26" s="1216" t="str">
        <f>IF(SUM('Analisa Rek Koran'!$AC$32)=0,"Tidak Ada",IF(ISERROR('Analisa Rek Koran'!$AB$32/'Analisa Rek Koran'!$AC$32),"",'Analisa Rek Koran'!$AB$32/'Analisa Rek Koran'!$AC$32))</f>
        <v>Tidak Ada</v>
      </c>
      <c r="D26" s="1216" t="str">
        <f>IF(SUM('Analisa Rek Koran'!$AC$32)=0,"Tidak Ada",IF(ISERROR('Analisa Rek Koran'!$AB$32/'Analisa Rek Koran'!$AC$32),"",'Analisa Rek Koran'!$AB$32/'Analisa Rek Koran'!$AC$32))</f>
        <v>Tidak Ada</v>
      </c>
      <c r="E26" s="897" t="str">
        <f>IF(MKK!$G$41&lt;&gt;0,IF(AND(MKK!$G$41&lt;=5000,MKK!$E$20&lt;=10000,'Analisa Lap Keu'!$I$68&lt;=250000),IF(L26&lt;&gt;"",IF(L26&lt;=7,"Pass","Not Pass"),""),L26),"")</f>
        <v>Pass</v>
      </c>
      <c r="F26" s="867" t="str">
        <f>IF(MKK!$G$41&lt;&gt;0,IF(AND(MKK!$G$41&lt;=5000,MKK!$E$20&lt;=10000,'Analisa Lap Keu'!$I$68&lt;=250000),IF(M26&lt;&gt;"",IF(M26&lt;=7,"Pass","Not Pass"),""),M26),"")</f>
        <v>Pass</v>
      </c>
      <c r="G26" s="1821"/>
      <c r="H26" s="1829" t="str">
        <f>IF(F26&lt;&gt;"",IF(G26="Ya",IF(F26="Not Pass","Pass",IF(F26="Pass","Pass",MAX(1,(F26-1)))),F26),"")</f>
        <v>Pass</v>
      </c>
      <c r="I26" s="1841"/>
      <c r="J26" s="353">
        <f>IF(C26&lt;&gt;"",IF((C26&gt;0.9)*(C26&lt;=1),8,IF((C26&gt;1)*(C26&lt;=1.1),9,IF(C26&gt;1.1,10,""))))</f>
        <v>10</v>
      </c>
      <c r="K26" s="353">
        <f>IF(D26&lt;&gt;"",IF((D26&gt;0.9)*(D26&lt;=1),8,IF((D26&gt;1)*(D26&lt;=1.1),9,IF(D26&gt;1.1,10,""))))</f>
        <v>10</v>
      </c>
      <c r="L26" s="353">
        <f>IF(C26&lt;&gt;"",IF(OR(C26="Tidak Ada",C26&lt;=0.9),IF(J25&gt;1,IF(C29&gt;=0.5,J25-1,IF(C29&lt;=0.1,J25+1,J25)),J25),IF(SUM(J27:J30)=0,7,J26)),"")</f>
        <v>1</v>
      </c>
      <c r="M26" s="353">
        <f>IF(D26&lt;&gt;"",IF(OR(D26="Tidak Ada",D26&lt;=0.9),IF(K25&gt;1,IF(D29&gt;=0.5,K25-1,IF(D29&lt;=0.1,K25+1,K25)),K25),IF(SUM(K27:K30)=0,7,K26)),"")</f>
        <v>1</v>
      </c>
      <c r="N26" s="353">
        <f>IF(F26="Pass",1,IF(F26="Not Pass",0,""))</f>
        <v>1</v>
      </c>
      <c r="O26" s="353">
        <f>IF(G26="Ya",1,0)</f>
        <v>0</v>
      </c>
      <c r="P26" s="353">
        <f>IF(H26="Pass",1,IF(H26="Not Pass",0,""))</f>
        <v>1</v>
      </c>
      <c r="Q26" s="352"/>
      <c r="R26" s="333">
        <v>2</v>
      </c>
      <c r="S26" s="383" t="s">
        <v>328</v>
      </c>
    </row>
    <row r="27" spans="1:19" x14ac:dyDescent="0.2">
      <c r="A27" s="1875"/>
      <c r="B27" s="804" t="s">
        <v>7926</v>
      </c>
      <c r="C27" s="1080" t="str">
        <f>IF($K$31&lt;&gt;"",IF($K$31=0,"Tidak ada","Ada DPD"),"")</f>
        <v>Tidak ada</v>
      </c>
      <c r="D27" s="1080" t="str">
        <f>IF($K$31&lt;&gt;"",IF($K$31=0,"Tidak ada","Ada DPD"),"")</f>
        <v>Tidak ada</v>
      </c>
      <c r="E27" s="819" t="str">
        <f>IF(C27="Tidak Ada","Pass","Not Pass")</f>
        <v>Pass</v>
      </c>
      <c r="F27" s="819" t="str">
        <f>IF(D27="Tidak Ada","Pass","Not Pass")</f>
        <v>Pass</v>
      </c>
      <c r="G27" s="1822"/>
      <c r="H27" s="1830" t="str">
        <f>IF(F27&lt;&gt;"",IF(G27="Ya",MAX(1,(F27-1)),F27),"")</f>
        <v>Pass</v>
      </c>
      <c r="I27" s="1842"/>
      <c r="J27" s="882">
        <f t="shared" ref="J27:K30" si="0">IF(E27="Not Pass",1,IF(E27="Pass",0,""))</f>
        <v>0</v>
      </c>
      <c r="K27" s="882">
        <f t="shared" si="0"/>
        <v>0</v>
      </c>
      <c r="L27" s="354"/>
      <c r="M27" s="354"/>
      <c r="N27" s="354"/>
      <c r="O27" s="352"/>
      <c r="P27" s="352"/>
      <c r="Q27" s="352"/>
      <c r="R27" s="333">
        <v>3</v>
      </c>
      <c r="S27" s="383" t="s">
        <v>329</v>
      </c>
    </row>
    <row r="28" spans="1:19" x14ac:dyDescent="0.2">
      <c r="A28" s="1875"/>
      <c r="B28" s="1082" t="s">
        <v>7931</v>
      </c>
      <c r="C28" s="1079" t="str">
        <f>'Analisa Rek Koran'!$O$20</f>
        <v>Tidak Ada</v>
      </c>
      <c r="D28" s="1079" t="str">
        <f>'Analisa Rek Koran'!$O$20</f>
        <v>Tidak Ada</v>
      </c>
      <c r="E28" s="819" t="str">
        <f>IF(C28="Tidak Ada","Pass","Not Pass")</f>
        <v>Pass</v>
      </c>
      <c r="F28" s="819" t="str">
        <f>IF(D28="Tidak Ada","Pass","Not Pass")</f>
        <v>Pass</v>
      </c>
      <c r="G28" s="1822"/>
      <c r="H28" s="1830" t="str">
        <f>IF(F28&lt;&gt;"",IF(G28="Ya",MAX(1,(F28-1)),F28),"")</f>
        <v>Pass</v>
      </c>
      <c r="I28" s="1842"/>
      <c r="J28" s="882">
        <f t="shared" si="0"/>
        <v>0</v>
      </c>
      <c r="K28" s="882">
        <f t="shared" si="0"/>
        <v>0</v>
      </c>
      <c r="L28" s="354"/>
      <c r="M28" s="354"/>
      <c r="N28" s="354"/>
      <c r="O28" s="1837"/>
      <c r="P28" s="352"/>
      <c r="Q28" s="352"/>
      <c r="R28" s="333">
        <v>4</v>
      </c>
      <c r="S28" s="383" t="s">
        <v>329</v>
      </c>
    </row>
    <row r="29" spans="1:19" x14ac:dyDescent="0.2">
      <c r="A29" s="1875"/>
      <c r="B29" s="804" t="s">
        <v>7927</v>
      </c>
      <c r="C29" s="814" t="str">
        <f>IF('Analisa Rek Koran'!$F$20&lt;&gt;"",'Analisa Rek Koran'!$F$20,"")</f>
        <v/>
      </c>
      <c r="D29" s="814" t="str">
        <f>IF('Analisa Rek Koran'!$F$20&lt;&gt;"",'Analisa Rek Koran'!$F$20,"")</f>
        <v/>
      </c>
      <c r="E29" s="820" t="str">
        <f>IF(OR(C29&gt;=10%,'Analisa Rek Koran'!$F$22&gt;=$L$29),"Pass","Not Pass")</f>
        <v>Pass</v>
      </c>
      <c r="F29" s="820" t="str">
        <f>IF(OR(D29&gt;=10%,'Analisa Rek Koran'!$F$22&gt;=$L$29),"Pass","Not Pass")</f>
        <v>Pass</v>
      </c>
      <c r="G29" s="1822"/>
      <c r="H29" s="1830" t="str">
        <f>IF(F29&lt;&gt;"",IF(G29="Ya",MAX(1,(F29-1)),F29),"")</f>
        <v>Pass</v>
      </c>
      <c r="I29" s="1842"/>
      <c r="J29" s="882">
        <f t="shared" si="0"/>
        <v>0</v>
      </c>
      <c r="K29" s="882">
        <f t="shared" si="0"/>
        <v>0</v>
      </c>
      <c r="L29" s="882">
        <f>(('Analisa Lap Keu'!E46/MONTH('Analisa Lap Keu'!E9))*2)+(('Analisa Lap Keu'!G79/MONTH('Analisa Lap Keu'!G9))*2)</f>
        <v>182.02050850000001</v>
      </c>
      <c r="M29" s="354"/>
      <c r="N29" s="354"/>
      <c r="O29" s="1837"/>
      <c r="P29" s="352"/>
      <c r="Q29" s="352"/>
      <c r="R29" s="333">
        <v>5</v>
      </c>
      <c r="S29" s="383" t="s">
        <v>330</v>
      </c>
    </row>
    <row r="30" spans="1:19" ht="25.5" x14ac:dyDescent="0.2">
      <c r="A30" s="1876"/>
      <c r="B30" s="805" t="s">
        <v>7928</v>
      </c>
      <c r="C30" s="1081">
        <f>IF('Informasi Debitur'!$F$170&lt;&gt;0,IF(ISERROR('Informasi Debitur'!$H$193/SUM('Informasi Debitur'!$F$170,'Informasi Debitur'!$D$109)),"",('Informasi Debitur'!$H$193/SUM('Informasi Debitur'!$F$170,'Informasi Debitur'!$D$109))),IF(ISERROR('Informasi Debitur'!$H$193/'Informasi Debitur'!$G$108),"",('Informasi Debitur'!$H$193/'Informasi Debitur'!$G$108)))</f>
        <v>0.10801785714285714</v>
      </c>
      <c r="D30" s="1081">
        <f>IF('Informasi Debitur'!$F$170&lt;&gt;0,IF(ISERROR('Informasi Debitur'!$H$193/SUM('Informasi Debitur'!$F$170,'Informasi Debitur'!$D$109)),"",('Informasi Debitur'!$H$193/SUM('Informasi Debitur'!$F$170,'Informasi Debitur'!$D$109))),IF(ISERROR('Informasi Debitur'!$H$193/'Informasi Debitur'!$G$108),"",('Informasi Debitur'!$H$193/'Informasi Debitur'!$G$108)))</f>
        <v>0.10801785714285714</v>
      </c>
      <c r="E30" s="821" t="str">
        <f>IF(C30&lt;&gt;"",IF(C30&lt;=50%,"Pass","Not Pass"),"")</f>
        <v>Pass</v>
      </c>
      <c r="F30" s="821" t="str">
        <f>IF(D30&lt;&gt;"",IF(D30&lt;=50%,"Pass","Not Pass"),"")</f>
        <v>Pass</v>
      </c>
      <c r="G30" s="1823"/>
      <c r="H30" s="1831" t="str">
        <f>IF(F30&lt;&gt;"",IF(G30="Ya",MAX(1,(F30-1)),F30),"")</f>
        <v>Pass</v>
      </c>
      <c r="I30" s="1843"/>
      <c r="J30" s="882">
        <f t="shared" si="0"/>
        <v>0</v>
      </c>
      <c r="K30" s="882">
        <f t="shared" si="0"/>
        <v>0</v>
      </c>
      <c r="L30" s="354"/>
      <c r="M30" s="354"/>
      <c r="N30" s="354"/>
      <c r="O30" s="352"/>
      <c r="P30" s="352"/>
      <c r="Q30" s="352"/>
      <c r="R30" s="333">
        <v>6</v>
      </c>
      <c r="S30" s="383" t="s">
        <v>330</v>
      </c>
    </row>
    <row r="31" spans="1:19" s="383" customFormat="1" x14ac:dyDescent="0.2">
      <c r="A31" s="1164">
        <v>2</v>
      </c>
      <c r="B31" s="1160" t="s">
        <v>7924</v>
      </c>
      <c r="C31" s="807" t="str">
        <f>IF($J$31&lt;&gt;"",IF($J$31=0,"Tidak Ada",$J$31),"")</f>
        <v>Tidak Ada</v>
      </c>
      <c r="D31" s="807" t="str">
        <f>IF($J$31&lt;&gt;"",IF($J$31=0,"Tidak Ada",$J$31),"")</f>
        <v>Tidak Ada</v>
      </c>
      <c r="E31" s="897" t="str">
        <f>IF(MKK!G41&lt;&gt;0,IF(AND(MKK!$G$41&lt;=5000,MKK!$E$20&lt;=10000,'Analisa Lap Keu'!$I$68&lt;=250000),IF(L31&lt;&gt;"",IF(L31&lt;=7,"Pass","Not Pass"),""),L31),"")</f>
        <v>Pass</v>
      </c>
      <c r="F31" s="867" t="str">
        <f>IF(MKK!G41&lt;&gt;0,IF(AND(MKK!$G$41&lt;=5000,MKK!$E$20&lt;=10000,'Analisa Lap Keu'!$I$68&lt;=250000),IF(M31&lt;&gt;"",IF(M31&lt;=7,"Pass","Not Pass"),""),M31),"")</f>
        <v>Pass</v>
      </c>
      <c r="G31" s="815"/>
      <c r="H31" s="820" t="str">
        <f>IF(F31&lt;&gt;"",IF(G31="Ya",IF(F31="Not Pass","Pass",IF(F31="Pass","Pass",MAX(1,(F31-1)))),F31),"")</f>
        <v>Pass</v>
      </c>
      <c r="I31" s="1099"/>
      <c r="J31" s="386">
        <f>IF(AND('Informasi Debitur'!R178&lt;&gt;"",'Informasi Debitur'!R180&lt;&gt;"",'Informasi Debitur'!R181&lt;&gt;""),'Informasi Debitur'!R178+'Informasi Debitur'!R180+'Informasi Debitur'!R181,"")</f>
        <v>0</v>
      </c>
      <c r="K31" s="386">
        <f>IF(AND('Informasi Debitur'!R178&lt;&gt;"",'Informasi Debitur'!R179&lt;&gt;"",'Informasi Debitur'!R180&lt;&gt;"",'Informasi Debitur'!R181&lt;&gt;""),'Informasi Debitur'!R178+'Informasi Debitur'!R179+'Informasi Debitur'!R180+'Informasi Debitur'!R181,"")</f>
        <v>0</v>
      </c>
      <c r="L31" s="353">
        <f>IF(C31&lt;&gt;"",IF(C31="Tidak Ada",1,LOOKUP(C31,Database!$E$170:$F$174)),"")</f>
        <v>1</v>
      </c>
      <c r="M31" s="353">
        <f>IF(D31&lt;&gt;"",IF(D31="Tidak Ada",1,LOOKUP(D31,Database!$E$170:$F$174)),"")</f>
        <v>1</v>
      </c>
      <c r="N31" s="884">
        <f>IF(F31="Pass",1,IF(F31="Not Pass",0,""))</f>
        <v>1</v>
      </c>
      <c r="O31" s="353">
        <f>IF(G31="Ya",1,0)</f>
        <v>0</v>
      </c>
      <c r="P31" s="352">
        <f>IF(H31="Pass",1,IF(H31="Not Pass",0,""))</f>
        <v>1</v>
      </c>
      <c r="Q31" s="352"/>
      <c r="R31" s="383">
        <v>7</v>
      </c>
      <c r="S31" s="383" t="s">
        <v>330</v>
      </c>
    </row>
    <row r="32" spans="1:19" x14ac:dyDescent="0.2">
      <c r="A32" s="1120">
        <v>3</v>
      </c>
      <c r="B32" s="1121" t="s">
        <v>325</v>
      </c>
      <c r="C32" s="1078">
        <f>'Analisa Lap Keu'!$I$15</f>
        <v>1.7640769906777625</v>
      </c>
      <c r="D32" s="1078">
        <f>'Analisa Lap Keu'!$I$15</f>
        <v>1.7640769906777625</v>
      </c>
      <c r="E32" s="897" t="str">
        <f>IF(MKK!G41&lt;&gt;0,IF(AND(MKK!$G$41&lt;=5000,MKK!$E$20&lt;=10000,'Analisa Lap Keu'!$I$68&lt;=250000),IF(L32&lt;&gt;"",IF(L32&lt;=7,"Pass","Not Pass"),""),L32),"")</f>
        <v>Pass</v>
      </c>
      <c r="F32" s="867" t="str">
        <f>IF(MKK!G41&lt;&gt;0,IF(AND(MKK!$G$41&lt;=5000,MKK!$E$20&lt;=10000,'Analisa Lap Keu'!$I$68&lt;=250000),IF(M32&lt;&gt;"",IF(M32&lt;=7,"Pass","Not Pass"),""),M32),"")</f>
        <v>Pass</v>
      </c>
      <c r="G32" s="815"/>
      <c r="H32" s="868" t="str">
        <f>IF(F32&lt;&gt;"",IF(G32="Ya",IF(F32="Not Pass","Pass",IF(F32="Pass","Pass",MAX(1,(F32-1)))),F32),"")</f>
        <v>Pass</v>
      </c>
      <c r="I32" s="883"/>
      <c r="J32" s="882">
        <f>IF(C32&lt;&gt;"",IF(C32&gt;=2.5,1,IF(C32&gt;=2,2,IF(C32&gt;=1.9,3,IF(C32&gt;=1.8,4,IF(C32&gt;=1.7,5,IF(C32&gt;=1.6,6,IF(C32&gt;=1.5,7,""))))))),"")</f>
        <v>5</v>
      </c>
      <c r="K32" s="353" t="str">
        <f>IF(C32&lt;&gt;"",IF((C32&gt;=1)*(C32&lt;1.5),8,IF((C32&gt;=0.8)*(C32&lt;0.9),9,IF(C32&lt;0.8,10,""))),"")</f>
        <v/>
      </c>
      <c r="L32" s="886">
        <f>MAX($J$32,$K$32)</f>
        <v>5</v>
      </c>
      <c r="M32" s="353">
        <f>MAX($J$33,$K$33)</f>
        <v>5</v>
      </c>
      <c r="N32" s="887">
        <f>IF(F32="Pass",1,IF(F32="Not Pass",0,""))</f>
        <v>1</v>
      </c>
      <c r="O32" s="353">
        <f>IF(G32="Ya",1,0)</f>
        <v>0</v>
      </c>
      <c r="P32" s="352">
        <f>IF(H32="Pass",1,IF(H32="Not Pass",0,""))</f>
        <v>1</v>
      </c>
      <c r="Q32" s="352"/>
      <c r="R32" s="333">
        <v>8</v>
      </c>
      <c r="S32" s="383" t="s">
        <v>334</v>
      </c>
    </row>
    <row r="33" spans="1:19" ht="13.5" thickBot="1" x14ac:dyDescent="0.25">
      <c r="A33" s="1874" t="s">
        <v>8045</v>
      </c>
      <c r="B33" s="801" t="s">
        <v>7925</v>
      </c>
      <c r="C33" s="816">
        <f>IF($C$34&lt;&gt;$C$35,$C$35,$C$34)</f>
        <v>0</v>
      </c>
      <c r="D33" s="816">
        <f>IF($D$34&lt;&gt;$D$35,$D$35,$D$34)</f>
        <v>0</v>
      </c>
      <c r="E33" s="1899" t="str">
        <f>IF(MKK!G41&lt;&gt;0,IF(AND(MKK!$G$41&lt;=5000,MKK!$E$20&lt;=10000,'Analisa Lap Keu'!$I$68&lt;=250000),IF(L33&lt;&gt;"",IF(L33&lt;=7,"Pass","Not Pass"),""),L33),"")</f>
        <v>Pass</v>
      </c>
      <c r="F33" s="1829" t="str">
        <f>IF(MKK!G41&lt;&gt;0,IF(AND(MKK!$G$41&lt;=5000,MKK!$E$20&lt;=10000,'Analisa Lap Keu'!$I$68&lt;=250000),IF(M33&lt;&gt;"",IF(M33&lt;=7,"Pass","Not Pass"),""),M33),"")</f>
        <v>Pass</v>
      </c>
      <c r="G33" s="1844"/>
      <c r="H33" s="1829" t="str">
        <f>IF(F33&lt;&gt;"",IF(G33="Ya",IF(F33="Not Pass","Pass",IF(F33="Pass","Pass",MAX(1,(F33-1)))),F33),"")</f>
        <v>Pass</v>
      </c>
      <c r="I33" s="1838"/>
      <c r="J33" s="1242">
        <f>IF(D32&lt;&gt;"",IF(D32&gt;=2.5,1,IF(D32&gt;=2,2,IF(D32&gt;=1.9,3,IF(D32&gt;=1.8,4,IF(D32&gt;=1.7,5,IF(D32&gt;=1.6,6,IF(D32&gt;=1.5,7,""))))))),"")</f>
        <v>5</v>
      </c>
      <c r="K33" s="1242" t="str">
        <f>IF(D32&lt;&gt;"",IF((D32&gt;=1)*(D32&lt;1.5),8,IF((D32&gt;=0.8)*(D32&lt;0.9),9,IF(D32&lt;0.8,10,""))),"")</f>
        <v/>
      </c>
      <c r="L33" s="1242">
        <f>IF(C34&lt;&gt;C35,$K$37,$K$34)</f>
        <v>1</v>
      </c>
      <c r="M33" s="353">
        <f>IF(D34&lt;&gt;D35,$L$37,$L$34)</f>
        <v>1</v>
      </c>
      <c r="N33" s="810"/>
      <c r="O33" s="353">
        <f>IF(G33="Ya",1,0)</f>
        <v>0</v>
      </c>
      <c r="P33" s="352"/>
      <c r="Q33" s="352"/>
      <c r="R33" s="333">
        <v>9</v>
      </c>
      <c r="S33" s="383" t="s">
        <v>334</v>
      </c>
    </row>
    <row r="34" spans="1:19" x14ac:dyDescent="0.2">
      <c r="A34" s="1875"/>
      <c r="B34" s="800" t="s">
        <v>7929</v>
      </c>
      <c r="C34" s="816">
        <f>IF(ISERROR(('Informasi Debitur'!$D$109+'Informasi Debitur'!$F$170)/$C$50),"",('Informasi Debitur'!$D$109+'Informasi Debitur'!$F$170)/$C$50)</f>
        <v>0</v>
      </c>
      <c r="D34" s="816">
        <f>IF(ISERROR(('Informasi Debitur'!$D$109+'Informasi Debitur'!$F$170)/$C$50),"",('Informasi Debitur'!$D$109+'Informasi Debitur'!$F$170)/$C$50)</f>
        <v>0</v>
      </c>
      <c r="E34" s="1900" t="e">
        <f>IF(AND([10]MKK!$G$41&lt;=5000,[10]MKK!$E$20&lt;=10000,'[10]Analisa Lap Keu'!$I$68&lt;=250000),IF(#REF!&lt;&gt;"",IF(#REF!&lt;=7,"Pass","Not Pass"),""),#REF!)</f>
        <v>#REF!</v>
      </c>
      <c r="F34" s="1830"/>
      <c r="G34" s="1844"/>
      <c r="H34" s="1830"/>
      <c r="I34" s="1839"/>
      <c r="J34" s="1832" t="s">
        <v>232</v>
      </c>
      <c r="K34" s="1243">
        <f>MAX(K35,K36)</f>
        <v>1</v>
      </c>
      <c r="L34" s="1244">
        <f>MAX(L35,L36)</f>
        <v>1</v>
      </c>
      <c r="O34" s="352"/>
      <c r="P34" s="352"/>
      <c r="Q34" s="352"/>
      <c r="R34" s="333">
        <v>10</v>
      </c>
      <c r="S34" s="383" t="s">
        <v>334</v>
      </c>
    </row>
    <row r="35" spans="1:19" x14ac:dyDescent="0.2">
      <c r="A35" s="1876"/>
      <c r="B35" s="802" t="s">
        <v>7930</v>
      </c>
      <c r="C35" s="817">
        <f>IF(ISERROR(('Informasi Debitur'!$D$109+'Informasi Debitur'!$D$110+'Informasi Debitur'!$F$170+'Informasi Debitur'!$F$171)/$C$50),"",('Informasi Debitur'!$D$109+'Informasi Debitur'!$D$110+'Informasi Debitur'!$F$170+'Informasi Debitur'!$F$171)/$C$50)</f>
        <v>0</v>
      </c>
      <c r="D35" s="817">
        <f>IF(ISERROR(('Informasi Debitur'!$D$109+'Informasi Debitur'!$D$110+'Informasi Debitur'!$F$170+'Informasi Debitur'!$F$171)/$C$50),"",('Informasi Debitur'!$D$109+'Informasi Debitur'!$D$110+'Informasi Debitur'!$F$170+'Informasi Debitur'!$F$171)/$C$50)</f>
        <v>0</v>
      </c>
      <c r="E35" s="1901" t="str">
        <f>IF(AND([10]MKK!$G$41&lt;=5000,[10]MKK!$E$20&lt;=10000,'[10]Analisa Lap Keu'!$I$68&lt;=250000),IF(L35&lt;&gt;"",IF(L35&lt;=7,"Pass","Not Pass"),""),L35)</f>
        <v>Pass</v>
      </c>
      <c r="F35" s="1831"/>
      <c r="G35" s="1845"/>
      <c r="H35" s="1831"/>
      <c r="I35" s="1840"/>
      <c r="J35" s="1833"/>
      <c r="K35" s="353">
        <f>IF($C$34&lt;&gt;"",IF($C$34&lt;=0.3,1,IF($C$34&lt;=0.35,2,IF($C$34&lt;=0.4,3,IF($C$34&lt;=0.425,4,IF($C$34&lt;=0.45,5,IF($C$34&lt;=0.475,6,IF($C$34&lt;=0.5,7,""))))))),"")</f>
        <v>1</v>
      </c>
      <c r="L35" s="1245">
        <f>IF($D$34&lt;&gt;"",IF($D$34&lt;=0.3,1,IF($D$34&lt;=0.35,2,IF($D$34&lt;=0.4,3,IF($D$34&lt;=0.425,4,IF($D$34&lt;=0.45,5,IF($D$34&lt;=0.475,6,IF($D$34&lt;=0.5,7,""))))))),"")</f>
        <v>1</v>
      </c>
      <c r="O35" s="352"/>
      <c r="P35" s="352"/>
      <c r="Q35" s="352"/>
    </row>
    <row r="36" spans="1:19" ht="13.5" thickBot="1" x14ac:dyDescent="0.25">
      <c r="A36" s="77"/>
      <c r="B36" s="10"/>
      <c r="C36" s="76"/>
      <c r="D36" s="76"/>
      <c r="E36" s="10"/>
      <c r="F36" s="10"/>
      <c r="G36" s="10"/>
      <c r="H36" s="10"/>
      <c r="I36" s="10"/>
      <c r="J36" s="1833"/>
      <c r="K36" s="353" t="str">
        <f>IF($C$34&lt;&gt;"",IF(($C$34&gt;0.5)*($C$34&lt;=0.55),8,IF(($C$34&gt;0.55)*($C$34&lt;=0.6),9,IF($C$34&gt;0.6,10,""))),"")</f>
        <v/>
      </c>
      <c r="L36" s="1245" t="str">
        <f>IF($D$34&lt;&gt;"",IF(($D$34&gt;0.5)*($D$34&lt;=0.55),8,IF(($D$34&gt;0.55)*($D$34&lt;=0.6),9,IF($D$34&gt;0.6,10,""))),"")</f>
        <v/>
      </c>
      <c r="N36" s="353" t="s">
        <v>7937</v>
      </c>
      <c r="O36" s="353">
        <f>SUM(O26:O32)</f>
        <v>0</v>
      </c>
      <c r="P36" s="352"/>
      <c r="Q36" s="352"/>
    </row>
    <row r="37" spans="1:19" ht="16.5" thickBot="1" x14ac:dyDescent="0.3">
      <c r="A37" s="77"/>
      <c r="B37" s="10"/>
      <c r="C37" s="1826" t="s">
        <v>671</v>
      </c>
      <c r="D37" s="1827"/>
      <c r="E37" s="140" t="str">
        <f>IF(AND(MKK!$G$41&lt;=5000,MKK!$E$20&lt;=10000,'Analisa Lap Keu'!$I$68&lt;=250000),IF(O36&gt;1,"NOT PASS",IF(COUNT(N26:N32)=3,IF(SUM(N26:N32)=3,"PASS","NOT PASS"),"")),IF(O37&gt;1,"NOT PASS",MAX(F26:F35)))</f>
        <v>PASS</v>
      </c>
      <c r="F37" s="865" t="str">
        <f>IF(ISERROR(VLOOKUP(E37,R25:S34,2,FALSE)),"",VLOOKUP(E37,R25:S34,2,FALSE))</f>
        <v/>
      </c>
      <c r="G37" s="10"/>
      <c r="H37" s="10"/>
      <c r="I37" s="10"/>
      <c r="J37" s="1834" t="s">
        <v>7972</v>
      </c>
      <c r="K37" s="353">
        <f>MAX(K38,K39)</f>
        <v>1</v>
      </c>
      <c r="L37" s="1245">
        <f>MAX(L38,L39)</f>
        <v>1</v>
      </c>
      <c r="N37" s="353" t="s">
        <v>7938</v>
      </c>
      <c r="O37" s="353">
        <f>SUM(O26:O35)</f>
        <v>0</v>
      </c>
      <c r="P37" s="352"/>
      <c r="Q37" s="352"/>
    </row>
    <row r="38" spans="1:19" ht="16.5" thickBot="1" x14ac:dyDescent="0.3">
      <c r="A38" s="77"/>
      <c r="B38" s="10"/>
      <c r="C38" s="1826" t="s">
        <v>672</v>
      </c>
      <c r="D38" s="1827"/>
      <c r="E38" s="836" t="str">
        <f>IF(AND(MKK!$G$41&lt;=5000,MKK!$E$20&lt;=10000,'Analisa Lap Keu'!$I$68&lt;=250000),IF(O36&gt;1,"NOT PASS",IF(COUNT(P26:P32)=3,IF(SUM(P26:P32)=3,"PASS","NOT PASS"),"")),IF(O37&gt;1,"NOT PASS",MAX(H26:H35)))</f>
        <v>PASS</v>
      </c>
      <c r="F38" s="866" t="str">
        <f>IF(ISERROR(VLOOKUP(E38,R25:S34,2,FALSE)),"",VLOOKUP(E38,R25:S34,2,FALSE))</f>
        <v/>
      </c>
      <c r="G38" s="10"/>
      <c r="H38" s="10"/>
      <c r="I38" s="10"/>
      <c r="J38" s="1835"/>
      <c r="K38" s="353">
        <f>IF($C$35&lt;&gt;"",IF($C$35&lt;=0.6,1,IF($C$35&lt;=0.65,2,IF($C$35&lt;=0.7,3,IF($C$35&lt;=0.725,4,IF($C$35&lt;=0.75,5,IF($C$35&lt;=0.775,6,IF($C$35&lt;=0.8,7,""))))))),"")</f>
        <v>1</v>
      </c>
      <c r="L38" s="1245">
        <f>IF($D$35&lt;&gt;"",IF($D$35&lt;=0.6,1,IF($D$35&lt;=0.65,2,IF($D$35&lt;=0.7,3,IF($D$35&lt;=0.725,4,IF($D$35&lt;=0.75,5,IF($D$35&lt;=0.775,6,IF($D$35&lt;=0.8,7,""))))))),"")</f>
        <v>1</v>
      </c>
    </row>
    <row r="39" spans="1:19" ht="15.75" thickBot="1" x14ac:dyDescent="0.3">
      <c r="A39" s="77"/>
      <c r="B39" s="10"/>
      <c r="C39" s="76"/>
      <c r="D39" s="76"/>
      <c r="E39" s="276"/>
      <c r="F39" s="10"/>
      <c r="G39" s="10"/>
      <c r="H39" s="10"/>
      <c r="I39" s="10"/>
      <c r="J39" s="1836"/>
      <c r="K39" s="1246" t="str">
        <f>IF($C$35&lt;&gt;"",IF(($C$35&gt;0.8)*($C$35&lt;=0.85),8,IF(($C$35&gt;0.85)*($C$35&lt;=0.9),9,IF($C$35&gt;0.9,10,""))),"")</f>
        <v/>
      </c>
      <c r="L39" s="1247" t="str">
        <f>IF($D$35&lt;&gt;"",IF(($D$35&gt;0.8)*($D$35&lt;=0.85),8,IF(($D$35&gt;0.85)*($D$35&lt;=0.9),9,IF($D$35&gt;0.9,10,""))),"")</f>
        <v/>
      </c>
      <c r="N39" s="838"/>
      <c r="O39" s="837"/>
    </row>
    <row r="40" spans="1:19" x14ac:dyDescent="0.2">
      <c r="A40" s="77"/>
      <c r="B40" s="10"/>
      <c r="C40" s="235"/>
      <c r="D40" s="235"/>
      <c r="E40" s="10"/>
      <c r="F40" s="10"/>
      <c r="G40" s="10"/>
      <c r="H40" s="10"/>
      <c r="I40" s="10"/>
      <c r="N40" s="838"/>
      <c r="O40" s="837"/>
    </row>
    <row r="41" spans="1:19" ht="15" x14ac:dyDescent="0.2">
      <c r="A41" s="89" t="s">
        <v>756</v>
      </c>
      <c r="B41" s="87"/>
      <c r="C41" s="88"/>
      <c r="D41" s="88"/>
      <c r="E41" s="87"/>
      <c r="F41" s="87"/>
      <c r="G41" s="87"/>
      <c r="H41" s="87"/>
      <c r="I41" s="87"/>
      <c r="N41" s="838"/>
      <c r="O41" s="837"/>
      <c r="P41" s="383"/>
      <c r="Q41" s="383"/>
    </row>
    <row r="42" spans="1:19" x14ac:dyDescent="0.2">
      <c r="A42" s="77"/>
      <c r="B42" s="10"/>
      <c r="C42" s="76"/>
      <c r="D42" s="76"/>
      <c r="E42" s="10"/>
      <c r="F42" s="10"/>
      <c r="G42" s="10"/>
      <c r="H42" s="10"/>
      <c r="I42" s="10"/>
      <c r="P42" s="383"/>
      <c r="Q42" s="837"/>
    </row>
    <row r="43" spans="1:19" ht="15" x14ac:dyDescent="0.25">
      <c r="A43" s="77"/>
      <c r="B43" s="10" t="s">
        <v>344</v>
      </c>
      <c r="C43" s="1846" t="s">
        <v>8249</v>
      </c>
      <c r="D43" s="1846"/>
      <c r="E43" s="10"/>
      <c r="F43" s="10"/>
      <c r="G43" s="10"/>
      <c r="H43" s="10"/>
      <c r="I43" s="10"/>
      <c r="L43" s="838"/>
      <c r="P43" s="383"/>
      <c r="Q43" s="837"/>
    </row>
    <row r="44" spans="1:19" ht="3.75" customHeight="1" x14ac:dyDescent="0.25">
      <c r="A44" s="77"/>
      <c r="B44" s="10"/>
      <c r="C44" s="381"/>
      <c r="D44" s="381"/>
      <c r="E44" s="10"/>
      <c r="F44" s="10"/>
      <c r="G44" s="10"/>
      <c r="H44" s="10"/>
      <c r="I44" s="10"/>
      <c r="P44" s="383"/>
      <c r="Q44" s="837"/>
    </row>
    <row r="45" spans="1:19" ht="15.75" thickBot="1" x14ac:dyDescent="0.3">
      <c r="A45" s="77"/>
      <c r="B45" s="10"/>
      <c r="C45" s="1789" t="s">
        <v>4243</v>
      </c>
      <c r="D45" s="1789"/>
      <c r="E45" s="1789" t="s">
        <v>4244</v>
      </c>
      <c r="F45" s="1789"/>
      <c r="G45" s="10"/>
      <c r="H45" s="10"/>
      <c r="I45" s="10"/>
    </row>
    <row r="46" spans="1:19" x14ac:dyDescent="0.2">
      <c r="A46" s="77"/>
      <c r="B46" s="10" t="s">
        <v>4245</v>
      </c>
      <c r="C46" s="1849">
        <f>'Informasi Debitur'!F108</f>
        <v>1400</v>
      </c>
      <c r="D46" s="1849"/>
      <c r="E46" s="1851">
        <f>MKK!G41</f>
        <v>1000</v>
      </c>
      <c r="F46" s="1851"/>
      <c r="G46" s="10"/>
      <c r="H46" s="10"/>
      <c r="I46" s="10"/>
      <c r="L46" s="839" t="s">
        <v>7955</v>
      </c>
      <c r="M46" s="840" t="s">
        <v>775</v>
      </c>
    </row>
    <row r="47" spans="1:19" x14ac:dyDescent="0.2">
      <c r="A47" s="77"/>
      <c r="B47" s="10" t="s">
        <v>4246</v>
      </c>
      <c r="C47" s="1848">
        <f>SUM('Informasi Debitur'!E221:E230)</f>
        <v>1501.886</v>
      </c>
      <c r="D47" s="1848"/>
      <c r="E47" s="1850">
        <f>MKK!D106</f>
        <v>1501.886</v>
      </c>
      <c r="F47" s="1850"/>
      <c r="G47" s="10"/>
      <c r="H47" s="10"/>
      <c r="I47" s="10"/>
      <c r="L47" s="841">
        <v>0</v>
      </c>
      <c r="M47" s="842">
        <v>1.2</v>
      </c>
    </row>
    <row r="48" spans="1:19" s="383" customFormat="1" ht="25.5" x14ac:dyDescent="0.2">
      <c r="A48" s="77"/>
      <c r="B48" s="645" t="s">
        <v>7949</v>
      </c>
      <c r="C48" s="1903">
        <f>'Informasi Debitur'!E232</f>
        <v>1501.886</v>
      </c>
      <c r="D48" s="1904"/>
      <c r="E48" s="1905">
        <f>MKK!D107</f>
        <v>1501.886</v>
      </c>
      <c r="F48" s="1906"/>
      <c r="G48" s="10"/>
      <c r="H48" s="10"/>
      <c r="I48" s="10"/>
      <c r="L48" s="841">
        <v>0.2</v>
      </c>
      <c r="M48" s="842">
        <v>1.35</v>
      </c>
      <c r="N48" s="352"/>
    </row>
    <row r="49" spans="1:17" x14ac:dyDescent="0.2">
      <c r="A49" s="77"/>
      <c r="B49" s="10" t="s">
        <v>347</v>
      </c>
      <c r="C49" s="1848" t="str">
        <f>IF(AND(OR('Informasi Debitur'!F170&gt;0,'Informasi Debitur'!G109&gt;0),OR('Informasi Debitur'!G110&gt;0,'Informasi Debitur'!F171&gt;0)),"Modal Kerja dan Investasi",IF(OR('Informasi Debitur'!F170&gt;0,'Informasi Debitur'!G109&gt;0),"Modal Kerja",IF(OR('Informasi Debitur'!G110&gt;0,'Informasi Debitur'!F171&gt;0),"Investasi","")))</f>
        <v>Modal Kerja</v>
      </c>
      <c r="D49" s="1848"/>
      <c r="E49" s="1902" t="str">
        <f>IF(AND(OR('Informasi Debitur'!F170&gt;0,SUMIF(MKK!B34:B40,"Modal Kerja",MKK!G34:G40)&gt;0),OR(SUMIF(MKK!B34:B40,"Investasi",MKK!G34:G40)&gt;0,'Informasi Debitur'!F171&gt;0)),"Modal Kerja dan Investasi",IF(OR('Informasi Debitur'!F170&gt;0,SUMIF(MKK!B34:B40,"Modal Kerja",MKK!G34:G40)&gt;0),"Modal Kerja",IF(OR(SUMIF(MKK!B34:B40,"Investasi",MKK!G34:G40)&gt;0,'Informasi Debitur'!F171&gt;0),"Investasi","")))</f>
        <v>Modal Kerja</v>
      </c>
      <c r="F49" s="1848"/>
      <c r="G49" s="10"/>
      <c r="H49" s="10"/>
      <c r="I49" s="10"/>
      <c r="L49" s="841">
        <v>0.5</v>
      </c>
      <c r="M49" s="842">
        <v>1.5</v>
      </c>
    </row>
    <row r="50" spans="1:17" x14ac:dyDescent="0.2">
      <c r="A50" s="77"/>
      <c r="B50" s="10" t="s">
        <v>348</v>
      </c>
      <c r="C50" s="1828">
        <f>IF(SUM('Analisa Lap Keu'!G68)&lt;&gt;0,'Analisa Lap Keu'!G68,IF(SUM('Analisa Lap Keu'!E68)&lt;&gt;0,'Analisa Lap Keu'!E68,IF(SUM('Analisa Lap Keu'!C68)&lt;&gt;0,'Analisa Lap Keu'!C68,IF(SUM('Analisa Lap Keu'!B68)&lt;&gt;0,'Analisa Lap Keu'!B68,""))))</f>
        <v>18762.97</v>
      </c>
      <c r="D50" s="1828"/>
      <c r="E50" s="1828">
        <f>IF(SUM('Analisa Lap Keu'!G68)&lt;&gt;0,'Analisa Lap Keu'!G68,IF(SUM('Analisa Lap Keu'!E68)&lt;&gt;0,'Analisa Lap Keu'!E68,IF(SUM('Analisa Lap Keu'!C68)&lt;&gt;0,'Analisa Lap Keu'!C68,IF(SUM('Analisa Lap Keu'!B68)&lt;&gt;0,'Analisa Lap Keu'!B68,""))))</f>
        <v>18762.97</v>
      </c>
      <c r="F50" s="1828"/>
      <c r="G50" s="10"/>
      <c r="H50" s="10"/>
      <c r="I50" s="10"/>
      <c r="L50" s="841">
        <v>0</v>
      </c>
      <c r="M50" s="842">
        <v>1.1000000000000001</v>
      </c>
    </row>
    <row r="51" spans="1:17" x14ac:dyDescent="0.2">
      <c r="A51" s="77"/>
      <c r="B51" s="10"/>
      <c r="C51" s="76"/>
      <c r="D51" s="76"/>
      <c r="E51" s="10"/>
      <c r="F51" s="10"/>
      <c r="G51" s="10"/>
      <c r="H51" s="10"/>
      <c r="I51" s="10"/>
      <c r="L51" s="841">
        <v>0.2</v>
      </c>
      <c r="M51" s="842">
        <v>1.25</v>
      </c>
    </row>
    <row r="52" spans="1:17" ht="13.5" thickBot="1" x14ac:dyDescent="0.25">
      <c r="A52" s="77"/>
      <c r="B52" s="10"/>
      <c r="C52" s="248"/>
      <c r="D52" s="248"/>
      <c r="E52" s="10"/>
      <c r="F52" s="10"/>
      <c r="G52" s="10"/>
      <c r="H52" s="10"/>
      <c r="I52" s="10"/>
      <c r="L52" s="843">
        <v>0.5</v>
      </c>
      <c r="M52" s="844">
        <v>1.4</v>
      </c>
    </row>
    <row r="53" spans="1:17" ht="15" x14ac:dyDescent="0.25">
      <c r="A53" s="77"/>
      <c r="B53" s="10"/>
      <c r="C53" s="1789" t="s">
        <v>4243</v>
      </c>
      <c r="D53" s="1789"/>
      <c r="E53" s="1789" t="s">
        <v>4244</v>
      </c>
      <c r="F53" s="1789"/>
      <c r="G53" s="10"/>
      <c r="H53" s="10"/>
      <c r="I53" s="10"/>
      <c r="J53" s="1778" t="s">
        <v>4243</v>
      </c>
      <c r="K53" s="1779"/>
      <c r="L53" s="1782" t="s">
        <v>4244</v>
      </c>
      <c r="M53" s="1783"/>
    </row>
    <row r="54" spans="1:17" ht="5.0999999999999996" customHeight="1" x14ac:dyDescent="0.2">
      <c r="A54" s="77"/>
      <c r="B54" s="10"/>
      <c r="C54" s="256"/>
      <c r="D54" s="256"/>
      <c r="E54" s="246"/>
      <c r="F54" s="247"/>
      <c r="G54" s="10"/>
      <c r="H54" s="10"/>
      <c r="I54" s="10"/>
      <c r="J54" s="1780"/>
      <c r="K54" s="1781"/>
      <c r="L54" s="1784"/>
      <c r="M54" s="1785"/>
    </row>
    <row r="55" spans="1:17" x14ac:dyDescent="0.2">
      <c r="A55" s="77"/>
      <c r="B55" s="10"/>
      <c r="C55" s="265" t="s">
        <v>345</v>
      </c>
      <c r="D55" s="271" t="s">
        <v>346</v>
      </c>
      <c r="E55" s="265" t="s">
        <v>345</v>
      </c>
      <c r="F55" s="265" t="s">
        <v>346</v>
      </c>
      <c r="G55" s="10"/>
      <c r="H55" s="10"/>
      <c r="I55" s="10"/>
      <c r="J55" s="845" t="s">
        <v>7946</v>
      </c>
      <c r="K55" s="827" t="s">
        <v>7947</v>
      </c>
      <c r="L55" s="827" t="s">
        <v>7946</v>
      </c>
      <c r="M55" s="846" t="s">
        <v>7947</v>
      </c>
    </row>
    <row r="56" spans="1:17" x14ac:dyDescent="0.2">
      <c r="A56" s="77"/>
      <c r="B56" s="41" t="s">
        <v>341</v>
      </c>
      <c r="C56" s="861">
        <f>IF(ISERROR(C46/C48),"",C46/C48)</f>
        <v>0.93216129586400032</v>
      </c>
      <c r="D56" s="862" t="str">
        <f>IF($C$43="Red","NOT PASS",IF(MKK!$G$41&lt;&gt;0,IF(AND(MKK!$G$41&lt;=5000,MKK!$E$20&lt;=10000,'Analisa Lap Keu'!$I$68&lt;=250000),J56,K56),""))</f>
        <v>PASS</v>
      </c>
      <c r="E56" s="863">
        <f>IF(ISERROR(E46/E48),"",E46/E48)</f>
        <v>0.66582949704571459</v>
      </c>
      <c r="F56" s="864" t="str">
        <f>IF($C$43="Red","NOT PASS",IF(MKK!$G$41&lt;&gt;0,IF(AND(MKK!$G$41&lt;=5000,MKK!$E$20&lt;=10000,'Analisa Lap Keu'!$I$68&lt;=250000),L56,M56),""))</f>
        <v>PASS</v>
      </c>
      <c r="G56" s="64"/>
      <c r="H56" s="64"/>
      <c r="I56" s="64"/>
      <c r="J56" s="847" t="str">
        <f>IF(AND(C56&lt;&gt;"",'Informasi Debitur'!E233&lt;&gt;"",E38&lt;&gt;"",MKK!$G$41&lt;=5000),IF(OR(E38="Pass",E38&lt;8),IF('Informasi Debitur'!E233&lt;20%,IF(C56&lt;=110%,"PASS","NOT PASS"),IF('Informasi Debitur'!E233&lt;50%,IF(C56&lt;=130%,"PASS","NOT PASS"),IF(C56&lt;=150%,"PASS","NOT PASS"))),"NOT PASS"),"")</f>
        <v>PASS</v>
      </c>
      <c r="K56" s="828" t="str">
        <f>IF(AND(C56&lt;&gt;"",'Informasi Debitur'!E233&lt;&gt;"",E38&lt;&gt;"",MKK!$G$41&gt;5000),IF((E38&gt;=1)*(E38&lt;=4),IF(C56&lt;=(LOOKUP('Informasi Debitur'!E233,L47:L49,M47:M49)),"PASS","NOT PASS"),IF((E38&gt;=5)*(E38&lt;=7),IF(C56&lt;=(LOOKUP('Informasi Debitur'!E233,L50:L52,M50:M52)),"PASS","NOT PASS"),"NOT PASS")),"")</f>
        <v/>
      </c>
      <c r="L56" s="827" t="str">
        <f>IF(AND(E56&lt;&gt;"",MKK!D108&lt;&gt;"",E38&lt;&gt;"",MKK!$G$41&lt;=5000),IF(OR(E38="Pass",E38&lt;8),IF(MKK!D108&lt;20%,IF(E56&lt;=110%,"PASS","NOT PASS"),IF(MKK!D108&lt;50%,IF(E56&lt;=130%,"PASS","NOT PASS"),IF(E56&lt;=150%,"PASS","NOT PASS"))),"NOT PASS"),"")</f>
        <v>PASS</v>
      </c>
      <c r="M56" s="846" t="str">
        <f>IF(AND(E56&lt;&gt;"",MKK!D108&lt;&gt;"",E38&lt;&gt;"",MKK!$G$41&gt;5000),IF((E38&gt;=1)*(E38&lt;=4),IF(E56&lt;=(LOOKUP(MKK!D108,L47:L49,M47:M49)),"PASS","NOT PASS"),IF((E38&gt;=5)*(E38&lt;=7),IF(E56&lt;=(LOOKUP(MKK!D108,L50:L52,M50:M52)),"PASS","NOT PASS"),"NOT PASS")),"")</f>
        <v/>
      </c>
      <c r="P56" s="355">
        <f>IF(D56="PASS",1,0)</f>
        <v>1</v>
      </c>
      <c r="Q56" s="355">
        <f>IF(F56="PASS",1,0)</f>
        <v>1</v>
      </c>
    </row>
    <row r="57" spans="1:17" x14ac:dyDescent="0.2">
      <c r="A57" s="77"/>
      <c r="B57" s="92" t="s">
        <v>7948</v>
      </c>
      <c r="C57" s="299">
        <f>IF(ISERROR((C46+'Informasi Debitur'!F169-'Informasi Debitur'!Y169-'Informasi Debitur'!AB169)/C50),"",(C46+'Informasi Debitur'!F169-'Informasi Debitur'!Y169-'Informasi Debitur'!AB169)/C50)</f>
        <v>5.4578992558214384E-2</v>
      </c>
      <c r="D57" s="300" t="str">
        <f>IF(C43="Red","NOT PASS",IF(MKK!$G$41&lt;&gt;0,IF(MKK!$G$41&lt;=5000,IF(J57&lt;&gt;"",J57,J58),IF(K57&lt;&gt;"",K57,K58)),""))</f>
        <v>PASS</v>
      </c>
      <c r="E57" s="860">
        <f>IF(ISERROR((E46+'Informasi Debitur'!F169-'Informasi Debitur'!Y169-'Informasi Debitur'!AB169)/E50),"",(E46+'Informasi Debitur'!F169-'Informasi Debitur'!Y169-'Informasi Debitur'!AB169)/E50)</f>
        <v>3.326040600182166E-2</v>
      </c>
      <c r="F57" s="382" t="str">
        <f>IF(C43="Red","NOT PASS",IF(MKK!$G$41&lt;&gt;0,IF(MKK!$G$41&lt;=5000,IF(L57&lt;&gt;"",L57,L58),IF(M57&lt;&gt;"",M57,M58)),""))</f>
        <v>PASS</v>
      </c>
      <c r="G57" s="10"/>
      <c r="H57" s="10"/>
      <c r="I57" s="10"/>
      <c r="J57" s="845" t="str">
        <f>IF(AND(C43="Green",MKK!$G$41&lt;=5000),IF(OR(E38="Pass",E38&lt;8),IF(C49&lt;&gt;"",IF(C49="Modal Kerja",IF(C57&lt;=0.5,"PASS","NOT PASS"),IF(C57&lt;=0.8,"PASS","NOT PASS")),""),"NOT PASS"),"")</f>
        <v>PASS</v>
      </c>
      <c r="K57" s="827" t="str">
        <f>IF(AND(C43="Green",MKK!$G$41&gt;5000),IF(C49="Modal Kerja",IF(F38="A",IF(C57&lt;=0.5,"PASS","NOT PASS"),IF(F38="B",IF(C57&lt;=0.4,"PASS","NOT PASS"),IF(F38="C",IF(C57&lt;=0.3,"PASS","NOT PASS"),"NOT PASS"))),IF(C49&lt;&gt;"",IF(F38="A",IF(C57&lt;=0.8,"PASS","NOT PASS"),IF(F38="B",IF(C57&lt;=0.7,"PASS","NOT PASS"),IF(F38="C",IF(C57&lt;=0.6,"PASS","NOT PASS"),"NOT PASS"))),"")),"")</f>
        <v/>
      </c>
      <c r="L57" s="827" t="str">
        <f>IF(AND(C43="Green",MKK!$G$41&lt;=5000),IF(OR(E38="Pass",E38&lt;8),IF(E49&lt;&gt;"",IF(E49="Modal Kerja",IF(E57&lt;=0.5,"PASS","NOT PASS"),IF(E57&lt;=0.8,"PASS","NOT PASS")),""),"NOT PASS"),"")</f>
        <v>PASS</v>
      </c>
      <c r="M57" s="846" t="str">
        <f>IF(AND(C43="Green",MKK!$G$41&gt;5000),IF(E49="Modal Kerja",IF(F38="A",IF(E57&lt;=0.5,"PASS","NOT PASS"),IF(F38="B",IF(E57&lt;=0.4,"PASS","NOT PASS"),IF(F38="C",IF(E57&lt;=0.3,"PASS","NOT PASS"),"NOT PASS"))),IF(E49&lt;&gt;"",IF(F38="A",IF(E57&lt;=0.8,"PASS","NOT PASS"),IF(F38="B",IF(E57&lt;=0.7,"PASS","NOT PASS"),IF(F38="C",IF(E57&lt;=0.6,"PASS","NOT PASS"),"NOT PASS"))),"")),"")</f>
        <v/>
      </c>
      <c r="P57" s="355">
        <f>IF(D57="PASS",1,0)</f>
        <v>1</v>
      </c>
      <c r="Q57" s="355">
        <f>IF(F57="PASS",1,0)</f>
        <v>1</v>
      </c>
    </row>
    <row r="58" spans="1:17" ht="5.0999999999999996" customHeight="1" thickBot="1" x14ac:dyDescent="0.25">
      <c r="A58" s="77"/>
      <c r="B58" s="91"/>
      <c r="C58" s="266"/>
      <c r="D58" s="266"/>
      <c r="E58" s="272"/>
      <c r="F58" s="267"/>
      <c r="G58" s="10"/>
      <c r="H58" s="10"/>
      <c r="I58" s="10"/>
      <c r="J58" s="848" t="str">
        <f>IF(AND(C43="Yellow",MKK!$G$41&lt;=5000),IF(OR(E38="Pass",E38&lt;8),IF(C49&lt;&gt;"",IF(C49="Modal Kerja",IF(C57&lt;=0.45,"PASS","NOT PASS"),IF(C57&lt;=0.75,"PASS","NOT PASS")),""),"NOT PASS"),"")</f>
        <v/>
      </c>
      <c r="K58" s="849" t="str">
        <f>IF(AND(C43="Yellow",MKK!$G$41&gt;5000),IF(C49="Modal Kerja",IF(F38="A",IF(C57&lt;=0.45,"PASS","NOT PASS"),IF(F38="B",IF(C57&lt;=0.35,"PASS","NOT PASS"),IF(F38="C",IF(C57&lt;=0.25,"PASS","NOT PASS"),"NOT PASS"))),IF(C49&lt;&gt;"",IF(F38="A",IF(C57&lt;=0.75,"PASS","NOT PASS"),IF(F38="B",IF(C57&lt;=0.65,"PASS","NOT PASS"),IF(F38="C",IF(C57&lt;=0.55,"PASS","NOT PASS"),"NOT PASS"))),"")),"")</f>
        <v/>
      </c>
      <c r="L58" s="849" t="str">
        <f>IF(AND(C43="Yellow",MKK!$G$41&lt;=5000),IF(OR(E38="Pass",E38&lt;8),IF(E49&lt;&gt;"",IF(E49="Modal Kerja",IF(E57&lt;=0.45,"PASS","NOT PASS"),IF(E57&lt;=0.75,"PASS","NOT PASS")),""),"NOT PASS"),"")</f>
        <v/>
      </c>
      <c r="M58" s="850" t="str">
        <f>IF(AND(C43="Yellow",MKK!$G$41&gt;5000),IF(E49="Modal Kerja",IF(F38="A",IF(E57&lt;=0.45,"PASS","NOT PASS"),IF(F38="B",IF(E57&lt;=0.35,"PASS","NOT PASS"),IF(F38="C",IF(E57&lt;=0.25,"PASS","NOT PASS"),"NOT PASS"))),IF(E49&lt;&gt;"",IF(F38="A",IF(E57&lt;=0.75,"PASS","NOT PASS"),IF(F38="B",IF(E57&lt;=0.65,"PASS","NOT PASS"),IF(F38="C",IF(E57&lt;=0.55,"PASS","NOT PASS"),"NOT PASS"))),"")),"")</f>
        <v/>
      </c>
      <c r="P58" s="1805">
        <f>SUM(P56:P57)</f>
        <v>2</v>
      </c>
      <c r="Q58" s="1805">
        <f>SUM(Q56:Q57)</f>
        <v>2</v>
      </c>
    </row>
    <row r="59" spans="1:17" ht="15.75" x14ac:dyDescent="0.2">
      <c r="A59" s="77"/>
      <c r="B59" s="273" t="s">
        <v>451</v>
      </c>
      <c r="C59" s="1824" t="str">
        <f>IF(AND(E38&lt;&gt;"Not Pass",P58=2),"PASS","NOT PASS")</f>
        <v>PASS</v>
      </c>
      <c r="D59" s="1847"/>
      <c r="E59" s="1824" t="str">
        <f>IF(AND(E38&lt;&gt;"Not Pass",Q58=2),"PASS","NOT PASS")</f>
        <v>PASS</v>
      </c>
      <c r="F59" s="1825"/>
      <c r="G59" s="10"/>
      <c r="H59" s="10"/>
      <c r="I59" s="10"/>
      <c r="J59" s="333"/>
      <c r="P59" s="1806"/>
      <c r="Q59" s="1806"/>
    </row>
    <row r="60" spans="1:17" s="352" customFormat="1" ht="12.75" hidden="1" customHeight="1" x14ac:dyDescent="0.2">
      <c r="A60" s="95"/>
      <c r="B60" s="101" t="s">
        <v>457</v>
      </c>
      <c r="C60" s="1807">
        <f>C72</f>
        <v>1400</v>
      </c>
      <c r="D60" s="1808"/>
      <c r="E60" s="1807">
        <f>E72</f>
        <v>1000</v>
      </c>
      <c r="F60" s="1808"/>
      <c r="G60" s="94"/>
      <c r="H60" s="94"/>
      <c r="I60" s="94"/>
      <c r="J60" s="356"/>
      <c r="K60" s="356"/>
      <c r="L60" s="356"/>
    </row>
    <row r="61" spans="1:17" s="352" customFormat="1" ht="25.5" customHeight="1" x14ac:dyDescent="0.2">
      <c r="A61" s="95"/>
      <c r="B61" s="102" t="s">
        <v>4247</v>
      </c>
      <c r="C61" s="1809">
        <f>IF(C46&lt;=C72,0,(C46-C72)/C72)</f>
        <v>0</v>
      </c>
      <c r="D61" s="1859"/>
      <c r="E61" s="1809">
        <f>IF(E46&lt;=E72,0,(E46-E72)/E72)</f>
        <v>0</v>
      </c>
      <c r="F61" s="1810"/>
      <c r="G61" s="94"/>
      <c r="H61" s="94"/>
      <c r="I61" s="94"/>
      <c r="J61" s="356"/>
      <c r="K61" s="356"/>
      <c r="L61" s="356"/>
    </row>
    <row r="62" spans="1:17" s="357" customFormat="1" ht="5.0999999999999996" customHeight="1" x14ac:dyDescent="0.2">
      <c r="A62" s="86"/>
      <c r="B62" s="101"/>
      <c r="C62" s="93"/>
      <c r="D62" s="93"/>
      <c r="E62" s="274"/>
      <c r="F62" s="268"/>
      <c r="G62" s="93"/>
      <c r="H62" s="93"/>
      <c r="I62" s="93"/>
      <c r="J62" s="356"/>
      <c r="K62" s="356"/>
      <c r="L62" s="356"/>
      <c r="M62" s="352"/>
      <c r="N62" s="352"/>
    </row>
    <row r="63" spans="1:17" s="357" customFormat="1" x14ac:dyDescent="0.2">
      <c r="A63" s="86"/>
      <c r="B63" s="269" t="s">
        <v>8035</v>
      </c>
      <c r="C63" s="1815">
        <f>IF('Analisa Lap Keu'!I14&lt;&gt;0,'Analisa Lap Keu'!I14,IF(M63&lt;&gt;0,M63,IF(L63&lt;&gt;0,L63,IF(K63&lt;&gt;0,K63,0))))</f>
        <v>1612.0417793131903</v>
      </c>
      <c r="D63" s="1816"/>
      <c r="E63" s="1811">
        <f>'Analisa Lap Keu'!O14</f>
        <v>1612.0417793131903</v>
      </c>
      <c r="F63" s="1812"/>
      <c r="G63" s="858"/>
      <c r="H63" s="859"/>
      <c r="I63" s="93"/>
      <c r="J63" s="356" t="s">
        <v>728</v>
      </c>
      <c r="K63" s="358">
        <f>'Analisa Lap Keu'!C14</f>
        <v>0</v>
      </c>
      <c r="L63" s="358">
        <f>'Analisa Lap Keu'!E14</f>
        <v>0</v>
      </c>
      <c r="M63" s="359">
        <f>'Analisa Lap Keu'!G14</f>
        <v>4187.3850000000002</v>
      </c>
      <c r="N63" s="352"/>
    </row>
    <row r="64" spans="1:17" s="357" customFormat="1" ht="12.75" customHeight="1" x14ac:dyDescent="0.2">
      <c r="A64" s="86"/>
      <c r="B64" s="269" t="s">
        <v>2946</v>
      </c>
      <c r="C64" s="1813">
        <f>IF('Analisa Lap Keu'!I79&lt;&gt;0,'Analisa Lap Keu'!I79,IF(ISERROR('Informasi Debitur'!AD108-('Informasi Debitur'!Y169*'Informasi Debitur'!AE108)+N64),0,('Informasi Debitur'!AD108-('Informasi Debitur'!Y169*'Informasi Debitur'!AE108)+N64)))</f>
        <v>374.59</v>
      </c>
      <c r="D64" s="1860"/>
      <c r="E64" s="1813">
        <f>'Analisa Lap Keu'!O79</f>
        <v>374.59</v>
      </c>
      <c r="F64" s="1814"/>
      <c r="G64" s="68"/>
      <c r="H64" s="93"/>
      <c r="I64" s="93"/>
      <c r="J64" s="356" t="s">
        <v>770</v>
      </c>
      <c r="K64" s="358">
        <f>'Analisa Lap Keu'!C79</f>
        <v>0</v>
      </c>
      <c r="L64" s="358">
        <f>'Analisa Lap Keu'!E79</f>
        <v>0</v>
      </c>
      <c r="M64" s="359">
        <f>'Analisa Lap Keu'!G79</f>
        <v>552.89705100000003</v>
      </c>
      <c r="N64" s="353">
        <f>IF(M64&lt;&gt;0,M64,IF(L64&lt;&gt;0,L64,K64))</f>
        <v>552.89705100000003</v>
      </c>
    </row>
    <row r="65" spans="1:14" s="357" customFormat="1" ht="12.75" customHeight="1" x14ac:dyDescent="0.2">
      <c r="A65" s="86"/>
      <c r="B65" s="269" t="s">
        <v>782</v>
      </c>
      <c r="C65" s="1861">
        <f>IF('Analisa Lap Keu'!I46&lt;&gt;0,'Analisa Lap Keu'!I46,N65+'Informasi Debitur'!Z108-'Informasi Debitur'!Z169)</f>
        <v>410.33300000000003</v>
      </c>
      <c r="D65" s="1865"/>
      <c r="E65" s="1861">
        <f>'Analisa Lap Keu'!O46</f>
        <v>410.33300000000003</v>
      </c>
      <c r="F65" s="1862"/>
      <c r="G65" s="68"/>
      <c r="H65" s="93"/>
      <c r="I65" s="93"/>
      <c r="J65" s="356" t="s">
        <v>301</v>
      </c>
      <c r="K65" s="358">
        <f>'Analisa Lap Keu'!C46</f>
        <v>0</v>
      </c>
      <c r="L65" s="358">
        <f>'Analisa Lap Keu'!E46</f>
        <v>539.226</v>
      </c>
      <c r="M65" s="358">
        <f>'Analisa Lap Keu'!G46</f>
        <v>354.54</v>
      </c>
      <c r="N65" s="353">
        <f>IF(M65&lt;&gt;0,M65,IF(L65&lt;&gt;0,L65,K65))</f>
        <v>354.54</v>
      </c>
    </row>
    <row r="66" spans="1:14" s="357" customFormat="1" ht="5.0999999999999996" customHeight="1" x14ac:dyDescent="0.2">
      <c r="A66" s="86"/>
      <c r="B66" s="101"/>
      <c r="C66" s="158"/>
      <c r="D66" s="158"/>
      <c r="E66" s="275"/>
      <c r="F66" s="270"/>
      <c r="G66" s="93"/>
      <c r="H66" s="93"/>
      <c r="I66" s="93"/>
      <c r="J66" s="356"/>
      <c r="K66" s="356"/>
      <c r="L66" s="356"/>
      <c r="M66" s="352"/>
      <c r="N66" s="352"/>
    </row>
    <row r="67" spans="1:14" s="357" customFormat="1" ht="12.75" customHeight="1" x14ac:dyDescent="0.2">
      <c r="A67" s="86"/>
      <c r="B67" s="150" t="s">
        <v>707</v>
      </c>
      <c r="C67" s="1863">
        <f>IF(ISERROR(C63/(C64+C65)),"-",C63/(C64+C65))</f>
        <v>2.05375785817614</v>
      </c>
      <c r="D67" s="1864"/>
      <c r="E67" s="1863">
        <f>IF(ISERROR(E63/(E64+E65)),"-",E63/(E64+E65))</f>
        <v>2.05375785817614</v>
      </c>
      <c r="F67" s="1866"/>
      <c r="G67" s="68"/>
      <c r="H67" s="68"/>
      <c r="I67" s="68"/>
      <c r="J67" s="360" t="str">
        <f>'Analisa Lap Keu'!C15</f>
        <v>-</v>
      </c>
      <c r="K67" s="356" t="str">
        <f>'Analisa Lap Keu'!E15</f>
        <v>-</v>
      </c>
      <c r="L67" s="356">
        <f>'Analisa Lap Keu'!G15</f>
        <v>3.8341695985318052</v>
      </c>
      <c r="M67" s="352"/>
      <c r="N67" s="352"/>
    </row>
    <row r="68" spans="1:14" s="357" customFormat="1" ht="14.25" customHeight="1" x14ac:dyDescent="0.2">
      <c r="A68" s="86"/>
      <c r="B68" s="94"/>
      <c r="C68" s="1798" t="str">
        <f>IF(C67="-","",IF(C67&lt;1,"Tidak dapat melanjukan ke proses selanjutnya karena DSR lebih kecil dari 1",""))</f>
        <v/>
      </c>
      <c r="D68" s="1798"/>
      <c r="E68" s="1798" t="str">
        <f>IF(E67="-","",IF(E67&lt;1,"Tidak dapat melanjukan ke proses selanjutnya karena DSR lebih kecil dari 1",""))</f>
        <v/>
      </c>
      <c r="F68" s="1798"/>
      <c r="G68" s="93"/>
      <c r="H68" s="93"/>
      <c r="I68" s="93"/>
      <c r="J68" s="356"/>
      <c r="K68" s="356"/>
      <c r="L68" s="356"/>
      <c r="M68" s="352"/>
      <c r="N68" s="352"/>
    </row>
    <row r="69" spans="1:14" s="357" customFormat="1" ht="14.25" customHeight="1" x14ac:dyDescent="0.2">
      <c r="A69" s="86"/>
      <c r="B69" s="94"/>
      <c r="C69" s="307"/>
      <c r="D69" s="307"/>
      <c r="E69" s="307"/>
      <c r="F69" s="307"/>
      <c r="G69" s="93"/>
      <c r="H69" s="93"/>
      <c r="I69" s="93"/>
      <c r="J69" s="356"/>
      <c r="K69" s="356"/>
      <c r="L69" s="356"/>
      <c r="M69" s="352"/>
      <c r="N69" s="352"/>
    </row>
    <row r="70" spans="1:14" s="352" customFormat="1" x14ac:dyDescent="0.2">
      <c r="A70" s="95"/>
      <c r="B70" s="98" t="s">
        <v>42</v>
      </c>
      <c r="C70" s="96"/>
      <c r="D70" s="96"/>
      <c r="E70" s="96"/>
      <c r="F70" s="96"/>
      <c r="G70" s="96"/>
      <c r="H70" s="96"/>
      <c r="I70" s="96"/>
      <c r="J70" s="361"/>
      <c r="K70" s="361"/>
      <c r="L70" s="361"/>
    </row>
    <row r="71" spans="1:14" s="352" customFormat="1" ht="15" x14ac:dyDescent="0.25">
      <c r="A71" s="251"/>
      <c r="B71" s="10"/>
      <c r="C71" s="1789" t="s">
        <v>4243</v>
      </c>
      <c r="D71" s="1789"/>
      <c r="E71" s="1789" t="s">
        <v>4244</v>
      </c>
      <c r="F71" s="1789"/>
      <c r="G71" s="96"/>
      <c r="H71" s="96"/>
      <c r="I71" s="96"/>
      <c r="J71" s="361"/>
      <c r="K71" s="361"/>
      <c r="L71" s="361"/>
    </row>
    <row r="72" spans="1:14" s="352" customFormat="1" ht="27" customHeight="1" x14ac:dyDescent="0.2">
      <c r="A72" s="95"/>
      <c r="B72" s="97" t="s">
        <v>455</v>
      </c>
      <c r="C72" s="1788">
        <f>MIN(C73:D75)</f>
        <v>1400</v>
      </c>
      <c r="D72" s="1788"/>
      <c r="E72" s="1788">
        <f>MIN(E73:F75)</f>
        <v>1000</v>
      </c>
      <c r="F72" s="1788"/>
      <c r="G72" s="96"/>
      <c r="H72" s="96"/>
      <c r="I72" s="96"/>
      <c r="J72" s="1817" t="s">
        <v>4243</v>
      </c>
      <c r="K72" s="1817"/>
      <c r="L72" s="1817" t="s">
        <v>4244</v>
      </c>
      <c r="M72" s="1817"/>
    </row>
    <row r="73" spans="1:14" s="352" customFormat="1" x14ac:dyDescent="0.2">
      <c r="A73" s="95"/>
      <c r="B73" s="99" t="s">
        <v>452</v>
      </c>
      <c r="C73" s="1787">
        <f>C46</f>
        <v>1400</v>
      </c>
      <c r="D73" s="1787"/>
      <c r="E73" s="1787">
        <f>E46</f>
        <v>1000</v>
      </c>
      <c r="F73" s="1787"/>
      <c r="G73" s="96"/>
      <c r="H73" s="96"/>
      <c r="I73" s="96"/>
      <c r="J73" s="893" t="s">
        <v>7967</v>
      </c>
      <c r="K73" s="893" t="s">
        <v>7966</v>
      </c>
      <c r="L73" s="893" t="s">
        <v>7967</v>
      </c>
      <c r="M73" s="893" t="s">
        <v>7966</v>
      </c>
    </row>
    <row r="74" spans="1:14" s="352" customFormat="1" x14ac:dyDescent="0.2">
      <c r="A74" s="95"/>
      <c r="B74" s="100" t="s">
        <v>453</v>
      </c>
      <c r="C74" s="1790">
        <f>IF(AND(MKK!$G$41&lt;=5000,MKK!$E$20&lt;=10000,'Analisa Lap Keu'!$I$68&lt;=250000),IF(J74&lt;0,"",J74),IF(K74&lt;0,"",K74))</f>
        <v>2252.8289999999997</v>
      </c>
      <c r="D74" s="1790"/>
      <c r="E74" s="1790">
        <f>IF(AND(MKK!$G$41&lt;=5000,MKK!$E$20&lt;=10000,'Analisa Lap Keu'!$I$68&lt;=250000),IF(L74&lt;0,"",L74),IF(M74&lt;0,"",M74))</f>
        <v>2252.8289999999997</v>
      </c>
      <c r="F74" s="1790"/>
      <c r="G74" s="69"/>
      <c r="H74" s="69"/>
      <c r="I74" s="69"/>
      <c r="J74" s="894">
        <f>IF(C43="Red","",IF('Informasi Debitur'!E233&lt;20%,C48*110%,IF('Informasi Debitur'!E233&lt;50%,C48*130%,C48*150%)))</f>
        <v>2252.8289999999997</v>
      </c>
      <c r="K74" s="894" t="str">
        <f>IF(OR(C43="Red",E38&gt;7),"",IF(E38&lt;=4,C48*(LOOKUP('Informasi Debitur'!E233,L47:M49)),C48*(LOOKUP('Informasi Debitur'!E233,L50:M52))))</f>
        <v/>
      </c>
      <c r="L74" s="894">
        <f>IF(C43="Red","",IF(MKK!D108&lt;20%,E48*110%,IF(MKK!D108&lt;50%,E48*130%,E48*150%)))</f>
        <v>2252.8289999999997</v>
      </c>
      <c r="M74" s="894" t="str">
        <f>IF(OR(C43="Red",E38&gt;7),"",IF(E38&lt;=4,E48*(LOOKUP(MKK!D108,L47:M49)),E48*(LOOKUP(MKK!D108,L50:M52))))</f>
        <v/>
      </c>
    </row>
    <row r="75" spans="1:14" s="352" customFormat="1" x14ac:dyDescent="0.2">
      <c r="A75" s="95"/>
      <c r="B75" s="100" t="s">
        <v>454</v>
      </c>
      <c r="C75" s="1790">
        <f>IF(AND(MKK!$G$41&lt;=5000,MKK!$E$20&lt;=10000,'Analisa Lap Keu'!$I$68&lt;=250000),IF(J75&lt;0,"",J75),IF(K75&lt;0,"",K75))</f>
        <v>9757.4209999999985</v>
      </c>
      <c r="D75" s="1790"/>
      <c r="E75" s="1790">
        <f>IF(AND(MKK!$G$41&lt;=5000,MKK!$E$20&lt;=10000,'Analisa Lap Keu'!$I$68&lt;=250000),IF(L75&lt;0,"",L75),IF(M75&lt;0,"",M75))</f>
        <v>9757.4209999999985</v>
      </c>
      <c r="F75" s="1790"/>
      <c r="G75" s="69"/>
      <c r="H75" s="69"/>
      <c r="I75" s="69"/>
      <c r="J75" s="894">
        <f>IF(E38&lt;&gt;"PASS","",IF(C43="Green",IF(C49="Modal Kerja",(0.5*C50)+'Informasi Debitur'!Y169+'Informasi Debitur'!AB169-'Informasi Debitur'!F169,IF(C49&lt;&gt;"",(0.8*C50)+'Informasi Debitur'!Y169+'Informasi Debitur'!AB169-'Informasi Debitur'!F169,"")),IF(C43="Yellow",IF(C49="Modal Kerja",(0.45*C50)+'Informasi Debitur'!Y169+'Informasi Debitur'!AB169-'Informasi Debitur'!F169,IF(C49&lt;&gt;"",(0.75*C50)+'Informasi Debitur'!Y169+'Informasi Debitur'!AB169-'Informasi Debitur'!F169,"")),"")))</f>
        <v>9757.4209999999985</v>
      </c>
      <c r="K75" s="894" t="str">
        <f>IF(C43="Red","",IF(K76&lt;&gt;0,K76,K77))</f>
        <v/>
      </c>
      <c r="L75" s="894">
        <f>IF(E38&lt;&gt;"PASS","",IF(C43="Green",IF(E49="Modal Kerja",(0.5*E50)+'Informasi Debitur'!Y169+'Informasi Debitur'!AB169-'Informasi Debitur'!F169,IF(E49&lt;&gt;"",(0.8*E50)+'Informasi Debitur'!Y169+'Informasi Debitur'!AB169-'Informasi Debitur'!F169,"")),IF(C43="Yellow",IF(E49="Modal Kerja",(0.45*E50)+'Informasi Debitur'!Y169+'Informasi Debitur'!AB169-'Informasi Debitur'!F169,IF(E49&lt;&gt;"",(0.75*E50)+'Informasi Debitur'!Y169+'Informasi Debitur'!AB169-'Informasi Debitur'!F169,"")),"")))</f>
        <v>9757.4209999999985</v>
      </c>
      <c r="M75" s="894" t="str">
        <f>IF(C43="Red","",IF(M76&lt;&gt;0,M76,M77))</f>
        <v/>
      </c>
    </row>
    <row r="76" spans="1:14" s="352" customFormat="1" ht="25.5" x14ac:dyDescent="0.2">
      <c r="A76" s="443"/>
      <c r="B76" s="444" t="s">
        <v>7594</v>
      </c>
      <c r="C76" s="1797">
        <f>SUM(H83:H92)</f>
        <v>1501.886</v>
      </c>
      <c r="D76" s="1797"/>
      <c r="E76" s="1797">
        <f>SUM(H83:H92)</f>
        <v>1501.886</v>
      </c>
      <c r="F76" s="1797"/>
      <c r="G76" s="1083" t="s">
        <v>7599</v>
      </c>
      <c r="H76" s="69"/>
      <c r="I76" s="69"/>
      <c r="J76" s="810"/>
      <c r="K76" s="896" t="str">
        <f>IF(E38&gt;7,"",IF(C43&lt;&gt;"Green","",IF(C49="Modal Kerja",IF(E38&lt;3,(0.5*C50)+'Informasi Debitur'!Y169+'Informasi Debitur'!AB169-'Informasi Debitur'!F169,IF(E38&lt;5,(0.4*C50)+'Informasi Debitur'!Y169+'Informasi Debitur'!AB169-'Informasi Debitur'!F169,(0.3*C50)+'Informasi Debitur'!Y169+'Informasi Debitur'!AB169-'Informasi Debitur'!F169)),IF(C49&lt;&gt;"",IF(E38&lt;3,(0.8*C50)+'Informasi Debitur'!Y169+'Informasi Debitur'!AB169-'Informasi Debitur'!F169,IF(E38&lt;5,(0.7*C50)+'Informasi Debitur'!Y169+'Informasi Debitur'!AB169-'Informasi Debitur'!F169,(0.6*C50)+'Informasi Debitur'!Y169+'Informasi Debitur'!AB169-'Informasi Debitur'!F169)),""))))</f>
        <v/>
      </c>
      <c r="L76" s="895"/>
      <c r="M76" s="894" t="str">
        <f>IF(E38&gt;7,"",IF(C43&lt;&gt;"Green","",IF(E49="Modal Kerja",IF(E38&lt;3,(0.5*E50)+'Informasi Debitur'!Y169+'Informasi Debitur'!AB169-'Informasi Debitur'!F169,IF(E38&lt;5,(0.4*E50)+'Informasi Debitur'!Y169+'Informasi Debitur'!AB169-'Informasi Debitur'!F169,(0.3*E50)+'Informasi Debitur'!Y169+'Informasi Debitur'!AB169-'Informasi Debitur'!F169)),IF(E49&lt;&gt;"",IF(E38&lt;3,(0.8*E50)+'Informasi Debitur'!Y169+'Informasi Debitur'!AB169-'Informasi Debitur'!F169,IF(E38&lt;5,(0.7*E50)+'Informasi Debitur'!Y169+'Informasi Debitur'!AB169-'Informasi Debitur'!F169,(0.6*E50)+'Informasi Debitur'!Y169+'Informasi Debitur'!AB169-'Informasi Debitur'!F169)),""))))</f>
        <v/>
      </c>
    </row>
    <row r="77" spans="1:14" s="352" customFormat="1" x14ac:dyDescent="0.2">
      <c r="A77" s="95"/>
      <c r="B77" s="69"/>
      <c r="C77" s="297"/>
      <c r="D77" s="297"/>
      <c r="E77" s="68"/>
      <c r="F77" s="68"/>
      <c r="G77" s="69"/>
      <c r="H77" s="69"/>
      <c r="I77" s="69"/>
      <c r="J77" s="810"/>
      <c r="K77" s="894" t="str">
        <f>IF(E38&gt;7,"",IF(C43&lt;&gt;"Yellow","",IF(C49="Modal Kerja",IF(E38&lt;3,(0.45*C50)+'Informasi Debitur'!Y169+'Informasi Debitur'!AB169-'Informasi Debitur'!F169,IF(E38&lt;5,(0.35*C50)+'Informasi Debitur'!Y169+'Informasi Debitur'!AB169-'Informasi Debitur'!F169,(0.25*C50)+'Informasi Debitur'!Y169+'Informasi Debitur'!AB169-'Informasi Debitur'!F169)),IF(C49&lt;&gt;"",IF(E38&lt;3,(0.75*C50)+'Informasi Debitur'!Y169+'Informasi Debitur'!AB169-'Informasi Debitur'!F169,IF(E38&lt;5,(0.65*C50)+'Informasi Debitur'!Y169+'Informasi Debitur'!AB169-'Informasi Debitur'!F169,(0.55*C50)+'Informasi Debitur'!Y169+'Informasi Debitur'!AB169-'Informasi Debitur'!F169)),""))))</f>
        <v/>
      </c>
      <c r="L77" s="895"/>
      <c r="M77" s="894" t="str">
        <f>IF(E38&gt;7,"",IF(C43&lt;&gt;"Yellow","",IF(E49="Modal Kerja",IF(E38&lt;3,(0.45*E50)+'Informasi Debitur'!Y169+'Informasi Debitur'!AB169-'Informasi Debitur'!F169,IF(E38&lt;5,(0.35*E50)+'Informasi Debitur'!Y169+'Informasi Debitur'!AB169-'Informasi Debitur'!F169,(0.25*E50)+'Informasi Debitur'!Y169+'Informasi Debitur'!AB169-'Informasi Debitur'!F169)),IF(E49&lt;&gt;"",IF(E38&lt;3,(0.75*E50)+'Informasi Debitur'!Y169+'Informasi Debitur'!AB169-'Informasi Debitur'!F169,IF(E38&lt;5,(0.65*E50)+'Informasi Debitur'!Y169+'Informasi Debitur'!AB169-'Informasi Debitur'!F169,(0.55*E50)+'Informasi Debitur'!Y169+'Informasi Debitur'!AB169-'Informasi Debitur'!F169)),""))))</f>
        <v/>
      </c>
    </row>
    <row r="78" spans="1:14" s="352" customFormat="1" x14ac:dyDescent="0.2">
      <c r="A78" s="443"/>
      <c r="B78" s="69"/>
      <c r="C78" s="297"/>
      <c r="D78" s="297"/>
      <c r="E78" s="68"/>
      <c r="F78" s="68"/>
      <c r="G78" s="69"/>
      <c r="H78" s="69"/>
      <c r="I78" s="69"/>
    </row>
    <row r="79" spans="1:14" s="385" customFormat="1" ht="15" customHeight="1" x14ac:dyDescent="0.25">
      <c r="A79" s="1619" t="s">
        <v>7370</v>
      </c>
      <c r="B79" s="1620"/>
      <c r="C79" s="1620"/>
      <c r="D79" s="1620"/>
      <c r="E79" s="1620"/>
      <c r="F79" s="1620"/>
      <c r="G79" s="1620"/>
      <c r="H79" s="1620"/>
      <c r="I79" s="1620"/>
      <c r="J79" s="808"/>
      <c r="K79" s="808"/>
    </row>
    <row r="80" spans="1:14" s="385" customFormat="1" ht="15" x14ac:dyDescent="0.25">
      <c r="A80" s="184"/>
      <c r="B80" s="184"/>
      <c r="C80" s="184"/>
      <c r="D80" s="184"/>
      <c r="E80" s="184"/>
      <c r="F80" s="184"/>
      <c r="G80" s="184"/>
      <c r="H80" s="184"/>
      <c r="I80" s="184"/>
      <c r="J80"/>
      <c r="K80"/>
    </row>
    <row r="81" spans="1:18" s="385" customFormat="1" ht="15" customHeight="1" x14ac:dyDescent="0.25">
      <c r="A81" s="4"/>
      <c r="B81" s="1405" t="s">
        <v>35</v>
      </c>
      <c r="C81" s="1405" t="s">
        <v>120</v>
      </c>
      <c r="D81" s="1405" t="s">
        <v>225</v>
      </c>
      <c r="E81" s="1377" t="s">
        <v>7952</v>
      </c>
      <c r="F81" s="1377" t="s">
        <v>768</v>
      </c>
      <c r="G81" s="1405" t="s">
        <v>7206</v>
      </c>
      <c r="H81" s="1405" t="s">
        <v>7207</v>
      </c>
      <c r="I81" s="408"/>
      <c r="J81"/>
    </row>
    <row r="82" spans="1:18" s="385" customFormat="1" ht="15" x14ac:dyDescent="0.25">
      <c r="A82" s="4"/>
      <c r="B82" s="1405"/>
      <c r="C82" s="1405"/>
      <c r="D82" s="1405"/>
      <c r="E82" s="1378"/>
      <c r="F82" s="1378"/>
      <c r="G82" s="1405"/>
      <c r="H82" s="1405"/>
      <c r="I82" s="408"/>
      <c r="J82"/>
      <c r="P82" s="385">
        <f>IFERROR(VLOOKUP(D82,'Cabang SME'!$I$1:$J$58,1,0),D82)</f>
        <v>0</v>
      </c>
      <c r="Q82" s="385" t="str">
        <f>IFERROR(VLOOKUP(D82,'Cabang SME'!$I$1:$J$1158,2,0),"Tier 3")</f>
        <v>Tier 3</v>
      </c>
      <c r="R82" s="385" t="str">
        <f>IF(F82&lt;&gt;0,CONCATENATE(Q82,'Informasi Debitur'!$C$77,""),"")</f>
        <v/>
      </c>
    </row>
    <row r="83" spans="1:18" s="385" customFormat="1" ht="140.25" x14ac:dyDescent="0.25">
      <c r="A83" s="4"/>
      <c r="B83" s="450" t="str">
        <f>'Informasi Debitur'!A221</f>
        <v>Tanah dan Bangunan</v>
      </c>
      <c r="C83" s="439" t="str">
        <f>'Informasi Debitur'!C221</f>
        <v xml:space="preserve">Jl A Yani km 7 Komp Bunyamin Residence Blok A No 16, RT 13, Kel Kertak Hanyar II, Kec.Kertak Hanyar, Kabupaten Banjar, Propinsi Kalimantan Selatan </v>
      </c>
      <c r="D83" s="465" t="str">
        <f>'Informasi Debitur'!D221</f>
        <v>Kab Banjar</v>
      </c>
      <c r="E83" s="830" t="str">
        <f>'Informasi Debitur'!O221</f>
        <v>Ya</v>
      </c>
      <c r="F83" s="474">
        <f>MKK!D96</f>
        <v>1501.886</v>
      </c>
      <c r="G83" s="475">
        <f>IF(OR(B83="Personal Guarantee",B83="Corporate Guarantee",B83="Piutang",B83="Persediaan Barang Dagangan"),0,IF(ISERROR(VLOOKUP(R83,Database!$H$156:$I$227,2,0)),0,VLOOKUP(R83,Database!$H$156:$I$227,2,0)))</f>
        <v>1</v>
      </c>
      <c r="H83" s="474">
        <f>G83*F83</f>
        <v>1501.886</v>
      </c>
      <c r="I83" s="408"/>
      <c r="J83"/>
      <c r="P83" s="385" t="str">
        <f>IFERROR(VLOOKUP(D83,'Cabang SME'!$I$1:$J$58,1,0),D83)</f>
        <v>Kab Banjar</v>
      </c>
      <c r="Q83" s="385" t="str">
        <f>IFERROR(VLOOKUP(D83,'Cabang SME'!$I$1:$J$1158,2,0),"Tier 3")</f>
        <v>Tier 3</v>
      </c>
      <c r="R83" s="385" t="str">
        <f>IF(F83&lt;&gt;0,CONCATENATE(Q83,'Informasi Debitur'!$C$77,""),"")</f>
        <v>Tier 3Referral</v>
      </c>
    </row>
    <row r="84" spans="1:18" s="385" customFormat="1" ht="15" x14ac:dyDescent="0.25">
      <c r="A84" s="4"/>
      <c r="B84" s="450">
        <f>'Informasi Debitur'!A222</f>
        <v>0</v>
      </c>
      <c r="C84" s="439">
        <f>'Informasi Debitur'!C222</f>
        <v>0</v>
      </c>
      <c r="D84" s="465">
        <f>'Informasi Debitur'!D222</f>
        <v>0</v>
      </c>
      <c r="E84" s="830">
        <f>'Informasi Debitur'!O222</f>
        <v>0</v>
      </c>
      <c r="F84" s="474">
        <f>MKK!D97</f>
        <v>0</v>
      </c>
      <c r="G84" s="475">
        <f>IF(OR(B84="Personal Guarantee",B84="Corporate Guarantee",B84="Piutang",B84="Persediaan Barang Dagangan"),0,IF(ISERROR(VLOOKUP(R84,Database!$H$156:$I$227,2,0)),0,VLOOKUP(R84,Database!$H$156:$I$227,2,0)))</f>
        <v>0</v>
      </c>
      <c r="H84" s="474">
        <f t="shared" ref="H84:H92" si="1">G84*F84</f>
        <v>0</v>
      </c>
      <c r="I84" s="408"/>
      <c r="J84"/>
      <c r="P84" s="385">
        <f>IFERROR(VLOOKUP(D84,'Cabang SME'!$I$1:$J$58,1,0),D84)</f>
        <v>0</v>
      </c>
      <c r="Q84" s="385" t="str">
        <f>IFERROR(VLOOKUP(D84,'Cabang SME'!$I$1:$J$1158,2,0),"Tier 3")</f>
        <v>Tier 3</v>
      </c>
      <c r="R84" s="385" t="str">
        <f>IF(F84&lt;&gt;0,CONCATENATE(Q84,'Informasi Debitur'!$C$77,""),"")</f>
        <v/>
      </c>
    </row>
    <row r="85" spans="1:18" s="385" customFormat="1" ht="15" x14ac:dyDescent="0.25">
      <c r="A85" s="4"/>
      <c r="B85" s="450">
        <f>'Informasi Debitur'!A223</f>
        <v>0</v>
      </c>
      <c r="C85" s="439">
        <f>'Informasi Debitur'!C223</f>
        <v>0</v>
      </c>
      <c r="D85" s="465">
        <f>'Informasi Debitur'!D223</f>
        <v>0</v>
      </c>
      <c r="E85" s="830">
        <f>'Informasi Debitur'!O223</f>
        <v>0</v>
      </c>
      <c r="F85" s="474">
        <f>MKK!D98</f>
        <v>0</v>
      </c>
      <c r="G85" s="475">
        <f>IF(OR(B85="Personal Guarantee",B85="Corporate Guarantee",B85="Piutang",B85="Persediaan Barang Dagangan"),0,IF(ISERROR(VLOOKUP(R85,Database!$H$156:$I$227,2,0)),0,VLOOKUP(R85,Database!$H$156:$I$227,2,0)))</f>
        <v>0</v>
      </c>
      <c r="H85" s="474">
        <f t="shared" si="1"/>
        <v>0</v>
      </c>
      <c r="I85" s="408"/>
      <c r="J85"/>
      <c r="P85" s="385">
        <f>IFERROR(VLOOKUP(D85,'Cabang SME'!$I$1:$J$58,1,0),D85)</f>
        <v>0</v>
      </c>
      <c r="Q85" s="385" t="str">
        <f>IFERROR(VLOOKUP(D85,'Cabang SME'!$I$1:$J$1158,2,0),"Tier 3")</f>
        <v>Tier 3</v>
      </c>
      <c r="R85" s="385" t="str">
        <f>IF(F85&lt;&gt;0,CONCATENATE(Q85,'Informasi Debitur'!$C$77,""),"")</f>
        <v/>
      </c>
    </row>
    <row r="86" spans="1:18" s="385" customFormat="1" ht="15" x14ac:dyDescent="0.25">
      <c r="A86" s="4"/>
      <c r="B86" s="450">
        <f>'Informasi Debitur'!A224</f>
        <v>0</v>
      </c>
      <c r="C86" s="439">
        <f>'Informasi Debitur'!C224</f>
        <v>0</v>
      </c>
      <c r="D86" s="465">
        <f>'Informasi Debitur'!D224</f>
        <v>0</v>
      </c>
      <c r="E86" s="830">
        <f>'Informasi Debitur'!O224</f>
        <v>0</v>
      </c>
      <c r="F86" s="474">
        <f>MKK!D99</f>
        <v>0</v>
      </c>
      <c r="G86" s="475">
        <f>IF(OR(B86="Personal Guarantee",B86="Corporate Guarantee",B86="Piutang",B86="Persediaan Barang Dagangan"),0,IF(ISERROR(VLOOKUP(R86,Database!$H$156:$I$227,2,0)),0,VLOOKUP(R86,Database!$H$156:$I$227,2,0)))</f>
        <v>0</v>
      </c>
      <c r="H86" s="474">
        <f t="shared" si="1"/>
        <v>0</v>
      </c>
      <c r="I86" s="408"/>
      <c r="J86"/>
      <c r="P86" s="385">
        <f>IFERROR(VLOOKUP(D86,'Cabang SME'!$I$1:$J$58,1,0),D86)</f>
        <v>0</v>
      </c>
      <c r="Q86" s="385" t="str">
        <f>IFERROR(VLOOKUP(D86,'Cabang SME'!$I$1:$J$1158,2,0),"Tier 3")</f>
        <v>Tier 3</v>
      </c>
      <c r="R86" s="385" t="str">
        <f>IF(F86&lt;&gt;0,CONCATENATE(Q86,'Informasi Debitur'!$C$77,""),"")</f>
        <v/>
      </c>
    </row>
    <row r="87" spans="1:18" s="385" customFormat="1" ht="15" x14ac:dyDescent="0.25">
      <c r="A87" s="4"/>
      <c r="B87" s="450">
        <f>'Informasi Debitur'!A225</f>
        <v>0</v>
      </c>
      <c r="C87" s="439">
        <f>'Informasi Debitur'!C225</f>
        <v>0</v>
      </c>
      <c r="D87" s="465">
        <f>'Informasi Debitur'!D225</f>
        <v>0</v>
      </c>
      <c r="E87" s="830">
        <f>'Informasi Debitur'!O225</f>
        <v>0</v>
      </c>
      <c r="F87" s="474">
        <f>MKK!D100</f>
        <v>0</v>
      </c>
      <c r="G87" s="475">
        <f>IF(OR(B87="Personal Guarantee",B87="Corporate Guarantee",B87="Piutang",B87="Persediaan Barang Dagangan"),0,IF(ISERROR(VLOOKUP(R87,Database!$H$156:$I$227,2,0)),0,VLOOKUP(R87,Database!$H$156:$I$227,2,0)))</f>
        <v>0</v>
      </c>
      <c r="H87" s="474">
        <f t="shared" si="1"/>
        <v>0</v>
      </c>
      <c r="I87" s="408"/>
      <c r="J87"/>
      <c r="P87" s="385">
        <f>IFERROR(VLOOKUP(D87,'Cabang SME'!$I$1:$J$58,1,0),D87)</f>
        <v>0</v>
      </c>
      <c r="Q87" s="385" t="str">
        <f>IFERROR(VLOOKUP(D87,'Cabang SME'!$I$1:$J$1158,2,0),"Tier 3")</f>
        <v>Tier 3</v>
      </c>
      <c r="R87" s="385" t="str">
        <f>IF(F87&lt;&gt;0,CONCATENATE(Q87,'Informasi Debitur'!$C$77,""),"")</f>
        <v/>
      </c>
    </row>
    <row r="88" spans="1:18" s="385" customFormat="1" ht="15" x14ac:dyDescent="0.25">
      <c r="A88" s="4"/>
      <c r="B88" s="450">
        <f>'Informasi Debitur'!A226</f>
        <v>0</v>
      </c>
      <c r="C88" s="439">
        <f>'Informasi Debitur'!C226</f>
        <v>0</v>
      </c>
      <c r="D88" s="465">
        <f>'Informasi Debitur'!D226</f>
        <v>0</v>
      </c>
      <c r="E88" s="830">
        <f>'Informasi Debitur'!O226</f>
        <v>0</v>
      </c>
      <c r="F88" s="474">
        <f>MKK!D101</f>
        <v>0</v>
      </c>
      <c r="G88" s="475">
        <f>IF(OR(B88="Personal Guarantee",B88="Corporate Guarantee",B88="Piutang",B88="Persediaan Barang Dagangan"),0,IF(ISERROR(VLOOKUP(R88,Database!$H$156:$I$227,2,0)),0,VLOOKUP(R88,Database!$H$156:$I$227,2,0)))</f>
        <v>0</v>
      </c>
      <c r="H88" s="474">
        <f t="shared" si="1"/>
        <v>0</v>
      </c>
      <c r="I88" s="408"/>
      <c r="J88"/>
      <c r="P88" s="385">
        <f>IFERROR(VLOOKUP(D88,'Cabang SME'!$I$1:$J$58,1,0),D88)</f>
        <v>0</v>
      </c>
      <c r="Q88" s="385" t="str">
        <f>IFERROR(VLOOKUP(D88,'Cabang SME'!$I$1:$J$1158,2,0),"Tier 3")</f>
        <v>Tier 3</v>
      </c>
      <c r="R88" s="385" t="str">
        <f>IF(F88&lt;&gt;0,CONCATENATE(Q88,'Informasi Debitur'!$C$77,""),"")</f>
        <v/>
      </c>
    </row>
    <row r="89" spans="1:18" s="385" customFormat="1" ht="15" x14ac:dyDescent="0.25">
      <c r="A89" s="4"/>
      <c r="B89" s="450">
        <f>'Informasi Debitur'!A227</f>
        <v>0</v>
      </c>
      <c r="C89" s="439">
        <f>'Informasi Debitur'!C227</f>
        <v>0</v>
      </c>
      <c r="D89" s="465">
        <f>'Informasi Debitur'!D227</f>
        <v>0</v>
      </c>
      <c r="E89" s="830">
        <f>'Informasi Debitur'!O227</f>
        <v>0</v>
      </c>
      <c r="F89" s="474">
        <f>MKK!D102</f>
        <v>0</v>
      </c>
      <c r="G89" s="475">
        <f>IF(OR(B89="Personal Guarantee",B89="Corporate Guarantee",B89="Piutang",B89="Persediaan Barang Dagangan"),0,IF(ISERROR(VLOOKUP(R89,Database!$H$156:$I$227,2,0)),0,VLOOKUP(R89,Database!$H$156:$I$227,2,0)))</f>
        <v>0</v>
      </c>
      <c r="H89" s="474">
        <f t="shared" si="1"/>
        <v>0</v>
      </c>
      <c r="I89" s="408"/>
      <c r="J89"/>
      <c r="P89" s="385">
        <f>IFERROR(VLOOKUP(D89,'Cabang SME'!$I$1:$J$58,1,0),D89)</f>
        <v>0</v>
      </c>
      <c r="Q89" s="385" t="str">
        <f>IFERROR(VLOOKUP(D89,'Cabang SME'!$I$1:$J$1158,2,0),"Tier 3")</f>
        <v>Tier 3</v>
      </c>
      <c r="R89" s="385" t="str">
        <f>IF(F89&lt;&gt;0,CONCATENATE(Q89,'Informasi Debitur'!$C$77,""),"")</f>
        <v/>
      </c>
    </row>
    <row r="90" spans="1:18" s="385" customFormat="1" ht="15" x14ac:dyDescent="0.25">
      <c r="A90" s="4"/>
      <c r="B90" s="450">
        <f>'Informasi Debitur'!A228</f>
        <v>0</v>
      </c>
      <c r="C90" s="439">
        <f>'Informasi Debitur'!C228</f>
        <v>0</v>
      </c>
      <c r="D90" s="465">
        <f>'Informasi Debitur'!D228</f>
        <v>0</v>
      </c>
      <c r="E90" s="830">
        <f>'Informasi Debitur'!O228</f>
        <v>0</v>
      </c>
      <c r="F90" s="474">
        <f>MKK!D103</f>
        <v>0</v>
      </c>
      <c r="G90" s="475">
        <f>IF(OR(B90="Personal Guarantee",B90="Corporate Guarantee",B90="Piutang",B90="Persediaan Barang Dagangan"),0,IF(ISERROR(VLOOKUP(R90,Database!$H$156:$I$227,2,0)),0,VLOOKUP(R90,Database!$H$156:$I$227,2,0)))</f>
        <v>0</v>
      </c>
      <c r="H90" s="474">
        <f t="shared" si="1"/>
        <v>0</v>
      </c>
      <c r="I90" s="408"/>
      <c r="J90"/>
      <c r="P90" s="385">
        <f>IFERROR(VLOOKUP(D90,'Cabang SME'!$I$1:$J$58,1,0),D90)</f>
        <v>0</v>
      </c>
      <c r="Q90" s="385" t="str">
        <f>IFERROR(VLOOKUP(D90,'Cabang SME'!$I$1:$J$1158,2,0),"Tier 3")</f>
        <v>Tier 3</v>
      </c>
      <c r="R90" s="385" t="str">
        <f>IF(F90&lt;&gt;0,CONCATENATE(Q90,'Informasi Debitur'!$C$77,""),"")</f>
        <v/>
      </c>
    </row>
    <row r="91" spans="1:18" s="385" customFormat="1" ht="15" x14ac:dyDescent="0.25">
      <c r="A91" s="4"/>
      <c r="B91" s="450">
        <f>'Informasi Debitur'!A229</f>
        <v>0</v>
      </c>
      <c r="C91" s="439">
        <f>'Informasi Debitur'!C229</f>
        <v>0</v>
      </c>
      <c r="D91" s="465">
        <f>'Informasi Debitur'!D229</f>
        <v>0</v>
      </c>
      <c r="E91" s="830">
        <f>'Informasi Debitur'!O229</f>
        <v>0</v>
      </c>
      <c r="F91" s="474">
        <f>MKK!D104</f>
        <v>0</v>
      </c>
      <c r="G91" s="475">
        <f>IF(OR(B91="Personal Guarantee",B91="Corporate Guarantee",B91="Piutang",B91="Persediaan Barang Dagangan"),0,IF(ISERROR(VLOOKUP(R91,Database!$H$156:$I$227,2,0)),0,VLOOKUP(R91,Database!$H$156:$I$227,2,0)))</f>
        <v>0</v>
      </c>
      <c r="H91" s="474">
        <f t="shared" si="1"/>
        <v>0</v>
      </c>
      <c r="I91" s="408"/>
      <c r="J91"/>
      <c r="P91" s="385">
        <f>IFERROR(VLOOKUP(D91,'Cabang SME'!$I$1:$J$58,1,0),D91)</f>
        <v>0</v>
      </c>
      <c r="Q91" s="385" t="str">
        <f>IFERROR(VLOOKUP(D91,'Cabang SME'!$I$1:$J$1158,2,0),"Tier 3")</f>
        <v>Tier 3</v>
      </c>
      <c r="R91" s="385" t="str">
        <f>IF(F91&lt;&gt;0,CONCATENATE(Q91,'Informasi Debitur'!$C$77,""),"")</f>
        <v/>
      </c>
    </row>
    <row r="92" spans="1:18" s="385" customFormat="1" ht="15" x14ac:dyDescent="0.25">
      <c r="A92" s="4"/>
      <c r="B92" s="450">
        <f>'Informasi Debitur'!A230</f>
        <v>0</v>
      </c>
      <c r="C92" s="439">
        <f>'Informasi Debitur'!C230</f>
        <v>0</v>
      </c>
      <c r="D92" s="465">
        <f>'Informasi Debitur'!D230</f>
        <v>0</v>
      </c>
      <c r="E92" s="830">
        <f>'Informasi Debitur'!O230</f>
        <v>0</v>
      </c>
      <c r="F92" s="474">
        <f>MKK!D105</f>
        <v>0</v>
      </c>
      <c r="G92" s="475">
        <f>IF(OR(B92="Personal Guarantee",B92="Corporate Guarantee",B92="Piutang",B92="Persediaan Barang Dagangan"),0,IF(ISERROR(VLOOKUP(R92,Database!$H$156:$I$227,2,0)),0,VLOOKUP(R92,Database!$H$156:$I$227,2,0)))</f>
        <v>0</v>
      </c>
      <c r="H92" s="474">
        <f t="shared" si="1"/>
        <v>0</v>
      </c>
      <c r="I92" s="408"/>
      <c r="J92"/>
      <c r="P92" s="385">
        <f>IFERROR(VLOOKUP(D92,'Cabang SME'!$I$1:$J$58,1,0),D92)</f>
        <v>0</v>
      </c>
      <c r="Q92" s="385" t="str">
        <f>IFERROR(VLOOKUP(D92,'Cabang SME'!$I$1:$J$1158,2,0),"Tier 3")</f>
        <v>Tier 3</v>
      </c>
      <c r="R92" s="385" t="str">
        <f>IF(F92&lt;&gt;0,CONCATENATE(Q92,'Informasi Debitur'!$C$77,""),"")</f>
        <v/>
      </c>
    </row>
    <row r="93" spans="1:18" s="385" customFormat="1" ht="15" x14ac:dyDescent="0.25">
      <c r="A93" s="4"/>
      <c r="B93" s="184"/>
      <c r="C93" s="184"/>
      <c r="D93" s="184"/>
      <c r="E93" s="393"/>
      <c r="F93" s="1867" t="s">
        <v>7208</v>
      </c>
      <c r="G93" s="1867"/>
      <c r="H93" s="451">
        <f>IFERROR((SUM(H83:H92)/SUM(F83:F92)),0)</f>
        <v>1</v>
      </c>
      <c r="I93"/>
      <c r="J93"/>
    </row>
    <row r="94" spans="1:18" s="385" customFormat="1" ht="30" customHeight="1" x14ac:dyDescent="0.25">
      <c r="A94" s="184"/>
      <c r="B94" s="184"/>
      <c r="C94" s="184"/>
      <c r="D94" s="184"/>
      <c r="E94" s="184"/>
      <c r="F94" s="1868" t="s">
        <v>7953</v>
      </c>
      <c r="G94" s="1868"/>
      <c r="H94" s="856">
        <f>IFERROR(((SUMIF(E83:E92,"Ya",H83:H92))/(SUMIF(E83:E92,"Ya",F83:F92))),0)</f>
        <v>1</v>
      </c>
      <c r="I94" s="184"/>
      <c r="J94"/>
      <c r="K94"/>
    </row>
    <row r="95" spans="1:18" s="385" customFormat="1" ht="15" x14ac:dyDescent="0.25">
      <c r="A95" s="1638" t="s">
        <v>7371</v>
      </c>
      <c r="B95" s="1638"/>
      <c r="C95" s="1638"/>
      <c r="D95" s="1638"/>
      <c r="E95" s="1638"/>
      <c r="F95" s="1638"/>
      <c r="G95" s="1638"/>
      <c r="H95" s="428"/>
      <c r="I95" s="797"/>
      <c r="J95"/>
      <c r="K95"/>
    </row>
    <row r="96" spans="1:18" s="385" customFormat="1" ht="15" x14ac:dyDescent="0.25">
      <c r="A96" s="1366"/>
      <c r="B96" s="1366"/>
      <c r="C96" s="1366"/>
      <c r="D96" s="1366"/>
      <c r="E96" s="1366"/>
      <c r="F96" s="1366"/>
      <c r="G96" s="1366"/>
      <c r="H96" s="1366"/>
      <c r="I96" s="128"/>
      <c r="J96" s="216"/>
      <c r="K96"/>
    </row>
    <row r="97" spans="1:11" s="385" customFormat="1" ht="15" x14ac:dyDescent="0.25">
      <c r="A97" s="1331"/>
      <c r="B97" s="1331"/>
      <c r="C97" s="1331"/>
      <c r="D97" s="1331"/>
      <c r="E97" s="1331"/>
      <c r="F97" s="1331"/>
      <c r="G97" s="1331"/>
      <c r="H97" s="1331"/>
      <c r="I97" s="128"/>
      <c r="J97" s="216"/>
      <c r="K97"/>
    </row>
    <row r="98" spans="1:11" s="385" customFormat="1" ht="15" x14ac:dyDescent="0.25">
      <c r="A98" s="1331"/>
      <c r="B98" s="1331"/>
      <c r="C98" s="1331"/>
      <c r="D98" s="1331"/>
      <c r="E98" s="1331"/>
      <c r="F98" s="1331"/>
      <c r="G98" s="1331"/>
      <c r="H98" s="1331"/>
      <c r="I98" s="128"/>
      <c r="J98" s="216"/>
      <c r="K98"/>
    </row>
    <row r="99" spans="1:11" s="385" customFormat="1" ht="15" x14ac:dyDescent="0.25">
      <c r="A99" s="128"/>
      <c r="B99" s="128"/>
      <c r="C99" s="128"/>
      <c r="D99" s="128"/>
      <c r="E99" s="128"/>
      <c r="F99" s="128"/>
      <c r="G99" s="128"/>
      <c r="H99" s="128"/>
      <c r="I99" s="128"/>
      <c r="J99" s="128"/>
      <c r="K99"/>
    </row>
    <row r="100" spans="1:11" ht="15" x14ac:dyDescent="0.2">
      <c r="A100" s="89" t="s">
        <v>456</v>
      </c>
      <c r="B100" s="87"/>
      <c r="C100" s="88"/>
      <c r="D100" s="88"/>
      <c r="E100" s="87"/>
      <c r="F100" s="87"/>
      <c r="G100" s="87"/>
      <c r="H100" s="87"/>
      <c r="I100" s="87"/>
    </row>
    <row r="101" spans="1:11" x14ac:dyDescent="0.2">
      <c r="A101" s="77"/>
      <c r="B101" s="10"/>
      <c r="C101" s="76"/>
      <c r="D101" s="76"/>
      <c r="E101" s="10"/>
      <c r="F101" s="10"/>
      <c r="G101" s="10"/>
      <c r="H101" s="10"/>
      <c r="I101" s="10"/>
    </row>
    <row r="102" spans="1:11" x14ac:dyDescent="0.2">
      <c r="A102" s="77"/>
      <c r="B102" s="277" t="s">
        <v>462</v>
      </c>
      <c r="C102" s="152" t="s">
        <v>461</v>
      </c>
      <c r="D102" s="1791" t="s">
        <v>463</v>
      </c>
      <c r="E102" s="1792"/>
      <c r="F102" s="10"/>
      <c r="G102" s="10"/>
      <c r="H102" s="10"/>
      <c r="I102" s="10"/>
    </row>
    <row r="103" spans="1:11" x14ac:dyDescent="0.2">
      <c r="A103" s="77"/>
      <c r="B103" s="1192" t="s">
        <v>458</v>
      </c>
      <c r="C103" s="1197" t="str">
        <f>IF(AND(C43="Yellow",F38="C"),"Ya","Tidak")</f>
        <v>Tidak</v>
      </c>
      <c r="D103" s="1799" t="str">
        <f>IF(C103="Ya","Minimum CAH","Sesuai BWMK")</f>
        <v>Sesuai BWMK</v>
      </c>
      <c r="E103" s="1800"/>
      <c r="F103" s="10"/>
      <c r="G103" s="10"/>
      <c r="H103" s="10"/>
      <c r="I103" s="10"/>
    </row>
    <row r="104" spans="1:11" ht="27.75" customHeight="1" x14ac:dyDescent="0.2">
      <c r="A104" s="77"/>
      <c r="B104" s="1192" t="s">
        <v>459</v>
      </c>
      <c r="C104" s="1197" t="str">
        <f>IF(O37&gt;0,"Ya","Tidak")</f>
        <v>Tidak</v>
      </c>
      <c r="D104" s="1803" t="str">
        <f>IF(C104="Ya",IF('Informasi Debitur'!H108&lt;=5000,"BWMK 1 tingkat lebih tinggi atau Maksimum CAH","Minimum CAH"),"Sesuai BWMK")</f>
        <v>Sesuai BWMK</v>
      </c>
      <c r="E104" s="1804"/>
      <c r="F104" s="10"/>
      <c r="G104" s="10"/>
      <c r="H104" s="10"/>
      <c r="I104" s="10"/>
    </row>
    <row r="105" spans="1:11" ht="26.25" customHeight="1" x14ac:dyDescent="0.2">
      <c r="A105" s="77"/>
      <c r="B105" s="1195" t="s">
        <v>460</v>
      </c>
      <c r="C105" s="1196" t="str">
        <f>IF(E61&gt;0.05,"Ya","Tidak")</f>
        <v>Tidak</v>
      </c>
      <c r="D105" s="1795" t="str">
        <f>IF(E61&lt;=0.05,"Sesuai BWMK",IF(E61&lt;=0.1,"Minimum CAH",IF(E61&lt;=0.2,"Minimum Credit Risk Head","Minimum Business Head")))</f>
        <v>Sesuai BWMK</v>
      </c>
      <c r="E105" s="1796"/>
      <c r="F105" s="10"/>
      <c r="G105" s="10"/>
      <c r="H105" s="10"/>
      <c r="I105" s="10"/>
    </row>
    <row r="106" spans="1:11" hidden="1" x14ac:dyDescent="0.2">
      <c r="A106" s="77"/>
      <c r="B106" s="302" t="s">
        <v>2954</v>
      </c>
      <c r="C106" s="298" t="str">
        <f>IF(C61&gt;0.05,"Ya","Tidak")</f>
        <v>Tidak</v>
      </c>
      <c r="D106" s="1801" t="str">
        <f>IF(C61&lt;=0.05,"Sesuai BWMK",IF(C61&lt;=0.1,"Pemegang BWMK 1 tingkat lebih tinggi (OLA) dengan minimum sampai dengan Approval Head",IF(C61&lt;=0.2,"Pemegang BWMK 1 tingkat lebih tinggi (OLA) dengan minimum sampai dengan Business Risk Head","Not Pass")))</f>
        <v>Sesuai BWMK</v>
      </c>
      <c r="E106" s="1802"/>
      <c r="F106" s="10"/>
      <c r="G106" s="10"/>
      <c r="H106" s="10"/>
      <c r="I106" s="10"/>
    </row>
    <row r="107" spans="1:11" hidden="1" x14ac:dyDescent="0.2">
      <c r="A107" s="77"/>
      <c r="B107" s="303" t="s">
        <v>2955</v>
      </c>
      <c r="C107" s="301" t="str">
        <f>IF(E61&gt;0.05,"Ya","Tidak")</f>
        <v>Tidak</v>
      </c>
      <c r="D107" s="1793" t="str">
        <f>IF(E61&lt;=0.05,"Sesuai BWMK",IF(E61&lt;=0.1,"Pemegang BWMK 1 tingkat lebih tinggi (OLA) dengan minimum sampai dengan Approval Head",IF(E61&lt;=0.2,"Pemegang BWMK 1 tingkat lebih tinggi (OLA) dengan minimum sampai dengan Business Risk Head","Not Pass")))</f>
        <v>Sesuai BWMK</v>
      </c>
      <c r="E107" s="1794"/>
      <c r="F107" s="10"/>
      <c r="G107" s="10"/>
      <c r="H107" s="10"/>
      <c r="I107" s="10"/>
    </row>
    <row r="108" spans="1:11" ht="15" x14ac:dyDescent="0.25">
      <c r="A108" s="77"/>
      <c r="B108" s="10"/>
      <c r="C108" s="76"/>
      <c r="D108" s="76"/>
      <c r="E108" s="10"/>
      <c r="F108" s="10"/>
      <c r="G108" s="10"/>
      <c r="H108" s="1765" t="s">
        <v>4320</v>
      </c>
      <c r="I108" s="1765"/>
      <c r="J108" s="826"/>
      <c r="K108" s="826"/>
    </row>
    <row r="109" spans="1:11" x14ac:dyDescent="0.2">
      <c r="A109" s="77"/>
      <c r="B109" s="77"/>
      <c r="C109" s="77"/>
      <c r="D109" s="77"/>
      <c r="E109" s="77"/>
      <c r="F109" s="77"/>
      <c r="G109" s="77"/>
      <c r="H109" s="1786"/>
      <c r="I109" s="1786"/>
      <c r="J109" s="398"/>
      <c r="K109" s="398"/>
    </row>
    <row r="110" spans="1:11" x14ac:dyDescent="0.2">
      <c r="A110" s="77"/>
      <c r="B110" s="77"/>
      <c r="C110" s="77"/>
      <c r="D110" s="77"/>
      <c r="E110" s="77"/>
      <c r="F110" s="77"/>
      <c r="G110" s="77"/>
      <c r="H110" s="1786"/>
      <c r="I110" s="1786"/>
      <c r="J110" s="398"/>
      <c r="K110" s="398"/>
    </row>
    <row r="111" spans="1:11" x14ac:dyDescent="0.2">
      <c r="A111" s="77"/>
      <c r="B111" s="77"/>
      <c r="C111" s="77"/>
      <c r="D111" s="77"/>
      <c r="E111" s="77"/>
      <c r="F111" s="77"/>
      <c r="G111" s="77"/>
      <c r="H111" s="1786"/>
      <c r="I111" s="1786"/>
      <c r="J111" s="398"/>
      <c r="K111" s="398"/>
    </row>
    <row r="112" spans="1:11" x14ac:dyDescent="0.2">
      <c r="A112" s="77"/>
      <c r="B112" s="77"/>
      <c r="C112" s="77"/>
      <c r="D112" s="77"/>
      <c r="E112" s="77"/>
      <c r="F112" s="77"/>
      <c r="G112" s="77"/>
      <c r="H112" s="1786"/>
      <c r="I112" s="1786"/>
      <c r="J112" s="398"/>
      <c r="K112" s="398"/>
    </row>
    <row r="113" spans="1:11" ht="15" x14ac:dyDescent="0.25">
      <c r="A113" s="77"/>
      <c r="B113" s="77"/>
      <c r="C113" s="77"/>
      <c r="D113" s="77"/>
      <c r="E113" s="77"/>
      <c r="F113" s="77"/>
      <c r="G113" s="77"/>
      <c r="H113" s="1767" t="s">
        <v>8207</v>
      </c>
      <c r="I113" s="1767"/>
      <c r="J113" s="826"/>
      <c r="K113" s="826"/>
    </row>
    <row r="114" spans="1:11" ht="15" x14ac:dyDescent="0.25">
      <c r="A114" s="77"/>
      <c r="B114" s="77"/>
      <c r="C114" s="77"/>
      <c r="D114" s="77"/>
      <c r="E114" s="77"/>
      <c r="F114" s="77"/>
      <c r="G114" s="77"/>
      <c r="H114" s="1767" t="s">
        <v>8208</v>
      </c>
      <c r="I114" s="1767"/>
      <c r="J114" s="826"/>
      <c r="K114" s="826"/>
    </row>
    <row r="115" spans="1:11" x14ac:dyDescent="0.2">
      <c r="A115" s="769"/>
      <c r="B115" s="17"/>
      <c r="C115" s="770"/>
      <c r="D115" s="770"/>
      <c r="E115" s="17"/>
      <c r="F115" s="17"/>
      <c r="G115" s="17"/>
      <c r="H115" s="17"/>
      <c r="I115" s="17"/>
    </row>
  </sheetData>
  <sheetProtection password="CCA9" sheet="1" selectLockedCells="1"/>
  <mergeCells count="110">
    <mergeCell ref="A2:I2"/>
    <mergeCell ref="H5:I5"/>
    <mergeCell ref="H6:I6"/>
    <mergeCell ref="H7:I7"/>
    <mergeCell ref="E76:F76"/>
    <mergeCell ref="A11:D11"/>
    <mergeCell ref="A22:H22"/>
    <mergeCell ref="A33:A35"/>
    <mergeCell ref="F16:I16"/>
    <mergeCell ref="A16:D16"/>
    <mergeCell ref="H18:I20"/>
    <mergeCell ref="A15:D15"/>
    <mergeCell ref="A12:D12"/>
    <mergeCell ref="A26:A30"/>
    <mergeCell ref="A17:H17"/>
    <mergeCell ref="A13:D13"/>
    <mergeCell ref="A14:D14"/>
    <mergeCell ref="C38:D38"/>
    <mergeCell ref="E33:E35"/>
    <mergeCell ref="E49:F49"/>
    <mergeCell ref="E45:F45"/>
    <mergeCell ref="E50:F50"/>
    <mergeCell ref="C48:D48"/>
    <mergeCell ref="E48:F48"/>
    <mergeCell ref="A9:H9"/>
    <mergeCell ref="H33:H35"/>
    <mergeCell ref="F33:F35"/>
    <mergeCell ref="F11:I11"/>
    <mergeCell ref="F12:I12"/>
    <mergeCell ref="A95:G95"/>
    <mergeCell ref="B81:B82"/>
    <mergeCell ref="C81:C82"/>
    <mergeCell ref="F81:F82"/>
    <mergeCell ref="E53:F53"/>
    <mergeCell ref="C53:D53"/>
    <mergeCell ref="C61:D61"/>
    <mergeCell ref="C74:D74"/>
    <mergeCell ref="C64:D64"/>
    <mergeCell ref="C60:D60"/>
    <mergeCell ref="E65:F65"/>
    <mergeCell ref="C67:D67"/>
    <mergeCell ref="C65:D65"/>
    <mergeCell ref="E67:F67"/>
    <mergeCell ref="F93:G93"/>
    <mergeCell ref="F94:G94"/>
    <mergeCell ref="E81:E82"/>
    <mergeCell ref="F13:I13"/>
    <mergeCell ref="F14:I14"/>
    <mergeCell ref="P24:P25"/>
    <mergeCell ref="O28:O29"/>
    <mergeCell ref="I33:I35"/>
    <mergeCell ref="I26:I30"/>
    <mergeCell ref="G33:G35"/>
    <mergeCell ref="C43:D43"/>
    <mergeCell ref="C59:D59"/>
    <mergeCell ref="C49:D49"/>
    <mergeCell ref="C46:D46"/>
    <mergeCell ref="C47:D47"/>
    <mergeCell ref="E47:F47"/>
    <mergeCell ref="E46:F46"/>
    <mergeCell ref="C45:D45"/>
    <mergeCell ref="F15:I15"/>
    <mergeCell ref="N24:N25"/>
    <mergeCell ref="G26:G30"/>
    <mergeCell ref="E59:F59"/>
    <mergeCell ref="C37:D37"/>
    <mergeCell ref="C50:D50"/>
    <mergeCell ref="H26:H30"/>
    <mergeCell ref="J34:J36"/>
    <mergeCell ref="J37:J39"/>
    <mergeCell ref="D104:E104"/>
    <mergeCell ref="A98:H98"/>
    <mergeCell ref="E74:F74"/>
    <mergeCell ref="C68:D68"/>
    <mergeCell ref="E71:F71"/>
    <mergeCell ref="E72:F72"/>
    <mergeCell ref="C73:D73"/>
    <mergeCell ref="Q58:Q59"/>
    <mergeCell ref="E60:F60"/>
    <mergeCell ref="E61:F61"/>
    <mergeCell ref="E63:F63"/>
    <mergeCell ref="E64:F64"/>
    <mergeCell ref="C63:D63"/>
    <mergeCell ref="J72:K72"/>
    <mergeCell ref="L72:M72"/>
    <mergeCell ref="P58:P59"/>
    <mergeCell ref="H113:I113"/>
    <mergeCell ref="H114:I114"/>
    <mergeCell ref="J53:K54"/>
    <mergeCell ref="L53:M54"/>
    <mergeCell ref="H109:I112"/>
    <mergeCell ref="A96:H96"/>
    <mergeCell ref="A97:H97"/>
    <mergeCell ref="H108:I108"/>
    <mergeCell ref="E73:F73"/>
    <mergeCell ref="C72:D72"/>
    <mergeCell ref="C71:D71"/>
    <mergeCell ref="D81:D82"/>
    <mergeCell ref="H81:H82"/>
    <mergeCell ref="G81:G82"/>
    <mergeCell ref="E75:F75"/>
    <mergeCell ref="D102:E102"/>
    <mergeCell ref="D107:E107"/>
    <mergeCell ref="D105:E105"/>
    <mergeCell ref="C75:D75"/>
    <mergeCell ref="C76:D76"/>
    <mergeCell ref="A79:I79"/>
    <mergeCell ref="E68:F68"/>
    <mergeCell ref="D103:E103"/>
    <mergeCell ref="D106:E106"/>
  </mergeCells>
  <conditionalFormatting sqref="E39">
    <cfRule type="cellIs" dxfId="79" priority="55" stopIfTrue="1" operator="equal">
      <formula>"NOT PASS"</formula>
    </cfRule>
  </conditionalFormatting>
  <conditionalFormatting sqref="C68:D68">
    <cfRule type="expression" dxfId="78" priority="54" stopIfTrue="1">
      <formula>COUNTBLANK($C$68)&lt;&gt;1</formula>
    </cfRule>
  </conditionalFormatting>
  <conditionalFormatting sqref="E68:F68">
    <cfRule type="expression" dxfId="77" priority="53" stopIfTrue="1">
      <formula>COUNTBLANK($E$68)&lt;&gt;1</formula>
    </cfRule>
  </conditionalFormatting>
  <conditionalFormatting sqref="C43:D43">
    <cfRule type="containsText" dxfId="76" priority="26" stopIfTrue="1" operator="containsText" text="Red">
      <formula>NOT(ISERROR(SEARCH("Red",C43)))</formula>
    </cfRule>
    <cfRule type="containsText" dxfId="75" priority="27" stopIfTrue="1" operator="containsText" text="Yellow">
      <formula>NOT(ISERROR(SEARCH("Yellow",C43)))</formula>
    </cfRule>
    <cfRule type="containsText" dxfId="74" priority="28" stopIfTrue="1" operator="containsText" text="Green">
      <formula>NOT(ISERROR(SEARCH("Green",C43)))</formula>
    </cfRule>
  </conditionalFormatting>
  <conditionalFormatting sqref="C59:F59">
    <cfRule type="cellIs" dxfId="73" priority="24" stopIfTrue="1" operator="equal">
      <formula>"NOT PASS"</formula>
    </cfRule>
    <cfRule type="cellIs" dxfId="72" priority="25" stopIfTrue="1" operator="equal">
      <formula>"PASS"</formula>
    </cfRule>
  </conditionalFormatting>
  <conditionalFormatting sqref="H18">
    <cfRule type="containsText" dxfId="71" priority="22" stopIfTrue="1" operator="containsText" text="Stop">
      <formula>NOT(ISERROR(SEARCH("Stop",H18)))</formula>
    </cfRule>
    <cfRule type="containsText" dxfId="70" priority="23" stopIfTrue="1" operator="containsText" text="Lanjutkan ke proses selanjutnya">
      <formula>NOT(ISERROR(SEARCH("Lanjutkan ke proses selanjutnya",H18)))</formula>
    </cfRule>
  </conditionalFormatting>
  <conditionalFormatting sqref="C35">
    <cfRule type="expression" dxfId="69" priority="5" stopIfTrue="1">
      <formula>$C$34=$C$35</formula>
    </cfRule>
  </conditionalFormatting>
  <conditionalFormatting sqref="C35:D35">
    <cfRule type="expression" dxfId="68" priority="4" stopIfTrue="1">
      <formula>$D$34=$D$35</formula>
    </cfRule>
  </conditionalFormatting>
  <conditionalFormatting sqref="C34">
    <cfRule type="expression" dxfId="67" priority="3" stopIfTrue="1">
      <formula>$C$34&lt;&gt;$C$35</formula>
    </cfRule>
  </conditionalFormatting>
  <conditionalFormatting sqref="C34:D34">
    <cfRule type="expression" dxfId="66" priority="2" stopIfTrue="1">
      <formula>$D$34&lt;&gt;$D$35</formula>
    </cfRule>
  </conditionalFormatting>
  <conditionalFormatting sqref="A33:I35">
    <cfRule type="expression" dxfId="65" priority="6" stopIfTrue="1">
      <formula>AND($K$23&gt;0,$K$23&lt;=5000,$L$23&lt;=10000,$M$23&lt;=25000)</formula>
    </cfRule>
  </conditionalFormatting>
  <conditionalFormatting sqref="B34:D35">
    <cfRule type="expression" dxfId="64" priority="1" stopIfTrue="1">
      <formula>AND($K$23&gt;0,$K$23&lt;=5000,$L$23&lt;=10000,$M$23&lt;=25000)</formula>
    </cfRule>
    <cfRule type="expression" dxfId="63" priority="7" stopIfTrue="1">
      <formula>AND($K$23&gt;0,$K$23&lt;=5000,$L$23&lt;=10000,$M$23&lt;=25000)</formula>
    </cfRule>
  </conditionalFormatting>
  <dataValidations count="6">
    <dataValidation type="list" allowBlank="1" showInputMessage="1" showErrorMessage="1" sqref="E83:E92">
      <formula1>"Ya, Tidak"</formula1>
    </dataValidation>
    <dataValidation type="list" errorStyle="information" allowBlank="1" showInputMessage="1" showErrorMessage="1" error="Nama kota tidak ada di dalam list" sqref="D83:D92">
      <formula1>cabang_sme1</formula1>
    </dataValidation>
    <dataValidation allowBlank="1" showInputMessage="1" showErrorMessage="1" prompt="Dapat melakukan adjustment limit dengan nilai maksimum sampai dengan 10% dari total limit yang dapat diajukan berdasarkan parameter CLD" sqref="C60 E60"/>
    <dataValidation type="list" allowBlank="1" showInputMessage="1" showErrorMessage="1" sqref="G31:G33 G26 E12:E16">
      <formula1>"Ya,Tidak"</formula1>
    </dataValidation>
    <dataValidation type="list" allowBlank="1" showInputMessage="1" showErrorMessage="1" sqref="C54 E54">
      <formula1>"Standard,Premium"</formula1>
    </dataValidation>
    <dataValidation type="list" allowBlank="1" showInputMessage="1" showErrorMessage="1" sqref="C43">
      <formula1>"Green,Yellow,Red"</formula1>
    </dataValidation>
  </dataValidations>
  <pageMargins left="0.27559055118110198" right="0.23622047244094499" top="0.47244094488188998" bottom="0.35433070866141703" header="0.31496062992126" footer="0.31496062992126"/>
  <pageSetup paperSize="9" scale="45" orientation="portrait" r:id="rId1"/>
  <headerFooter>
    <oddFooter>&amp;RTemplate &amp;"-,Italic"small size&amp;"-,Regular" 2017 v.3 - 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55519" r:id="rId4" name="Button 1247">
              <controlPr defaultSize="0" print="0" autoFill="0" autoPict="0" macro="[0]!ButtonReview_Click">
                <anchor moveWithCells="1" sizeWithCells="1">
                  <from>
                    <xdr:col>3</xdr:col>
                    <xdr:colOff>838200</xdr:colOff>
                    <xdr:row>22</xdr:row>
                    <xdr:rowOff>114300</xdr:rowOff>
                  </from>
                  <to>
                    <xdr:col>6</xdr:col>
                    <xdr:colOff>133350</xdr:colOff>
                    <xdr:row>23</xdr:row>
                    <xdr:rowOff>152400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1"/>
  <dimension ref="A2:Z225"/>
  <sheetViews>
    <sheetView showGridLines="0" showZeros="0" view="pageBreakPreview" zoomScale="110" zoomScaleNormal="80" zoomScaleSheetLayoutView="110" workbookViewId="0"/>
  </sheetViews>
  <sheetFormatPr defaultRowHeight="12.75" x14ac:dyDescent="0.2"/>
  <cols>
    <col min="1" max="1" width="23.28515625" style="333" customWidth="1"/>
    <col min="2" max="2" width="14.7109375" style="333" customWidth="1"/>
    <col min="3" max="3" width="16.7109375" style="333" customWidth="1"/>
    <col min="4" max="4" width="12.7109375" style="333" customWidth="1"/>
    <col min="5" max="5" width="11.7109375" style="333" customWidth="1"/>
    <col min="6" max="6" width="12.7109375" style="333" customWidth="1"/>
    <col min="7" max="7" width="11.7109375" style="333" customWidth="1"/>
    <col min="8" max="10" width="12.7109375" style="333" customWidth="1"/>
    <col min="11" max="11" width="10.7109375" style="333" customWidth="1"/>
    <col min="12" max="12" width="10.42578125" style="333" customWidth="1"/>
    <col min="13" max="13" width="9.7109375" style="333" customWidth="1"/>
    <col min="14" max="14" width="9.7109375" style="383" customWidth="1"/>
    <col min="15" max="15" width="12.7109375" style="333" customWidth="1"/>
    <col min="16" max="16" width="16.7109375" style="333" customWidth="1"/>
    <col min="17" max="17" width="15.7109375" style="333" hidden="1" customWidth="1"/>
    <col min="18" max="21" width="9.140625" style="333" hidden="1" customWidth="1"/>
    <col min="22" max="22" width="9.140625" style="383" hidden="1" customWidth="1"/>
    <col min="23" max="26" width="9.140625" style="333" hidden="1" customWidth="1"/>
    <col min="27" max="27" width="9.140625" style="333" customWidth="1"/>
    <col min="28" max="16384" width="9.140625" style="333"/>
  </cols>
  <sheetData>
    <row r="2" spans="1:15" ht="38.25" customHeight="1" x14ac:dyDescent="0.35">
      <c r="A2" s="1677" t="s">
        <v>81</v>
      </c>
      <c r="B2" s="1677"/>
      <c r="C2" s="1677"/>
      <c r="D2" s="1677"/>
      <c r="E2" s="1677"/>
      <c r="F2" s="1677"/>
      <c r="G2" s="1677"/>
      <c r="H2" s="1677"/>
      <c r="I2" s="1677"/>
      <c r="J2" s="1677"/>
      <c r="K2" s="1677"/>
      <c r="L2" s="1677"/>
      <c r="M2" s="1677"/>
      <c r="N2" s="1677"/>
      <c r="O2" s="1677"/>
    </row>
    <row r="3" spans="1:15" x14ac:dyDescent="0.2">
      <c r="A3" s="1982" t="s">
        <v>163</v>
      </c>
      <c r="B3" s="1982"/>
      <c r="C3" s="1982"/>
      <c r="D3" s="1982"/>
      <c r="E3" s="1982"/>
      <c r="F3" s="1983" t="s">
        <v>8247</v>
      </c>
      <c r="G3" s="1983"/>
      <c r="H3" s="1983"/>
      <c r="I3" s="50"/>
      <c r="J3" s="50"/>
      <c r="K3" s="50"/>
      <c r="L3" s="50"/>
      <c r="M3" s="10"/>
      <c r="N3" s="10"/>
      <c r="O3" s="64"/>
    </row>
    <row r="4" spans="1:15" ht="5.0999999999999996" customHeight="1" thickBot="1" x14ac:dyDescent="0.25">
      <c r="A4" s="51"/>
      <c r="B4" s="51"/>
      <c r="C4" s="51"/>
      <c r="D4" s="51"/>
      <c r="E4" s="51"/>
      <c r="F4" s="52"/>
      <c r="G4" s="52"/>
      <c r="H4" s="52"/>
      <c r="I4" s="49"/>
      <c r="J4" s="49"/>
      <c r="K4" s="49"/>
      <c r="L4" s="49"/>
      <c r="M4" s="49"/>
      <c r="N4" s="49"/>
      <c r="O4" s="49"/>
    </row>
    <row r="5" spans="1:15" ht="13.5" thickTop="1" x14ac:dyDescent="0.2">
      <c r="A5" s="10"/>
      <c r="B5" s="10"/>
      <c r="C5" s="10"/>
      <c r="D5" s="10"/>
      <c r="E5" s="10"/>
      <c r="F5" s="10"/>
      <c r="G5" s="10"/>
      <c r="H5" s="10"/>
      <c r="I5" s="10"/>
      <c r="J5" s="10"/>
      <c r="K5" s="10"/>
      <c r="L5" s="10"/>
      <c r="M5" s="10"/>
      <c r="N5" s="10"/>
      <c r="O5" s="10"/>
    </row>
    <row r="6" spans="1:15" x14ac:dyDescent="0.2">
      <c r="A6" s="10" t="s">
        <v>82</v>
      </c>
      <c r="B6" s="1984" t="s">
        <v>323</v>
      </c>
      <c r="C6" s="1979"/>
      <c r="D6" s="10"/>
      <c r="E6" s="10"/>
      <c r="F6" s="10" t="s">
        <v>46</v>
      </c>
      <c r="G6" s="1974" t="str">
        <f>'Informasi Debitur'!C4</f>
        <v>IRFAN HERIYANTO HALIM</v>
      </c>
      <c r="H6" s="1974"/>
      <c r="I6" s="1974"/>
      <c r="J6" s="10"/>
      <c r="K6" s="10"/>
      <c r="L6" s="10"/>
      <c r="M6" s="10"/>
      <c r="N6" s="10"/>
      <c r="O6" s="64"/>
    </row>
    <row r="7" spans="1:15" x14ac:dyDescent="0.2">
      <c r="A7" s="10" t="s">
        <v>83</v>
      </c>
      <c r="B7" s="1979" t="s">
        <v>8205</v>
      </c>
      <c r="C7" s="1979"/>
      <c r="D7" s="10"/>
      <c r="E7" s="10"/>
      <c r="F7" s="10" t="s">
        <v>3</v>
      </c>
      <c r="G7" s="1975" t="str">
        <f>'Informasi Debitur'!C9</f>
        <v>BANJARMASIN A. YANI</v>
      </c>
      <c r="H7" s="1975"/>
      <c r="I7" s="1975"/>
      <c r="J7" s="10"/>
      <c r="K7" s="10"/>
      <c r="L7" s="10"/>
      <c r="M7" s="10"/>
      <c r="N7" s="10"/>
      <c r="O7" s="64"/>
    </row>
    <row r="8" spans="1:15" x14ac:dyDescent="0.2">
      <c r="A8" s="10" t="s">
        <v>132</v>
      </c>
      <c r="B8" s="1985" t="s">
        <v>8206</v>
      </c>
      <c r="C8" s="1985"/>
      <c r="D8" s="10"/>
      <c r="E8" s="10"/>
      <c r="F8" s="10" t="s">
        <v>45</v>
      </c>
      <c r="G8" s="1976" t="str">
        <f>'Informasi Debitur'!G32</f>
        <v>JASA INDUSTRI PENGOLAHAN KAROSERI</v>
      </c>
      <c r="H8" s="1976"/>
      <c r="I8" s="1976"/>
      <c r="J8" s="10"/>
      <c r="K8" s="10"/>
      <c r="L8" s="10"/>
      <c r="M8" s="10"/>
      <c r="N8" s="10"/>
      <c r="O8" s="64"/>
    </row>
    <row r="9" spans="1:15" hidden="1" x14ac:dyDescent="0.2">
      <c r="A9" s="10"/>
      <c r="B9" s="1307"/>
      <c r="C9" s="1307"/>
      <c r="D9" s="10"/>
      <c r="E9" s="10"/>
      <c r="F9" s="10"/>
      <c r="G9" s="1307"/>
      <c r="H9" s="1307"/>
      <c r="I9" s="1307"/>
      <c r="J9" s="10"/>
      <c r="K9" s="10"/>
      <c r="L9" s="10"/>
      <c r="M9" s="10"/>
      <c r="N9" s="10"/>
      <c r="O9" s="64"/>
    </row>
    <row r="10" spans="1:15" x14ac:dyDescent="0.2">
      <c r="A10" s="50" t="s">
        <v>326</v>
      </c>
      <c r="B10" s="1974">
        <f>'Informasi Debitur'!J6</f>
        <v>0</v>
      </c>
      <c r="C10" s="1974"/>
      <c r="D10" s="10"/>
      <c r="E10" s="10"/>
      <c r="F10" s="10" t="s">
        <v>85</v>
      </c>
      <c r="G10" s="1974" t="str">
        <f>'Informasi Debitur'!J5</f>
        <v xml:space="preserve">OH NJEN LIENG </v>
      </c>
      <c r="H10" s="1974"/>
      <c r="I10" s="1974"/>
      <c r="J10" s="10"/>
      <c r="K10" s="10"/>
      <c r="L10" s="10"/>
      <c r="M10" s="10"/>
      <c r="N10" s="10"/>
      <c r="O10" s="64"/>
    </row>
    <row r="11" spans="1:15" x14ac:dyDescent="0.2">
      <c r="A11" s="10" t="s">
        <v>84</v>
      </c>
      <c r="B11" s="1974" t="str">
        <f>'Informasi Debitur'!J7</f>
        <v>0008C00010251</v>
      </c>
      <c r="C11" s="1974"/>
      <c r="D11" s="10"/>
      <c r="E11" s="10"/>
      <c r="F11" s="10" t="s">
        <v>86</v>
      </c>
      <c r="G11" s="1975" t="str">
        <f>'Informasi Debitur'!B258</f>
        <v>NA</v>
      </c>
      <c r="H11" s="1975"/>
      <c r="I11" s="1975"/>
      <c r="J11" s="10"/>
      <c r="K11" s="10"/>
      <c r="L11" s="10"/>
      <c r="M11" s="10"/>
      <c r="N11" s="10"/>
      <c r="O11" s="64"/>
    </row>
    <row r="12" spans="1:15" hidden="1" x14ac:dyDescent="0.2">
      <c r="A12" s="10"/>
      <c r="B12" s="10"/>
      <c r="C12" s="10"/>
      <c r="D12" s="10"/>
      <c r="E12" s="10"/>
      <c r="F12" s="10"/>
      <c r="G12" s="10"/>
      <c r="H12" s="10"/>
      <c r="I12" s="10"/>
      <c r="J12" s="10"/>
      <c r="K12" s="10"/>
      <c r="L12" s="10"/>
      <c r="M12" s="10"/>
      <c r="N12" s="10"/>
      <c r="O12" s="64"/>
    </row>
    <row r="13" spans="1:15" hidden="1" x14ac:dyDescent="0.2">
      <c r="A13" s="10"/>
      <c r="B13" s="10"/>
      <c r="C13" s="10"/>
      <c r="D13" s="10"/>
      <c r="E13" s="10"/>
      <c r="F13" s="10"/>
      <c r="G13" s="10"/>
      <c r="H13" s="10"/>
      <c r="I13" s="10"/>
      <c r="J13" s="10"/>
      <c r="K13" s="10"/>
      <c r="L13" s="10"/>
      <c r="M13" s="10"/>
      <c r="N13" s="10"/>
      <c r="O13" s="64"/>
    </row>
    <row r="14" spans="1:15" x14ac:dyDescent="0.2">
      <c r="A14" s="10"/>
      <c r="B14" s="10"/>
      <c r="C14" s="10"/>
      <c r="D14" s="10"/>
      <c r="E14" s="10"/>
      <c r="F14" s="10"/>
      <c r="G14" s="10"/>
      <c r="H14" s="10"/>
      <c r="I14" s="10"/>
      <c r="J14" s="10"/>
      <c r="K14" s="10"/>
      <c r="L14" s="10"/>
      <c r="M14" s="10"/>
      <c r="N14" s="10"/>
      <c r="O14" s="64"/>
    </row>
    <row r="15" spans="1:15" ht="15.75" x14ac:dyDescent="0.25">
      <c r="A15" s="1952" t="s">
        <v>151</v>
      </c>
      <c r="B15" s="1952"/>
      <c r="C15" s="1952"/>
      <c r="D15" s="1952"/>
      <c r="E15" s="1952"/>
      <c r="F15" s="1952"/>
      <c r="G15" s="1952"/>
      <c r="H15" s="1952"/>
      <c r="I15" s="1952"/>
      <c r="J15" s="1952"/>
      <c r="K15" s="1952"/>
      <c r="L15" s="1952"/>
      <c r="M15" s="1952"/>
      <c r="N15" s="1952"/>
      <c r="O15" s="1952"/>
    </row>
    <row r="16" spans="1:15" x14ac:dyDescent="0.2">
      <c r="A16" s="10"/>
      <c r="B16" s="10"/>
      <c r="C16" s="10"/>
      <c r="D16" s="10"/>
      <c r="E16" s="38" t="s">
        <v>29</v>
      </c>
      <c r="F16" s="10"/>
      <c r="G16" s="10"/>
      <c r="H16" s="10"/>
      <c r="I16" s="10"/>
      <c r="J16" s="10"/>
      <c r="K16" s="10"/>
      <c r="L16" s="10"/>
      <c r="M16" s="10"/>
      <c r="N16" s="10"/>
      <c r="O16" s="64"/>
    </row>
    <row r="17" spans="1:22" x14ac:dyDescent="0.2">
      <c r="A17" s="10"/>
      <c r="B17" s="10"/>
      <c r="C17" s="44" t="s">
        <v>124</v>
      </c>
      <c r="D17" s="44" t="s">
        <v>135</v>
      </c>
      <c r="E17" s="44" t="s">
        <v>141</v>
      </c>
      <c r="F17" s="10"/>
      <c r="G17" s="10"/>
      <c r="H17" s="10"/>
      <c r="I17" s="10"/>
      <c r="J17" s="10"/>
      <c r="K17" s="10"/>
      <c r="L17" s="10"/>
      <c r="M17" s="10"/>
      <c r="N17" s="10"/>
      <c r="O17" s="64"/>
    </row>
    <row r="18" spans="1:22" x14ac:dyDescent="0.2">
      <c r="A18" s="1977" t="s">
        <v>140</v>
      </c>
      <c r="B18" s="1977"/>
      <c r="C18" s="212">
        <f>D62+D83</f>
        <v>0</v>
      </c>
      <c r="D18" s="212">
        <f>E62+E83</f>
        <v>0</v>
      </c>
      <c r="E18" s="45">
        <f>SUM(C18:D18)</f>
        <v>0</v>
      </c>
      <c r="F18" s="10"/>
      <c r="G18" s="10"/>
      <c r="H18" s="10"/>
      <c r="I18" s="10"/>
      <c r="J18" s="10"/>
      <c r="K18" s="10"/>
      <c r="L18" s="10"/>
      <c r="M18" s="10"/>
      <c r="N18" s="10"/>
      <c r="O18" s="64"/>
    </row>
    <row r="19" spans="1:22" x14ac:dyDescent="0.2">
      <c r="A19" s="1977" t="s">
        <v>142</v>
      </c>
      <c r="B19" s="1977"/>
      <c r="C19" s="212">
        <f>D41</f>
        <v>0</v>
      </c>
      <c r="D19" s="212">
        <f>E41</f>
        <v>1000</v>
      </c>
      <c r="E19" s="45">
        <f>SUM(C19:D19)</f>
        <v>1000</v>
      </c>
      <c r="F19" s="10"/>
      <c r="G19" s="10"/>
      <c r="H19" s="10"/>
      <c r="I19" s="10"/>
      <c r="J19" s="10"/>
      <c r="K19" s="10"/>
      <c r="L19" s="10"/>
      <c r="M19" s="10"/>
      <c r="N19" s="10"/>
      <c r="O19" s="64"/>
    </row>
    <row r="20" spans="1:22" x14ac:dyDescent="0.2">
      <c r="A20" s="1977" t="s">
        <v>143</v>
      </c>
      <c r="B20" s="1977"/>
      <c r="C20" s="46">
        <f>SUM(C18:C19)</f>
        <v>0</v>
      </c>
      <c r="D20" s="46">
        <f>SUM(D18:D19)</f>
        <v>1000</v>
      </c>
      <c r="E20" s="46">
        <f>SUM(C20:D20)</f>
        <v>1000</v>
      </c>
      <c r="F20" s="10"/>
      <c r="G20" s="10"/>
      <c r="H20" s="10"/>
      <c r="I20" s="10"/>
      <c r="J20" s="10"/>
      <c r="K20" s="10"/>
      <c r="L20" s="10"/>
      <c r="M20" s="10"/>
      <c r="N20" s="10"/>
      <c r="O20" s="64"/>
    </row>
    <row r="21" spans="1:22" x14ac:dyDescent="0.2">
      <c r="A21" s="10"/>
      <c r="B21" s="10"/>
      <c r="C21" s="10"/>
      <c r="D21" s="10"/>
      <c r="E21" s="10"/>
      <c r="F21" s="10"/>
      <c r="G21" s="10"/>
      <c r="H21" s="10"/>
      <c r="I21" s="10"/>
      <c r="J21" s="10"/>
      <c r="K21" s="10"/>
      <c r="L21" s="10"/>
      <c r="M21" s="10"/>
      <c r="N21" s="10"/>
      <c r="O21" s="64"/>
    </row>
    <row r="22" spans="1:22" ht="15.75" x14ac:dyDescent="0.25">
      <c r="A22" s="1952" t="s">
        <v>469</v>
      </c>
      <c r="B22" s="1952"/>
      <c r="C22" s="1952"/>
      <c r="D22" s="1952"/>
      <c r="E22" s="1952"/>
      <c r="F22" s="1952"/>
      <c r="G22" s="1952"/>
      <c r="H22" s="1952"/>
      <c r="I22" s="1952"/>
      <c r="J22" s="1952"/>
      <c r="K22" s="1952"/>
      <c r="L22" s="1952"/>
      <c r="M22" s="1952"/>
      <c r="N22" s="1952"/>
      <c r="O22" s="1952"/>
    </row>
    <row r="23" spans="1:22" ht="12.75" customHeight="1" x14ac:dyDescent="0.2">
      <c r="A23" s="1329" t="str">
        <f>'Informasi Debitur'!A12</f>
        <v xml:space="preserve">Pengajuan Fasilitas Kredit :
- Modal Kerja PRK Rp 1.400.000.000,- yang akan digunakan untuk modal kerja terutama untuk membiayai piutang usaha dan inventory dengan jangka waktu 12 bulan.  
</v>
      </c>
      <c r="B23" s="1329"/>
      <c r="C23" s="1329"/>
      <c r="D23" s="1329"/>
      <c r="E23" s="1329"/>
      <c r="F23" s="1329"/>
      <c r="G23" s="1329"/>
      <c r="H23" s="1329"/>
      <c r="I23" s="1329"/>
      <c r="J23" s="1329"/>
      <c r="K23" s="1329"/>
      <c r="L23" s="1329"/>
      <c r="M23" s="1329"/>
      <c r="N23" s="128"/>
      <c r="O23" s="642"/>
    </row>
    <row r="24" spans="1:22" ht="15" customHeight="1" x14ac:dyDescent="0.2">
      <c r="A24" s="1331" t="str">
        <f>'Informasi Debitur'!A13</f>
        <v xml:space="preserve">Dengan adanya modal yang diberikan BTPN calon debitur lebih mudah untuk mengatur operasional usaha, karena harga besi plat yang cenderung turun naik dipengaruhi kebijakkan luar negeri.
</v>
      </c>
      <c r="B24" s="1331"/>
      <c r="C24" s="1331"/>
      <c r="D24" s="1331"/>
      <c r="E24" s="1331"/>
      <c r="F24" s="1331"/>
      <c r="G24" s="1331"/>
      <c r="H24" s="1331"/>
      <c r="I24" s="1331"/>
      <c r="J24" s="1331"/>
      <c r="K24" s="1331"/>
      <c r="L24" s="1331"/>
      <c r="M24" s="1331"/>
      <c r="N24" s="128"/>
      <c r="O24" s="642"/>
    </row>
    <row r="25" spans="1:22" ht="16.5" customHeight="1" x14ac:dyDescent="0.2">
      <c r="A25" s="1331" t="str">
        <f>'Informasi Debitur'!A14</f>
        <v>- Jaminan merupakan jaminan fasilitas exist Bank Panin KPR dengan OS Rp 384.80 jt yang akan dilakukan pelunasan sendiri terlebih dahulu sebelum dilakukkannya pengikatan kredit.</v>
      </c>
      <c r="B25" s="1331"/>
      <c r="C25" s="1331"/>
      <c r="D25" s="1331"/>
      <c r="E25" s="1331"/>
      <c r="F25" s="1331"/>
      <c r="G25" s="1331"/>
      <c r="H25" s="1331"/>
      <c r="I25" s="1331"/>
      <c r="J25" s="1331"/>
      <c r="K25" s="1331"/>
      <c r="L25" s="1331"/>
      <c r="M25" s="1331"/>
      <c r="N25" s="128"/>
      <c r="O25" s="642"/>
    </row>
    <row r="26" spans="1:22" x14ac:dyDescent="0.2">
      <c r="A26" s="1331">
        <f>'Informasi Debitur'!A15</f>
        <v>0</v>
      </c>
      <c r="B26" s="1331"/>
      <c r="C26" s="1331"/>
      <c r="D26" s="1331"/>
      <c r="E26" s="1331"/>
      <c r="F26" s="1331"/>
      <c r="G26" s="1331"/>
      <c r="H26" s="1331"/>
      <c r="I26" s="1331"/>
      <c r="J26" s="1331"/>
      <c r="K26" s="1331"/>
      <c r="L26" s="1331"/>
      <c r="M26" s="1331"/>
      <c r="N26" s="128"/>
      <c r="O26" s="642"/>
    </row>
    <row r="27" spans="1:22" x14ac:dyDescent="0.2">
      <c r="A27" s="1331">
        <f>'Informasi Debitur'!A16</f>
        <v>0</v>
      </c>
      <c r="B27" s="1331"/>
      <c r="C27" s="1331"/>
      <c r="D27" s="1331"/>
      <c r="E27" s="1331"/>
      <c r="F27" s="1331"/>
      <c r="G27" s="1331"/>
      <c r="H27" s="1331"/>
      <c r="I27" s="1331"/>
      <c r="J27" s="1331"/>
      <c r="K27" s="1331"/>
      <c r="L27" s="1331"/>
      <c r="M27" s="1331"/>
      <c r="N27" s="128"/>
      <c r="O27" s="642"/>
    </row>
    <row r="28" spans="1:22" ht="5.0999999999999996" customHeight="1" x14ac:dyDescent="0.2">
      <c r="A28" s="185"/>
      <c r="B28" s="185"/>
      <c r="C28" s="185"/>
      <c r="D28" s="185"/>
      <c r="E28" s="185"/>
      <c r="F28" s="185"/>
      <c r="G28" s="185"/>
      <c r="H28" s="185"/>
      <c r="I28" s="185"/>
      <c r="J28" s="185"/>
      <c r="K28" s="185"/>
      <c r="L28" s="185"/>
      <c r="M28" s="185"/>
      <c r="N28" s="185"/>
      <c r="O28" s="643"/>
    </row>
    <row r="29" spans="1:22" ht="15.75" x14ac:dyDescent="0.25">
      <c r="A29" s="1952" t="s">
        <v>4</v>
      </c>
      <c r="B29" s="1952"/>
      <c r="C29" s="1952"/>
      <c r="D29" s="1952"/>
      <c r="E29" s="1952"/>
      <c r="F29" s="1952"/>
      <c r="G29" s="1952"/>
      <c r="H29" s="1952"/>
      <c r="I29" s="1952"/>
      <c r="J29" s="1952"/>
      <c r="K29" s="1952"/>
      <c r="L29" s="1952"/>
      <c r="M29" s="1952"/>
      <c r="N29" s="1952"/>
      <c r="O29" s="1952"/>
    </row>
    <row r="30" spans="1:22" x14ac:dyDescent="0.2">
      <c r="A30" s="10"/>
      <c r="B30" s="10"/>
      <c r="C30" s="10"/>
      <c r="D30" s="10"/>
      <c r="E30" s="10"/>
      <c r="F30" s="10"/>
      <c r="G30" s="10"/>
      <c r="H30" s="10"/>
      <c r="I30" s="10"/>
      <c r="J30" s="10"/>
      <c r="K30" s="10"/>
      <c r="L30" s="10"/>
      <c r="M30" s="10"/>
      <c r="N30" s="10"/>
      <c r="O30" s="64"/>
    </row>
    <row r="31" spans="1:22" s="344" customFormat="1" ht="25.5" x14ac:dyDescent="0.2">
      <c r="A31" s="36" t="s">
        <v>92</v>
      </c>
      <c r="B31" s="36"/>
      <c r="C31" s="339"/>
      <c r="D31" s="340" t="str">
        <f>'Informasi Debitur'!C98</f>
        <v>Rp</v>
      </c>
      <c r="E31" s="341">
        <f>'Informasi Debitur'!D98</f>
        <v>1</v>
      </c>
      <c r="F31" s="37" t="s">
        <v>102</v>
      </c>
      <c r="G31" s="36"/>
      <c r="H31" s="36"/>
      <c r="I31" s="36"/>
      <c r="J31" s="36"/>
      <c r="K31" s="756"/>
      <c r="L31" s="32" t="s">
        <v>93</v>
      </c>
      <c r="M31" s="756"/>
      <c r="N31" s="756"/>
      <c r="O31" s="430"/>
    </row>
    <row r="32" spans="1:22" ht="12.75" customHeight="1" x14ac:dyDescent="0.2">
      <c r="A32" s="1405" t="s">
        <v>2402</v>
      </c>
      <c r="B32" s="1405" t="s">
        <v>4214</v>
      </c>
      <c r="C32" s="1986" t="s">
        <v>87</v>
      </c>
      <c r="D32" s="1987"/>
      <c r="E32" s="1987"/>
      <c r="F32" s="1988"/>
      <c r="G32" s="1405" t="s">
        <v>583</v>
      </c>
      <c r="H32" s="1377" t="s">
        <v>4213</v>
      </c>
      <c r="I32" s="1451" t="s">
        <v>196</v>
      </c>
      <c r="J32" s="1452"/>
      <c r="K32" s="1405" t="s">
        <v>7179</v>
      </c>
      <c r="L32" s="1405" t="s">
        <v>7180</v>
      </c>
      <c r="M32" s="1405" t="s">
        <v>7973</v>
      </c>
      <c r="N32" s="754"/>
      <c r="O32" s="64"/>
      <c r="U32" s="1100"/>
      <c r="V32" s="1100"/>
    </row>
    <row r="33" spans="1:26" s="345" customFormat="1" ht="42.75" customHeight="1" x14ac:dyDescent="0.25">
      <c r="A33" s="1405"/>
      <c r="B33" s="1405"/>
      <c r="C33" s="39" t="s">
        <v>90</v>
      </c>
      <c r="D33" s="39" t="s">
        <v>124</v>
      </c>
      <c r="E33" s="39" t="s">
        <v>135</v>
      </c>
      <c r="F33" s="39" t="s">
        <v>104</v>
      </c>
      <c r="G33" s="1405"/>
      <c r="H33" s="1378"/>
      <c r="I33" s="39" t="s">
        <v>197</v>
      </c>
      <c r="J33" s="39" t="s">
        <v>198</v>
      </c>
      <c r="K33" s="1405"/>
      <c r="L33" s="1405"/>
      <c r="M33" s="1405"/>
      <c r="N33" s="755"/>
      <c r="O33" s="644"/>
      <c r="Q33" s="1101" t="s">
        <v>7984</v>
      </c>
      <c r="S33" s="1989" t="s">
        <v>7976</v>
      </c>
      <c r="T33" s="958" t="s">
        <v>107</v>
      </c>
      <c r="U33" s="958" t="s">
        <v>7977</v>
      </c>
      <c r="V33" s="891"/>
      <c r="W33" s="384"/>
      <c r="X33" s="384"/>
    </row>
    <row r="34" spans="1:26" x14ac:dyDescent="0.2">
      <c r="A34" s="1084" t="str">
        <f>'Informasi Debitur'!A101</f>
        <v>PRK</v>
      </c>
      <c r="B34" s="342" t="str">
        <f>IF(OR(LEFT(A34,2)="PR",LEFT(A34,2)="PB"),"Modal Kerja",IF(LEFT(A34,2)="PA",(VLOOKUP(A34,'Informasi Debitur'!$A$101:$B$107,2,FALSE)),""))</f>
        <v>Modal Kerja</v>
      </c>
      <c r="C34" s="660" t="str">
        <f>IFERROR(VLOOKUP($A34,'Informasi Debitur'!$A$101:$N$107,3,0),0)</f>
        <v>Rp</v>
      </c>
      <c r="D34" s="661">
        <f>IFERROR(VLOOKUP($A34,'Informasi Debitur'!$A$101:$N$107,4,0),0)</f>
        <v>0</v>
      </c>
      <c r="E34" s="661">
        <v>1000</v>
      </c>
      <c r="F34" s="662">
        <f>IF(OR(D34&lt;&gt;"",E34&lt;&gt;""),SUM(D34:E34),0)</f>
        <v>1000</v>
      </c>
      <c r="G34" s="662">
        <f t="shared" ref="G34:G40" si="0">IF(C34=$D$31,F34*$E$31,F34)</f>
        <v>1000</v>
      </c>
      <c r="H34" s="795">
        <f>'Informasi Debitur'!I101</f>
        <v>1</v>
      </c>
      <c r="I34" s="664">
        <f>'Informasi Debitur'!J101</f>
        <v>0</v>
      </c>
      <c r="J34" s="664">
        <f>'Informasi Debitur'!K101</f>
        <v>0</v>
      </c>
      <c r="K34" s="663">
        <f>'Informasi Debitur'!N101</f>
        <v>0</v>
      </c>
      <c r="L34" s="759" t="s">
        <v>7978</v>
      </c>
      <c r="M34" s="1087">
        <f>'Informasi Debitur'!O101</f>
        <v>0</v>
      </c>
      <c r="N34" s="754"/>
      <c r="O34" s="64"/>
      <c r="P34" s="442"/>
      <c r="Q34" s="386" t="str">
        <f>IF(LEFT(A34,1)="P",IF('Informasi Debitur'!$J$9="Generic Program",VLOOKUP(LEFT(A34,2),$T$33:$U$34,2,FALSE),IF('Informasi Debitur'!$J$9="BTB",VLOOKUP(LEFT(A34,2),$T$35:$U$36,2,FALSE),IF('Informasi Debitur'!$J$9="Supply Chain",VLOOKUP(LEFT(A34,2),$T$37:$U$38,2,FALSE),""))),"")</f>
        <v>CS</v>
      </c>
      <c r="S34" s="1990"/>
      <c r="T34" s="386" t="s">
        <v>7983</v>
      </c>
      <c r="U34" s="386" t="s">
        <v>7978</v>
      </c>
      <c r="V34" s="1100"/>
      <c r="W34" s="383"/>
      <c r="X34" s="383"/>
      <c r="Z34" s="442"/>
    </row>
    <row r="35" spans="1:26" x14ac:dyDescent="0.2">
      <c r="A35" s="1084">
        <f>'Informasi Debitur'!A102</f>
        <v>0</v>
      </c>
      <c r="B35" s="342" t="str">
        <f>IF(OR(LEFT(A35,2)="PR",LEFT(A35,2)="PB"),"Modal Kerja",IF(LEFT(A35,2)="PA",(VLOOKUP(A35,'Informasi Debitur'!$A$101:$B$107,2,FALSE)),""))</f>
        <v/>
      </c>
      <c r="C35" s="660">
        <f>IFERROR(VLOOKUP($A35,'Informasi Debitur'!$A$101:$N$107,3,0),0)</f>
        <v>0</v>
      </c>
      <c r="D35" s="661">
        <f>IFERROR(VLOOKUP($A35,'Informasi Debitur'!$A$101:$N$107,4,0),0)</f>
        <v>0</v>
      </c>
      <c r="E35" s="661">
        <f>IFERROR(VLOOKUP($A35,'Informasi Debitur'!$A$101:$N$107,5,0),0)</f>
        <v>0</v>
      </c>
      <c r="F35" s="662">
        <f t="shared" ref="F35:F40" si="1">IF(OR(D35&lt;&gt;"",E35&lt;&gt;""),SUM(D35:E35),0)</f>
        <v>0</v>
      </c>
      <c r="G35" s="662">
        <f t="shared" si="0"/>
        <v>0</v>
      </c>
      <c r="H35" s="795">
        <f>'Informasi Debitur'!I102</f>
        <v>0</v>
      </c>
      <c r="I35" s="664">
        <f>'Informasi Debitur'!J102</f>
        <v>0</v>
      </c>
      <c r="J35" s="664">
        <f>'Informasi Debitur'!K102</f>
        <v>0</v>
      </c>
      <c r="K35" s="663">
        <f>'Informasi Debitur'!N102</f>
        <v>0</v>
      </c>
      <c r="L35" s="759"/>
      <c r="M35" s="1087">
        <f>'Informasi Debitur'!O102</f>
        <v>0</v>
      </c>
      <c r="N35" s="754"/>
      <c r="O35" s="64"/>
      <c r="Q35" s="386" t="str">
        <f>IF(LEFT(A35,1)="P",IF('Informasi Debitur'!$J$9="Generic Program",VLOOKUP(LEFT(A35,2),$T$33:$U$34,2,FALSE),IF('Informasi Debitur'!$J$9="BTB",VLOOKUP(LEFT(A35,2),$T$35:$U$36,2,FALSE),IF('Informasi Debitur'!$J$9="Supply Chain",VLOOKUP(LEFT(A35,2),$T$37:$U$38,2,FALSE),""))),"")</f>
        <v/>
      </c>
      <c r="S35" s="1991" t="s">
        <v>7974</v>
      </c>
      <c r="T35" s="958" t="s">
        <v>107</v>
      </c>
      <c r="U35" s="386" t="s">
        <v>7979</v>
      </c>
      <c r="V35" s="1100"/>
      <c r="W35" s="383"/>
      <c r="X35" s="383"/>
    </row>
    <row r="36" spans="1:26" x14ac:dyDescent="0.2">
      <c r="A36" s="1084">
        <f>'Informasi Debitur'!A103</f>
        <v>0</v>
      </c>
      <c r="B36" s="342" t="str">
        <f>IF(OR(LEFT(A36,2)="PR",LEFT(A36,2)="PB"),"Modal Kerja",IF(LEFT(A36,2)="PA",(VLOOKUP(A36,'Informasi Debitur'!$A$101:$B$107,2,FALSE)),""))</f>
        <v/>
      </c>
      <c r="C36" s="660">
        <f>IFERROR(VLOOKUP($A36,'Informasi Debitur'!$A$101:$N$107,3,0),0)</f>
        <v>0</v>
      </c>
      <c r="D36" s="661">
        <f>IFERROR(VLOOKUP($A36,'Informasi Debitur'!$A$101:$N$107,4,0),0)</f>
        <v>0</v>
      </c>
      <c r="E36" s="661">
        <f>IFERROR(VLOOKUP($A36,'Informasi Debitur'!$A$101:$N$107,5,0),0)</f>
        <v>0</v>
      </c>
      <c r="F36" s="662">
        <f t="shared" si="1"/>
        <v>0</v>
      </c>
      <c r="G36" s="662">
        <f t="shared" si="0"/>
        <v>0</v>
      </c>
      <c r="H36" s="795">
        <f>'Informasi Debitur'!I103</f>
        <v>0</v>
      </c>
      <c r="I36" s="664">
        <f>'Informasi Debitur'!J103</f>
        <v>0</v>
      </c>
      <c r="J36" s="664">
        <f>'Informasi Debitur'!K103</f>
        <v>0</v>
      </c>
      <c r="K36" s="663">
        <f>'Informasi Debitur'!N103</f>
        <v>0</v>
      </c>
      <c r="L36" s="759" t="str">
        <f>IF(LEFT(A36,3)="PAB",IF('Informasi Debitur'!$J$9="Generic Program",IF(K36="Angsuran Menurun","MAC","MAB"),IF('Informasi Debitur'!$J$9="BTB",IF(K36="Angsuran Menurun","MAM","MAL"),IF('Informasi Debitur'!$J$9="Supply Chain",IF(K36="Angsuran Menurun","MAO","MAN"),""))),Q36)</f>
        <v/>
      </c>
      <c r="M36" s="1087">
        <f>'Informasi Debitur'!O103</f>
        <v>0</v>
      </c>
      <c r="N36" s="754"/>
      <c r="O36" s="64"/>
      <c r="Q36" s="386" t="str">
        <f>IF(LEFT(A36,1)="P",IF('Informasi Debitur'!$J$9="Generic Program",VLOOKUP(LEFT(A36,2),$T$33:$U$34,2,FALSE),IF('Informasi Debitur'!$J$9="BTB",VLOOKUP(LEFT(A36,2),$T$35:$U$36,2,FALSE),IF('Informasi Debitur'!$J$9="Supply Chain",VLOOKUP(LEFT(A36,2),$T$37:$U$38,2,FALSE),""))),"")</f>
        <v/>
      </c>
      <c r="S36" s="1992"/>
      <c r="T36" s="386" t="s">
        <v>7983</v>
      </c>
      <c r="U36" s="386" t="s">
        <v>7980</v>
      </c>
      <c r="V36" s="1100"/>
      <c r="W36" s="383"/>
      <c r="X36" s="383"/>
    </row>
    <row r="37" spans="1:26" x14ac:dyDescent="0.2">
      <c r="A37" s="1084">
        <f>'Informasi Debitur'!A104</f>
        <v>0</v>
      </c>
      <c r="B37" s="342" t="str">
        <f>IF(OR(LEFT(A37,2)="PR",LEFT(A37,2)="PB"),"Modal Kerja",IF(LEFT(A37,2)="PA",(VLOOKUP(A37,'Informasi Debitur'!$A$101:$B$107,2,FALSE)),""))</f>
        <v/>
      </c>
      <c r="C37" s="660">
        <f>IFERROR(VLOOKUP($A37,'Informasi Debitur'!$A$101:$N$107,3,0),0)</f>
        <v>0</v>
      </c>
      <c r="D37" s="661">
        <f>IFERROR(VLOOKUP($A37,'Informasi Debitur'!$A$101:$N$107,4,0),0)</f>
        <v>0</v>
      </c>
      <c r="E37" s="661">
        <f>IFERROR(VLOOKUP($A37,'Informasi Debitur'!$A$101:$N$107,5,0),0)</f>
        <v>0</v>
      </c>
      <c r="F37" s="662">
        <f t="shared" si="1"/>
        <v>0</v>
      </c>
      <c r="G37" s="662">
        <f t="shared" si="0"/>
        <v>0</v>
      </c>
      <c r="H37" s="795">
        <f>'Informasi Debitur'!I104</f>
        <v>0</v>
      </c>
      <c r="I37" s="664">
        <f>'Informasi Debitur'!J104</f>
        <v>0</v>
      </c>
      <c r="J37" s="664">
        <f>'Informasi Debitur'!K104</f>
        <v>0</v>
      </c>
      <c r="K37" s="663">
        <f>'Informasi Debitur'!N104</f>
        <v>0</v>
      </c>
      <c r="L37" s="759" t="str">
        <f>IF(LEFT(A37,3)="PAB",IF('Informasi Debitur'!$J$9="Generic Program",IF(K37="Angsuran Menurun","MAC","MAB"),IF('Informasi Debitur'!$J$9="BTB",IF(K37="Angsuran Menurun","MAM","MAL"),IF('Informasi Debitur'!$J$9="Supply Chain",IF(K37="Angsuran Menurun","MAO","MAN"),""))),Q37)</f>
        <v/>
      </c>
      <c r="M37" s="1087">
        <f>'Informasi Debitur'!O104</f>
        <v>0</v>
      </c>
      <c r="N37" s="754"/>
      <c r="O37" s="64"/>
      <c r="Q37" s="386" t="str">
        <f>IF(LEFT(A37,1)="P",IF('Informasi Debitur'!$J$9="Generic Program",VLOOKUP(LEFT(A37,2),$T$33:$U$34,2,FALSE),IF('Informasi Debitur'!$J$9="BTB",VLOOKUP(LEFT(A37,2),$T$35:$U$36,2,FALSE),IF('Informasi Debitur'!$J$9="Supply Chain",VLOOKUP(LEFT(A37,2),$T$37:$U$38,2,FALSE),""))),"")</f>
        <v/>
      </c>
      <c r="S37" s="1989" t="s">
        <v>7975</v>
      </c>
      <c r="T37" s="958" t="s">
        <v>107</v>
      </c>
      <c r="U37" s="386" t="s">
        <v>7981</v>
      </c>
      <c r="V37" s="1100"/>
      <c r="W37" s="383"/>
      <c r="X37" s="383"/>
    </row>
    <row r="38" spans="1:26" x14ac:dyDescent="0.2">
      <c r="A38" s="1084">
        <f>'Informasi Debitur'!A105</f>
        <v>0</v>
      </c>
      <c r="B38" s="342" t="str">
        <f>IF(OR(LEFT(A38,2)="PR",LEFT(A38,2)="PB"),"Modal Kerja",IF(LEFT(A38,2)="PA",(VLOOKUP(A38,'Informasi Debitur'!$A$101:$B$107,2,FALSE)),""))</f>
        <v/>
      </c>
      <c r="C38" s="660">
        <f>IFERROR(VLOOKUP($A38,'Informasi Debitur'!$A$101:$N$107,3,0),0)</f>
        <v>0</v>
      </c>
      <c r="D38" s="661">
        <f>IFERROR(VLOOKUP($A38,'Informasi Debitur'!$A$101:$N$107,4,0),0)</f>
        <v>0</v>
      </c>
      <c r="E38" s="661">
        <f>IFERROR(VLOOKUP($A38,'Informasi Debitur'!$A$101:$N$107,5,0),0)</f>
        <v>0</v>
      </c>
      <c r="F38" s="662">
        <f t="shared" si="1"/>
        <v>0</v>
      </c>
      <c r="G38" s="662">
        <f t="shared" si="0"/>
        <v>0</v>
      </c>
      <c r="H38" s="795">
        <f>'Informasi Debitur'!I105</f>
        <v>0</v>
      </c>
      <c r="I38" s="664">
        <f>'Informasi Debitur'!J105</f>
        <v>0</v>
      </c>
      <c r="J38" s="664">
        <f>'Informasi Debitur'!K105</f>
        <v>0</v>
      </c>
      <c r="K38" s="663">
        <f>'Informasi Debitur'!N105</f>
        <v>0</v>
      </c>
      <c r="L38" s="759" t="str">
        <f>IF(LEFT(A38,3)="PAB",IF('Informasi Debitur'!$J$9="Generic Program",IF(K38="Angsuran Menurun","MAC","MAB"),IF('Informasi Debitur'!$J$9="BTB",IF(K38="Angsuran Menurun","MAM","MAL"),IF('Informasi Debitur'!$J$9="Supply Chain",IF(K38="Angsuran Menurun","MAO","MAN"),""))),Q38)</f>
        <v/>
      </c>
      <c r="M38" s="1087">
        <f>'Informasi Debitur'!O105</f>
        <v>0</v>
      </c>
      <c r="N38" s="754"/>
      <c r="O38" s="64"/>
      <c r="Q38" s="386" t="str">
        <f>IF(LEFT(A38,1)="P",IF('Informasi Debitur'!$J$9="Generic Program",VLOOKUP(LEFT(A38,2),$T$33:$U$34,2,FALSE),IF('Informasi Debitur'!$J$9="BTB",VLOOKUP(LEFT(A38,2),$T$35:$U$36,2,FALSE),IF('Informasi Debitur'!$J$9="Supply Chain",VLOOKUP(LEFT(A38,2),$T$37:$U$38,2,FALSE),""))),"")</f>
        <v/>
      </c>
      <c r="S38" s="1990"/>
      <c r="T38" s="386" t="s">
        <v>7983</v>
      </c>
      <c r="U38" s="386" t="s">
        <v>7982</v>
      </c>
      <c r="V38" s="1100"/>
      <c r="W38" s="383"/>
      <c r="X38" s="383"/>
    </row>
    <row r="39" spans="1:26" x14ac:dyDescent="0.2">
      <c r="A39" s="1084">
        <f>'Informasi Debitur'!A106</f>
        <v>0</v>
      </c>
      <c r="B39" s="342" t="str">
        <f>IF(OR(LEFT(A39,2)="PR",LEFT(A39,2)="PB"),"Modal Kerja",IF(LEFT(A39,2)="PA",(VLOOKUP(A39,'Informasi Debitur'!$A$101:$B$107,2,FALSE)),""))</f>
        <v/>
      </c>
      <c r="C39" s="660">
        <f>IFERROR(VLOOKUP($A39,'Informasi Debitur'!$A$101:$N$107,3,0),0)</f>
        <v>0</v>
      </c>
      <c r="D39" s="661">
        <f>IFERROR(VLOOKUP($A39,'Informasi Debitur'!$A$101:$N$107,4,0),0)</f>
        <v>0</v>
      </c>
      <c r="E39" s="661">
        <f>IFERROR(VLOOKUP($A39,'Informasi Debitur'!$A$101:$N$107,5,0),0)</f>
        <v>0</v>
      </c>
      <c r="F39" s="662">
        <f t="shared" si="1"/>
        <v>0</v>
      </c>
      <c r="G39" s="662">
        <f t="shared" si="0"/>
        <v>0</v>
      </c>
      <c r="H39" s="795">
        <f>'Informasi Debitur'!I106</f>
        <v>0</v>
      </c>
      <c r="I39" s="664">
        <f>'Informasi Debitur'!J106</f>
        <v>0</v>
      </c>
      <c r="J39" s="664">
        <f>'Informasi Debitur'!K106</f>
        <v>0</v>
      </c>
      <c r="K39" s="663">
        <f>'Informasi Debitur'!N106</f>
        <v>0</v>
      </c>
      <c r="L39" s="759" t="str">
        <f>IF(LEFT(A39,3)="PAB",IF('Informasi Debitur'!$J$9="Generic Program",IF(K39="Angsuran Menurun","MAC","MAB"),IF('Informasi Debitur'!$J$9="BTB",IF(K39="Angsuran Menurun","MAM","MAL"),IF('Informasi Debitur'!$J$9="Supply Chain",IF(K39="Angsuran Menurun","MAO","MAN"),""))),Q39)</f>
        <v/>
      </c>
      <c r="M39" s="1087">
        <f>'Informasi Debitur'!O106</f>
        <v>0</v>
      </c>
      <c r="N39" s="754"/>
      <c r="O39" s="64"/>
      <c r="Q39" s="386" t="str">
        <f>IF(LEFT(A39,1)="P",IF('Informasi Debitur'!$J$9="Generic Program",VLOOKUP(LEFT(A39,2),$T$33:$U$34,2,FALSE),IF('Informasi Debitur'!$J$9="BTB",VLOOKUP(LEFT(A39,2),$T$35:$U$36,2,FALSE),IF('Informasi Debitur'!$J$9="Supply Chain",VLOOKUP(LEFT(A39,2),$T$37:$U$38,2,FALSE),""))),"")</f>
        <v/>
      </c>
      <c r="V39" s="1100"/>
      <c r="W39" s="383"/>
      <c r="X39" s="383"/>
    </row>
    <row r="40" spans="1:26" x14ac:dyDescent="0.2">
      <c r="A40" s="1084">
        <f>'Informasi Debitur'!A107</f>
        <v>0</v>
      </c>
      <c r="B40" s="342" t="str">
        <f>IF(OR(LEFT(A40,2)="PR",LEFT(A40,2)="PB"),"Modal Kerja",IF(LEFT(A40,2)="PA",(VLOOKUP(A40,'Informasi Debitur'!$A$101:$B$107,2,FALSE)),""))</f>
        <v/>
      </c>
      <c r="C40" s="660">
        <f>IFERROR(VLOOKUP($A40,'Informasi Debitur'!$A$101:$N$107,3,0),0)</f>
        <v>0</v>
      </c>
      <c r="D40" s="661">
        <f>IFERROR(VLOOKUP($A40,'Informasi Debitur'!$A$101:$N$107,4,0),0)</f>
        <v>0</v>
      </c>
      <c r="E40" s="661">
        <f>IFERROR(VLOOKUP($A40,'Informasi Debitur'!$A$101:$N$107,5,0),0)</f>
        <v>0</v>
      </c>
      <c r="F40" s="662">
        <f t="shared" si="1"/>
        <v>0</v>
      </c>
      <c r="G40" s="662">
        <f t="shared" si="0"/>
        <v>0</v>
      </c>
      <c r="H40" s="795">
        <f>'Informasi Debitur'!I107</f>
        <v>0</v>
      </c>
      <c r="I40" s="664">
        <f>'Informasi Debitur'!J107</f>
        <v>0</v>
      </c>
      <c r="J40" s="664">
        <f>'Informasi Debitur'!K107</f>
        <v>0</v>
      </c>
      <c r="K40" s="663">
        <f>'Informasi Debitur'!N107</f>
        <v>0</v>
      </c>
      <c r="L40" s="759" t="str">
        <f>IF(LEFT(A40,3)="PAB",IF('Informasi Debitur'!$J$9="Generic Program",IF(K40="Angsuran Menurun","MAC","MAB"),IF('Informasi Debitur'!$J$9="BTB",IF(K40="Angsuran Menurun","MAM","MAL"),IF('Informasi Debitur'!$J$9="Supply Chain",IF(K40="Angsuran Menurun","MAO","MAN"),""))),Q40)</f>
        <v/>
      </c>
      <c r="M40" s="1087">
        <f>'Informasi Debitur'!O107</f>
        <v>0</v>
      </c>
      <c r="N40" s="754"/>
      <c r="O40" s="64"/>
      <c r="Q40" s="386" t="str">
        <f>IF(LEFT(A40,1)="P",IF('Informasi Debitur'!$J$9="Generic Program",VLOOKUP(LEFT(A40,2),$T$33:$U$34,2,FALSE),IF('Informasi Debitur'!$J$9="BTB",VLOOKUP(LEFT(A40,2),$T$35:$U$36,2,FALSE),IF('Informasi Debitur'!$J$9="Supply Chain",VLOOKUP(LEFT(A40,2),$T$37:$U$38,2,FALSE),""))),"")</f>
        <v/>
      </c>
      <c r="V40" s="1100"/>
      <c r="W40" s="383"/>
      <c r="X40" s="383"/>
    </row>
    <row r="41" spans="1:26" ht="15" x14ac:dyDescent="0.25">
      <c r="A41" s="1973" t="s">
        <v>104</v>
      </c>
      <c r="B41" s="1973"/>
      <c r="C41" s="338"/>
      <c r="D41" s="40">
        <f>SUM(D34:D40)</f>
        <v>0</v>
      </c>
      <c r="E41" s="40">
        <f>SUM(E34:E40)</f>
        <v>1000</v>
      </c>
      <c r="F41" s="40">
        <f>SUM(F34:F40)</f>
        <v>1000</v>
      </c>
      <c r="G41" s="40">
        <f>SUM(G34:G40)</f>
        <v>1000</v>
      </c>
      <c r="H41" s="42"/>
      <c r="I41" s="43"/>
      <c r="J41" s="43"/>
      <c r="K41" s="43"/>
      <c r="L41" s="10"/>
      <c r="M41" s="10"/>
      <c r="N41" s="10"/>
      <c r="O41" s="64"/>
      <c r="U41" s="1100"/>
      <c r="V41" s="1100"/>
      <c r="W41" s="385"/>
      <c r="X41" s="386"/>
      <c r="Y41" s="386"/>
      <c r="Z41" s="441"/>
    </row>
    <row r="42" spans="1:26" x14ac:dyDescent="0.2">
      <c r="A42" s="10"/>
      <c r="B42" s="10"/>
      <c r="C42" s="10"/>
      <c r="D42" s="10"/>
      <c r="E42" s="10"/>
      <c r="F42" s="10"/>
      <c r="G42" s="10"/>
      <c r="H42" s="10"/>
      <c r="I42" s="10"/>
      <c r="J42" s="10"/>
      <c r="K42" s="10"/>
      <c r="L42" s="10"/>
      <c r="M42" s="10"/>
      <c r="N42" s="10"/>
      <c r="O42" s="64"/>
      <c r="Q42" s="383"/>
      <c r="R42" s="383"/>
    </row>
    <row r="43" spans="1:26" s="383" customFormat="1" ht="15" x14ac:dyDescent="0.25">
      <c r="A43" s="409" t="s">
        <v>2921</v>
      </c>
      <c r="B43" s="10"/>
      <c r="C43" s="10"/>
      <c r="D43" s="10"/>
      <c r="E43" s="10"/>
      <c r="F43" s="10"/>
      <c r="G43" s="10"/>
      <c r="H43" s="10"/>
      <c r="I43" s="10"/>
      <c r="J43" s="10"/>
      <c r="K43" s="10"/>
      <c r="L43" s="10"/>
      <c r="M43" s="10"/>
      <c r="N43" s="10"/>
      <c r="O43" s="64"/>
    </row>
    <row r="44" spans="1:26" s="383" customFormat="1" x14ac:dyDescent="0.2">
      <c r="A44" s="10"/>
      <c r="B44" s="10"/>
      <c r="C44" s="10"/>
      <c r="D44" s="10"/>
      <c r="E44" s="10"/>
      <c r="F44" s="10"/>
      <c r="G44" s="10"/>
      <c r="H44" s="10"/>
      <c r="I44" s="10"/>
      <c r="J44" s="10"/>
      <c r="K44" s="10"/>
      <c r="L44" s="10"/>
      <c r="M44" s="10"/>
      <c r="N44" s="10"/>
      <c r="O44" s="64"/>
    </row>
    <row r="45" spans="1:26" s="383" customFormat="1" x14ac:dyDescent="0.2">
      <c r="A45" s="1921" t="s">
        <v>707</v>
      </c>
      <c r="B45" s="1921"/>
      <c r="C45" s="1921"/>
      <c r="D45" s="1978">
        <f>RAC!E67</f>
        <v>2.05375785817614</v>
      </c>
      <c r="E45" s="1978"/>
      <c r="F45" s="10"/>
      <c r="G45" s="1928" t="s">
        <v>771</v>
      </c>
      <c r="H45" s="1928"/>
      <c r="I45" s="1928"/>
      <c r="J45" s="1966">
        <f>'Analisa Lap Keu'!E101</f>
        <v>0.97032517534262674</v>
      </c>
      <c r="K45" s="1966"/>
      <c r="L45" s="10"/>
      <c r="M45" s="10"/>
      <c r="N45" s="10"/>
      <c r="O45" s="64"/>
    </row>
    <row r="46" spans="1:26" s="383" customFormat="1" ht="24.95" customHeight="1" x14ac:dyDescent="0.2">
      <c r="A46" s="1921" t="s">
        <v>774</v>
      </c>
      <c r="B46" s="1921"/>
      <c r="C46" s="1921"/>
      <c r="D46" s="1971" t="str">
        <f>'Analisa Lap Keu'!E115</f>
        <v>-</v>
      </c>
      <c r="E46" s="1972"/>
      <c r="F46" s="10"/>
      <c r="G46" s="1928" t="s">
        <v>772</v>
      </c>
      <c r="H46" s="1928"/>
      <c r="I46" s="1928"/>
      <c r="J46" s="1966">
        <f>IF(ISERROR('Analisa Lap Keu'!E98/'Analisa Lap Keu'!E100),"-",'Analisa Lap Keu'!E98/'Analisa Lap Keu'!E100)</f>
        <v>0</v>
      </c>
      <c r="K46" s="1966"/>
      <c r="L46" s="10"/>
      <c r="M46" s="10"/>
      <c r="N46" s="10"/>
      <c r="O46" s="64"/>
    </row>
    <row r="47" spans="1:26" s="383" customFormat="1" ht="35.25" customHeight="1" x14ac:dyDescent="0.2">
      <c r="A47" s="1921" t="s">
        <v>775</v>
      </c>
      <c r="B47" s="1921"/>
      <c r="C47" s="1921"/>
      <c r="D47" s="1971">
        <f>RAC!E56</f>
        <v>0.66582949704571459</v>
      </c>
      <c r="E47" s="1980"/>
      <c r="F47" s="10"/>
      <c r="G47" s="1928" t="s">
        <v>773</v>
      </c>
      <c r="H47" s="1928"/>
      <c r="I47" s="1928"/>
      <c r="J47" s="1966">
        <f>IF(ISERROR('Analisa Lap Keu'!E99/'Analisa Lap Keu'!E100),"-",'Analisa Lap Keu'!E99/'Analisa Lap Keu'!E100)</f>
        <v>1</v>
      </c>
      <c r="K47" s="1966"/>
      <c r="L47" s="10"/>
      <c r="M47" s="10"/>
      <c r="N47" s="10"/>
      <c r="O47" s="64"/>
      <c r="P47" s="648" t="s">
        <v>4215</v>
      </c>
      <c r="R47" s="333"/>
    </row>
    <row r="48" spans="1:26" ht="12" hidden="1" customHeight="1" x14ac:dyDescent="0.2">
      <c r="A48" s="66"/>
      <c r="B48" s="66"/>
      <c r="C48" s="66"/>
      <c r="D48" s="66"/>
      <c r="E48" s="66"/>
      <c r="F48" s="66"/>
      <c r="G48" s="65"/>
      <c r="H48" s="65"/>
      <c r="I48" s="65"/>
      <c r="J48" s="65"/>
      <c r="K48" s="66"/>
      <c r="L48" s="66"/>
      <c r="M48" s="66"/>
      <c r="N48" s="66"/>
      <c r="O48" s="64"/>
    </row>
    <row r="49" spans="1:19" ht="13.5" hidden="1" thickTop="1" x14ac:dyDescent="0.2">
      <c r="A49" s="454"/>
      <c r="B49" s="454"/>
      <c r="C49" s="454"/>
      <c r="D49" s="454"/>
      <c r="E49" s="454"/>
      <c r="F49" s="454"/>
      <c r="G49" s="343"/>
      <c r="H49" s="343"/>
      <c r="I49" s="343"/>
      <c r="J49" s="343"/>
      <c r="K49" s="343"/>
      <c r="L49" s="343"/>
      <c r="M49" s="343"/>
      <c r="N49" s="343"/>
      <c r="O49" s="343"/>
      <c r="P49" s="646" t="s">
        <v>7676</v>
      </c>
    </row>
    <row r="50" spans="1:19" hidden="1" x14ac:dyDescent="0.2">
      <c r="A50" s="64" t="s">
        <v>4216</v>
      </c>
      <c r="B50" s="1967"/>
      <c r="C50" s="1967"/>
      <c r="D50" s="64"/>
      <c r="E50" s="64"/>
      <c r="F50" s="64"/>
      <c r="G50" s="10"/>
      <c r="H50" s="10"/>
      <c r="I50" s="10"/>
      <c r="J50" s="10"/>
      <c r="K50" s="10"/>
      <c r="L50" s="10"/>
      <c r="M50" s="10"/>
      <c r="N50" s="10"/>
      <c r="O50" s="64"/>
      <c r="P50" s="646" t="s">
        <v>7674</v>
      </c>
    </row>
    <row r="51" spans="1:19" hidden="1" x14ac:dyDescent="0.2">
      <c r="A51" s="64" t="s">
        <v>84</v>
      </c>
      <c r="B51" s="1967"/>
      <c r="C51" s="1967"/>
      <c r="D51" s="64"/>
      <c r="E51" s="64"/>
      <c r="F51" s="64"/>
      <c r="G51" s="10"/>
      <c r="H51" s="10"/>
      <c r="I51" s="10"/>
      <c r="J51" s="10"/>
      <c r="K51" s="10"/>
      <c r="L51" s="10"/>
      <c r="M51" s="10"/>
      <c r="N51" s="10"/>
      <c r="O51" s="64"/>
      <c r="P51" s="646" t="s">
        <v>7674</v>
      </c>
    </row>
    <row r="52" spans="1:19" hidden="1" x14ac:dyDescent="0.2">
      <c r="A52" s="64"/>
      <c r="B52" s="64"/>
      <c r="C52" s="64"/>
      <c r="D52" s="64"/>
      <c r="E52" s="64"/>
      <c r="F52" s="64"/>
      <c r="G52" s="10"/>
      <c r="H52" s="10"/>
      <c r="I52" s="10"/>
      <c r="J52" s="10"/>
      <c r="K52" s="32"/>
      <c r="L52" s="32" t="s">
        <v>93</v>
      </c>
      <c r="M52" s="10"/>
      <c r="N52" s="10"/>
      <c r="O52" s="64"/>
      <c r="P52" s="646" t="s">
        <v>7674</v>
      </c>
    </row>
    <row r="53" spans="1:19" ht="15" hidden="1" customHeight="1" x14ac:dyDescent="0.2">
      <c r="A53" s="1918" t="s">
        <v>2402</v>
      </c>
      <c r="B53" s="1918" t="s">
        <v>4214</v>
      </c>
      <c r="C53" s="1929" t="s">
        <v>87</v>
      </c>
      <c r="D53" s="1930"/>
      <c r="E53" s="1930"/>
      <c r="F53" s="1931"/>
      <c r="G53" s="1405" t="s">
        <v>583</v>
      </c>
      <c r="H53" s="1377" t="s">
        <v>4213</v>
      </c>
      <c r="I53" s="1451" t="s">
        <v>196</v>
      </c>
      <c r="J53" s="1452"/>
      <c r="K53" s="1389" t="s">
        <v>7179</v>
      </c>
      <c r="L53" s="1405" t="s">
        <v>7180</v>
      </c>
      <c r="M53" s="754"/>
      <c r="N53" s="754"/>
      <c r="O53" s="64"/>
      <c r="P53" s="646" t="s">
        <v>7674</v>
      </c>
    </row>
    <row r="54" spans="1:19" ht="38.25" hidden="1" x14ac:dyDescent="0.2">
      <c r="A54" s="1918"/>
      <c r="B54" s="1918"/>
      <c r="C54" s="455" t="s">
        <v>90</v>
      </c>
      <c r="D54" s="455" t="s">
        <v>124</v>
      </c>
      <c r="E54" s="455" t="s">
        <v>135</v>
      </c>
      <c r="F54" s="455" t="s">
        <v>104</v>
      </c>
      <c r="G54" s="1405"/>
      <c r="H54" s="1378"/>
      <c r="I54" s="331" t="s">
        <v>197</v>
      </c>
      <c r="J54" s="331" t="s">
        <v>198</v>
      </c>
      <c r="K54" s="1481"/>
      <c r="L54" s="1405"/>
      <c r="M54" s="754"/>
      <c r="N54" s="754"/>
      <c r="O54" s="64"/>
      <c r="P54" s="646" t="s">
        <v>7674</v>
      </c>
    </row>
    <row r="55" spans="1:19" hidden="1" x14ac:dyDescent="0.2">
      <c r="A55" s="456"/>
      <c r="B55" s="457"/>
      <c r="C55" s="456"/>
      <c r="D55" s="458"/>
      <c r="E55" s="458"/>
      <c r="F55" s="459">
        <f>IF(OR(D55&lt;&gt;"",E55&lt;&gt;""),SUM(D55:E55),0)</f>
        <v>0</v>
      </c>
      <c r="G55" s="35">
        <f>IF(C55=$D$31,F55*$E$31,F55)</f>
        <v>0</v>
      </c>
      <c r="H55" s="120"/>
      <c r="I55" s="130"/>
      <c r="J55" s="130"/>
      <c r="K55" s="757"/>
      <c r="L55" s="239" t="str">
        <f>IF(LEFT(A55,3)="PAB",IF(K55="Angsuran Menurun","MAC","MAB"),IF(LEFT(A55,3)="PRK",IF('Informasi Debitur'!$J$9="Supply Chain","CT","CS"),IF(LEFT(A55,2)="PB","MPB","")))</f>
        <v/>
      </c>
      <c r="M55" s="754"/>
      <c r="N55" s="754"/>
      <c r="O55" s="64"/>
      <c r="P55" s="646" t="s">
        <v>7674</v>
      </c>
    </row>
    <row r="56" spans="1:19" hidden="1" x14ac:dyDescent="0.2">
      <c r="A56" s="456"/>
      <c r="B56" s="457"/>
      <c r="C56" s="456"/>
      <c r="D56" s="458"/>
      <c r="E56" s="458"/>
      <c r="F56" s="459">
        <f t="shared" ref="F56:F61" si="2">IF(OR(D56&lt;&gt;"",E56&lt;&gt;""),SUM(D56:E56),0)</f>
        <v>0</v>
      </c>
      <c r="G56" s="35">
        <f t="shared" ref="G56:G61" si="3">IF(C56=$D$31,F56*$E$31,F56)</f>
        <v>0</v>
      </c>
      <c r="H56" s="120"/>
      <c r="I56" s="130"/>
      <c r="J56" s="130"/>
      <c r="K56" s="757"/>
      <c r="L56" s="239" t="str">
        <f>IF(LEFT(B56,3)="PAB",IF(OR('Informasi Debitur'!O124="Angsuran Tetap",COUNTA('Informasi Debitur'!O124)=0),"MAB","MAC"),IF(LEFT(B56,3)="PRK",IF('Informasi Debitur'!$J$9="Supply Chain","CT","CS"),IF(LEFT(B56,2)="PB","MPB","")))</f>
        <v/>
      </c>
      <c r="M56" s="754"/>
      <c r="N56" s="754"/>
      <c r="O56" s="64"/>
      <c r="P56" s="646" t="s">
        <v>7674</v>
      </c>
    </row>
    <row r="57" spans="1:19" hidden="1" x14ac:dyDescent="0.2">
      <c r="A57" s="456"/>
      <c r="B57" s="457"/>
      <c r="C57" s="456"/>
      <c r="D57" s="458"/>
      <c r="E57" s="458"/>
      <c r="F57" s="459">
        <f t="shared" si="2"/>
        <v>0</v>
      </c>
      <c r="G57" s="35">
        <f>IF(C57=$D$31,F57*$E$31,F57)</f>
        <v>0</v>
      </c>
      <c r="H57" s="120"/>
      <c r="I57" s="130"/>
      <c r="J57" s="130"/>
      <c r="K57" s="757"/>
      <c r="L57" s="239" t="str">
        <f>IF(LEFT(B57,3)="PAB",IF(OR('Informasi Debitur'!O125="Angsuran Tetap",COUNTA('Informasi Debitur'!O125)=0),"MAB","MAC"),IF(LEFT(B57,3)="PRK",IF('Informasi Debitur'!$J$9="Supply Chain","CT","CS"),IF(LEFT(B57,2)="PB","MPB","")))</f>
        <v/>
      </c>
      <c r="M57" s="754"/>
      <c r="N57" s="754"/>
      <c r="O57" s="64"/>
      <c r="P57" s="646" t="s">
        <v>7674</v>
      </c>
    </row>
    <row r="58" spans="1:19" hidden="1" x14ac:dyDescent="0.2">
      <c r="A58" s="456"/>
      <c r="B58" s="457"/>
      <c r="C58" s="456"/>
      <c r="D58" s="458"/>
      <c r="E58" s="458"/>
      <c r="F58" s="459">
        <f t="shared" si="2"/>
        <v>0</v>
      </c>
      <c r="G58" s="35">
        <f t="shared" si="3"/>
        <v>0</v>
      </c>
      <c r="H58" s="120"/>
      <c r="I58" s="130"/>
      <c r="J58" s="130"/>
      <c r="K58" s="757"/>
      <c r="L58" s="239" t="str">
        <f>IF(LEFT(B58,3)="PAB",IF(OR('Informasi Debitur'!O126="Angsuran Tetap",COUNTA('Informasi Debitur'!O126)=0),"MAB","MAC"),IF(LEFT(B58,3)="PRK",IF('Informasi Debitur'!$J$9="Supply Chain","CT","CS"),IF(LEFT(B58,2)="PB","MPB","")))</f>
        <v/>
      </c>
      <c r="M58" s="754"/>
      <c r="N58" s="754"/>
      <c r="O58" s="64"/>
      <c r="P58" s="646" t="s">
        <v>7674</v>
      </c>
    </row>
    <row r="59" spans="1:19" hidden="1" x14ac:dyDescent="0.2">
      <c r="A59" s="456"/>
      <c r="B59" s="457"/>
      <c r="C59" s="456"/>
      <c r="D59" s="458"/>
      <c r="E59" s="458"/>
      <c r="F59" s="459">
        <f t="shared" si="2"/>
        <v>0</v>
      </c>
      <c r="G59" s="35">
        <f t="shared" si="3"/>
        <v>0</v>
      </c>
      <c r="H59" s="120"/>
      <c r="I59" s="130"/>
      <c r="J59" s="130"/>
      <c r="K59" s="757"/>
      <c r="L59" s="239" t="str">
        <f>IF(LEFT(B59,3)="PAB",IF(OR('Informasi Debitur'!O127="Angsuran Tetap",COUNTA('Informasi Debitur'!O127)=0),"MAB","MAC"),IF(LEFT(B59,3)="PRK",IF('Informasi Debitur'!$J$9="Supply Chain","CT","CS"),IF(LEFT(B59,2)="PB","MPB","")))</f>
        <v/>
      </c>
      <c r="M59" s="754"/>
      <c r="N59" s="754"/>
      <c r="O59" s="64"/>
      <c r="P59" s="646" t="s">
        <v>7674</v>
      </c>
    </row>
    <row r="60" spans="1:19" hidden="1" x14ac:dyDescent="0.2">
      <c r="A60" s="456"/>
      <c r="B60" s="457"/>
      <c r="C60" s="456"/>
      <c r="D60" s="458"/>
      <c r="E60" s="458"/>
      <c r="F60" s="459">
        <f t="shared" si="2"/>
        <v>0</v>
      </c>
      <c r="G60" s="35">
        <f t="shared" si="3"/>
        <v>0</v>
      </c>
      <c r="H60" s="120"/>
      <c r="I60" s="130"/>
      <c r="J60" s="130"/>
      <c r="K60" s="757"/>
      <c r="L60" s="239" t="str">
        <f>IF(LEFT(B60,3)="PAB",IF(OR('Informasi Debitur'!O128="Angsuran Tetap",COUNTA('Informasi Debitur'!O128)=0),"MAB","MAC"),IF(LEFT(B60,3)="PRK",IF('Informasi Debitur'!$J$9="Supply Chain","CT","CS"),IF(LEFT(B60,2)="PB","MPB","")))</f>
        <v/>
      </c>
      <c r="M60" s="754"/>
      <c r="N60" s="754"/>
      <c r="O60" s="64"/>
      <c r="P60" s="646" t="s">
        <v>7674</v>
      </c>
    </row>
    <row r="61" spans="1:19" hidden="1" x14ac:dyDescent="0.2">
      <c r="A61" s="456"/>
      <c r="B61" s="457"/>
      <c r="C61" s="456"/>
      <c r="D61" s="458"/>
      <c r="E61" s="458"/>
      <c r="F61" s="459">
        <f t="shared" si="2"/>
        <v>0</v>
      </c>
      <c r="G61" s="35">
        <f t="shared" si="3"/>
        <v>0</v>
      </c>
      <c r="H61" s="120"/>
      <c r="I61" s="130"/>
      <c r="J61" s="130"/>
      <c r="K61" s="757"/>
      <c r="L61" s="239" t="str">
        <f>IF(LEFT(B61,3)="PAB",IF(OR('Informasi Debitur'!O129="Angsuran Tetap",COUNTA('Informasi Debitur'!O129)=0),"MAB","MAC"),IF(LEFT(B61,3)="PRK",IF('Informasi Debitur'!$J$9="Supply Chain","CT","CS"),IF(LEFT(B61,2)="PB","MPB","")))</f>
        <v/>
      </c>
      <c r="M61" s="754"/>
      <c r="N61" s="754"/>
      <c r="O61" s="64"/>
      <c r="P61" s="646" t="s">
        <v>7674</v>
      </c>
    </row>
    <row r="62" spans="1:19" hidden="1" x14ac:dyDescent="0.2">
      <c r="A62" s="1963" t="s">
        <v>104</v>
      </c>
      <c r="B62" s="1963"/>
      <c r="C62" s="460"/>
      <c r="D62" s="461">
        <f>SUM(D55:D61)</f>
        <v>0</v>
      </c>
      <c r="E62" s="461">
        <f>SUM(E55:E61)</f>
        <v>0</v>
      </c>
      <c r="F62" s="461">
        <f>SUM(F55:F61)</f>
        <v>0</v>
      </c>
      <c r="G62" s="40">
        <f>SUM(G55:G61)</f>
        <v>0</v>
      </c>
      <c r="H62" s="42"/>
      <c r="I62" s="43"/>
      <c r="J62" s="43"/>
      <c r="K62" s="43"/>
      <c r="L62" s="10"/>
      <c r="M62" s="10"/>
      <c r="N62" s="10"/>
      <c r="O62" s="64"/>
      <c r="P62" s="646" t="s">
        <v>7674</v>
      </c>
      <c r="R62" s="383"/>
      <c r="S62" s="383"/>
    </row>
    <row r="63" spans="1:19" hidden="1" x14ac:dyDescent="0.2">
      <c r="A63" s="64"/>
      <c r="B63" s="64"/>
      <c r="C63" s="64"/>
      <c r="D63" s="64"/>
      <c r="E63" s="64"/>
      <c r="F63" s="64"/>
      <c r="G63" s="10"/>
      <c r="H63" s="10"/>
      <c r="I63" s="10"/>
      <c r="J63" s="10"/>
      <c r="K63" s="10"/>
      <c r="L63" s="10"/>
      <c r="M63" s="10"/>
      <c r="N63" s="10"/>
      <c r="O63" s="64"/>
      <c r="P63" s="646" t="s">
        <v>7674</v>
      </c>
      <c r="Q63" s="383"/>
      <c r="R63" s="383"/>
      <c r="S63" s="383"/>
    </row>
    <row r="64" spans="1:19" s="383" customFormat="1" ht="15" hidden="1" x14ac:dyDescent="0.25">
      <c r="A64" s="462" t="s">
        <v>2921</v>
      </c>
      <c r="B64" s="64"/>
      <c r="C64" s="64"/>
      <c r="D64" s="64"/>
      <c r="E64" s="64"/>
      <c r="F64" s="64"/>
      <c r="G64" s="10"/>
      <c r="H64" s="10"/>
      <c r="I64" s="10"/>
      <c r="J64" s="10"/>
      <c r="K64" s="10"/>
      <c r="L64" s="10"/>
      <c r="M64" s="10"/>
      <c r="N64" s="10"/>
      <c r="O64" s="64"/>
      <c r="P64" s="646" t="s">
        <v>7674</v>
      </c>
    </row>
    <row r="65" spans="1:19" s="383" customFormat="1" hidden="1" x14ac:dyDescent="0.2">
      <c r="A65" s="64"/>
      <c r="B65" s="64"/>
      <c r="C65" s="64"/>
      <c r="D65" s="64"/>
      <c r="E65" s="64"/>
      <c r="F65" s="64"/>
      <c r="G65" s="10"/>
      <c r="H65" s="10"/>
      <c r="I65" s="10"/>
      <c r="J65" s="10"/>
      <c r="K65" s="10"/>
      <c r="L65" s="10"/>
      <c r="M65" s="10"/>
      <c r="N65" s="10"/>
      <c r="O65" s="64"/>
      <c r="P65" s="646" t="s">
        <v>7674</v>
      </c>
    </row>
    <row r="66" spans="1:19" s="383" customFormat="1" hidden="1" x14ac:dyDescent="0.2">
      <c r="A66" s="1965" t="s">
        <v>707</v>
      </c>
      <c r="B66" s="1965"/>
      <c r="C66" s="1965"/>
      <c r="D66" s="1964" t="s">
        <v>7372</v>
      </c>
      <c r="E66" s="1964"/>
      <c r="F66" s="64"/>
      <c r="G66" s="1962" t="s">
        <v>771</v>
      </c>
      <c r="H66" s="1962"/>
      <c r="I66" s="1962"/>
      <c r="J66" s="1968" t="s">
        <v>7372</v>
      </c>
      <c r="K66" s="1968"/>
      <c r="L66" s="10"/>
      <c r="M66" s="10"/>
      <c r="N66" s="10"/>
      <c r="O66" s="64"/>
      <c r="P66" s="646" t="s">
        <v>7674</v>
      </c>
    </row>
    <row r="67" spans="1:19" s="383" customFormat="1" ht="24" hidden="1" customHeight="1" x14ac:dyDescent="0.2">
      <c r="A67" s="1965" t="s">
        <v>774</v>
      </c>
      <c r="B67" s="1965"/>
      <c r="C67" s="1965"/>
      <c r="D67" s="1919" t="s">
        <v>7372</v>
      </c>
      <c r="E67" s="1920"/>
      <c r="F67" s="64"/>
      <c r="G67" s="1928" t="s">
        <v>772</v>
      </c>
      <c r="H67" s="1928"/>
      <c r="I67" s="1928"/>
      <c r="J67" s="1917" t="s">
        <v>7372</v>
      </c>
      <c r="K67" s="1917"/>
      <c r="L67" s="10"/>
      <c r="M67" s="10"/>
      <c r="N67" s="10"/>
      <c r="O67" s="64"/>
      <c r="P67" s="646" t="s">
        <v>7674</v>
      </c>
      <c r="R67" s="333"/>
      <c r="S67" s="333"/>
    </row>
    <row r="68" spans="1:19" s="383" customFormat="1" ht="24" hidden="1" customHeight="1" x14ac:dyDescent="0.2">
      <c r="A68" s="1965" t="s">
        <v>775</v>
      </c>
      <c r="B68" s="1965"/>
      <c r="C68" s="1965"/>
      <c r="D68" s="1922" t="s">
        <v>7373</v>
      </c>
      <c r="E68" s="1923"/>
      <c r="F68" s="64"/>
      <c r="G68" s="1928" t="s">
        <v>773</v>
      </c>
      <c r="H68" s="1928"/>
      <c r="I68" s="1928"/>
      <c r="J68" s="1917" t="s">
        <v>7372</v>
      </c>
      <c r="K68" s="1917"/>
      <c r="L68" s="10"/>
      <c r="M68" s="10"/>
      <c r="N68" s="10"/>
      <c r="O68" s="64"/>
      <c r="P68" s="646" t="s">
        <v>7674</v>
      </c>
      <c r="Q68" s="333"/>
      <c r="R68" s="333"/>
      <c r="S68" s="333"/>
    </row>
    <row r="69" spans="1:19" hidden="1" x14ac:dyDescent="0.2">
      <c r="A69" s="64"/>
      <c r="B69" s="64"/>
      <c r="C69" s="64"/>
      <c r="D69" s="64"/>
      <c r="E69" s="64"/>
      <c r="F69" s="64"/>
      <c r="G69" s="10"/>
      <c r="H69" s="10"/>
      <c r="I69" s="10"/>
      <c r="J69" s="10"/>
      <c r="K69" s="10"/>
      <c r="L69" s="10"/>
      <c r="M69" s="10"/>
      <c r="N69" s="10"/>
      <c r="O69" s="64"/>
      <c r="P69" s="646" t="s">
        <v>7674</v>
      </c>
    </row>
    <row r="70" spans="1:19" ht="13.5" hidden="1" thickTop="1" x14ac:dyDescent="0.2">
      <c r="A70" s="454"/>
      <c r="B70" s="454"/>
      <c r="C70" s="454"/>
      <c r="D70" s="454"/>
      <c r="E70" s="454"/>
      <c r="F70" s="454"/>
      <c r="G70" s="343"/>
      <c r="H70" s="343"/>
      <c r="I70" s="343"/>
      <c r="J70" s="343"/>
      <c r="K70" s="343"/>
      <c r="L70" s="343"/>
      <c r="M70" s="343"/>
      <c r="N70" s="343"/>
      <c r="O70" s="343"/>
      <c r="P70" s="646" t="s">
        <v>7674</v>
      </c>
    </row>
    <row r="71" spans="1:19" hidden="1" x14ac:dyDescent="0.2">
      <c r="A71" s="64" t="s">
        <v>4217</v>
      </c>
      <c r="B71" s="1967"/>
      <c r="C71" s="1967"/>
      <c r="D71" s="64"/>
      <c r="E71" s="64"/>
      <c r="F71" s="64"/>
      <c r="G71" s="10"/>
      <c r="H71" s="10"/>
      <c r="I71" s="10"/>
      <c r="J71" s="10"/>
      <c r="K71" s="10"/>
      <c r="L71" s="10"/>
      <c r="M71" s="10"/>
      <c r="N71" s="10"/>
      <c r="O71" s="64"/>
      <c r="P71" s="646" t="s">
        <v>7675</v>
      </c>
    </row>
    <row r="72" spans="1:19" hidden="1" x14ac:dyDescent="0.2">
      <c r="A72" s="64" t="s">
        <v>84</v>
      </c>
      <c r="B72" s="1967"/>
      <c r="C72" s="1967"/>
      <c r="D72" s="64"/>
      <c r="E72" s="64"/>
      <c r="F72" s="64"/>
      <c r="G72" s="10"/>
      <c r="H72" s="10"/>
      <c r="I72" s="10"/>
      <c r="J72" s="10"/>
      <c r="K72" s="10"/>
      <c r="L72" s="10"/>
      <c r="M72" s="10"/>
      <c r="N72" s="10"/>
      <c r="O72" s="64"/>
      <c r="P72" s="646" t="s">
        <v>7675</v>
      </c>
    </row>
    <row r="73" spans="1:19" hidden="1" x14ac:dyDescent="0.2">
      <c r="A73" s="64"/>
      <c r="B73" s="64"/>
      <c r="C73" s="64"/>
      <c r="D73" s="64"/>
      <c r="E73" s="64"/>
      <c r="F73" s="64"/>
      <c r="G73" s="10"/>
      <c r="H73" s="10"/>
      <c r="I73" s="10"/>
      <c r="J73" s="10"/>
      <c r="K73" s="10"/>
      <c r="L73" s="10"/>
      <c r="M73" s="10"/>
      <c r="N73" s="10"/>
      <c r="O73" s="64"/>
      <c r="P73" s="646" t="s">
        <v>7675</v>
      </c>
    </row>
    <row r="74" spans="1:19" ht="15" hidden="1" customHeight="1" x14ac:dyDescent="0.2">
      <c r="A74" s="1918" t="s">
        <v>2402</v>
      </c>
      <c r="B74" s="1918" t="s">
        <v>4214</v>
      </c>
      <c r="C74" s="1929" t="s">
        <v>87</v>
      </c>
      <c r="D74" s="1930"/>
      <c r="E74" s="1930"/>
      <c r="F74" s="1931"/>
      <c r="G74" s="1405" t="s">
        <v>583</v>
      </c>
      <c r="H74" s="1377" t="s">
        <v>4213</v>
      </c>
      <c r="I74" s="1451" t="s">
        <v>196</v>
      </c>
      <c r="J74" s="1452"/>
      <c r="K74" s="1377" t="s">
        <v>7179</v>
      </c>
      <c r="L74" s="1377" t="s">
        <v>7180</v>
      </c>
      <c r="M74" s="1927"/>
      <c r="N74" s="822"/>
      <c r="O74" s="64"/>
      <c r="P74" s="646" t="s">
        <v>7675</v>
      </c>
    </row>
    <row r="75" spans="1:19" ht="38.25" hidden="1" x14ac:dyDescent="0.2">
      <c r="A75" s="1918"/>
      <c r="B75" s="1918"/>
      <c r="C75" s="455" t="s">
        <v>90</v>
      </c>
      <c r="D75" s="455" t="s">
        <v>124</v>
      </c>
      <c r="E75" s="455" t="s">
        <v>135</v>
      </c>
      <c r="F75" s="455" t="s">
        <v>104</v>
      </c>
      <c r="G75" s="1405"/>
      <c r="H75" s="1378"/>
      <c r="I75" s="331" t="s">
        <v>197</v>
      </c>
      <c r="J75" s="331" t="s">
        <v>198</v>
      </c>
      <c r="K75" s="1378"/>
      <c r="L75" s="1378"/>
      <c r="M75" s="1927"/>
      <c r="N75" s="822"/>
      <c r="O75" s="64"/>
      <c r="P75" s="646" t="s">
        <v>7675</v>
      </c>
    </row>
    <row r="76" spans="1:19" hidden="1" x14ac:dyDescent="0.2">
      <c r="A76" s="456"/>
      <c r="B76" s="457"/>
      <c r="C76" s="456"/>
      <c r="D76" s="458"/>
      <c r="E76" s="458"/>
      <c r="F76" s="459">
        <f>IF(OR(D76&lt;&gt;"",E76&lt;&gt;""),SUM(D76:E76),0)</f>
        <v>0</v>
      </c>
      <c r="G76" s="35">
        <f t="shared" ref="G76:G82" si="4">IF(C76=$D$31,F76*$E$31,F76)</f>
        <v>0</v>
      </c>
      <c r="H76" s="120"/>
      <c r="I76" s="130"/>
      <c r="J76" s="130"/>
      <c r="K76" s="757"/>
      <c r="L76" s="757" t="str">
        <f>IF(LEFT(A76,3)="PAB",IF(K76="Angsuran Menurun","MAC","MAB"),IF(LEFT(A76,3)="PRK",IF('Informasi Debitur'!$J$9="Supply Chain","CT","CS"),IF(LEFT(A76,2)="PB","MPB","")))</f>
        <v/>
      </c>
      <c r="M76" s="758"/>
      <c r="N76" s="869"/>
      <c r="O76" s="64"/>
      <c r="P76" s="646" t="s">
        <v>7675</v>
      </c>
    </row>
    <row r="77" spans="1:19" hidden="1" x14ac:dyDescent="0.2">
      <c r="A77" s="456"/>
      <c r="B77" s="457"/>
      <c r="C77" s="456"/>
      <c r="D77" s="458"/>
      <c r="E77" s="458"/>
      <c r="F77" s="459">
        <f t="shared" ref="F77:F82" si="5">IF(OR(D77&lt;&gt;"",E77&lt;&gt;""),SUM(D77:E77),0)</f>
        <v>0</v>
      </c>
      <c r="G77" s="35">
        <f t="shared" si="4"/>
        <v>0</v>
      </c>
      <c r="H77" s="120"/>
      <c r="I77" s="130"/>
      <c r="J77" s="130"/>
      <c r="K77" s="757"/>
      <c r="L77" s="757" t="str">
        <f>IF(LEFT(A77,3)="PAB",IF(K77="Angsuran Menurun","MAC","MAB"),IF(LEFT(A77,3)="PRK",IF('Informasi Debitur'!$J$9="Supply Chain","CT","CS"),IF(LEFT(A77,2)="PB","MPB","")))</f>
        <v/>
      </c>
      <c r="M77" s="758"/>
      <c r="N77" s="869"/>
      <c r="O77" s="64"/>
      <c r="P77" s="646" t="s">
        <v>7675</v>
      </c>
    </row>
    <row r="78" spans="1:19" hidden="1" x14ac:dyDescent="0.2">
      <c r="A78" s="456"/>
      <c r="B78" s="457"/>
      <c r="C78" s="456"/>
      <c r="D78" s="458"/>
      <c r="E78" s="458"/>
      <c r="F78" s="459">
        <f t="shared" si="5"/>
        <v>0</v>
      </c>
      <c r="G78" s="35">
        <f t="shared" si="4"/>
        <v>0</v>
      </c>
      <c r="H78" s="120"/>
      <c r="I78" s="130"/>
      <c r="J78" s="130"/>
      <c r="K78" s="757"/>
      <c r="L78" s="757" t="str">
        <f>IF(LEFT(A78,3)="PAB",IF(K78="Angsuran Menurun","MAC","MAB"),IF(LEFT(A78,3)="PRK",IF('Informasi Debitur'!$J$9="Supply Chain","CT","CS"),IF(LEFT(A78,2)="PB","MPB","")))</f>
        <v/>
      </c>
      <c r="M78" s="758"/>
      <c r="N78" s="869"/>
      <c r="O78" s="64"/>
      <c r="P78" s="646" t="s">
        <v>7675</v>
      </c>
    </row>
    <row r="79" spans="1:19" hidden="1" x14ac:dyDescent="0.2">
      <c r="A79" s="456"/>
      <c r="B79" s="457"/>
      <c r="C79" s="456"/>
      <c r="D79" s="458"/>
      <c r="E79" s="458"/>
      <c r="F79" s="459">
        <f t="shared" si="5"/>
        <v>0</v>
      </c>
      <c r="G79" s="35">
        <f t="shared" si="4"/>
        <v>0</v>
      </c>
      <c r="H79" s="120"/>
      <c r="I79" s="130"/>
      <c r="J79" s="130"/>
      <c r="K79" s="757"/>
      <c r="L79" s="757" t="str">
        <f>IF(LEFT(A79,3)="PAB",IF(K79="Angsuran Menurun","MAC","MAB"),IF(LEFT(A79,3)="PRK",IF('Informasi Debitur'!$J$9="Supply Chain","CT","CS"),IF(LEFT(A79,2)="PB","MPB","")))</f>
        <v/>
      </c>
      <c r="M79" s="758"/>
      <c r="N79" s="869"/>
      <c r="O79" s="64"/>
      <c r="P79" s="646" t="s">
        <v>7675</v>
      </c>
    </row>
    <row r="80" spans="1:19" hidden="1" x14ac:dyDescent="0.2">
      <c r="A80" s="456"/>
      <c r="B80" s="457"/>
      <c r="C80" s="456"/>
      <c r="D80" s="458"/>
      <c r="E80" s="458"/>
      <c r="F80" s="459">
        <f t="shared" si="5"/>
        <v>0</v>
      </c>
      <c r="G80" s="35">
        <f t="shared" si="4"/>
        <v>0</v>
      </c>
      <c r="H80" s="120"/>
      <c r="I80" s="130"/>
      <c r="J80" s="130"/>
      <c r="K80" s="757"/>
      <c r="L80" s="757" t="str">
        <f>IF(LEFT(A80,3)="PAB",IF(K80="Angsuran Menurun","MAC","MAB"),IF(LEFT(A80,3)="PRK",IF('Informasi Debitur'!$J$9="Supply Chain","CT","CS"),IF(LEFT(A80,2)="PB","MPB","")))</f>
        <v/>
      </c>
      <c r="M80" s="758"/>
      <c r="N80" s="869"/>
      <c r="O80" s="64"/>
      <c r="P80" s="646" t="s">
        <v>7675</v>
      </c>
    </row>
    <row r="81" spans="1:22" hidden="1" x14ac:dyDescent="0.2">
      <c r="A81" s="456"/>
      <c r="B81" s="457"/>
      <c r="C81" s="456"/>
      <c r="D81" s="458"/>
      <c r="E81" s="458"/>
      <c r="F81" s="459">
        <f t="shared" si="5"/>
        <v>0</v>
      </c>
      <c r="G81" s="35">
        <f t="shared" si="4"/>
        <v>0</v>
      </c>
      <c r="H81" s="120"/>
      <c r="I81" s="130"/>
      <c r="J81" s="130"/>
      <c r="K81" s="757"/>
      <c r="L81" s="757" t="str">
        <f>IF(LEFT(A81,3)="PAB",IF(K81="Angsuran Menurun","MAC","MAB"),IF(LEFT(A81,3)="PRK",IF('Informasi Debitur'!$J$9="Supply Chain","CT","CS"),IF(LEFT(A81,2)="PB","MPB","")))</f>
        <v/>
      </c>
      <c r="M81" s="758"/>
      <c r="N81" s="869"/>
      <c r="O81" s="64"/>
      <c r="P81" s="646" t="s">
        <v>7675</v>
      </c>
    </row>
    <row r="82" spans="1:22" hidden="1" x14ac:dyDescent="0.2">
      <c r="A82" s="456"/>
      <c r="B82" s="457"/>
      <c r="C82" s="456"/>
      <c r="D82" s="458"/>
      <c r="E82" s="458"/>
      <c r="F82" s="459">
        <f t="shared" si="5"/>
        <v>0</v>
      </c>
      <c r="G82" s="35">
        <f t="shared" si="4"/>
        <v>0</v>
      </c>
      <c r="H82" s="120"/>
      <c r="I82" s="130"/>
      <c r="J82" s="130"/>
      <c r="K82" s="757"/>
      <c r="L82" s="757" t="str">
        <f>IF(LEFT(A82,3)="PAB",IF(K82="Angsuran Menurun","MAC","MAB"),IF(LEFT(A82,3)="PRK",IF('Informasi Debitur'!$J$9="Supply Chain","CT","CS"),IF(LEFT(A82,2)="PB","MPB","")))</f>
        <v/>
      </c>
      <c r="M82" s="758"/>
      <c r="N82" s="869"/>
      <c r="O82" s="64"/>
      <c r="P82" s="646" t="s">
        <v>7675</v>
      </c>
    </row>
    <row r="83" spans="1:22" hidden="1" x14ac:dyDescent="0.2">
      <c r="A83" s="1963" t="s">
        <v>104</v>
      </c>
      <c r="B83" s="1963"/>
      <c r="C83" s="460"/>
      <c r="D83" s="461">
        <f>SUM(D76:D82)</f>
        <v>0</v>
      </c>
      <c r="E83" s="461">
        <f>SUM(E76:E82)</f>
        <v>0</v>
      </c>
      <c r="F83" s="461">
        <f>SUM(F76:F82)</f>
        <v>0</v>
      </c>
      <c r="G83" s="40">
        <f>SUM(G76:G82)</f>
        <v>0</v>
      </c>
      <c r="H83" s="42"/>
      <c r="I83" s="43"/>
      <c r="J83" s="43"/>
      <c r="K83" s="43"/>
      <c r="L83" s="10"/>
      <c r="M83" s="10"/>
      <c r="N83" s="10"/>
      <c r="O83" s="64"/>
      <c r="P83" s="646" t="s">
        <v>7675</v>
      </c>
      <c r="R83" s="383"/>
      <c r="S83" s="383"/>
    </row>
    <row r="84" spans="1:22" hidden="1" x14ac:dyDescent="0.2">
      <c r="A84" s="64"/>
      <c r="B84" s="64"/>
      <c r="C84" s="64"/>
      <c r="D84" s="64"/>
      <c r="E84" s="64"/>
      <c r="F84" s="64"/>
      <c r="G84" s="10"/>
      <c r="H84" s="10"/>
      <c r="I84" s="10"/>
      <c r="J84" s="10"/>
      <c r="K84" s="10"/>
      <c r="L84" s="10"/>
      <c r="M84" s="10"/>
      <c r="N84" s="10"/>
      <c r="O84" s="64"/>
      <c r="P84" s="646" t="s">
        <v>7675</v>
      </c>
      <c r="Q84" s="383"/>
      <c r="R84" s="383"/>
      <c r="S84" s="383"/>
    </row>
    <row r="85" spans="1:22" s="383" customFormat="1" ht="15" hidden="1" x14ac:dyDescent="0.25">
      <c r="A85" s="462" t="s">
        <v>2921</v>
      </c>
      <c r="B85" s="64"/>
      <c r="C85" s="64"/>
      <c r="D85" s="64"/>
      <c r="E85" s="64"/>
      <c r="F85" s="64"/>
      <c r="G85" s="10"/>
      <c r="H85" s="10"/>
      <c r="I85" s="10"/>
      <c r="J85" s="10"/>
      <c r="K85" s="10"/>
      <c r="L85" s="10"/>
      <c r="M85" s="10"/>
      <c r="N85" s="10"/>
      <c r="O85" s="64"/>
      <c r="P85" s="646" t="s">
        <v>7675</v>
      </c>
    </row>
    <row r="86" spans="1:22" s="383" customFormat="1" hidden="1" x14ac:dyDescent="0.2">
      <c r="A86" s="64"/>
      <c r="B86" s="64"/>
      <c r="C86" s="64"/>
      <c r="D86" s="64"/>
      <c r="E86" s="64"/>
      <c r="F86" s="64"/>
      <c r="G86" s="10"/>
      <c r="H86" s="10"/>
      <c r="I86" s="10"/>
      <c r="J86" s="10"/>
      <c r="K86" s="10"/>
      <c r="L86" s="10"/>
      <c r="M86" s="10"/>
      <c r="N86" s="10"/>
      <c r="O86" s="64"/>
      <c r="P86" s="646" t="s">
        <v>7675</v>
      </c>
    </row>
    <row r="87" spans="1:22" s="383" customFormat="1" hidden="1" x14ac:dyDescent="0.2">
      <c r="A87" s="1965" t="s">
        <v>707</v>
      </c>
      <c r="B87" s="1965"/>
      <c r="C87" s="1965"/>
      <c r="D87" s="1964" t="s">
        <v>7372</v>
      </c>
      <c r="E87" s="1964"/>
      <c r="F87" s="64"/>
      <c r="G87" s="1962" t="s">
        <v>771</v>
      </c>
      <c r="H87" s="1962"/>
      <c r="I87" s="1962"/>
      <c r="J87" s="1968" t="s">
        <v>7372</v>
      </c>
      <c r="K87" s="1968"/>
      <c r="L87" s="10"/>
      <c r="M87" s="10"/>
      <c r="N87" s="10"/>
      <c r="O87" s="64"/>
      <c r="P87" s="646" t="s">
        <v>7675</v>
      </c>
    </row>
    <row r="88" spans="1:22" s="383" customFormat="1" ht="24.75" hidden="1" customHeight="1" x14ac:dyDescent="0.2">
      <c r="A88" s="1965" t="s">
        <v>774</v>
      </c>
      <c r="B88" s="1965"/>
      <c r="C88" s="1965"/>
      <c r="D88" s="1919" t="s">
        <v>7372</v>
      </c>
      <c r="E88" s="1920"/>
      <c r="F88" s="64"/>
      <c r="G88" s="1928" t="s">
        <v>772</v>
      </c>
      <c r="H88" s="1928"/>
      <c r="I88" s="1928"/>
      <c r="J88" s="1917" t="s">
        <v>7372</v>
      </c>
      <c r="K88" s="1917"/>
      <c r="L88" s="10"/>
      <c r="M88" s="10"/>
      <c r="N88" s="10"/>
      <c r="O88" s="64"/>
      <c r="P88" s="646" t="s">
        <v>7675</v>
      </c>
      <c r="R88" s="333"/>
      <c r="S88" s="333"/>
    </row>
    <row r="89" spans="1:22" s="383" customFormat="1" ht="24.75" hidden="1" customHeight="1" x14ac:dyDescent="0.2">
      <c r="A89" s="1965" t="s">
        <v>775</v>
      </c>
      <c r="B89" s="1965"/>
      <c r="C89" s="1965"/>
      <c r="D89" s="1922" t="s">
        <v>7373</v>
      </c>
      <c r="E89" s="1923"/>
      <c r="F89" s="64"/>
      <c r="G89" s="1928" t="s">
        <v>773</v>
      </c>
      <c r="H89" s="1928"/>
      <c r="I89" s="1928"/>
      <c r="J89" s="1917" t="s">
        <v>7372</v>
      </c>
      <c r="K89" s="1917"/>
      <c r="L89" s="10"/>
      <c r="M89" s="10"/>
      <c r="N89" s="10"/>
      <c r="O89" s="64"/>
      <c r="P89" s="646" t="s">
        <v>7675</v>
      </c>
      <c r="Q89" s="333"/>
      <c r="R89" s="333"/>
      <c r="S89" s="333"/>
    </row>
    <row r="90" spans="1:22" hidden="1" x14ac:dyDescent="0.2">
      <c r="A90" s="463"/>
      <c r="B90" s="463"/>
      <c r="C90" s="464"/>
      <c r="D90" s="67"/>
      <c r="E90" s="64"/>
      <c r="F90" s="64"/>
      <c r="G90" s="10"/>
      <c r="H90" s="10"/>
      <c r="I90" s="10"/>
      <c r="J90" s="10"/>
      <c r="K90" s="10"/>
      <c r="L90" s="10"/>
      <c r="M90" s="10"/>
      <c r="N90" s="10"/>
      <c r="O90" s="64"/>
      <c r="P90" s="646" t="s">
        <v>7675</v>
      </c>
    </row>
    <row r="91" spans="1:22" ht="22.5" customHeight="1" x14ac:dyDescent="0.2">
      <c r="A91" s="10"/>
      <c r="B91" s="10"/>
      <c r="C91" s="10"/>
      <c r="D91" s="10"/>
      <c r="E91" s="10"/>
      <c r="F91" s="10"/>
      <c r="G91" s="10"/>
      <c r="H91" s="10"/>
      <c r="I91" s="10"/>
      <c r="J91" s="10"/>
      <c r="K91" s="10"/>
      <c r="L91" s="10"/>
      <c r="M91" s="10"/>
      <c r="N91" s="10"/>
      <c r="O91" s="64"/>
      <c r="P91" s="64"/>
    </row>
    <row r="92" spans="1:22" ht="15.75" x14ac:dyDescent="0.25">
      <c r="A92" s="1952" t="s">
        <v>105</v>
      </c>
      <c r="B92" s="1952"/>
      <c r="C92" s="1952"/>
      <c r="D92" s="1952"/>
      <c r="E92" s="1952"/>
      <c r="F92" s="1952"/>
      <c r="G92" s="1952"/>
      <c r="H92" s="1952"/>
      <c r="I92" s="1952"/>
      <c r="J92" s="1952"/>
      <c r="K92" s="1952"/>
      <c r="L92" s="1952"/>
      <c r="M92" s="1952"/>
      <c r="N92" s="1952"/>
      <c r="O92" s="1952"/>
    </row>
    <row r="93" spans="1:22" x14ac:dyDescent="0.2">
      <c r="A93" s="10"/>
      <c r="B93" s="10"/>
      <c r="C93" s="10"/>
      <c r="D93" s="10"/>
      <c r="E93" s="10"/>
      <c r="F93" s="10"/>
      <c r="G93" s="10"/>
      <c r="H93" s="10"/>
      <c r="I93" s="10"/>
      <c r="J93" s="10"/>
      <c r="K93" s="10"/>
      <c r="L93" s="10"/>
      <c r="M93" s="64"/>
      <c r="N93" s="38"/>
      <c r="O93" s="38" t="s">
        <v>29</v>
      </c>
      <c r="Q93" s="64"/>
      <c r="R93" s="64"/>
    </row>
    <row r="94" spans="1:22" ht="12.75" customHeight="1" x14ac:dyDescent="0.2">
      <c r="A94" s="1405" t="s">
        <v>35</v>
      </c>
      <c r="B94" s="1405" t="s">
        <v>7962</v>
      </c>
      <c r="C94" s="1405" t="s">
        <v>120</v>
      </c>
      <c r="D94" s="1377" t="s">
        <v>769</v>
      </c>
      <c r="E94" s="1913" t="s">
        <v>128</v>
      </c>
      <c r="F94" s="1981"/>
      <c r="G94" s="1914"/>
      <c r="H94" s="1913" t="s">
        <v>201</v>
      </c>
      <c r="I94" s="1914"/>
      <c r="J94" s="1377" t="s">
        <v>202</v>
      </c>
      <c r="K94" s="1377" t="s">
        <v>203</v>
      </c>
      <c r="L94" s="1377" t="s">
        <v>7875</v>
      </c>
      <c r="M94" s="1377" t="s">
        <v>7940</v>
      </c>
      <c r="N94" s="1377" t="s">
        <v>7941</v>
      </c>
      <c r="O94" s="1405" t="s">
        <v>15</v>
      </c>
      <c r="Q94" s="647"/>
      <c r="R94" s="647"/>
      <c r="S94" s="346"/>
      <c r="T94" s="346"/>
      <c r="U94" s="346"/>
      <c r="V94" s="384"/>
    </row>
    <row r="95" spans="1:22" s="346" customFormat="1" ht="38.25" x14ac:dyDescent="0.2">
      <c r="A95" s="1405"/>
      <c r="B95" s="1405"/>
      <c r="C95" s="1405"/>
      <c r="D95" s="1378"/>
      <c r="E95" s="851" t="s">
        <v>121</v>
      </c>
      <c r="F95" s="851" t="s">
        <v>127</v>
      </c>
      <c r="G95" s="851" t="s">
        <v>200</v>
      </c>
      <c r="H95" s="851" t="s">
        <v>137</v>
      </c>
      <c r="I95" s="851" t="s">
        <v>7872</v>
      </c>
      <c r="J95" s="1378"/>
      <c r="K95" s="1378"/>
      <c r="L95" s="1378"/>
      <c r="M95" s="1378"/>
      <c r="N95" s="1378"/>
      <c r="O95" s="1405"/>
      <c r="Q95" s="644"/>
      <c r="R95" s="644"/>
      <c r="S95" s="345"/>
      <c r="T95" s="333"/>
      <c r="U95" s="333"/>
      <c r="V95" s="383"/>
    </row>
    <row r="96" spans="1:22" s="345" customFormat="1" ht="123.75" customHeight="1" x14ac:dyDescent="0.25">
      <c r="A96" s="1305" t="str">
        <f>'Informasi Debitur'!A221</f>
        <v>Tanah dan Bangunan</v>
      </c>
      <c r="B96" s="1305"/>
      <c r="C96" s="439" t="s">
        <v>8211</v>
      </c>
      <c r="D96" s="1288">
        <f>'Informasi Debitur'!E221</f>
        <v>1501.886</v>
      </c>
      <c r="E96" s="1305" t="str">
        <f>'Informasi Debitur'!F221</f>
        <v>SHM 2895</v>
      </c>
      <c r="F96" s="1308">
        <f>'Informasi Debitur'!G221</f>
        <v>0</v>
      </c>
      <c r="G96" s="1305" t="str">
        <f>'Informasi Debitur'!H221</f>
        <v>Yuanita</v>
      </c>
      <c r="H96" s="1285" t="str">
        <f>'Informasi Debitur'!I221</f>
        <v>Hak Tanggungan</v>
      </c>
      <c r="I96" s="1309">
        <v>1250</v>
      </c>
      <c r="J96" s="1309">
        <f>'Informasi Debitur'!L221</f>
        <v>850.29700000000003</v>
      </c>
      <c r="K96" s="1306" t="str">
        <f>'Informasi Debitur'!M221</f>
        <v>Jaminan baru</v>
      </c>
      <c r="L96" s="1306" t="str">
        <f>'Informasi Debitur'!N221</f>
        <v>Tidak</v>
      </c>
      <c r="M96" s="1306" t="str">
        <f>'Informasi Debitur'!O221</f>
        <v>Ya</v>
      </c>
      <c r="N96" s="1306" t="str">
        <f>'Informasi Debitur'!P221</f>
        <v>Ya</v>
      </c>
      <c r="O96" s="439" t="str">
        <f>'Informasi Debitur'!Q221</f>
        <v xml:space="preserve">Internal Appraisal 23 Mei  2018, Rumah untuk tempat tinggal.
</v>
      </c>
      <c r="Q96" s="644"/>
      <c r="R96" s="644"/>
    </row>
    <row r="97" spans="1:19" s="345" customFormat="1" x14ac:dyDescent="0.25">
      <c r="A97" s="852">
        <f>'Informasi Debitur'!A222</f>
        <v>0</v>
      </c>
      <c r="B97" s="852"/>
      <c r="C97" s="874">
        <f>'Informasi Debitur'!C222</f>
        <v>0</v>
      </c>
      <c r="D97" s="875">
        <f>'Informasi Debitur'!E222</f>
        <v>0</v>
      </c>
      <c r="E97" s="852">
        <f>'Informasi Debitur'!F222</f>
        <v>0</v>
      </c>
      <c r="F97" s="876">
        <f>'Informasi Debitur'!G222</f>
        <v>0</v>
      </c>
      <c r="G97" s="879">
        <f>'Informasi Debitur'!H222</f>
        <v>0</v>
      </c>
      <c r="H97" s="877">
        <f>'Informasi Debitur'!I222</f>
        <v>0</v>
      </c>
      <c r="I97" s="1241">
        <f>'Informasi Debitur'!J222</f>
        <v>0</v>
      </c>
      <c r="J97" s="878">
        <f>'Informasi Debitur'!L222</f>
        <v>0</v>
      </c>
      <c r="K97" s="853">
        <f>'Informasi Debitur'!M222</f>
        <v>0</v>
      </c>
      <c r="L97" s="853">
        <f>'Informasi Debitur'!N222</f>
        <v>0</v>
      </c>
      <c r="M97" s="853">
        <f>'Informasi Debitur'!O222</f>
        <v>0</v>
      </c>
      <c r="N97" s="853">
        <f>'Informasi Debitur'!P222</f>
        <v>0</v>
      </c>
      <c r="O97" s="874">
        <f>'Informasi Debitur'!Q222</f>
        <v>0</v>
      </c>
      <c r="Q97" s="644"/>
      <c r="R97" s="644"/>
    </row>
    <row r="98" spans="1:19" s="345" customFormat="1" hidden="1" x14ac:dyDescent="0.25">
      <c r="A98" s="852">
        <f>'Informasi Debitur'!A223</f>
        <v>0</v>
      </c>
      <c r="B98" s="852"/>
      <c r="C98" s="874">
        <f>'Informasi Debitur'!C223</f>
        <v>0</v>
      </c>
      <c r="D98" s="875">
        <f>'Informasi Debitur'!E223</f>
        <v>0</v>
      </c>
      <c r="E98" s="852">
        <f>'Informasi Debitur'!F223</f>
        <v>0</v>
      </c>
      <c r="F98" s="876">
        <f>'Informasi Debitur'!G223</f>
        <v>0</v>
      </c>
      <c r="G98" s="879">
        <f>'Informasi Debitur'!H223</f>
        <v>0</v>
      </c>
      <c r="H98" s="877" t="str">
        <f>'Informasi Debitur'!I223</f>
        <v/>
      </c>
      <c r="I98" s="1241">
        <f>'Informasi Debitur'!J223</f>
        <v>0</v>
      </c>
      <c r="J98" s="878">
        <f>'Informasi Debitur'!L223</f>
        <v>0</v>
      </c>
      <c r="K98" s="853">
        <f>'Informasi Debitur'!M223</f>
        <v>0</v>
      </c>
      <c r="L98" s="853">
        <f>'Informasi Debitur'!N223</f>
        <v>0</v>
      </c>
      <c r="M98" s="853">
        <f>'Informasi Debitur'!O223</f>
        <v>0</v>
      </c>
      <c r="N98" s="853">
        <f>'Informasi Debitur'!P223</f>
        <v>0</v>
      </c>
      <c r="O98" s="874">
        <f>'Informasi Debitur'!Q223</f>
        <v>0</v>
      </c>
      <c r="Q98" s="644"/>
      <c r="R98" s="644"/>
    </row>
    <row r="99" spans="1:19" s="345" customFormat="1" hidden="1" x14ac:dyDescent="0.25">
      <c r="A99" s="852">
        <f>'Informasi Debitur'!A224</f>
        <v>0</v>
      </c>
      <c r="B99" s="852"/>
      <c r="C99" s="874">
        <f>'Informasi Debitur'!C224</f>
        <v>0</v>
      </c>
      <c r="D99" s="875">
        <f>'Informasi Debitur'!E224</f>
        <v>0</v>
      </c>
      <c r="E99" s="852">
        <f>'Informasi Debitur'!F224</f>
        <v>0</v>
      </c>
      <c r="F99" s="876">
        <f>'Informasi Debitur'!G224</f>
        <v>0</v>
      </c>
      <c r="G99" s="879">
        <f>'Informasi Debitur'!H224</f>
        <v>0</v>
      </c>
      <c r="H99" s="877" t="str">
        <f>'Informasi Debitur'!I224</f>
        <v/>
      </c>
      <c r="I99" s="1241">
        <f>'Informasi Debitur'!J224</f>
        <v>0</v>
      </c>
      <c r="J99" s="878">
        <f>'Informasi Debitur'!L224</f>
        <v>0</v>
      </c>
      <c r="K99" s="853">
        <f>'Informasi Debitur'!M224</f>
        <v>0</v>
      </c>
      <c r="L99" s="853">
        <f>'Informasi Debitur'!N224</f>
        <v>0</v>
      </c>
      <c r="M99" s="853">
        <f>'Informasi Debitur'!O224</f>
        <v>0</v>
      </c>
      <c r="N99" s="853">
        <f>'Informasi Debitur'!P224</f>
        <v>0</v>
      </c>
      <c r="O99" s="874">
        <f>'Informasi Debitur'!Q224</f>
        <v>0</v>
      </c>
      <c r="Q99" s="644"/>
      <c r="R99" s="644"/>
    </row>
    <row r="100" spans="1:19" s="345" customFormat="1" x14ac:dyDescent="0.25">
      <c r="A100" s="852">
        <f>'Informasi Debitur'!A225</f>
        <v>0</v>
      </c>
      <c r="B100" s="852"/>
      <c r="C100" s="874">
        <f>'Informasi Debitur'!C225</f>
        <v>0</v>
      </c>
      <c r="D100" s="875">
        <f>'Informasi Debitur'!E225</f>
        <v>0</v>
      </c>
      <c r="E100" s="852">
        <f>'Informasi Debitur'!F225</f>
        <v>0</v>
      </c>
      <c r="F100" s="876">
        <f>'Informasi Debitur'!G225</f>
        <v>0</v>
      </c>
      <c r="G100" s="879">
        <f>'Informasi Debitur'!H225</f>
        <v>0</v>
      </c>
      <c r="H100" s="877" t="str">
        <f>'Informasi Debitur'!I225</f>
        <v/>
      </c>
      <c r="I100" s="1241">
        <f>'Informasi Debitur'!J225</f>
        <v>0</v>
      </c>
      <c r="J100" s="878">
        <f>'Informasi Debitur'!L225</f>
        <v>0</v>
      </c>
      <c r="K100" s="853">
        <f>'Informasi Debitur'!M225</f>
        <v>0</v>
      </c>
      <c r="L100" s="853">
        <f>'Informasi Debitur'!N225</f>
        <v>0</v>
      </c>
      <c r="M100" s="853">
        <f>'Informasi Debitur'!O225</f>
        <v>0</v>
      </c>
      <c r="N100" s="853">
        <f>'Informasi Debitur'!P225</f>
        <v>0</v>
      </c>
      <c r="O100" s="874">
        <f>'Informasi Debitur'!Q225</f>
        <v>0</v>
      </c>
      <c r="Q100" s="644"/>
      <c r="R100" s="644"/>
    </row>
    <row r="101" spans="1:19" s="345" customFormat="1" x14ac:dyDescent="0.25">
      <c r="A101" s="852">
        <f>'Informasi Debitur'!A226</f>
        <v>0</v>
      </c>
      <c r="B101" s="852"/>
      <c r="C101" s="874">
        <f>'Informasi Debitur'!C226</f>
        <v>0</v>
      </c>
      <c r="D101" s="875">
        <f>'Informasi Debitur'!E226</f>
        <v>0</v>
      </c>
      <c r="E101" s="852">
        <f>'Informasi Debitur'!F226</f>
        <v>0</v>
      </c>
      <c r="F101" s="876">
        <f>'Informasi Debitur'!G226</f>
        <v>0</v>
      </c>
      <c r="G101" s="879">
        <f>'Informasi Debitur'!H226</f>
        <v>0</v>
      </c>
      <c r="H101" s="877" t="str">
        <f>'Informasi Debitur'!I226</f>
        <v/>
      </c>
      <c r="I101" s="1241">
        <f>'Informasi Debitur'!J226</f>
        <v>0</v>
      </c>
      <c r="J101" s="878">
        <f>'Informasi Debitur'!L226</f>
        <v>0</v>
      </c>
      <c r="K101" s="853">
        <f>'Informasi Debitur'!M226</f>
        <v>0</v>
      </c>
      <c r="L101" s="853">
        <f>'Informasi Debitur'!N226</f>
        <v>0</v>
      </c>
      <c r="M101" s="853">
        <f>'Informasi Debitur'!O226</f>
        <v>0</v>
      </c>
      <c r="N101" s="853">
        <f>'Informasi Debitur'!P226</f>
        <v>0</v>
      </c>
      <c r="O101" s="874">
        <f>'Informasi Debitur'!Q226</f>
        <v>0</v>
      </c>
      <c r="Q101" s="644"/>
      <c r="R101" s="644"/>
    </row>
    <row r="102" spans="1:19" s="345" customFormat="1" x14ac:dyDescent="0.25">
      <c r="A102" s="852">
        <f>'Informasi Debitur'!A227</f>
        <v>0</v>
      </c>
      <c r="B102" s="852"/>
      <c r="C102" s="874">
        <f>'Informasi Debitur'!C227</f>
        <v>0</v>
      </c>
      <c r="D102" s="875">
        <f>'Informasi Debitur'!E227</f>
        <v>0</v>
      </c>
      <c r="E102" s="852">
        <f>'Informasi Debitur'!F227</f>
        <v>0</v>
      </c>
      <c r="F102" s="876">
        <f>'Informasi Debitur'!G227</f>
        <v>0</v>
      </c>
      <c r="G102" s="879">
        <f>'Informasi Debitur'!H227</f>
        <v>0</v>
      </c>
      <c r="H102" s="877" t="str">
        <f>'Informasi Debitur'!I227</f>
        <v/>
      </c>
      <c r="I102" s="1241">
        <f>'Informasi Debitur'!J227</f>
        <v>0</v>
      </c>
      <c r="J102" s="878">
        <f>'Informasi Debitur'!L227</f>
        <v>0</v>
      </c>
      <c r="K102" s="853">
        <f>'Informasi Debitur'!M227</f>
        <v>0</v>
      </c>
      <c r="L102" s="853">
        <f>'Informasi Debitur'!N227</f>
        <v>0</v>
      </c>
      <c r="M102" s="853">
        <f>'Informasi Debitur'!O227</f>
        <v>0</v>
      </c>
      <c r="N102" s="853">
        <f>'Informasi Debitur'!P227</f>
        <v>0</v>
      </c>
      <c r="O102" s="874">
        <f>'Informasi Debitur'!Q227</f>
        <v>0</v>
      </c>
      <c r="Q102" s="644"/>
      <c r="R102" s="644"/>
    </row>
    <row r="103" spans="1:19" s="345" customFormat="1" x14ac:dyDescent="0.25">
      <c r="A103" s="852">
        <f>'Informasi Debitur'!A228</f>
        <v>0</v>
      </c>
      <c r="B103" s="852"/>
      <c r="C103" s="874">
        <f>'Informasi Debitur'!C228</f>
        <v>0</v>
      </c>
      <c r="D103" s="875">
        <f>'Informasi Debitur'!E228</f>
        <v>0</v>
      </c>
      <c r="E103" s="852">
        <f>'Informasi Debitur'!F228</f>
        <v>0</v>
      </c>
      <c r="F103" s="876">
        <f>'Informasi Debitur'!G228</f>
        <v>0</v>
      </c>
      <c r="G103" s="879">
        <f>'Informasi Debitur'!H228</f>
        <v>0</v>
      </c>
      <c r="H103" s="877" t="str">
        <f>'Informasi Debitur'!I228</f>
        <v/>
      </c>
      <c r="I103" s="1241">
        <f>'Informasi Debitur'!J228</f>
        <v>0</v>
      </c>
      <c r="J103" s="878">
        <f>'Informasi Debitur'!L228</f>
        <v>0</v>
      </c>
      <c r="K103" s="853">
        <f>'Informasi Debitur'!M228</f>
        <v>0</v>
      </c>
      <c r="L103" s="853">
        <f>'Informasi Debitur'!N228</f>
        <v>0</v>
      </c>
      <c r="M103" s="853">
        <f>'Informasi Debitur'!O228</f>
        <v>0</v>
      </c>
      <c r="N103" s="853">
        <f>'Informasi Debitur'!P228</f>
        <v>0</v>
      </c>
      <c r="O103" s="874">
        <f>'Informasi Debitur'!Q228</f>
        <v>0</v>
      </c>
      <c r="Q103" s="644"/>
      <c r="R103" s="644"/>
    </row>
    <row r="104" spans="1:19" s="345" customFormat="1" x14ac:dyDescent="0.25">
      <c r="A104" s="852">
        <f>'Informasi Debitur'!A229</f>
        <v>0</v>
      </c>
      <c r="B104" s="852"/>
      <c r="C104" s="874">
        <f>'Informasi Debitur'!C229</f>
        <v>0</v>
      </c>
      <c r="D104" s="875">
        <f>'Informasi Debitur'!E229</f>
        <v>0</v>
      </c>
      <c r="E104" s="852">
        <f>'Informasi Debitur'!F229</f>
        <v>0</v>
      </c>
      <c r="F104" s="876">
        <f>'Informasi Debitur'!G229</f>
        <v>0</v>
      </c>
      <c r="G104" s="879">
        <f>'Informasi Debitur'!H229</f>
        <v>0</v>
      </c>
      <c r="H104" s="877" t="str">
        <f>'Informasi Debitur'!I229</f>
        <v/>
      </c>
      <c r="I104" s="1241">
        <f>'Informasi Debitur'!J229</f>
        <v>0</v>
      </c>
      <c r="J104" s="878">
        <f>'Informasi Debitur'!L229</f>
        <v>0</v>
      </c>
      <c r="K104" s="853">
        <f>'Informasi Debitur'!M229</f>
        <v>0</v>
      </c>
      <c r="L104" s="853">
        <f>'Informasi Debitur'!N229</f>
        <v>0</v>
      </c>
      <c r="M104" s="853">
        <f>'Informasi Debitur'!O229</f>
        <v>0</v>
      </c>
      <c r="N104" s="853">
        <f>'Informasi Debitur'!P229</f>
        <v>0</v>
      </c>
      <c r="O104" s="874">
        <f>'Informasi Debitur'!Q229</f>
        <v>0</v>
      </c>
      <c r="Q104" s="644"/>
      <c r="R104" s="644"/>
    </row>
    <row r="105" spans="1:19" s="345" customFormat="1" x14ac:dyDescent="0.2">
      <c r="A105" s="852">
        <f>'Informasi Debitur'!A230</f>
        <v>0</v>
      </c>
      <c r="B105" s="852"/>
      <c r="C105" s="874">
        <f>'Informasi Debitur'!C230</f>
        <v>0</v>
      </c>
      <c r="D105" s="875">
        <f>'Informasi Debitur'!E230</f>
        <v>0</v>
      </c>
      <c r="E105" s="852">
        <f>'Informasi Debitur'!F230</f>
        <v>0</v>
      </c>
      <c r="F105" s="876">
        <f>'Informasi Debitur'!G230</f>
        <v>0</v>
      </c>
      <c r="G105" s="879">
        <f>'Informasi Debitur'!H230</f>
        <v>0</v>
      </c>
      <c r="H105" s="877" t="str">
        <f>'Informasi Debitur'!I230</f>
        <v/>
      </c>
      <c r="I105" s="1241">
        <f>'Informasi Debitur'!J230</f>
        <v>0</v>
      </c>
      <c r="J105" s="878">
        <f>'Informasi Debitur'!L230</f>
        <v>0</v>
      </c>
      <c r="K105" s="853">
        <f>'Informasi Debitur'!M230</f>
        <v>0</v>
      </c>
      <c r="L105" s="853">
        <f>'Informasi Debitur'!N230</f>
        <v>0</v>
      </c>
      <c r="M105" s="853">
        <f>'Informasi Debitur'!O230</f>
        <v>0</v>
      </c>
      <c r="N105" s="853">
        <f>'Informasi Debitur'!P230</f>
        <v>0</v>
      </c>
      <c r="O105" s="874">
        <f>'Informasi Debitur'!Q230</f>
        <v>0</v>
      </c>
      <c r="Q105" s="333"/>
      <c r="R105" s="333"/>
      <c r="S105" s="333"/>
    </row>
    <row r="106" spans="1:19" ht="15" customHeight="1" x14ac:dyDescent="0.2">
      <c r="A106" s="10"/>
      <c r="B106" s="1969" t="s">
        <v>777</v>
      </c>
      <c r="C106" s="1969"/>
      <c r="D106" s="873">
        <f>SUM(D96:D105)</f>
        <v>1501.886</v>
      </c>
      <c r="E106" s="66"/>
      <c r="F106" s="213"/>
      <c r="G106" s="213"/>
      <c r="H106" s="214"/>
      <c r="I106" s="214"/>
      <c r="J106" s="213"/>
      <c r="K106" s="213"/>
      <c r="L106" s="215"/>
      <c r="M106" s="213"/>
      <c r="N106" s="10"/>
      <c r="O106" s="10"/>
      <c r="P106" s="64"/>
      <c r="Q106" s="383"/>
      <c r="R106" s="383"/>
      <c r="S106" s="383"/>
    </row>
    <row r="107" spans="1:19" s="383" customFormat="1" ht="30" customHeight="1" x14ac:dyDescent="0.2">
      <c r="A107" s="10"/>
      <c r="B107" s="1970" t="s">
        <v>7942</v>
      </c>
      <c r="C107" s="1970"/>
      <c r="D107" s="834">
        <f>SUMIF(M96:M105,"Ya",D96:D105)</f>
        <v>1501.886</v>
      </c>
      <c r="E107" s="64"/>
      <c r="F107" s="182"/>
      <c r="G107" s="182"/>
      <c r="H107" s="832"/>
      <c r="I107" s="832"/>
      <c r="J107" s="182"/>
      <c r="K107" s="182"/>
      <c r="L107" s="833"/>
      <c r="M107" s="182"/>
      <c r="N107" s="10"/>
      <c r="O107" s="10"/>
      <c r="P107" s="64"/>
    </row>
    <row r="108" spans="1:19" s="383" customFormat="1" ht="15" customHeight="1" x14ac:dyDescent="0.2">
      <c r="A108" s="10"/>
      <c r="B108" s="1970" t="s">
        <v>7943</v>
      </c>
      <c r="C108" s="1970"/>
      <c r="D108" s="1193">
        <f>IFERROR(((SUMIF(N96:N105,"Ya",D96:D105))/D107),0)</f>
        <v>1</v>
      </c>
      <c r="E108" s="64"/>
      <c r="F108" s="182"/>
      <c r="G108" s="182"/>
      <c r="H108" s="832"/>
      <c r="I108" s="832"/>
      <c r="J108" s="182"/>
      <c r="K108" s="182"/>
      <c r="L108" s="833"/>
      <c r="M108" s="182"/>
      <c r="N108" s="10"/>
      <c r="O108" s="10"/>
      <c r="P108" s="64"/>
      <c r="Q108" s="333"/>
      <c r="R108" s="333"/>
      <c r="S108" s="333"/>
    </row>
    <row r="109" spans="1:19" x14ac:dyDescent="0.2">
      <c r="A109" s="10"/>
      <c r="B109" s="10"/>
      <c r="C109" s="10"/>
      <c r="D109" s="10"/>
      <c r="E109" s="10"/>
      <c r="F109" s="10"/>
      <c r="G109" s="10"/>
      <c r="H109" s="10"/>
      <c r="I109" s="10"/>
      <c r="J109" s="10"/>
      <c r="K109" s="10"/>
      <c r="L109" s="10"/>
      <c r="M109" s="10"/>
      <c r="N109" s="10"/>
      <c r="O109" s="64"/>
    </row>
    <row r="110" spans="1:19" ht="15.75" x14ac:dyDescent="0.2">
      <c r="A110" s="1924" t="s">
        <v>530</v>
      </c>
      <c r="B110" s="1925"/>
      <c r="C110" s="1925"/>
      <c r="D110" s="1925"/>
      <c r="E110" s="1925"/>
      <c r="F110" s="1925"/>
      <c r="G110" s="1925"/>
      <c r="H110" s="1925"/>
      <c r="I110" s="1925"/>
      <c r="J110" s="1925"/>
      <c r="K110" s="1925"/>
      <c r="L110" s="1925"/>
      <c r="M110" s="1925"/>
      <c r="N110" s="1925"/>
      <c r="O110" s="1926"/>
    </row>
    <row r="111" spans="1:19" x14ac:dyDescent="0.2">
      <c r="A111" s="10"/>
      <c r="B111" s="10"/>
      <c r="C111" s="10"/>
      <c r="D111" s="10"/>
      <c r="E111" s="10"/>
      <c r="F111" s="10"/>
      <c r="G111" s="10"/>
      <c r="H111" s="10"/>
      <c r="I111" s="10"/>
      <c r="J111" s="10"/>
      <c r="K111" s="10"/>
      <c r="L111" s="10"/>
      <c r="M111" s="10"/>
      <c r="N111" s="10"/>
      <c r="O111" s="64"/>
    </row>
    <row r="112" spans="1:19" x14ac:dyDescent="0.2">
      <c r="A112" s="789" t="s">
        <v>7871</v>
      </c>
      <c r="B112" s="1913" t="s">
        <v>129</v>
      </c>
      <c r="C112" s="1914"/>
      <c r="D112" s="1913" t="s">
        <v>37</v>
      </c>
      <c r="E112" s="1914"/>
      <c r="F112" s="1913" t="s">
        <v>138</v>
      </c>
      <c r="G112" s="1914"/>
      <c r="H112" s="10"/>
      <c r="I112" s="10"/>
      <c r="J112" s="10"/>
      <c r="K112" s="10"/>
      <c r="L112" s="10"/>
      <c r="M112" s="10"/>
      <c r="N112" s="10"/>
      <c r="O112" s="64"/>
    </row>
    <row r="113" spans="1:19" x14ac:dyDescent="0.2">
      <c r="A113" s="120" t="s">
        <v>118</v>
      </c>
      <c r="B113" s="1907" t="s">
        <v>8212</v>
      </c>
      <c r="C113" s="1907"/>
      <c r="D113" s="1907" t="s">
        <v>8213</v>
      </c>
      <c r="E113" s="1907"/>
      <c r="F113" s="1907" t="s">
        <v>131</v>
      </c>
      <c r="G113" s="1907"/>
      <c r="H113" s="10"/>
      <c r="I113" s="10"/>
      <c r="J113" s="10"/>
      <c r="K113" s="10"/>
      <c r="L113" s="10"/>
      <c r="M113" s="10"/>
      <c r="N113" s="10"/>
      <c r="O113" s="64"/>
    </row>
    <row r="114" spans="1:19" x14ac:dyDescent="0.2">
      <c r="A114" s="120"/>
      <c r="B114" s="1907"/>
      <c r="C114" s="1907"/>
      <c r="D114" s="1907"/>
      <c r="E114" s="1907"/>
      <c r="F114" s="1907"/>
      <c r="G114" s="1907"/>
      <c r="H114" s="10"/>
      <c r="I114" s="10"/>
      <c r="J114" s="10"/>
      <c r="K114" s="10"/>
      <c r="L114" s="10"/>
      <c r="M114" s="10"/>
      <c r="N114" s="10"/>
      <c r="O114" s="64"/>
    </row>
    <row r="115" spans="1:19" ht="12" hidden="1" customHeight="1" x14ac:dyDescent="0.2">
      <c r="A115" s="120"/>
      <c r="B115" s="1907"/>
      <c r="C115" s="1907"/>
      <c r="D115" s="1907"/>
      <c r="E115" s="1907"/>
      <c r="F115" s="1907"/>
      <c r="G115" s="1907"/>
      <c r="H115" s="10"/>
      <c r="I115" s="10"/>
      <c r="J115" s="10"/>
      <c r="K115" s="10"/>
      <c r="L115" s="10"/>
      <c r="M115" s="10"/>
      <c r="N115" s="10"/>
      <c r="O115" s="64"/>
    </row>
    <row r="116" spans="1:19" ht="1.5" hidden="1" customHeight="1" x14ac:dyDescent="0.2">
      <c r="A116" s="120"/>
      <c r="B116" s="1907"/>
      <c r="C116" s="1907"/>
      <c r="D116" s="1907"/>
      <c r="E116" s="1907"/>
      <c r="F116" s="1907"/>
      <c r="G116" s="1907"/>
      <c r="H116" s="10"/>
      <c r="I116" s="10"/>
      <c r="J116" s="10"/>
      <c r="K116" s="10"/>
      <c r="L116" s="10"/>
      <c r="M116" s="10"/>
      <c r="N116" s="10"/>
      <c r="O116" s="64"/>
    </row>
    <row r="117" spans="1:19" x14ac:dyDescent="0.2">
      <c r="A117" s="120"/>
      <c r="B117" s="1907"/>
      <c r="C117" s="1907"/>
      <c r="D117" s="1907"/>
      <c r="E117" s="1907"/>
      <c r="F117" s="1907"/>
      <c r="G117" s="1907"/>
      <c r="H117" s="10"/>
      <c r="I117" s="10"/>
      <c r="J117" s="10"/>
      <c r="K117" s="10"/>
      <c r="L117" s="10"/>
      <c r="M117" s="10"/>
      <c r="N117" s="10"/>
      <c r="O117" s="64"/>
    </row>
    <row r="118" spans="1:19" x14ac:dyDescent="0.2">
      <c r="A118" s="120">
        <f>'Informasi Debitur'!A243</f>
        <v>0</v>
      </c>
      <c r="B118" s="1907">
        <f>'Informasi Debitur'!B243</f>
        <v>0</v>
      </c>
      <c r="C118" s="1907"/>
      <c r="D118" s="1907">
        <f>'Informasi Debitur'!D243</f>
        <v>0</v>
      </c>
      <c r="E118" s="1907"/>
      <c r="F118" s="1907">
        <f>'Informasi Debitur'!F243</f>
        <v>0</v>
      </c>
      <c r="G118" s="1907"/>
      <c r="H118" s="10"/>
      <c r="I118" s="10"/>
      <c r="J118" s="10"/>
      <c r="K118" s="10"/>
      <c r="L118" s="10"/>
      <c r="M118" s="10"/>
      <c r="N118" s="10"/>
      <c r="O118" s="64"/>
    </row>
    <row r="119" spans="1:19" x14ac:dyDescent="0.2">
      <c r="A119" s="120">
        <f>'Informasi Debitur'!A244</f>
        <v>0</v>
      </c>
      <c r="B119" s="1907">
        <f>'Informasi Debitur'!B244</f>
        <v>0</v>
      </c>
      <c r="C119" s="1907"/>
      <c r="D119" s="1907">
        <f>'Informasi Debitur'!D244</f>
        <v>0</v>
      </c>
      <c r="E119" s="1907"/>
      <c r="F119" s="1907">
        <f>'Informasi Debitur'!F244</f>
        <v>0</v>
      </c>
      <c r="G119" s="1907"/>
      <c r="H119" s="10"/>
      <c r="I119" s="10"/>
      <c r="J119" s="10"/>
      <c r="K119" s="10"/>
      <c r="L119" s="10"/>
      <c r="M119" s="10"/>
      <c r="N119" s="10"/>
      <c r="O119" s="64"/>
    </row>
    <row r="120" spans="1:19" x14ac:dyDescent="0.2">
      <c r="A120" s="120">
        <f>'Informasi Debitur'!A245</f>
        <v>0</v>
      </c>
      <c r="B120" s="1907">
        <f>'Informasi Debitur'!B245</f>
        <v>0</v>
      </c>
      <c r="C120" s="1907"/>
      <c r="D120" s="1907">
        <f>'Informasi Debitur'!D245</f>
        <v>0</v>
      </c>
      <c r="E120" s="1907"/>
      <c r="F120" s="1907">
        <f>'Informasi Debitur'!F245</f>
        <v>0</v>
      </c>
      <c r="G120" s="1907"/>
      <c r="H120" s="10"/>
      <c r="I120" s="10"/>
      <c r="J120" s="10"/>
      <c r="K120" s="10"/>
      <c r="L120" s="10"/>
      <c r="M120" s="10"/>
      <c r="N120" s="10"/>
      <c r="O120" s="64"/>
    </row>
    <row r="121" spans="1:19" x14ac:dyDescent="0.2">
      <c r="A121" s="790" t="s">
        <v>7878</v>
      </c>
      <c r="B121" s="10"/>
      <c r="C121" s="10"/>
      <c r="D121" s="10"/>
      <c r="E121" s="10"/>
      <c r="F121" s="10"/>
      <c r="G121" s="10"/>
      <c r="H121" s="10"/>
      <c r="I121" s="10"/>
      <c r="J121" s="10"/>
      <c r="K121" s="10"/>
      <c r="L121" s="10"/>
      <c r="M121" s="10"/>
      <c r="N121" s="10"/>
      <c r="O121" s="64"/>
    </row>
    <row r="122" spans="1:19" ht="15.75" x14ac:dyDescent="0.25">
      <c r="A122" s="1952" t="s">
        <v>144</v>
      </c>
      <c r="B122" s="1952"/>
      <c r="C122" s="1952"/>
      <c r="D122" s="1952"/>
      <c r="E122" s="1952"/>
      <c r="F122" s="1952"/>
      <c r="G122" s="1952"/>
      <c r="H122" s="1952"/>
      <c r="I122" s="1952"/>
      <c r="J122" s="1952"/>
      <c r="K122" s="1952"/>
      <c r="L122" s="1952"/>
      <c r="M122" s="1952"/>
      <c r="N122" s="1952"/>
      <c r="O122" s="1952"/>
      <c r="Q122" s="332"/>
      <c r="R122" s="332"/>
    </row>
    <row r="123" spans="1:19" x14ac:dyDescent="0.2">
      <c r="A123" s="10"/>
      <c r="B123" s="10"/>
      <c r="C123" s="10"/>
      <c r="D123" s="10"/>
      <c r="E123" s="10"/>
      <c r="F123" s="10"/>
      <c r="G123" s="10"/>
      <c r="H123" s="10"/>
      <c r="I123" s="10"/>
      <c r="J123" s="10"/>
      <c r="K123" s="10"/>
      <c r="L123" s="10"/>
      <c r="M123" s="10"/>
      <c r="N123" s="10"/>
      <c r="O123" s="64"/>
      <c r="Q123" s="332"/>
      <c r="R123" s="332"/>
      <c r="S123" s="332"/>
    </row>
    <row r="124" spans="1:19" s="332" customFormat="1" x14ac:dyDescent="0.2">
      <c r="A124" s="1405" t="s">
        <v>144</v>
      </c>
      <c r="B124" s="1405"/>
      <c r="C124" s="1405"/>
      <c r="D124" s="1405"/>
      <c r="E124" s="1405"/>
      <c r="F124" s="1405"/>
      <c r="G124" s="1405"/>
      <c r="H124" s="1405"/>
      <c r="I124" s="1405"/>
      <c r="J124" s="1405" t="s">
        <v>147</v>
      </c>
      <c r="K124" s="1405"/>
      <c r="L124" s="1405" t="s">
        <v>150</v>
      </c>
      <c r="M124" s="1405"/>
      <c r="N124" s="857"/>
      <c r="O124" s="645"/>
      <c r="Q124" s="333"/>
      <c r="R124" s="333"/>
    </row>
    <row r="125" spans="1:19" s="332" customFormat="1" ht="25.5" x14ac:dyDescent="0.2">
      <c r="A125" s="1405"/>
      <c r="B125" s="1405"/>
      <c r="C125" s="1405"/>
      <c r="D125" s="1405"/>
      <c r="E125" s="1405"/>
      <c r="F125" s="1405"/>
      <c r="G125" s="1405"/>
      <c r="H125" s="1405"/>
      <c r="I125" s="1405"/>
      <c r="J125" s="244" t="s">
        <v>148</v>
      </c>
      <c r="K125" s="244" t="s">
        <v>152</v>
      </c>
      <c r="L125" s="244" t="s">
        <v>149</v>
      </c>
      <c r="M125" s="244" t="s">
        <v>148</v>
      </c>
      <c r="N125" s="857"/>
      <c r="O125" s="645"/>
      <c r="Q125" s="333"/>
      <c r="R125" s="333"/>
      <c r="S125" s="333"/>
    </row>
    <row r="126" spans="1:19" x14ac:dyDescent="0.2">
      <c r="A126" s="1380" t="s">
        <v>8235</v>
      </c>
      <c r="B126" s="1380"/>
      <c r="C126" s="1380"/>
      <c r="D126" s="1380"/>
      <c r="E126" s="1380"/>
      <c r="F126" s="1380"/>
      <c r="G126" s="1380"/>
      <c r="H126" s="1380"/>
      <c r="I126" s="1380"/>
      <c r="J126" s="1315">
        <f>'Informasi Debitur'!O266</f>
        <v>0</v>
      </c>
      <c r="K126" s="1315">
        <f>'Informasi Debitur'!P266</f>
        <v>0</v>
      </c>
      <c r="L126" s="1316" t="s">
        <v>8052</v>
      </c>
      <c r="M126" s="1316" t="s">
        <v>8237</v>
      </c>
      <c r="N126" s="182"/>
      <c r="O126" s="64"/>
    </row>
    <row r="127" spans="1:19" ht="28.5" customHeight="1" x14ac:dyDescent="0.2">
      <c r="A127" s="1380" t="s">
        <v>8238</v>
      </c>
      <c r="B127" s="1380"/>
      <c r="C127" s="1380"/>
      <c r="D127" s="1380"/>
      <c r="E127" s="1380"/>
      <c r="F127" s="1380"/>
      <c r="G127" s="1380"/>
      <c r="H127" s="1380"/>
      <c r="I127" s="1380"/>
      <c r="J127" s="1315">
        <f>'Informasi Debitur'!O267</f>
        <v>0</v>
      </c>
      <c r="K127" s="1315">
        <f>'Informasi Debitur'!P267</f>
        <v>0</v>
      </c>
      <c r="L127" s="1316" t="s">
        <v>8052</v>
      </c>
      <c r="M127" s="1316" t="s">
        <v>8236</v>
      </c>
      <c r="N127" s="182"/>
      <c r="O127" s="64"/>
    </row>
    <row r="128" spans="1:19" ht="28.5" customHeight="1" x14ac:dyDescent="0.2">
      <c r="A128" s="1396" t="s">
        <v>8239</v>
      </c>
      <c r="B128" s="1911"/>
      <c r="C128" s="1911"/>
      <c r="D128" s="1911"/>
      <c r="E128" s="1911"/>
      <c r="F128" s="1911"/>
      <c r="G128" s="1911"/>
      <c r="H128" s="1911"/>
      <c r="I128" s="1912"/>
      <c r="J128" s="1315">
        <f>'Informasi Debitur'!O268</f>
        <v>0</v>
      </c>
      <c r="K128" s="1315">
        <f>'Informasi Debitur'!P268</f>
        <v>0</v>
      </c>
      <c r="L128" s="1316" t="s">
        <v>8052</v>
      </c>
      <c r="M128" s="1316"/>
      <c r="N128" s="182"/>
      <c r="O128" s="64"/>
    </row>
    <row r="129" spans="1:15" hidden="1" x14ac:dyDescent="0.2">
      <c r="A129" s="1380">
        <f>'Informasi Debitur'!A269</f>
        <v>0</v>
      </c>
      <c r="B129" s="1380"/>
      <c r="C129" s="1380"/>
      <c r="D129" s="1380"/>
      <c r="E129" s="1380"/>
      <c r="F129" s="1380"/>
      <c r="G129" s="1380"/>
      <c r="H129" s="1380"/>
      <c r="I129" s="1380"/>
      <c r="J129" s="1315">
        <f>'Informasi Debitur'!O269</f>
        <v>0</v>
      </c>
      <c r="K129" s="1315">
        <f>'Informasi Debitur'!P269</f>
        <v>0</v>
      </c>
      <c r="L129" s="1315"/>
      <c r="M129" s="1315"/>
      <c r="N129" s="182"/>
      <c r="O129" s="64"/>
    </row>
    <row r="130" spans="1:15" hidden="1" x14ac:dyDescent="0.2">
      <c r="A130" s="1380">
        <f>'Informasi Debitur'!A270</f>
        <v>0</v>
      </c>
      <c r="B130" s="1380"/>
      <c r="C130" s="1380"/>
      <c r="D130" s="1380"/>
      <c r="E130" s="1380"/>
      <c r="F130" s="1380"/>
      <c r="G130" s="1380"/>
      <c r="H130" s="1380"/>
      <c r="I130" s="1380"/>
      <c r="J130" s="1315">
        <f>'Informasi Debitur'!O270</f>
        <v>0</v>
      </c>
      <c r="K130" s="1315">
        <f>'Informasi Debitur'!P270</f>
        <v>0</v>
      </c>
      <c r="L130" s="1315"/>
      <c r="M130" s="1315"/>
      <c r="N130" s="182"/>
      <c r="O130" s="64"/>
    </row>
    <row r="131" spans="1:15" hidden="1" x14ac:dyDescent="0.2">
      <c r="A131" s="1380">
        <f>'Informasi Debitur'!A271</f>
        <v>0</v>
      </c>
      <c r="B131" s="1380"/>
      <c r="C131" s="1380"/>
      <c r="D131" s="1380"/>
      <c r="E131" s="1380"/>
      <c r="F131" s="1380"/>
      <c r="G131" s="1380"/>
      <c r="H131" s="1380"/>
      <c r="I131" s="1380"/>
      <c r="J131" s="1315">
        <f>'Informasi Debitur'!O271</f>
        <v>0</v>
      </c>
      <c r="K131" s="1315">
        <f>'Informasi Debitur'!P271</f>
        <v>0</v>
      </c>
      <c r="L131" s="1315"/>
      <c r="M131" s="1315"/>
      <c r="N131" s="182"/>
      <c r="O131" s="64"/>
    </row>
    <row r="132" spans="1:15" hidden="1" x14ac:dyDescent="0.2">
      <c r="A132" s="1380">
        <f>'Informasi Debitur'!A272</f>
        <v>0</v>
      </c>
      <c r="B132" s="1380"/>
      <c r="C132" s="1380"/>
      <c r="D132" s="1380"/>
      <c r="E132" s="1380"/>
      <c r="F132" s="1380"/>
      <c r="G132" s="1380"/>
      <c r="H132" s="1380"/>
      <c r="I132" s="1380"/>
      <c r="J132" s="1315">
        <f>'Informasi Debitur'!O272</f>
        <v>0</v>
      </c>
      <c r="K132" s="1315">
        <f>'Informasi Debitur'!P272</f>
        <v>0</v>
      </c>
      <c r="L132" s="1315"/>
      <c r="M132" s="1315"/>
      <c r="N132" s="182"/>
      <c r="O132" s="64"/>
    </row>
    <row r="133" spans="1:15" hidden="1" x14ac:dyDescent="0.2">
      <c r="A133" s="1380">
        <f>'Informasi Debitur'!A273</f>
        <v>0</v>
      </c>
      <c r="B133" s="1380"/>
      <c r="C133" s="1380"/>
      <c r="D133" s="1380"/>
      <c r="E133" s="1380"/>
      <c r="F133" s="1380"/>
      <c r="G133" s="1380"/>
      <c r="H133" s="1380"/>
      <c r="I133" s="1380"/>
      <c r="J133" s="1315">
        <f>'Informasi Debitur'!O273</f>
        <v>0</v>
      </c>
      <c r="K133" s="1315">
        <f>'Informasi Debitur'!P273</f>
        <v>0</v>
      </c>
      <c r="L133" s="1315"/>
      <c r="M133" s="1315"/>
      <c r="N133" s="182"/>
      <c r="O133" s="64"/>
    </row>
    <row r="134" spans="1:15" hidden="1" x14ac:dyDescent="0.2">
      <c r="A134" s="1380">
        <f>'Informasi Debitur'!A274</f>
        <v>0</v>
      </c>
      <c r="B134" s="1380"/>
      <c r="C134" s="1380"/>
      <c r="D134" s="1380"/>
      <c r="E134" s="1380"/>
      <c r="F134" s="1380"/>
      <c r="G134" s="1380"/>
      <c r="H134" s="1380"/>
      <c r="I134" s="1380"/>
      <c r="J134" s="1315">
        <f>'Informasi Debitur'!O274</f>
        <v>0</v>
      </c>
      <c r="K134" s="1315">
        <f>'Informasi Debitur'!P274</f>
        <v>0</v>
      </c>
      <c r="L134" s="1315"/>
      <c r="M134" s="1315"/>
      <c r="N134" s="182"/>
      <c r="O134" s="64"/>
    </row>
    <row r="135" spans="1:15" hidden="1" x14ac:dyDescent="0.2">
      <c r="A135" s="1380">
        <f>'Informasi Debitur'!A275</f>
        <v>0</v>
      </c>
      <c r="B135" s="1380"/>
      <c r="C135" s="1380"/>
      <c r="D135" s="1380"/>
      <c r="E135" s="1380"/>
      <c r="F135" s="1380"/>
      <c r="G135" s="1380"/>
      <c r="H135" s="1380"/>
      <c r="I135" s="1380"/>
      <c r="J135" s="1315">
        <f>'Informasi Debitur'!O275</f>
        <v>0</v>
      </c>
      <c r="K135" s="1315">
        <f>'Informasi Debitur'!P275</f>
        <v>0</v>
      </c>
      <c r="L135" s="1315"/>
      <c r="M135" s="1315"/>
      <c r="N135" s="182"/>
      <c r="O135" s="64"/>
    </row>
    <row r="136" spans="1:15" hidden="1" x14ac:dyDescent="0.2">
      <c r="A136" s="1380">
        <f>'Informasi Debitur'!A276</f>
        <v>0</v>
      </c>
      <c r="B136" s="1380"/>
      <c r="C136" s="1380"/>
      <c r="D136" s="1380"/>
      <c r="E136" s="1380"/>
      <c r="F136" s="1380"/>
      <c r="G136" s="1380"/>
      <c r="H136" s="1380"/>
      <c r="I136" s="1380"/>
      <c r="J136" s="1315">
        <f>'Informasi Debitur'!O276</f>
        <v>0</v>
      </c>
      <c r="K136" s="1315">
        <f>'Informasi Debitur'!P276</f>
        <v>0</v>
      </c>
      <c r="L136" s="1315"/>
      <c r="M136" s="1315"/>
      <c r="N136" s="182"/>
      <c r="O136" s="64"/>
    </row>
    <row r="137" spans="1:15" x14ac:dyDescent="0.2">
      <c r="A137" s="1380">
        <f>'Informasi Debitur'!A277</f>
        <v>0</v>
      </c>
      <c r="B137" s="1380"/>
      <c r="C137" s="1380"/>
      <c r="D137" s="1380"/>
      <c r="E137" s="1380"/>
      <c r="F137" s="1380"/>
      <c r="G137" s="1380"/>
      <c r="H137" s="1380"/>
      <c r="I137" s="1380"/>
      <c r="J137" s="1315">
        <f>'Informasi Debitur'!O277</f>
        <v>0</v>
      </c>
      <c r="K137" s="1315">
        <f>'Informasi Debitur'!P277</f>
        <v>0</v>
      </c>
      <c r="L137" s="1315"/>
      <c r="M137" s="1315"/>
      <c r="N137" s="182"/>
      <c r="O137" s="64"/>
    </row>
    <row r="138" spans="1:15" x14ac:dyDescent="0.2">
      <c r="A138" s="1380">
        <f>'Informasi Debitur'!A278</f>
        <v>0</v>
      </c>
      <c r="B138" s="1380"/>
      <c r="C138" s="1380"/>
      <c r="D138" s="1380"/>
      <c r="E138" s="1380"/>
      <c r="F138" s="1380"/>
      <c r="G138" s="1380"/>
      <c r="H138" s="1380"/>
      <c r="I138" s="1380"/>
      <c r="J138" s="1315">
        <f>'Informasi Debitur'!O278</f>
        <v>0</v>
      </c>
      <c r="K138" s="1315">
        <f>'Informasi Debitur'!P278</f>
        <v>0</v>
      </c>
      <c r="L138" s="1315"/>
      <c r="M138" s="1315"/>
      <c r="N138" s="182"/>
      <c r="O138" s="64"/>
    </row>
    <row r="139" spans="1:15" x14ac:dyDescent="0.2">
      <c r="A139" s="1380">
        <f>'Informasi Debitur'!A279</f>
        <v>0</v>
      </c>
      <c r="B139" s="1380"/>
      <c r="C139" s="1380"/>
      <c r="D139" s="1380"/>
      <c r="E139" s="1380"/>
      <c r="F139" s="1380"/>
      <c r="G139" s="1380"/>
      <c r="H139" s="1380"/>
      <c r="I139" s="1380"/>
      <c r="J139" s="1315">
        <f>'Informasi Debitur'!O279</f>
        <v>0</v>
      </c>
      <c r="K139" s="1315">
        <f>'Informasi Debitur'!P279</f>
        <v>0</v>
      </c>
      <c r="L139" s="1315"/>
      <c r="M139" s="1315"/>
      <c r="N139" s="182"/>
      <c r="O139" s="64"/>
    </row>
    <row r="140" spans="1:15" x14ac:dyDescent="0.2">
      <c r="A140" s="1380">
        <f>'Informasi Debitur'!A280</f>
        <v>0</v>
      </c>
      <c r="B140" s="1380"/>
      <c r="C140" s="1380"/>
      <c r="D140" s="1380"/>
      <c r="E140" s="1380"/>
      <c r="F140" s="1380"/>
      <c r="G140" s="1380"/>
      <c r="H140" s="1380"/>
      <c r="I140" s="1380"/>
      <c r="J140" s="1315">
        <f>'Informasi Debitur'!O280</f>
        <v>0</v>
      </c>
      <c r="K140" s="1315">
        <f>'Informasi Debitur'!P280</f>
        <v>0</v>
      </c>
      <c r="L140" s="1315"/>
      <c r="M140" s="1315"/>
      <c r="N140" s="182"/>
      <c r="O140" s="64"/>
    </row>
    <row r="141" spans="1:15" x14ac:dyDescent="0.2">
      <c r="A141" s="10"/>
      <c r="B141" s="10"/>
      <c r="C141" s="10"/>
      <c r="D141" s="10"/>
      <c r="E141" s="10"/>
      <c r="F141" s="10"/>
      <c r="G141" s="10"/>
      <c r="H141" s="10"/>
      <c r="I141" s="10"/>
      <c r="J141" s="10"/>
      <c r="K141" s="10"/>
      <c r="L141" s="10"/>
      <c r="M141" s="10"/>
      <c r="N141" s="10"/>
      <c r="O141" s="64"/>
    </row>
    <row r="142" spans="1:15" ht="15.75" x14ac:dyDescent="0.25">
      <c r="A142" s="1952" t="s">
        <v>7877</v>
      </c>
      <c r="B142" s="1952"/>
      <c r="C142" s="1952"/>
      <c r="D142" s="1952"/>
      <c r="E142" s="1952"/>
      <c r="F142" s="1952"/>
      <c r="G142" s="1952"/>
      <c r="H142" s="1952"/>
      <c r="I142" s="1952"/>
      <c r="J142" s="1952"/>
      <c r="K142" s="1952"/>
      <c r="L142" s="1952"/>
      <c r="M142" s="1952"/>
      <c r="N142" s="1952"/>
      <c r="O142" s="1952"/>
    </row>
    <row r="143" spans="1:15" x14ac:dyDescent="0.2">
      <c r="A143" s="10"/>
      <c r="B143" s="10"/>
      <c r="C143" s="10"/>
      <c r="D143" s="10"/>
      <c r="E143" s="10"/>
      <c r="F143" s="10"/>
      <c r="G143" s="10"/>
      <c r="H143" s="10"/>
      <c r="I143" s="10"/>
      <c r="J143" s="10"/>
      <c r="K143" s="10"/>
      <c r="L143" s="10"/>
      <c r="M143" s="10"/>
      <c r="N143" s="10"/>
      <c r="O143" s="64"/>
    </row>
    <row r="144" spans="1:15" ht="15" customHeight="1" x14ac:dyDescent="0.2">
      <c r="A144" s="1405" t="s">
        <v>7825</v>
      </c>
      <c r="B144" s="1405"/>
      <c r="C144" s="1405"/>
      <c r="D144" s="1405"/>
      <c r="E144" s="1405"/>
      <c r="F144" s="1405"/>
      <c r="G144" s="1405"/>
      <c r="H144" s="1405"/>
      <c r="I144" s="1405"/>
      <c r="J144" s="1913" t="s">
        <v>147</v>
      </c>
      <c r="K144" s="1914"/>
      <c r="L144" s="1913" t="s">
        <v>153</v>
      </c>
      <c r="M144" s="1914"/>
      <c r="N144" s="870"/>
      <c r="O144" s="64"/>
    </row>
    <row r="145" spans="1:15" x14ac:dyDescent="0.2">
      <c r="A145" s="1405"/>
      <c r="B145" s="1405"/>
      <c r="C145" s="1405"/>
      <c r="D145" s="1405"/>
      <c r="E145" s="1405"/>
      <c r="F145" s="1405"/>
      <c r="G145" s="1405"/>
      <c r="H145" s="1405"/>
      <c r="I145" s="1405"/>
      <c r="J145" s="1444" t="s">
        <v>205</v>
      </c>
      <c r="K145" s="1446"/>
      <c r="L145" s="1444" t="s">
        <v>149</v>
      </c>
      <c r="M145" s="1446"/>
      <c r="N145" s="871"/>
      <c r="O145" s="64"/>
    </row>
    <row r="146" spans="1:15" ht="28.5" customHeight="1" x14ac:dyDescent="0.2">
      <c r="A146" s="1396" t="s">
        <v>8250</v>
      </c>
      <c r="B146" s="1911"/>
      <c r="C146" s="1911"/>
      <c r="D146" s="1911"/>
      <c r="E146" s="1911"/>
      <c r="F146" s="1911"/>
      <c r="G146" s="1911"/>
      <c r="H146" s="1911"/>
      <c r="I146" s="1912"/>
      <c r="J146" s="1915">
        <f>'Informasi Debitur'!O286</f>
        <v>0</v>
      </c>
      <c r="K146" s="1916"/>
      <c r="L146" s="1915" t="s">
        <v>8052</v>
      </c>
      <c r="M146" s="1916"/>
      <c r="N146" s="872"/>
      <c r="O146" s="64"/>
    </row>
    <row r="147" spans="1:15" ht="13.5" customHeight="1" x14ac:dyDescent="0.2">
      <c r="A147" s="1396" t="s">
        <v>8251</v>
      </c>
      <c r="B147" s="1911"/>
      <c r="C147" s="1911"/>
      <c r="D147" s="1911"/>
      <c r="E147" s="1911"/>
      <c r="F147" s="1911"/>
      <c r="G147" s="1911"/>
      <c r="H147" s="1911"/>
      <c r="I147" s="1912"/>
      <c r="J147" s="1915">
        <f>'Informasi Debitur'!O287</f>
        <v>0</v>
      </c>
      <c r="K147" s="1916"/>
      <c r="L147" s="1915" t="s">
        <v>8052</v>
      </c>
      <c r="M147" s="1916"/>
      <c r="N147" s="872"/>
      <c r="O147" s="64"/>
    </row>
    <row r="148" spans="1:15" ht="12.75" customHeight="1" x14ac:dyDescent="0.2">
      <c r="A148" s="1396" t="s">
        <v>8252</v>
      </c>
      <c r="B148" s="1911"/>
      <c r="C148" s="1911"/>
      <c r="D148" s="1911"/>
      <c r="E148" s="1911"/>
      <c r="F148" s="1911"/>
      <c r="G148" s="1911"/>
      <c r="H148" s="1911"/>
      <c r="I148" s="1912"/>
      <c r="J148" s="1915">
        <f>'Informasi Debitur'!O288</f>
        <v>0</v>
      </c>
      <c r="K148" s="1916"/>
      <c r="L148" s="1915" t="s">
        <v>8052</v>
      </c>
      <c r="M148" s="1916"/>
      <c r="N148" s="872"/>
      <c r="O148" s="64"/>
    </row>
    <row r="149" spans="1:15" x14ac:dyDescent="0.2">
      <c r="A149" s="1396"/>
      <c r="B149" s="1911"/>
      <c r="C149" s="1911"/>
      <c r="D149" s="1911"/>
      <c r="E149" s="1911"/>
      <c r="F149" s="1911"/>
      <c r="G149" s="1911"/>
      <c r="H149" s="1911"/>
      <c r="I149" s="1912"/>
      <c r="J149" s="1915">
        <f>'Informasi Debitur'!O289</f>
        <v>0</v>
      </c>
      <c r="K149" s="1916"/>
      <c r="L149" s="1915" t="s">
        <v>8052</v>
      </c>
      <c r="M149" s="1916"/>
      <c r="N149" s="872"/>
      <c r="O149" s="64"/>
    </row>
    <row r="150" spans="1:15" x14ac:dyDescent="0.2">
      <c r="A150" s="1396"/>
      <c r="B150" s="1911"/>
      <c r="C150" s="1911"/>
      <c r="D150" s="1911"/>
      <c r="E150" s="1911"/>
      <c r="F150" s="1911"/>
      <c r="G150" s="1911"/>
      <c r="H150" s="1911"/>
      <c r="I150" s="1912"/>
      <c r="J150" s="1915">
        <f>'Informasi Debitur'!O290</f>
        <v>0</v>
      </c>
      <c r="K150" s="1916"/>
      <c r="L150" s="1915" t="s">
        <v>8052</v>
      </c>
      <c r="M150" s="1916"/>
      <c r="N150" s="872"/>
      <c r="O150" s="64"/>
    </row>
    <row r="151" spans="1:15" hidden="1" x14ac:dyDescent="0.2">
      <c r="A151" s="1908">
        <f>'Informasi Debitur'!A291</f>
        <v>0</v>
      </c>
      <c r="B151" s="1909"/>
      <c r="C151" s="1909"/>
      <c r="D151" s="1909"/>
      <c r="E151" s="1909"/>
      <c r="F151" s="1909"/>
      <c r="G151" s="1909"/>
      <c r="H151" s="1909"/>
      <c r="I151" s="1910"/>
      <c r="J151" s="1937">
        <f>'Informasi Debitur'!O291</f>
        <v>0</v>
      </c>
      <c r="K151" s="1938"/>
      <c r="L151" s="1937"/>
      <c r="M151" s="1938"/>
      <c r="N151" s="872"/>
      <c r="O151" s="64"/>
    </row>
    <row r="152" spans="1:15" hidden="1" x14ac:dyDescent="0.2">
      <c r="A152" s="1908">
        <f>'Informasi Debitur'!A292</f>
        <v>0</v>
      </c>
      <c r="B152" s="1909"/>
      <c r="C152" s="1909"/>
      <c r="D152" s="1909"/>
      <c r="E152" s="1909"/>
      <c r="F152" s="1909"/>
      <c r="G152" s="1909"/>
      <c r="H152" s="1909"/>
      <c r="I152" s="1910"/>
      <c r="J152" s="1937">
        <f>'Informasi Debitur'!O292</f>
        <v>0</v>
      </c>
      <c r="K152" s="1938"/>
      <c r="L152" s="1937"/>
      <c r="M152" s="1938"/>
      <c r="N152" s="872"/>
      <c r="O152" s="64"/>
    </row>
    <row r="153" spans="1:15" hidden="1" x14ac:dyDescent="0.2">
      <c r="A153" s="1908">
        <f>'Informasi Debitur'!A293</f>
        <v>0</v>
      </c>
      <c r="B153" s="1909"/>
      <c r="C153" s="1909"/>
      <c r="D153" s="1909"/>
      <c r="E153" s="1909"/>
      <c r="F153" s="1909"/>
      <c r="G153" s="1909"/>
      <c r="H153" s="1909"/>
      <c r="I153" s="1910"/>
      <c r="J153" s="1937">
        <f>'Informasi Debitur'!O293</f>
        <v>0</v>
      </c>
      <c r="K153" s="1938"/>
      <c r="L153" s="1937"/>
      <c r="M153" s="1938"/>
      <c r="N153" s="872"/>
      <c r="O153" s="64"/>
    </row>
    <row r="154" spans="1:15" hidden="1" x14ac:dyDescent="0.2">
      <c r="A154" s="1908">
        <f>'Informasi Debitur'!A294</f>
        <v>0</v>
      </c>
      <c r="B154" s="1909"/>
      <c r="C154" s="1909"/>
      <c r="D154" s="1909"/>
      <c r="E154" s="1909"/>
      <c r="F154" s="1909"/>
      <c r="G154" s="1909"/>
      <c r="H154" s="1909"/>
      <c r="I154" s="1910"/>
      <c r="J154" s="1937">
        <f>'Informasi Debitur'!O294</f>
        <v>0</v>
      </c>
      <c r="K154" s="1938"/>
      <c r="L154" s="1937"/>
      <c r="M154" s="1938"/>
      <c r="N154" s="872"/>
      <c r="O154" s="64"/>
    </row>
    <row r="155" spans="1:15" x14ac:dyDescent="0.2">
      <c r="A155" s="1908">
        <f>'Informasi Debitur'!A295</f>
        <v>0</v>
      </c>
      <c r="B155" s="1909"/>
      <c r="C155" s="1909"/>
      <c r="D155" s="1909"/>
      <c r="E155" s="1909"/>
      <c r="F155" s="1909"/>
      <c r="G155" s="1909"/>
      <c r="H155" s="1909"/>
      <c r="I155" s="1910"/>
      <c r="J155" s="1937">
        <f>'Informasi Debitur'!O295</f>
        <v>0</v>
      </c>
      <c r="K155" s="1938"/>
      <c r="L155" s="1937"/>
      <c r="M155" s="1938"/>
      <c r="N155" s="872"/>
      <c r="O155" s="64"/>
    </row>
    <row r="156" spans="1:15" x14ac:dyDescent="0.2">
      <c r="A156" s="245"/>
      <c r="B156" s="255"/>
      <c r="C156" s="255"/>
      <c r="D156" s="255"/>
      <c r="E156" s="255"/>
      <c r="F156" s="255"/>
      <c r="G156" s="255"/>
      <c r="H156" s="255"/>
      <c r="I156" s="254"/>
      <c r="J156" s="254"/>
      <c r="K156" s="254"/>
      <c r="L156" s="254"/>
      <c r="M156" s="256"/>
      <c r="N156" s="872"/>
      <c r="O156" s="64"/>
    </row>
    <row r="157" spans="1:15" ht="12.75" customHeight="1" x14ac:dyDescent="0.2">
      <c r="A157" s="1389" t="s">
        <v>7827</v>
      </c>
      <c r="B157" s="1948"/>
      <c r="C157" s="1948"/>
      <c r="D157" s="1948"/>
      <c r="E157" s="1948"/>
      <c r="F157" s="1948"/>
      <c r="G157" s="1948"/>
      <c r="H157" s="1948"/>
      <c r="I157" s="1390"/>
      <c r="J157" s="1913" t="s">
        <v>147</v>
      </c>
      <c r="K157" s="1914"/>
      <c r="L157" s="1913" t="s">
        <v>153</v>
      </c>
      <c r="M157" s="1914"/>
      <c r="N157" s="870"/>
      <c r="O157" s="64"/>
    </row>
    <row r="158" spans="1:15" x14ac:dyDescent="0.2">
      <c r="A158" s="1949"/>
      <c r="B158" s="1950"/>
      <c r="C158" s="1950"/>
      <c r="D158" s="1950"/>
      <c r="E158" s="1950"/>
      <c r="F158" s="1950"/>
      <c r="G158" s="1950"/>
      <c r="H158" s="1950"/>
      <c r="I158" s="1951"/>
      <c r="J158" s="1444" t="s">
        <v>205</v>
      </c>
      <c r="K158" s="1446"/>
      <c r="L158" s="1444" t="s">
        <v>149</v>
      </c>
      <c r="M158" s="1446"/>
      <c r="N158" s="871"/>
      <c r="O158" s="64"/>
    </row>
    <row r="159" spans="1:15" x14ac:dyDescent="0.2">
      <c r="A159" s="1936" t="s">
        <v>323</v>
      </c>
      <c r="B159" s="1936"/>
      <c r="C159" s="1936"/>
      <c r="D159" s="1936"/>
      <c r="E159" s="1936"/>
      <c r="F159" s="1936"/>
      <c r="G159" s="1936"/>
      <c r="H159" s="1936"/>
      <c r="I159" s="1936"/>
      <c r="J159" s="1937">
        <f>'Informasi Debitur'!O299</f>
        <v>0</v>
      </c>
      <c r="K159" s="1938"/>
      <c r="L159" s="1937"/>
      <c r="M159" s="1938"/>
      <c r="N159" s="854"/>
      <c r="O159" s="64"/>
    </row>
    <row r="160" spans="1:15" hidden="1" x14ac:dyDescent="0.2">
      <c r="A160" s="1936">
        <f>'Informasi Debitur'!A300</f>
        <v>0</v>
      </c>
      <c r="B160" s="1936"/>
      <c r="C160" s="1936"/>
      <c r="D160" s="1936"/>
      <c r="E160" s="1936"/>
      <c r="F160" s="1936"/>
      <c r="G160" s="1936"/>
      <c r="H160" s="1936"/>
      <c r="I160" s="1936"/>
      <c r="J160" s="1937">
        <f>'Informasi Debitur'!O300</f>
        <v>0</v>
      </c>
      <c r="K160" s="1938"/>
      <c r="L160" s="1937"/>
      <c r="M160" s="1938"/>
      <c r="N160" s="854"/>
      <c r="O160" s="64"/>
    </row>
    <row r="161" spans="1:19" hidden="1" x14ac:dyDescent="0.2">
      <c r="A161" s="1936">
        <f>'Informasi Debitur'!A301</f>
        <v>0</v>
      </c>
      <c r="B161" s="1936"/>
      <c r="C161" s="1936"/>
      <c r="D161" s="1936"/>
      <c r="E161" s="1936"/>
      <c r="F161" s="1936"/>
      <c r="G161" s="1936"/>
      <c r="H161" s="1936"/>
      <c r="I161" s="1936"/>
      <c r="J161" s="1937">
        <f>'Informasi Debitur'!O301</f>
        <v>0</v>
      </c>
      <c r="K161" s="1938"/>
      <c r="L161" s="1937"/>
      <c r="M161" s="1938"/>
      <c r="N161" s="854"/>
      <c r="O161" s="64"/>
    </row>
    <row r="162" spans="1:19" hidden="1" x14ac:dyDescent="0.2">
      <c r="A162" s="1936">
        <f>'Informasi Debitur'!A302</f>
        <v>0</v>
      </c>
      <c r="B162" s="1936"/>
      <c r="C162" s="1936"/>
      <c r="D162" s="1936"/>
      <c r="E162" s="1936"/>
      <c r="F162" s="1936"/>
      <c r="G162" s="1936"/>
      <c r="H162" s="1936"/>
      <c r="I162" s="1936"/>
      <c r="J162" s="1937">
        <f>'Informasi Debitur'!O302</f>
        <v>0</v>
      </c>
      <c r="K162" s="1938"/>
      <c r="L162" s="1937"/>
      <c r="M162" s="1938"/>
      <c r="N162" s="854"/>
      <c r="O162" s="64"/>
    </row>
    <row r="163" spans="1:19" hidden="1" x14ac:dyDescent="0.2">
      <c r="A163" s="1936">
        <f>'Informasi Debitur'!A303</f>
        <v>0</v>
      </c>
      <c r="B163" s="1936"/>
      <c r="C163" s="1936"/>
      <c r="D163" s="1936"/>
      <c r="E163" s="1936"/>
      <c r="F163" s="1936"/>
      <c r="G163" s="1936"/>
      <c r="H163" s="1936"/>
      <c r="I163" s="1936"/>
      <c r="J163" s="1937">
        <f>'Informasi Debitur'!O303</f>
        <v>0</v>
      </c>
      <c r="K163" s="1938"/>
      <c r="L163" s="1937"/>
      <c r="M163" s="1938"/>
      <c r="N163" s="854"/>
      <c r="O163" s="64"/>
    </row>
    <row r="164" spans="1:19" hidden="1" x14ac:dyDescent="0.2">
      <c r="A164" s="1936">
        <f>'Informasi Debitur'!A304</f>
        <v>0</v>
      </c>
      <c r="B164" s="1936"/>
      <c r="C164" s="1936"/>
      <c r="D164" s="1936"/>
      <c r="E164" s="1936"/>
      <c r="F164" s="1936"/>
      <c r="G164" s="1936"/>
      <c r="H164" s="1936"/>
      <c r="I164" s="1936"/>
      <c r="J164" s="1937">
        <f>'Informasi Debitur'!O304</f>
        <v>0</v>
      </c>
      <c r="K164" s="1938"/>
      <c r="L164" s="1937"/>
      <c r="M164" s="1938"/>
      <c r="N164" s="854"/>
      <c r="O164" s="64"/>
    </row>
    <row r="165" spans="1:19" x14ac:dyDescent="0.2">
      <c r="A165" s="1936">
        <f>'Informasi Debitur'!A305</f>
        <v>0</v>
      </c>
      <c r="B165" s="1936"/>
      <c r="C165" s="1936"/>
      <c r="D165" s="1936"/>
      <c r="E165" s="1936"/>
      <c r="F165" s="1936"/>
      <c r="G165" s="1936"/>
      <c r="H165" s="1936"/>
      <c r="I165" s="1936"/>
      <c r="J165" s="1937">
        <f>'Informasi Debitur'!O305</f>
        <v>0</v>
      </c>
      <c r="K165" s="1938"/>
      <c r="L165" s="1937"/>
      <c r="M165" s="1938"/>
      <c r="N165" s="854"/>
      <c r="O165" s="64"/>
    </row>
    <row r="166" spans="1:19" x14ac:dyDescent="0.2">
      <c r="A166" s="1936">
        <f>'Informasi Debitur'!A306</f>
        <v>0</v>
      </c>
      <c r="B166" s="1936"/>
      <c r="C166" s="1936"/>
      <c r="D166" s="1936"/>
      <c r="E166" s="1936"/>
      <c r="F166" s="1936"/>
      <c r="G166" s="1936"/>
      <c r="H166" s="1936"/>
      <c r="I166" s="1936"/>
      <c r="J166" s="1937">
        <f>'Informasi Debitur'!O306</f>
        <v>0</v>
      </c>
      <c r="K166" s="1938"/>
      <c r="L166" s="1937"/>
      <c r="M166" s="1938"/>
      <c r="N166" s="854"/>
      <c r="O166" s="64"/>
    </row>
    <row r="167" spans="1:19" x14ac:dyDescent="0.2">
      <c r="A167" s="10"/>
      <c r="B167" s="10"/>
      <c r="C167" s="10"/>
      <c r="D167" s="10"/>
      <c r="E167" s="10"/>
      <c r="F167" s="10"/>
      <c r="G167" s="10"/>
      <c r="H167" s="10"/>
      <c r="I167" s="10"/>
      <c r="J167" s="10"/>
      <c r="K167" s="10"/>
      <c r="L167" s="10"/>
      <c r="M167" s="10"/>
      <c r="N167" s="10"/>
      <c r="O167" s="64"/>
    </row>
    <row r="168" spans="1:19" ht="12.75" customHeight="1" x14ac:dyDescent="0.2">
      <c r="A168" s="1953" t="s">
        <v>7828</v>
      </c>
      <c r="B168" s="1954"/>
      <c r="C168" s="1954"/>
      <c r="D168" s="1954"/>
      <c r="E168" s="1954"/>
      <c r="F168" s="1954"/>
      <c r="G168" s="1954"/>
      <c r="H168" s="1954"/>
      <c r="I168" s="1954"/>
      <c r="J168" s="1954"/>
      <c r="K168" s="1954"/>
      <c r="L168" s="1955"/>
      <c r="M168" s="10"/>
      <c r="N168" s="10"/>
      <c r="O168" s="64"/>
    </row>
    <row r="169" spans="1:19" ht="24" customHeight="1" x14ac:dyDescent="0.2">
      <c r="A169" s="1939" t="s">
        <v>7830</v>
      </c>
      <c r="B169" s="1940"/>
      <c r="C169" s="1940"/>
      <c r="D169" s="1940"/>
      <c r="E169" s="1940"/>
      <c r="F169" s="1940"/>
      <c r="G169" s="1940"/>
      <c r="H169" s="1940"/>
      <c r="I169" s="1940"/>
      <c r="J169" s="1940"/>
      <c r="K169" s="1940"/>
      <c r="L169" s="1941"/>
      <c r="M169" s="10"/>
      <c r="N169" s="10"/>
      <c r="O169" s="64"/>
    </row>
    <row r="170" spans="1:19" x14ac:dyDescent="0.2">
      <c r="A170" s="1945" t="s">
        <v>323</v>
      </c>
      <c r="B170" s="1946"/>
      <c r="C170" s="1946"/>
      <c r="D170" s="1946"/>
      <c r="E170" s="1946"/>
      <c r="F170" s="1946"/>
      <c r="G170" s="1946"/>
      <c r="H170" s="1946"/>
      <c r="I170" s="1946"/>
      <c r="J170" s="1946"/>
      <c r="K170" s="1946"/>
      <c r="L170" s="1947"/>
      <c r="M170" s="10"/>
      <c r="N170" s="10"/>
      <c r="O170" s="64"/>
    </row>
    <row r="171" spans="1:19" hidden="1" x14ac:dyDescent="0.2">
      <c r="A171" s="1945">
        <f>'Informasi Debitur'!A312</f>
        <v>0</v>
      </c>
      <c r="B171" s="1946"/>
      <c r="C171" s="1946"/>
      <c r="D171" s="1946"/>
      <c r="E171" s="1946"/>
      <c r="F171" s="1946"/>
      <c r="G171" s="1946"/>
      <c r="H171" s="1946"/>
      <c r="I171" s="1946"/>
      <c r="J171" s="1946"/>
      <c r="K171" s="1946"/>
      <c r="L171" s="1947"/>
      <c r="M171" s="10"/>
      <c r="N171" s="10"/>
      <c r="O171" s="64"/>
      <c r="Q171" s="383"/>
      <c r="R171" s="383"/>
      <c r="S171" s="383"/>
    </row>
    <row r="172" spans="1:19" s="383" customFormat="1" hidden="1" x14ac:dyDescent="0.2">
      <c r="A172" s="1945">
        <f>'Informasi Debitur'!A313</f>
        <v>0</v>
      </c>
      <c r="B172" s="1946"/>
      <c r="C172" s="1946"/>
      <c r="D172" s="1946"/>
      <c r="E172" s="1946"/>
      <c r="F172" s="1946"/>
      <c r="G172" s="1946"/>
      <c r="H172" s="1946"/>
      <c r="I172" s="1946"/>
      <c r="J172" s="1946"/>
      <c r="K172" s="1946"/>
      <c r="L172" s="1947"/>
      <c r="M172" s="10"/>
      <c r="N172" s="10"/>
      <c r="O172" s="64"/>
    </row>
    <row r="173" spans="1:19" s="383" customFormat="1" hidden="1" x14ac:dyDescent="0.2">
      <c r="A173" s="1945">
        <f>'Informasi Debitur'!A314</f>
        <v>0</v>
      </c>
      <c r="B173" s="1946"/>
      <c r="C173" s="1946"/>
      <c r="D173" s="1946"/>
      <c r="E173" s="1946"/>
      <c r="F173" s="1946"/>
      <c r="G173" s="1946"/>
      <c r="H173" s="1946"/>
      <c r="I173" s="1946"/>
      <c r="J173" s="1946"/>
      <c r="K173" s="1946"/>
      <c r="L173" s="1947"/>
      <c r="M173" s="10"/>
      <c r="N173" s="10"/>
      <c r="O173" s="64"/>
    </row>
    <row r="174" spans="1:19" s="383" customFormat="1" hidden="1" x14ac:dyDescent="0.2">
      <c r="A174" s="1945">
        <f>'Informasi Debitur'!A315</f>
        <v>0</v>
      </c>
      <c r="B174" s="1946"/>
      <c r="C174" s="1946"/>
      <c r="D174" s="1946"/>
      <c r="E174" s="1946"/>
      <c r="F174" s="1946"/>
      <c r="G174" s="1946"/>
      <c r="H174" s="1946"/>
      <c r="I174" s="1946"/>
      <c r="J174" s="1946"/>
      <c r="K174" s="1946"/>
      <c r="L174" s="1947"/>
      <c r="M174" s="10"/>
      <c r="N174" s="10"/>
      <c r="O174" s="64"/>
    </row>
    <row r="175" spans="1:19" s="383" customFormat="1" hidden="1" x14ac:dyDescent="0.2">
      <c r="A175" s="1945">
        <f>'Informasi Debitur'!A316</f>
        <v>0</v>
      </c>
      <c r="B175" s="1946"/>
      <c r="C175" s="1946"/>
      <c r="D175" s="1946"/>
      <c r="E175" s="1946"/>
      <c r="F175" s="1946"/>
      <c r="G175" s="1946"/>
      <c r="H175" s="1946"/>
      <c r="I175" s="1946"/>
      <c r="J175" s="1946"/>
      <c r="K175" s="1946"/>
      <c r="L175" s="1947"/>
      <c r="M175" s="10"/>
      <c r="N175" s="10"/>
      <c r="O175" s="64"/>
    </row>
    <row r="176" spans="1:19" s="383" customFormat="1" hidden="1" x14ac:dyDescent="0.2">
      <c r="A176" s="1945">
        <f>'Informasi Debitur'!A317</f>
        <v>0</v>
      </c>
      <c r="B176" s="1946"/>
      <c r="C176" s="1946"/>
      <c r="D176" s="1946"/>
      <c r="E176" s="1946"/>
      <c r="F176" s="1946"/>
      <c r="G176" s="1946"/>
      <c r="H176" s="1946"/>
      <c r="I176" s="1946"/>
      <c r="J176" s="1946"/>
      <c r="K176" s="1946"/>
      <c r="L176" s="1947"/>
      <c r="M176" s="10"/>
      <c r="N176" s="10"/>
      <c r="O176" s="64"/>
    </row>
    <row r="177" spans="1:19" s="383" customFormat="1" x14ac:dyDescent="0.2">
      <c r="A177" s="1945">
        <f>'Informasi Debitur'!A318</f>
        <v>0</v>
      </c>
      <c r="B177" s="1946"/>
      <c r="C177" s="1946"/>
      <c r="D177" s="1946"/>
      <c r="E177" s="1946"/>
      <c r="F177" s="1946"/>
      <c r="G177" s="1946"/>
      <c r="H177" s="1946"/>
      <c r="I177" s="1946"/>
      <c r="J177" s="1946"/>
      <c r="K177" s="1946"/>
      <c r="L177" s="1947"/>
      <c r="M177" s="10"/>
      <c r="N177" s="10"/>
      <c r="O177" s="64"/>
    </row>
    <row r="178" spans="1:19" s="383" customFormat="1" x14ac:dyDescent="0.2">
      <c r="A178" s="1945">
        <f>'Informasi Debitur'!A319</f>
        <v>0</v>
      </c>
      <c r="B178" s="1946"/>
      <c r="C178" s="1946"/>
      <c r="D178" s="1946"/>
      <c r="E178" s="1946"/>
      <c r="F178" s="1946"/>
      <c r="G178" s="1946"/>
      <c r="H178" s="1946"/>
      <c r="I178" s="1946"/>
      <c r="J178" s="1946"/>
      <c r="K178" s="1946"/>
      <c r="L178" s="1947"/>
      <c r="M178" s="10"/>
      <c r="N178" s="10"/>
      <c r="O178" s="64"/>
    </row>
    <row r="179" spans="1:19" s="383" customFormat="1" ht="28.5" customHeight="1" x14ac:dyDescent="0.2">
      <c r="A179" s="1945" t="s">
        <v>7831</v>
      </c>
      <c r="B179" s="1946"/>
      <c r="C179" s="1946"/>
      <c r="D179" s="1946"/>
      <c r="E179" s="1946"/>
      <c r="F179" s="1946"/>
      <c r="G179" s="1946"/>
      <c r="H179" s="1946"/>
      <c r="I179" s="1946"/>
      <c r="J179" s="1946"/>
      <c r="K179" s="1946"/>
      <c r="L179" s="1947"/>
      <c r="M179" s="10"/>
      <c r="N179" s="10"/>
      <c r="O179" s="64"/>
    </row>
    <row r="180" spans="1:19" s="383" customFormat="1" x14ac:dyDescent="0.2">
      <c r="A180" s="1945" t="s">
        <v>323</v>
      </c>
      <c r="B180" s="1946"/>
      <c r="C180" s="1946"/>
      <c r="D180" s="1946"/>
      <c r="E180" s="1946"/>
      <c r="F180" s="1946"/>
      <c r="G180" s="1946"/>
      <c r="H180" s="1946"/>
      <c r="I180" s="1946"/>
      <c r="J180" s="1946"/>
      <c r="K180" s="1946"/>
      <c r="L180" s="1947"/>
      <c r="M180" s="10"/>
      <c r="N180" s="10"/>
      <c r="O180" s="64"/>
    </row>
    <row r="181" spans="1:19" s="383" customFormat="1" hidden="1" x14ac:dyDescent="0.2">
      <c r="A181" s="1945">
        <f>'Informasi Debitur'!A322</f>
        <v>0</v>
      </c>
      <c r="B181" s="1946"/>
      <c r="C181" s="1946"/>
      <c r="D181" s="1946"/>
      <c r="E181" s="1946"/>
      <c r="F181" s="1946"/>
      <c r="G181" s="1946"/>
      <c r="H181" s="1946"/>
      <c r="I181" s="1946"/>
      <c r="J181" s="1946"/>
      <c r="K181" s="1946"/>
      <c r="L181" s="1947"/>
      <c r="M181" s="10"/>
      <c r="N181" s="10"/>
      <c r="O181" s="64"/>
    </row>
    <row r="182" spans="1:19" s="383" customFormat="1" hidden="1" x14ac:dyDescent="0.2">
      <c r="A182" s="1945">
        <f>'Informasi Debitur'!A323</f>
        <v>0</v>
      </c>
      <c r="B182" s="1946"/>
      <c r="C182" s="1946"/>
      <c r="D182" s="1946"/>
      <c r="E182" s="1946"/>
      <c r="F182" s="1946"/>
      <c r="G182" s="1946"/>
      <c r="H182" s="1946"/>
      <c r="I182" s="1946"/>
      <c r="J182" s="1946"/>
      <c r="K182" s="1946"/>
      <c r="L182" s="1947"/>
      <c r="M182" s="10"/>
      <c r="N182" s="10"/>
      <c r="O182" s="64"/>
    </row>
    <row r="183" spans="1:19" s="383" customFormat="1" hidden="1" x14ac:dyDescent="0.2">
      <c r="A183" s="1945">
        <f>'Informasi Debitur'!A324</f>
        <v>0</v>
      </c>
      <c r="B183" s="1946"/>
      <c r="C183" s="1946"/>
      <c r="D183" s="1946"/>
      <c r="E183" s="1946"/>
      <c r="F183" s="1946"/>
      <c r="G183" s="1946"/>
      <c r="H183" s="1946"/>
      <c r="I183" s="1946"/>
      <c r="J183" s="1946"/>
      <c r="K183" s="1946"/>
      <c r="L183" s="1947"/>
      <c r="M183" s="10"/>
      <c r="N183" s="10"/>
      <c r="O183" s="64"/>
    </row>
    <row r="184" spans="1:19" s="383" customFormat="1" hidden="1" x14ac:dyDescent="0.2">
      <c r="A184" s="1945">
        <f>'Informasi Debitur'!A325</f>
        <v>0</v>
      </c>
      <c r="B184" s="1946"/>
      <c r="C184" s="1946"/>
      <c r="D184" s="1946"/>
      <c r="E184" s="1946"/>
      <c r="F184" s="1946"/>
      <c r="G184" s="1946"/>
      <c r="H184" s="1946"/>
      <c r="I184" s="1946"/>
      <c r="J184" s="1946"/>
      <c r="K184" s="1946"/>
      <c r="L184" s="1947"/>
      <c r="M184" s="10"/>
      <c r="N184" s="10"/>
      <c r="O184" s="64"/>
      <c r="Q184" s="333"/>
      <c r="R184" s="333"/>
      <c r="S184" s="333"/>
    </row>
    <row r="185" spans="1:19" x14ac:dyDescent="0.2">
      <c r="A185" s="1945">
        <f>'Informasi Debitur'!A326</f>
        <v>0</v>
      </c>
      <c r="B185" s="1946"/>
      <c r="C185" s="1946"/>
      <c r="D185" s="1946"/>
      <c r="E185" s="1946"/>
      <c r="F185" s="1946"/>
      <c r="G185" s="1946"/>
      <c r="H185" s="1946"/>
      <c r="I185" s="1946"/>
      <c r="J185" s="1946"/>
      <c r="K185" s="1946"/>
      <c r="L185" s="1947"/>
      <c r="M185" s="10"/>
      <c r="N185" s="10"/>
      <c r="O185" s="64"/>
    </row>
    <row r="186" spans="1:19" x14ac:dyDescent="0.2">
      <c r="A186" s="1942">
        <f>'Informasi Debitur'!A327</f>
        <v>0</v>
      </c>
      <c r="B186" s="1943"/>
      <c r="C186" s="1943"/>
      <c r="D186" s="1943"/>
      <c r="E186" s="1943"/>
      <c r="F186" s="1943"/>
      <c r="G186" s="1943"/>
      <c r="H186" s="1943"/>
      <c r="I186" s="1943"/>
      <c r="J186" s="1943"/>
      <c r="K186" s="1943"/>
      <c r="L186" s="1944"/>
      <c r="M186" s="10"/>
      <c r="N186" s="10"/>
      <c r="O186" s="64"/>
    </row>
    <row r="187" spans="1:19" x14ac:dyDescent="0.2">
      <c r="A187" s="10"/>
      <c r="B187" s="10"/>
      <c r="C187" s="10"/>
      <c r="D187" s="10"/>
      <c r="E187" s="10"/>
      <c r="F187" s="10"/>
      <c r="G187" s="10"/>
      <c r="H187" s="10"/>
      <c r="I187" s="10"/>
      <c r="J187" s="10"/>
      <c r="K187" s="10"/>
      <c r="L187" s="10"/>
      <c r="M187" s="10"/>
      <c r="N187" s="10"/>
      <c r="O187" s="64"/>
      <c r="Q187" s="383"/>
      <c r="R187" s="383"/>
    </row>
    <row r="188" spans="1:19" x14ac:dyDescent="0.2">
      <c r="A188" s="1959" t="s">
        <v>7176</v>
      </c>
      <c r="B188" s="1960"/>
      <c r="C188" s="1960"/>
      <c r="D188" s="1960"/>
      <c r="E188" s="1960"/>
      <c r="F188" s="1960"/>
      <c r="G188" s="1960"/>
      <c r="H188" s="1960"/>
      <c r="I188" s="1960"/>
      <c r="J188" s="1960"/>
      <c r="K188" s="1960"/>
      <c r="L188" s="1961"/>
      <c r="M188" s="10"/>
      <c r="N188" s="10"/>
      <c r="O188" s="64"/>
      <c r="Q188" s="383"/>
      <c r="R188" s="383"/>
      <c r="S188" s="383"/>
    </row>
    <row r="189" spans="1:19" s="383" customFormat="1" x14ac:dyDescent="0.2">
      <c r="A189" s="1332" t="s">
        <v>8240</v>
      </c>
      <c r="B189" s="1333"/>
      <c r="C189" s="1333"/>
      <c r="D189" s="1333"/>
      <c r="E189" s="1333"/>
      <c r="F189" s="1333"/>
      <c r="G189" s="1333"/>
      <c r="H189" s="1333"/>
      <c r="I189" s="1333"/>
      <c r="J189" s="1333"/>
      <c r="K189" s="1333"/>
      <c r="L189" s="1869"/>
      <c r="M189" s="10"/>
      <c r="N189" s="10"/>
      <c r="O189" s="64"/>
      <c r="P189" s="835" t="b">
        <f>ISBLANK(A189)</f>
        <v>0</v>
      </c>
    </row>
    <row r="190" spans="1:19" s="383" customFormat="1" x14ac:dyDescent="0.2">
      <c r="A190" s="1332" t="s">
        <v>8241</v>
      </c>
      <c r="B190" s="1333"/>
      <c r="C190" s="1333"/>
      <c r="D190" s="1333"/>
      <c r="E190" s="1333"/>
      <c r="F190" s="1333"/>
      <c r="G190" s="1333"/>
      <c r="H190" s="1333"/>
      <c r="I190" s="1333"/>
      <c r="J190" s="1333"/>
      <c r="K190" s="1333"/>
      <c r="L190" s="1869"/>
      <c r="M190" s="10"/>
      <c r="N190" s="10"/>
      <c r="O190" s="64"/>
      <c r="P190" s="476"/>
    </row>
    <row r="191" spans="1:19" s="383" customFormat="1" x14ac:dyDescent="0.2">
      <c r="A191" s="1956"/>
      <c r="B191" s="1957"/>
      <c r="C191" s="1957"/>
      <c r="D191" s="1957"/>
      <c r="E191" s="1957"/>
      <c r="F191" s="1957"/>
      <c r="G191" s="1957"/>
      <c r="H191" s="1957"/>
      <c r="I191" s="1957"/>
      <c r="J191" s="1957"/>
      <c r="K191" s="1957"/>
      <c r="L191" s="1958"/>
      <c r="M191" s="10"/>
      <c r="N191" s="10"/>
      <c r="O191" s="64"/>
      <c r="P191" s="476"/>
      <c r="Q191" s="333"/>
      <c r="R191" s="333"/>
    </row>
    <row r="192" spans="1:19" s="383" customFormat="1" x14ac:dyDescent="0.2">
      <c r="A192" s="10"/>
      <c r="B192" s="10"/>
      <c r="C192" s="10"/>
      <c r="D192" s="10"/>
      <c r="E192" s="10"/>
      <c r="F192" s="10"/>
      <c r="G192" s="10"/>
      <c r="H192" s="10"/>
      <c r="I192" s="10"/>
      <c r="J192" s="10"/>
      <c r="K192" s="10"/>
      <c r="L192" s="10"/>
      <c r="M192" s="10"/>
      <c r="N192" s="10"/>
      <c r="O192" s="64"/>
      <c r="P192" s="476"/>
      <c r="Q192" s="333"/>
      <c r="R192" s="333"/>
      <c r="S192" s="333"/>
    </row>
    <row r="193" spans="1:16" ht="15.75" x14ac:dyDescent="0.25">
      <c r="A193" s="53" t="s">
        <v>154</v>
      </c>
      <c r="B193" s="1933" t="s">
        <v>156</v>
      </c>
      <c r="C193" s="1933"/>
      <c r="D193" s="1933"/>
      <c r="E193" s="10"/>
      <c r="F193" s="10"/>
      <c r="G193" s="10"/>
      <c r="H193" s="10"/>
      <c r="I193" s="10"/>
      <c r="J193" s="10"/>
      <c r="K193" s="10"/>
      <c r="L193" s="10"/>
      <c r="M193" s="10"/>
      <c r="N193" s="10"/>
      <c r="O193" s="64"/>
      <c r="P193" s="476" t="str">
        <f>TRIM(RIGHT(B193,8))</f>
        <v>sebagian</v>
      </c>
    </row>
    <row r="194" spans="1:16" x14ac:dyDescent="0.2">
      <c r="A194" s="48" t="s">
        <v>161</v>
      </c>
      <c r="B194" s="1935">
        <v>43311</v>
      </c>
      <c r="C194" s="1935"/>
      <c r="D194" s="1935"/>
      <c r="E194" s="10"/>
      <c r="F194" s="10"/>
      <c r="G194" s="10"/>
      <c r="H194" s="10"/>
      <c r="I194" s="10"/>
      <c r="J194" s="10"/>
      <c r="K194" s="10"/>
      <c r="L194" s="10"/>
      <c r="M194" s="10"/>
      <c r="N194" s="10"/>
      <c r="O194" s="64"/>
      <c r="P194" s="476"/>
    </row>
    <row r="195" spans="1:16" x14ac:dyDescent="0.2">
      <c r="A195" s="48" t="s">
        <v>160</v>
      </c>
      <c r="B195" s="1934" t="str">
        <f>IF(B194&lt;&gt;"",CONCATENATE(B212,"-",C212,"-",D212),"")</f>
        <v>30-Okt-2018</v>
      </c>
      <c r="C195" s="1934"/>
      <c r="D195" s="1934"/>
      <c r="E195" s="47"/>
      <c r="F195" s="10"/>
      <c r="G195" s="10"/>
      <c r="H195" s="10"/>
      <c r="I195" s="10"/>
      <c r="J195" s="10"/>
      <c r="K195" s="10"/>
      <c r="L195" s="10"/>
      <c r="M195" s="10"/>
      <c r="N195" s="10"/>
      <c r="O195" s="64"/>
    </row>
    <row r="196" spans="1:16" x14ac:dyDescent="0.2">
      <c r="A196" s="10"/>
      <c r="B196" s="10"/>
      <c r="C196" s="10"/>
      <c r="D196" s="10"/>
      <c r="E196" s="10"/>
      <c r="F196" s="10"/>
      <c r="G196" s="10"/>
      <c r="H196" s="10"/>
      <c r="I196" s="10"/>
      <c r="J196" s="10"/>
      <c r="K196" s="10"/>
      <c r="L196" s="10"/>
      <c r="M196" s="10"/>
      <c r="N196" s="10"/>
      <c r="O196" s="64"/>
    </row>
    <row r="197" spans="1:16" x14ac:dyDescent="0.2">
      <c r="A197" s="10"/>
      <c r="B197" s="10"/>
      <c r="C197" s="10"/>
      <c r="D197" s="10"/>
      <c r="E197" s="10"/>
      <c r="F197" s="10"/>
      <c r="G197" s="10"/>
      <c r="H197" s="10"/>
      <c r="I197" s="10"/>
      <c r="J197" s="10"/>
      <c r="K197" s="10"/>
      <c r="L197" s="10"/>
      <c r="M197" s="10"/>
      <c r="N197" s="10"/>
      <c r="O197" s="64"/>
    </row>
    <row r="198" spans="1:16" x14ac:dyDescent="0.2">
      <c r="A198" s="10"/>
      <c r="B198" s="1932" t="s">
        <v>162</v>
      </c>
      <c r="C198" s="1932"/>
      <c r="D198" s="1932"/>
      <c r="E198" s="1932"/>
      <c r="F198" s="1932"/>
      <c r="G198" s="1932"/>
      <c r="H198" s="1932"/>
      <c r="I198" s="1932"/>
      <c r="J198" s="10"/>
      <c r="K198" s="10"/>
      <c r="L198" s="10"/>
      <c r="M198" s="10"/>
      <c r="N198" s="10"/>
      <c r="O198" s="64"/>
    </row>
    <row r="199" spans="1:16" x14ac:dyDescent="0.2">
      <c r="A199" s="10"/>
      <c r="B199" s="1907"/>
      <c r="C199" s="1907"/>
      <c r="D199" s="1907"/>
      <c r="E199" s="1907"/>
      <c r="F199" s="1907"/>
      <c r="G199" s="1907"/>
      <c r="H199" s="1907"/>
      <c r="I199" s="1907"/>
      <c r="J199" s="10"/>
      <c r="K199" s="10"/>
      <c r="L199" s="10"/>
      <c r="M199" s="10"/>
      <c r="N199" s="10"/>
      <c r="O199" s="64"/>
    </row>
    <row r="200" spans="1:16" x14ac:dyDescent="0.2">
      <c r="A200" s="10"/>
      <c r="B200" s="1907"/>
      <c r="C200" s="1907"/>
      <c r="D200" s="1907"/>
      <c r="E200" s="1907"/>
      <c r="F200" s="1907"/>
      <c r="G200" s="1907"/>
      <c r="H200" s="1907"/>
      <c r="I200" s="1907"/>
      <c r="J200" s="10"/>
      <c r="K200" s="10"/>
      <c r="L200" s="10"/>
      <c r="M200" s="10"/>
      <c r="N200" s="10"/>
      <c r="O200" s="64"/>
    </row>
    <row r="201" spans="1:16" x14ac:dyDescent="0.2">
      <c r="A201" s="10"/>
      <c r="B201" s="1907"/>
      <c r="C201" s="1907"/>
      <c r="D201" s="1907"/>
      <c r="E201" s="1907"/>
      <c r="F201" s="1907"/>
      <c r="G201" s="1907"/>
      <c r="H201" s="1907"/>
      <c r="I201" s="1907"/>
      <c r="J201" s="10"/>
      <c r="K201" s="10"/>
      <c r="L201" s="10"/>
      <c r="M201" s="10"/>
      <c r="N201" s="10"/>
      <c r="O201" s="64"/>
    </row>
    <row r="202" spans="1:16" x14ac:dyDescent="0.2">
      <c r="A202" s="10"/>
      <c r="B202" s="1907"/>
      <c r="C202" s="1907"/>
      <c r="D202" s="1907"/>
      <c r="E202" s="1907"/>
      <c r="F202" s="1907"/>
      <c r="G202" s="1907"/>
      <c r="H202" s="1907"/>
      <c r="I202" s="1907"/>
      <c r="J202" s="10"/>
      <c r="K202" s="10"/>
      <c r="L202" s="10"/>
      <c r="M202" s="10"/>
      <c r="N202" s="10"/>
      <c r="O202" s="64"/>
    </row>
    <row r="203" spans="1:16" x14ac:dyDescent="0.2">
      <c r="A203" s="10"/>
      <c r="B203" s="1907"/>
      <c r="C203" s="1907"/>
      <c r="D203" s="1907"/>
      <c r="E203" s="1907"/>
      <c r="F203" s="1907"/>
      <c r="G203" s="1907"/>
      <c r="H203" s="1907"/>
      <c r="I203" s="1907"/>
      <c r="J203" s="10"/>
      <c r="K203" s="10"/>
      <c r="L203" s="10"/>
      <c r="M203" s="10"/>
      <c r="N203" s="10"/>
      <c r="O203" s="64"/>
    </row>
    <row r="204" spans="1:16" x14ac:dyDescent="0.2">
      <c r="A204" s="10"/>
      <c r="B204" s="1317" t="s">
        <v>8207</v>
      </c>
      <c r="C204" s="1318"/>
      <c r="D204" s="1317" t="s">
        <v>8246</v>
      </c>
      <c r="E204" s="1318"/>
      <c r="F204" s="1317" t="s">
        <v>7728</v>
      </c>
      <c r="G204" s="1318"/>
      <c r="H204" s="1317" t="s">
        <v>12</v>
      </c>
      <c r="I204" s="121"/>
      <c r="J204" s="10"/>
      <c r="K204" s="10"/>
      <c r="L204" s="10"/>
      <c r="M204" s="10"/>
      <c r="N204" s="10"/>
      <c r="O204" s="64"/>
    </row>
    <row r="205" spans="1:16" x14ac:dyDescent="0.2">
      <c r="A205" s="10"/>
      <c r="B205" s="1317" t="s">
        <v>8208</v>
      </c>
      <c r="C205" s="1318"/>
      <c r="D205" s="1317" t="s">
        <v>8208</v>
      </c>
      <c r="E205" s="1318"/>
      <c r="F205" s="1317" t="s">
        <v>7727</v>
      </c>
      <c r="G205" s="1318"/>
      <c r="H205" s="1317" t="s">
        <v>33</v>
      </c>
      <c r="I205" s="121"/>
      <c r="J205" s="10"/>
      <c r="K205" s="10"/>
      <c r="L205" s="10"/>
      <c r="M205" s="10"/>
      <c r="N205" s="10"/>
      <c r="O205" s="64"/>
    </row>
    <row r="206" spans="1:16" x14ac:dyDescent="0.2">
      <c r="A206" s="10"/>
      <c r="B206" s="1317" t="s">
        <v>8245</v>
      </c>
      <c r="C206" s="1319"/>
      <c r="D206" s="1317" t="s">
        <v>8245</v>
      </c>
      <c r="E206" s="1319"/>
      <c r="F206" s="1317" t="s">
        <v>26</v>
      </c>
      <c r="G206" s="1319"/>
      <c r="H206" s="1317" t="s">
        <v>26</v>
      </c>
      <c r="I206" s="221"/>
      <c r="J206" s="10"/>
      <c r="K206" s="10"/>
      <c r="L206" s="10"/>
      <c r="M206" s="10"/>
      <c r="N206" s="10"/>
      <c r="O206" s="64"/>
    </row>
    <row r="208" spans="1:16" hidden="1" x14ac:dyDescent="0.2"/>
    <row r="209" spans="1:4" hidden="1" x14ac:dyDescent="0.2"/>
    <row r="210" spans="1:4" hidden="1" x14ac:dyDescent="0.2">
      <c r="A210" s="347">
        <f>B194</f>
        <v>43311</v>
      </c>
      <c r="B210" s="333">
        <f>DAY(A210)</f>
        <v>30</v>
      </c>
      <c r="C210" s="333">
        <f>MONTH(A210)</f>
        <v>7</v>
      </c>
      <c r="D210" s="333">
        <f>YEAR(A210)</f>
        <v>2018</v>
      </c>
    </row>
    <row r="211" spans="1:4" ht="15" hidden="1" x14ac:dyDescent="0.25">
      <c r="B211" s="348">
        <f>B210</f>
        <v>30</v>
      </c>
      <c r="C211" s="348">
        <f>C210+3</f>
        <v>10</v>
      </c>
      <c r="D211" s="348">
        <f>D210</f>
        <v>2018</v>
      </c>
    </row>
    <row r="212" spans="1:4" ht="15" hidden="1" x14ac:dyDescent="0.25">
      <c r="B212" s="348">
        <f>B211</f>
        <v>30</v>
      </c>
      <c r="C212" s="349" t="str">
        <f>IF(ISERROR(VLOOKUP(IF(C211&gt;12,C211-12,C211),A214:B225,2,FALSE)),"",VLOOKUP(IF(C211&gt;12,C211-12,C211),A214:B225,2,FALSE))</f>
        <v>Okt</v>
      </c>
      <c r="D212" s="348">
        <f>IF(C211&gt;12,D211+1,D211)</f>
        <v>2018</v>
      </c>
    </row>
    <row r="213" spans="1:4" hidden="1" x14ac:dyDescent="0.2"/>
    <row r="214" spans="1:4" ht="15" hidden="1" x14ac:dyDescent="0.25">
      <c r="A214" s="348">
        <v>1</v>
      </c>
      <c r="B214" s="348" t="s">
        <v>4200</v>
      </c>
    </row>
    <row r="215" spans="1:4" ht="15" hidden="1" x14ac:dyDescent="0.25">
      <c r="A215" s="348">
        <v>2</v>
      </c>
      <c r="B215" s="348" t="s">
        <v>4201</v>
      </c>
    </row>
    <row r="216" spans="1:4" ht="15" hidden="1" x14ac:dyDescent="0.25">
      <c r="A216" s="348">
        <v>3</v>
      </c>
      <c r="B216" s="348" t="s">
        <v>4202</v>
      </c>
    </row>
    <row r="217" spans="1:4" ht="15" hidden="1" x14ac:dyDescent="0.25">
      <c r="A217" s="348">
        <v>4</v>
      </c>
      <c r="B217" s="348" t="s">
        <v>4203</v>
      </c>
    </row>
    <row r="218" spans="1:4" ht="15" hidden="1" x14ac:dyDescent="0.25">
      <c r="A218" s="348">
        <v>5</v>
      </c>
      <c r="B218" s="348" t="s">
        <v>4204</v>
      </c>
    </row>
    <row r="219" spans="1:4" ht="15" hidden="1" x14ac:dyDescent="0.25">
      <c r="A219" s="348">
        <v>6</v>
      </c>
      <c r="B219" s="348" t="s">
        <v>4205</v>
      </c>
    </row>
    <row r="220" spans="1:4" ht="15" hidden="1" x14ac:dyDescent="0.25">
      <c r="A220" s="348">
        <v>7</v>
      </c>
      <c r="B220" s="348" t="s">
        <v>4206</v>
      </c>
    </row>
    <row r="221" spans="1:4" ht="15" hidden="1" x14ac:dyDescent="0.25">
      <c r="A221" s="348">
        <v>8</v>
      </c>
      <c r="B221" s="348" t="s">
        <v>4207</v>
      </c>
    </row>
    <row r="222" spans="1:4" ht="15" hidden="1" x14ac:dyDescent="0.25">
      <c r="A222" s="348">
        <v>9</v>
      </c>
      <c r="B222" s="348" t="s">
        <v>4208</v>
      </c>
    </row>
    <row r="223" spans="1:4" ht="15" hidden="1" x14ac:dyDescent="0.25">
      <c r="A223" s="348">
        <v>10</v>
      </c>
      <c r="B223" s="348" t="s">
        <v>4209</v>
      </c>
    </row>
    <row r="224" spans="1:4" ht="15" hidden="1" x14ac:dyDescent="0.25">
      <c r="A224" s="348">
        <v>11</v>
      </c>
      <c r="B224" s="348" t="s">
        <v>4210</v>
      </c>
    </row>
    <row r="225" spans="1:2" ht="15" hidden="1" x14ac:dyDescent="0.25">
      <c r="A225" s="348">
        <v>12</v>
      </c>
      <c r="B225" s="348" t="s">
        <v>4211</v>
      </c>
    </row>
  </sheetData>
  <sheetProtection password="CCA9" sheet="1" formatCells="0" formatRows="0" autoFilter="0"/>
  <protectedRanges>
    <protectedRange sqref="A189:L191" name="Range1"/>
  </protectedRanges>
  <autoFilter ref="P47:P90"/>
  <mergeCells count="255">
    <mergeCell ref="S33:S34"/>
    <mergeCell ref="S37:S38"/>
    <mergeCell ref="S35:S36"/>
    <mergeCell ref="A24:M24"/>
    <mergeCell ref="A25:M25"/>
    <mergeCell ref="A26:M26"/>
    <mergeCell ref="A27:M27"/>
    <mergeCell ref="A29:O29"/>
    <mergeCell ref="H32:H33"/>
    <mergeCell ref="B32:B33"/>
    <mergeCell ref="M94:M95"/>
    <mergeCell ref="E94:G94"/>
    <mergeCell ref="A2:O2"/>
    <mergeCell ref="A23:M23"/>
    <mergeCell ref="J87:K87"/>
    <mergeCell ref="A74:A75"/>
    <mergeCell ref="G74:G75"/>
    <mergeCell ref="A20:B20"/>
    <mergeCell ref="A15:O15"/>
    <mergeCell ref="B53:B54"/>
    <mergeCell ref="D68:E68"/>
    <mergeCell ref="B72:C72"/>
    <mergeCell ref="J88:K88"/>
    <mergeCell ref="D87:E87"/>
    <mergeCell ref="B94:B95"/>
    <mergeCell ref="A3:E3"/>
    <mergeCell ref="F3:H3"/>
    <mergeCell ref="B6:C6"/>
    <mergeCell ref="B8:C8"/>
    <mergeCell ref="B11:C11"/>
    <mergeCell ref="G10:I10"/>
    <mergeCell ref="G11:I11"/>
    <mergeCell ref="G32:G33"/>
    <mergeCell ref="C32:F32"/>
    <mergeCell ref="J45:K45"/>
    <mergeCell ref="D46:E46"/>
    <mergeCell ref="H53:H54"/>
    <mergeCell ref="G45:I45"/>
    <mergeCell ref="J46:K46"/>
    <mergeCell ref="A41:B41"/>
    <mergeCell ref="G6:I6"/>
    <mergeCell ref="G7:I7"/>
    <mergeCell ref="G8:I8"/>
    <mergeCell ref="A22:O22"/>
    <mergeCell ref="A18:B18"/>
    <mergeCell ref="A19:B19"/>
    <mergeCell ref="L32:L33"/>
    <mergeCell ref="D45:E45"/>
    <mergeCell ref="A45:C45"/>
    <mergeCell ref="K32:K33"/>
    <mergeCell ref="A32:A33"/>
    <mergeCell ref="I32:J32"/>
    <mergeCell ref="B7:C7"/>
    <mergeCell ref="B10:C10"/>
    <mergeCell ref="M32:M33"/>
    <mergeCell ref="D47:E47"/>
    <mergeCell ref="I53:J53"/>
    <mergeCell ref="B51:C51"/>
    <mergeCell ref="B112:C112"/>
    <mergeCell ref="J89:K89"/>
    <mergeCell ref="A89:C89"/>
    <mergeCell ref="G89:I89"/>
    <mergeCell ref="A92:O92"/>
    <mergeCell ref="K94:K95"/>
    <mergeCell ref="O94:O95"/>
    <mergeCell ref="B50:C50"/>
    <mergeCell ref="A47:C47"/>
    <mergeCell ref="J66:K66"/>
    <mergeCell ref="A68:C68"/>
    <mergeCell ref="H74:H75"/>
    <mergeCell ref="B71:C71"/>
    <mergeCell ref="A88:C88"/>
    <mergeCell ref="A83:B83"/>
    <mergeCell ref="G87:I87"/>
    <mergeCell ref="A87:C87"/>
    <mergeCell ref="F112:G112"/>
    <mergeCell ref="D112:E112"/>
    <mergeCell ref="B106:C106"/>
    <mergeCell ref="B107:C107"/>
    <mergeCell ref="B108:C108"/>
    <mergeCell ref="L74:L75"/>
    <mergeCell ref="G53:G54"/>
    <mergeCell ref="G66:I66"/>
    <mergeCell ref="A62:B62"/>
    <mergeCell ref="D66:E66"/>
    <mergeCell ref="L53:L54"/>
    <mergeCell ref="A66:C66"/>
    <mergeCell ref="K53:K54"/>
    <mergeCell ref="A67:C67"/>
    <mergeCell ref="J67:K67"/>
    <mergeCell ref="J47:K47"/>
    <mergeCell ref="G47:I47"/>
    <mergeCell ref="A191:L191"/>
    <mergeCell ref="A188:L188"/>
    <mergeCell ref="L165:M165"/>
    <mergeCell ref="J166:K166"/>
    <mergeCell ref="L166:M166"/>
    <mergeCell ref="A179:L179"/>
    <mergeCell ref="A180:L180"/>
    <mergeCell ref="J163:K163"/>
    <mergeCell ref="A183:L183"/>
    <mergeCell ref="A178:L178"/>
    <mergeCell ref="A184:L184"/>
    <mergeCell ref="A181:L181"/>
    <mergeCell ref="A182:L182"/>
    <mergeCell ref="A172:L172"/>
    <mergeCell ref="A173:L173"/>
    <mergeCell ref="A164:I164"/>
    <mergeCell ref="A190:L190"/>
    <mergeCell ref="A185:L185"/>
    <mergeCell ref="A174:L174"/>
    <mergeCell ref="A175:L175"/>
    <mergeCell ref="L159:M159"/>
    <mergeCell ref="J160:K160"/>
    <mergeCell ref="L160:M160"/>
    <mergeCell ref="A170:L170"/>
    <mergeCell ref="A171:L171"/>
    <mergeCell ref="A168:L168"/>
    <mergeCell ref="J148:K148"/>
    <mergeCell ref="L154:M154"/>
    <mergeCell ref="A152:I152"/>
    <mergeCell ref="L155:M155"/>
    <mergeCell ref="L153:M153"/>
    <mergeCell ref="L152:M152"/>
    <mergeCell ref="A153:I153"/>
    <mergeCell ref="J153:K153"/>
    <mergeCell ref="L158:M158"/>
    <mergeCell ref="J155:K155"/>
    <mergeCell ref="A165:I165"/>
    <mergeCell ref="J162:K162"/>
    <mergeCell ref="L157:M157"/>
    <mergeCell ref="A160:I160"/>
    <mergeCell ref="A162:I162"/>
    <mergeCell ref="J165:K165"/>
    <mergeCell ref="L149:M149"/>
    <mergeCell ref="J152:K152"/>
    <mergeCell ref="L151:M151"/>
    <mergeCell ref="J150:K150"/>
    <mergeCell ref="J149:K149"/>
    <mergeCell ref="A163:I163"/>
    <mergeCell ref="L162:M162"/>
    <mergeCell ref="D94:D95"/>
    <mergeCell ref="N94:N95"/>
    <mergeCell ref="L94:L95"/>
    <mergeCell ref="A159:I159"/>
    <mergeCell ref="A161:I161"/>
    <mergeCell ref="J154:K154"/>
    <mergeCell ref="A154:I154"/>
    <mergeCell ref="J158:K158"/>
    <mergeCell ref="J157:K157"/>
    <mergeCell ref="A155:I155"/>
    <mergeCell ref="J146:K146"/>
    <mergeCell ref="J161:K161"/>
    <mergeCell ref="J151:K151"/>
    <mergeCell ref="A157:I158"/>
    <mergeCell ref="B117:C117"/>
    <mergeCell ref="D119:E119"/>
    <mergeCell ref="A122:O122"/>
    <mergeCell ref="J159:K159"/>
    <mergeCell ref="B199:C203"/>
    <mergeCell ref="D199:E203"/>
    <mergeCell ref="F199:G203"/>
    <mergeCell ref="B198:I198"/>
    <mergeCell ref="H199:I203"/>
    <mergeCell ref="A131:I131"/>
    <mergeCell ref="A133:I133"/>
    <mergeCell ref="A136:I136"/>
    <mergeCell ref="A139:I139"/>
    <mergeCell ref="B193:D193"/>
    <mergeCell ref="B195:D195"/>
    <mergeCell ref="B194:D194"/>
    <mergeCell ref="A166:I166"/>
    <mergeCell ref="A189:L189"/>
    <mergeCell ref="L164:M164"/>
    <mergeCell ref="A169:L169"/>
    <mergeCell ref="A186:L186"/>
    <mergeCell ref="L163:M163"/>
    <mergeCell ref="J164:K164"/>
    <mergeCell ref="A176:L176"/>
    <mergeCell ref="A177:L177"/>
    <mergeCell ref="L161:M161"/>
    <mergeCell ref="L147:M147"/>
    <mergeCell ref="L148:M148"/>
    <mergeCell ref="J68:K68"/>
    <mergeCell ref="A53:A54"/>
    <mergeCell ref="D88:E88"/>
    <mergeCell ref="A46:C46"/>
    <mergeCell ref="I74:J74"/>
    <mergeCell ref="A94:A95"/>
    <mergeCell ref="D113:E113"/>
    <mergeCell ref="D89:E89"/>
    <mergeCell ref="A110:O110"/>
    <mergeCell ref="M74:M75"/>
    <mergeCell ref="G88:I88"/>
    <mergeCell ref="G68:I68"/>
    <mergeCell ref="C74:F74"/>
    <mergeCell ref="C53:F53"/>
    <mergeCell ref="K74:K75"/>
    <mergeCell ref="G67:I67"/>
    <mergeCell ref="F113:G113"/>
    <mergeCell ref="B74:B75"/>
    <mergeCell ref="H94:I94"/>
    <mergeCell ref="J94:J95"/>
    <mergeCell ref="C94:C95"/>
    <mergeCell ref="B113:C113"/>
    <mergeCell ref="D67:E67"/>
    <mergeCell ref="G46:I46"/>
    <mergeCell ref="J144:K144"/>
    <mergeCell ref="L146:M146"/>
    <mergeCell ref="A147:I147"/>
    <mergeCell ref="A148:I148"/>
    <mergeCell ref="A149:I149"/>
    <mergeCell ref="L150:M150"/>
    <mergeCell ref="L144:M144"/>
    <mergeCell ref="L124:M124"/>
    <mergeCell ref="F119:G119"/>
    <mergeCell ref="B120:C120"/>
    <mergeCell ref="F120:G120"/>
    <mergeCell ref="D120:E120"/>
    <mergeCell ref="B119:C119"/>
    <mergeCell ref="J147:K147"/>
    <mergeCell ref="J124:K124"/>
    <mergeCell ref="J145:K145"/>
    <mergeCell ref="A138:I138"/>
    <mergeCell ref="A142:O142"/>
    <mergeCell ref="L145:M145"/>
    <mergeCell ref="A134:I134"/>
    <mergeCell ref="A135:I135"/>
    <mergeCell ref="A144:I145"/>
    <mergeCell ref="A128:I128"/>
    <mergeCell ref="A140:I140"/>
    <mergeCell ref="F114:G114"/>
    <mergeCell ref="F115:G115"/>
    <mergeCell ref="B116:C116"/>
    <mergeCell ref="F116:G116"/>
    <mergeCell ref="A151:I151"/>
    <mergeCell ref="A146:I146"/>
    <mergeCell ref="D114:E114"/>
    <mergeCell ref="B114:C114"/>
    <mergeCell ref="A127:I127"/>
    <mergeCell ref="A137:I137"/>
    <mergeCell ref="A150:I150"/>
    <mergeCell ref="B118:C118"/>
    <mergeCell ref="F118:G118"/>
    <mergeCell ref="D115:E115"/>
    <mergeCell ref="D118:E118"/>
    <mergeCell ref="F117:G117"/>
    <mergeCell ref="D116:E116"/>
    <mergeCell ref="B115:C115"/>
    <mergeCell ref="D117:E117"/>
    <mergeCell ref="A132:I132"/>
    <mergeCell ref="A129:I129"/>
    <mergeCell ref="A130:I130"/>
    <mergeCell ref="A124:I125"/>
    <mergeCell ref="A126:I126"/>
  </mergeCells>
  <dataValidations xWindow="1266" yWindow="242" count="25">
    <dataValidation allowBlank="1" showInputMessage="1" sqref="B106"/>
    <dataValidation allowBlank="1" showInputMessage="1" showErrorMessage="1" prompt="Hal – hal yang dapat dicantumkan pada keterangan. _x000a_(Misal : Nama KJPP)_x000a__x000a_Atau fungsi jaminan (Misal : lokasi usaha atau bukan, disewakan atau tidak, dsb)" sqref="O96:O105"/>
    <dataValidation type="list" allowBlank="1" showInputMessage="1" showErrorMessage="1" sqref="L146:L156 L96:N105 J156 J146:K155 J159:L166">
      <formula1>"Ya,Tidak"</formula1>
    </dataValidation>
    <dataValidation type="list" allowBlank="1" showInputMessage="1" showErrorMessage="1" sqref="K96:K105">
      <formula1>availability</formula1>
    </dataValidation>
    <dataValidation type="list" allowBlank="1" showInputMessage="1" sqref="H96:H105">
      <formula1>pengikatan_1</formula1>
    </dataValidation>
    <dataValidation type="list" allowBlank="1" showErrorMessage="1" prompt="_x000a_" sqref="K126:L140">
      <formula1>"Ya, Tidak"</formula1>
    </dataValidation>
    <dataValidation type="list" allowBlank="1" showInputMessage="1" sqref="M126:N140">
      <formula1>"Bulanan,3 Bulanan,6 Bulanan,Tahunan"</formula1>
    </dataValidation>
    <dataValidation type="list" allowBlank="1" showInputMessage="1" showErrorMessage="1" sqref="B193:D193">
      <formula1>rekomendasi</formula1>
    </dataValidation>
    <dataValidation type="list" allowBlank="1" showInputMessage="1" showErrorMessage="1" sqref="A96:A105">
      <formula1>jaminan</formula1>
    </dataValidation>
    <dataValidation type="list" allowBlank="1" showInputMessage="1" showErrorMessage="1" sqref="C83 C62 C41">
      <formula1>currency</formula1>
    </dataValidation>
    <dataValidation type="list" allowBlank="1" showInputMessage="1" sqref="C76:C82 C55:C61">
      <formula1>currency_2</formula1>
    </dataValidation>
    <dataValidation type="list" allowBlank="1" showInputMessage="1" showErrorMessage="1" sqref="B76:B82 B55:B61 B34:B40">
      <formula1>tipe_1</formula1>
    </dataValidation>
    <dataValidation type="list" allowBlank="1" showInputMessage="1" sqref="A76:A82">
      <formula1>fasilitas_2</formula1>
    </dataValidation>
    <dataValidation type="list" allowBlank="1" showInputMessage="1" sqref="A55:A61">
      <formula1>fasilitas_3</formula1>
    </dataValidation>
    <dataValidation type="list" allowBlank="1" showInputMessage="1" showErrorMessage="1" sqref="K55:K61 K76:K82">
      <formula1>"Angsuran Tetap,Angsuran Menurun"</formula1>
    </dataValidation>
    <dataValidation type="list" allowBlank="1" showInputMessage="1" showErrorMessage="1" sqref="F113:G120">
      <formula1>guarantor</formula1>
    </dataValidation>
    <dataValidation type="list" allowBlank="1" showInputMessage="1" showErrorMessage="1" sqref="A113:A120">
      <formula1>jenis_guarantor</formula1>
    </dataValidation>
    <dataValidation type="list" allowBlank="1" showInputMessage="1" showErrorMessage="1" sqref="J126:J140">
      <formula1>"Bulanan,3 Bulanan,4 Bulanan,6 Bulanan,9 Bulanan,12 Bulanan,18 Bulanan"</formula1>
    </dataValidation>
    <dataValidation allowBlank="1" showInputMessage="1" showErrorMessage="1" prompt="Jika seluruh fasilitas dalam mata uang rupiah, maka bagian ini diisi dengan nominal 1" sqref="E31"/>
    <dataValidation type="list" allowBlank="1" showInputMessage="1" showErrorMessage="1" sqref="D31 C34:C40">
      <formula1>currency_2</formula1>
    </dataValidation>
    <dataValidation type="list" allowBlank="1" showInputMessage="1" showErrorMessage="1" sqref="B8">
      <formula1>tujuan</formula1>
    </dataValidation>
    <dataValidation type="list" allowBlank="1" showInputMessage="1" showErrorMessage="1" sqref="K34:K40">
      <formula1>"Angsuran Tetap, Angsuran Menurun"</formula1>
    </dataValidation>
    <dataValidation type="list" allowBlank="1" showInputMessage="1" showErrorMessage="1" sqref="A34:A40">
      <formula1>fasilitas_2</formula1>
    </dataValidation>
    <dataValidation type="list" allowBlank="1" showInputMessage="1" showErrorMessage="1" sqref="M34:M40">
      <formula1>"Collateral Lending, Cash Flow Lending, Reinstate PAB, Specific Lending Area"</formula1>
    </dataValidation>
    <dataValidation allowBlank="1" showInputMessage="1" prompt="Jika tidak sesuai atau kosong silahkan input manual" sqref="L34:L40"/>
  </dataValidations>
  <pageMargins left="0.23622047244094499" right="0.39370078740157499" top="0.35433070866141703" bottom="0.37" header="0.31496062992126" footer="0.24"/>
  <pageSetup paperSize="9" scale="72" orientation="landscape" r:id="rId1"/>
  <headerFooter>
    <oddFooter>&amp;RTemplate &amp;"-,Italic"small size&amp;"-,Regular" 2017 v.3 - Page &amp;P of &amp;N</oddFooter>
  </headerFooter>
  <rowBreaks count="2" manualBreakCount="2">
    <brk id="91" max="14" man="1"/>
    <brk id="141" max="14" man="1"/>
  </rowBreaks>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filterMode="1"/>
  <dimension ref="A1:AJ269"/>
  <sheetViews>
    <sheetView showGridLines="0" showZeros="0" view="pageBreakPreview" zoomScaleSheetLayoutView="100" workbookViewId="0">
      <selection activeCell="C211" sqref="C211:I211"/>
    </sheetView>
  </sheetViews>
  <sheetFormatPr defaultRowHeight="15" x14ac:dyDescent="0.25"/>
  <cols>
    <col min="1" max="1" width="3.28515625" style="446" customWidth="1"/>
    <col min="2" max="2" width="4.42578125" style="446" customWidth="1"/>
    <col min="3" max="3" width="22.5703125" style="446" customWidth="1"/>
    <col min="4" max="4" width="19.7109375" style="446" customWidth="1"/>
    <col min="5" max="5" width="10.28515625" style="446" customWidth="1"/>
    <col min="6" max="6" width="17.28515625" style="446" customWidth="1"/>
    <col min="7" max="7" width="17.85546875" style="446" customWidth="1"/>
    <col min="8" max="8" width="19.42578125" style="446" customWidth="1"/>
    <col min="9" max="9" width="15.140625" style="446" bestFit="1" customWidth="1"/>
    <col min="10" max="10" width="10.7109375" style="586" customWidth="1"/>
    <col min="11" max="26" width="10.7109375" style="586" hidden="1" customWidth="1"/>
    <col min="27" max="27" width="10.42578125" style="649" bestFit="1" customWidth="1"/>
    <col min="28" max="35" width="9.140625" style="447"/>
    <col min="36" max="16384" width="9.140625" style="446"/>
  </cols>
  <sheetData>
    <row r="1" spans="1:36" ht="21" x14ac:dyDescent="0.35">
      <c r="A1" s="2091" t="s">
        <v>6323</v>
      </c>
      <c r="B1" s="2091"/>
      <c r="C1" s="2091"/>
      <c r="D1" s="2091"/>
      <c r="E1" s="2091"/>
      <c r="F1" s="2091"/>
      <c r="G1" s="2091"/>
      <c r="H1" s="2091"/>
      <c r="I1" s="2091"/>
      <c r="J1" s="445"/>
      <c r="K1" s="445"/>
      <c r="L1" s="445"/>
      <c r="M1" s="445"/>
      <c r="N1" s="445"/>
      <c r="O1" s="445"/>
      <c r="P1" s="445"/>
      <c r="Q1" s="445"/>
      <c r="R1" s="445"/>
    </row>
    <row r="3" spans="1:36" ht="15.75" x14ac:dyDescent="0.25">
      <c r="A3" s="2092" t="s">
        <v>6299</v>
      </c>
      <c r="B3" s="2093"/>
      <c r="C3" s="2093"/>
      <c r="D3" s="2094"/>
      <c r="E3" s="508" t="s">
        <v>7</v>
      </c>
      <c r="F3" s="2095" t="str">
        <f>IF('Informasi Debitur'!J5="","",'Informasi Debitur'!J5)</f>
        <v xml:space="preserve">OH NJEN LIENG </v>
      </c>
      <c r="G3" s="2095"/>
      <c r="H3" s="2095"/>
      <c r="I3" s="2096"/>
      <c r="J3" s="448"/>
      <c r="K3" s="448"/>
      <c r="L3" s="448"/>
      <c r="M3" s="448"/>
      <c r="N3" s="448"/>
      <c r="O3" s="448"/>
      <c r="P3" s="448"/>
      <c r="Q3" s="448"/>
      <c r="R3" s="448"/>
    </row>
    <row r="4" spans="1:36" x14ac:dyDescent="0.25">
      <c r="A4" s="2092" t="s">
        <v>6300</v>
      </c>
      <c r="B4" s="2093"/>
      <c r="C4" s="2093"/>
      <c r="D4" s="2094"/>
      <c r="E4" s="508" t="s">
        <v>7</v>
      </c>
      <c r="F4" s="2099" t="str">
        <f>IF('Informasi Debitur'!G32="","",'Informasi Debitur'!G32)</f>
        <v>JASA INDUSTRI PENGOLAHAN KAROSERI</v>
      </c>
      <c r="G4" s="2097"/>
      <c r="H4" s="2097"/>
      <c r="I4" s="2098"/>
      <c r="J4" s="587"/>
      <c r="K4" s="587"/>
      <c r="L4" s="587"/>
      <c r="M4" s="587"/>
      <c r="N4" s="587"/>
      <c r="O4" s="587"/>
      <c r="P4" s="587"/>
      <c r="Q4" s="587"/>
      <c r="R4" s="587"/>
    </row>
    <row r="5" spans="1:36" x14ac:dyDescent="0.25">
      <c r="A5" s="2092" t="s">
        <v>7630</v>
      </c>
      <c r="B5" s="2093"/>
      <c r="C5" s="2093"/>
      <c r="D5" s="2094"/>
      <c r="E5" s="508" t="s">
        <v>7</v>
      </c>
      <c r="F5" s="2097" t="str">
        <f>IF('Informasi Debitur'!D32="","",'Informasi Debitur'!D32)</f>
        <v>AUTOMOTIVE &amp; COMPONENT</v>
      </c>
      <c r="G5" s="2097"/>
      <c r="H5" s="2097"/>
      <c r="I5" s="2098"/>
      <c r="J5" s="587"/>
      <c r="K5" s="587"/>
      <c r="L5" s="587"/>
      <c r="M5" s="587"/>
      <c r="N5" s="587"/>
      <c r="O5" s="587"/>
      <c r="P5" s="587"/>
      <c r="Q5" s="587"/>
      <c r="R5" s="587"/>
    </row>
    <row r="6" spans="1:36" x14ac:dyDescent="0.25">
      <c r="A6" s="2092" t="s">
        <v>6301</v>
      </c>
      <c r="B6" s="2093"/>
      <c r="C6" s="2093"/>
      <c r="D6" s="2094"/>
      <c r="E6" s="508" t="s">
        <v>7</v>
      </c>
      <c r="F6" s="2097" t="str">
        <f>IF('Informasi Debitur'!C9="","",'Informasi Debitur'!C9)</f>
        <v>BANJARMASIN A. YANI</v>
      </c>
      <c r="G6" s="2097"/>
      <c r="H6" s="2097"/>
      <c r="I6" s="2098"/>
      <c r="J6" s="587"/>
      <c r="K6" s="587"/>
      <c r="L6" s="587"/>
      <c r="M6" s="587"/>
      <c r="N6" s="587"/>
      <c r="O6" s="587"/>
      <c r="P6" s="587"/>
      <c r="Q6" s="587"/>
      <c r="R6" s="587"/>
    </row>
    <row r="7" spans="1:36" x14ac:dyDescent="0.25">
      <c r="A7" s="2092" t="s">
        <v>6302</v>
      </c>
      <c r="B7" s="2093"/>
      <c r="C7" s="2093"/>
      <c r="D7" s="2094"/>
      <c r="E7" s="508" t="s">
        <v>7</v>
      </c>
      <c r="F7" s="2100" t="str">
        <f>CONCATENATE(RAC!C43," / ",RAC!E38)</f>
        <v>Green / PASS</v>
      </c>
      <c r="G7" s="2100"/>
      <c r="H7" s="2100"/>
      <c r="I7" s="2101"/>
      <c r="J7" s="587"/>
      <c r="K7" s="587"/>
      <c r="L7" s="587"/>
      <c r="M7" s="587"/>
      <c r="N7" s="587"/>
      <c r="O7" s="587"/>
      <c r="P7" s="587"/>
      <c r="Q7" s="587"/>
      <c r="R7" s="587"/>
    </row>
    <row r="8" spans="1:36" ht="14.25" customHeight="1" x14ac:dyDescent="0.25">
      <c r="A8" s="2092" t="s">
        <v>6303</v>
      </c>
      <c r="B8" s="2093"/>
      <c r="C8" s="2093"/>
      <c r="D8" s="2094"/>
      <c r="E8" s="508" t="s">
        <v>7</v>
      </c>
      <c r="F8" s="2102" t="s">
        <v>8233</v>
      </c>
      <c r="G8" s="2103"/>
      <c r="H8" s="2103"/>
      <c r="I8" s="2104"/>
      <c r="J8" s="587"/>
      <c r="K8" s="587"/>
      <c r="L8" s="587"/>
      <c r="M8" s="587"/>
      <c r="N8" s="587"/>
      <c r="O8" s="587"/>
      <c r="P8" s="587"/>
      <c r="Q8" s="587"/>
      <c r="R8" s="587"/>
    </row>
    <row r="9" spans="1:36" hidden="1" x14ac:dyDescent="0.25"/>
    <row r="10" spans="1:36" ht="8.25" hidden="1" customHeight="1" x14ac:dyDescent="0.25"/>
    <row r="11" spans="1:36" ht="12" customHeight="1" x14ac:dyDescent="0.25">
      <c r="A11" s="509" t="s">
        <v>7640</v>
      </c>
    </row>
    <row r="12" spans="1:36" hidden="1" x14ac:dyDescent="0.25">
      <c r="A12" s="509"/>
    </row>
    <row r="13" spans="1:36" x14ac:dyDescent="0.25">
      <c r="A13" s="509"/>
      <c r="B13" s="10"/>
      <c r="C13" s="10"/>
      <c r="D13" s="10"/>
      <c r="E13" s="10"/>
      <c r="G13" s="38" t="s">
        <v>29</v>
      </c>
    </row>
    <row r="14" spans="1:36" x14ac:dyDescent="0.25">
      <c r="A14" s="509"/>
      <c r="B14" s="10"/>
      <c r="C14" s="10"/>
      <c r="D14" s="10"/>
      <c r="E14" s="44" t="s">
        <v>124</v>
      </c>
      <c r="F14" s="44" t="s">
        <v>89</v>
      </c>
      <c r="G14" s="44" t="s">
        <v>141</v>
      </c>
      <c r="J14" s="588"/>
      <c r="AJ14" s="447"/>
    </row>
    <row r="15" spans="1:36" x14ac:dyDescent="0.25">
      <c r="B15" s="580" t="s">
        <v>140</v>
      </c>
      <c r="C15" s="581"/>
      <c r="D15" s="579"/>
      <c r="E15" s="212">
        <f>MKK!C18</f>
        <v>0</v>
      </c>
      <c r="F15" s="212">
        <f>MKK!D18</f>
        <v>0</v>
      </c>
      <c r="G15" s="212">
        <f>MKK!E18</f>
        <v>0</v>
      </c>
      <c r="J15" s="588"/>
      <c r="AJ15" s="447"/>
    </row>
    <row r="16" spans="1:36" x14ac:dyDescent="0.25">
      <c r="B16" s="2105" t="s">
        <v>142</v>
      </c>
      <c r="C16" s="2106"/>
      <c r="D16" s="2107"/>
      <c r="E16" s="212">
        <f>MKK!C19</f>
        <v>0</v>
      </c>
      <c r="F16" s="212">
        <f>MKK!D19</f>
        <v>1000</v>
      </c>
      <c r="G16" s="212">
        <f>MKK!E19</f>
        <v>1000</v>
      </c>
      <c r="J16" s="588"/>
      <c r="AJ16" s="447"/>
    </row>
    <row r="17" spans="1:36" x14ac:dyDescent="0.25">
      <c r="B17" s="2105" t="s">
        <v>143</v>
      </c>
      <c r="C17" s="2106"/>
      <c r="D17" s="2107"/>
      <c r="E17" s="46">
        <f>SUM(E15:E16)</f>
        <v>0</v>
      </c>
      <c r="F17" s="46">
        <f>SUM(F15:F16)</f>
        <v>1000</v>
      </c>
      <c r="G17" s="46">
        <f>SUM(E17:F17)</f>
        <v>1000</v>
      </c>
      <c r="J17" s="588"/>
      <c r="AJ17" s="447"/>
    </row>
    <row r="19" spans="1:36" x14ac:dyDescent="0.25">
      <c r="A19" s="509" t="s">
        <v>7641</v>
      </c>
      <c r="B19" s="509"/>
      <c r="C19" s="509"/>
      <c r="D19" s="509"/>
    </row>
    <row r="20" spans="1:36" ht="8.25" customHeight="1" x14ac:dyDescent="0.25"/>
    <row r="21" spans="1:36" x14ac:dyDescent="0.25">
      <c r="B21" s="2047" t="s">
        <v>6304</v>
      </c>
      <c r="C21" s="2047"/>
      <c r="D21" s="524" t="s">
        <v>6305</v>
      </c>
      <c r="E21" s="2084" t="s">
        <v>4243</v>
      </c>
      <c r="F21" s="2085"/>
      <c r="G21" s="788" t="s">
        <v>4244</v>
      </c>
      <c r="H21" s="524" t="s">
        <v>267</v>
      </c>
      <c r="I21" s="658" t="s">
        <v>593</v>
      </c>
      <c r="J21" s="589"/>
      <c r="K21" s="589"/>
      <c r="L21" s="589"/>
      <c r="M21" s="589"/>
      <c r="N21" s="589"/>
      <c r="O21" s="589"/>
      <c r="P21" s="589"/>
      <c r="Q21" s="589"/>
      <c r="R21" s="589"/>
    </row>
    <row r="22" spans="1:36" x14ac:dyDescent="0.25">
      <c r="A22" s="665" t="str">
        <f>MKK!A34</f>
        <v>PRK</v>
      </c>
      <c r="B22" s="2081" t="str">
        <f>IF(MKK!A34=0,"",MKK!A34&amp;" ("&amp;MKK!B34&amp;")")</f>
        <v>PRK (Modal Kerja)</v>
      </c>
      <c r="C22" s="2081"/>
      <c r="D22" s="566">
        <f>MKK!D34</f>
        <v>0</v>
      </c>
      <c r="E22" s="2082">
        <f>IFERROR(VLOOKUP($A22,'Informasi Debitur'!$A$101:$E$107,5,0),0)</f>
        <v>1400</v>
      </c>
      <c r="F22" s="2083"/>
      <c r="G22" s="794">
        <v>1000</v>
      </c>
      <c r="H22" s="566">
        <f>D22+G22</f>
        <v>1000</v>
      </c>
      <c r="I22" s="567" t="str">
        <f>IF(B22="","",IF(D22&lt;=0,VLOOKUP($A22,MKK!$A$34:$L$40,8,0)&amp;" Tahun",IF(VLOOKUP($A22,MKK!$A$34:$L$40,9,0)=0,"",TEXT(VLOOKUP($A22,MKK!$A$34:$L$40,9,0),"dd-mmm-yyy"))&amp;" s/d "&amp;TEXT(VLOOKUP($A22,MKK!$A$34:$L$40,10,0),"dd-mmm-yyyy")))</f>
        <v>1 Tahun</v>
      </c>
      <c r="J22" s="590"/>
      <c r="K22" s="590"/>
      <c r="L22" s="590"/>
      <c r="M22" s="590"/>
      <c r="N22" s="590"/>
      <c r="O22" s="590"/>
      <c r="P22" s="590"/>
      <c r="Q22" s="590"/>
      <c r="R22" s="590"/>
      <c r="U22" s="586">
        <f>IF(B22="",0,1)</f>
        <v>1</v>
      </c>
    </row>
    <row r="23" spans="1:36" x14ac:dyDescent="0.25">
      <c r="A23" s="665">
        <f>MKK!A35</f>
        <v>0</v>
      </c>
      <c r="B23" s="2081" t="str">
        <f>IF(MKK!A35=0,"",MKK!A35&amp;" ("&amp;MKK!B35&amp;")")</f>
        <v/>
      </c>
      <c r="C23" s="2081"/>
      <c r="D23" s="566">
        <f>MKK!D35</f>
        <v>0</v>
      </c>
      <c r="E23" s="2082">
        <f>IFERROR(VLOOKUP($A23,'Informasi Debitur'!$A$101:$E$107,5,0),0)</f>
        <v>0</v>
      </c>
      <c r="F23" s="2083"/>
      <c r="G23" s="794">
        <f>MKK!E35</f>
        <v>0</v>
      </c>
      <c r="H23" s="566">
        <f t="shared" ref="H23:H28" si="0">D23+G23</f>
        <v>0</v>
      </c>
      <c r="I23" s="567" t="str">
        <f>IF(B23="","",IF(D23&lt;=0,VLOOKUP($A23,MKK!$A$34:$L$40,8,0)&amp;" Tahun",IF(VLOOKUP($A23,MKK!$A$34:$L$40,9,0)=0,"",TEXT(VLOOKUP($A23,MKK!$A$34:$L$40,9,0),"dd-mmm-yyy"))&amp;" s/d "&amp;TEXT(VLOOKUP($A23,MKK!$A$34:$L$40,10,0),"dd-mmm-yyyy")))</f>
        <v/>
      </c>
      <c r="J23" s="590"/>
      <c r="K23" s="590"/>
      <c r="L23" s="590"/>
      <c r="M23" s="590"/>
      <c r="N23" s="590"/>
      <c r="O23" s="590"/>
      <c r="P23" s="590"/>
      <c r="Q23" s="590"/>
      <c r="R23" s="590"/>
      <c r="U23" s="586">
        <f t="shared" ref="U23:U28" si="1">IF(B23="",0,1)</f>
        <v>0</v>
      </c>
    </row>
    <row r="24" spans="1:36" x14ac:dyDescent="0.25">
      <c r="A24" s="665">
        <f>MKK!A36</f>
        <v>0</v>
      </c>
      <c r="B24" s="2081" t="str">
        <f>IF(MKK!A36=0,"",MKK!A36&amp;" ("&amp;MKK!B36&amp;")")</f>
        <v/>
      </c>
      <c r="C24" s="2081"/>
      <c r="D24" s="566">
        <f>MKK!D36</f>
        <v>0</v>
      </c>
      <c r="E24" s="2082">
        <f>IFERROR(VLOOKUP($A24,'Informasi Debitur'!$A$101:$E$107,5,0),0)</f>
        <v>0</v>
      </c>
      <c r="F24" s="2083"/>
      <c r="G24" s="794">
        <f>MKK!E36</f>
        <v>0</v>
      </c>
      <c r="H24" s="566">
        <f t="shared" si="0"/>
        <v>0</v>
      </c>
      <c r="I24" s="567" t="str">
        <f>IF(B24="","",IF(D24&lt;=0,VLOOKUP($A24,MKK!$A$34:$L$40,8,0)&amp;" Tahun",IF(VLOOKUP($A24,MKK!$A$34:$L$40,9,0)=0,"",TEXT(VLOOKUP($A24,MKK!$A$34:$L$40,9,0),"dd-mmm-yyy"))&amp;" s/d "&amp;TEXT(VLOOKUP($A24,MKK!$A$34:$L$40,10,0),"dd-mmm-yyyy")))</f>
        <v/>
      </c>
      <c r="J24" s="590"/>
      <c r="K24" s="590"/>
      <c r="L24" s="590"/>
      <c r="M24" s="590"/>
      <c r="N24" s="590"/>
      <c r="O24" s="590"/>
      <c r="P24" s="590"/>
      <c r="Q24" s="590"/>
      <c r="R24" s="590"/>
      <c r="U24" s="586">
        <f t="shared" si="1"/>
        <v>0</v>
      </c>
    </row>
    <row r="25" spans="1:36" x14ac:dyDescent="0.25">
      <c r="A25" s="665">
        <f>MKK!A37</f>
        <v>0</v>
      </c>
      <c r="B25" s="2081" t="str">
        <f>IF(MKK!A37=0,"",MKK!A37&amp;" ("&amp;MKK!B37&amp;")")</f>
        <v/>
      </c>
      <c r="C25" s="2081"/>
      <c r="D25" s="566">
        <f>MKK!D37</f>
        <v>0</v>
      </c>
      <c r="E25" s="2082">
        <f>IFERROR(VLOOKUP($A25,'Informasi Debitur'!$A$101:$E$107,5,0),0)</f>
        <v>0</v>
      </c>
      <c r="F25" s="2083"/>
      <c r="G25" s="794">
        <f>MKK!E37</f>
        <v>0</v>
      </c>
      <c r="H25" s="566">
        <f t="shared" si="0"/>
        <v>0</v>
      </c>
      <c r="I25" s="567" t="str">
        <f>IF(B25="","",IF(D25&lt;=0,VLOOKUP($A25,MKK!$A$34:$L$40,8,0)&amp;" Tahun",IF(VLOOKUP($A25,MKK!$A$34:$L$40,9,0)=0,"",TEXT(VLOOKUP($A25,MKK!$A$34:$L$40,9,0),"dd-mmm-yyy"))&amp;" s/d "&amp;TEXT(VLOOKUP($A25,MKK!$A$34:$L$40,10,0),"dd-mmm-yyyy")))</f>
        <v/>
      </c>
      <c r="J25" s="590"/>
      <c r="K25" s="590"/>
      <c r="L25" s="590"/>
      <c r="M25" s="590"/>
      <c r="N25" s="590"/>
      <c r="O25" s="590"/>
      <c r="P25" s="590"/>
      <c r="Q25" s="590"/>
      <c r="R25" s="590"/>
      <c r="U25" s="586">
        <f t="shared" si="1"/>
        <v>0</v>
      </c>
      <c r="AB25" s="447" t="str">
        <f>IF(OR(LEFT(B25,2)="PR",LEFT(B25,2)="PB"),"Modal Kerja",IF(LEFT(B25,2)="PA","Investasi",""))</f>
        <v/>
      </c>
    </row>
    <row r="26" spans="1:36" hidden="1" x14ac:dyDescent="0.25">
      <c r="A26" s="665">
        <f>MKK!A38</f>
        <v>0</v>
      </c>
      <c r="B26" s="2081" t="str">
        <f>IF(MKK!A38=0,"",MKK!A38&amp;" ("&amp;MKK!B38&amp;")")</f>
        <v/>
      </c>
      <c r="C26" s="2081"/>
      <c r="D26" s="566">
        <f>MKK!D38</f>
        <v>0</v>
      </c>
      <c r="E26" s="2082">
        <f>IFERROR(VLOOKUP($A26,'Informasi Debitur'!$A$101:$E$107,5,0),0)</f>
        <v>0</v>
      </c>
      <c r="F26" s="2083"/>
      <c r="G26" s="794">
        <f>MKK!E38</f>
        <v>0</v>
      </c>
      <c r="H26" s="566">
        <f t="shared" si="0"/>
        <v>0</v>
      </c>
      <c r="I26" s="567" t="str">
        <f>IF(B26="","",IF(D26&lt;=0,VLOOKUP($A26,MKK!$A$34:$L$40,8,0)&amp;" Tahun",IF(VLOOKUP($A26,MKK!$A$34:$L$40,9,0)=0,"",TEXT(VLOOKUP($A26,MKK!$A$34:$L$40,9,0),"dd-mmm-yyy"))&amp;" s/d "&amp;TEXT(VLOOKUP($A26,MKK!$A$34:$L$40,10,0),"dd-mmm-yyyy")))</f>
        <v/>
      </c>
      <c r="J26" s="590"/>
      <c r="K26" s="590"/>
      <c r="L26" s="590"/>
      <c r="M26" s="590"/>
      <c r="N26" s="590"/>
      <c r="O26" s="590"/>
      <c r="P26" s="590"/>
      <c r="Q26" s="590"/>
      <c r="R26" s="590"/>
      <c r="U26" s="586">
        <f t="shared" si="1"/>
        <v>0</v>
      </c>
      <c r="AB26" s="447" t="str">
        <f>IF(OR(LEFT(B26,2)="PR",LEFT(B26,2)="PB"),"Modal Kerja",IF(LEFT(B26,2)="PA","Investasi",""))</f>
        <v/>
      </c>
    </row>
    <row r="27" spans="1:36" hidden="1" x14ac:dyDescent="0.25">
      <c r="A27" s="665">
        <f>MKK!A39</f>
        <v>0</v>
      </c>
      <c r="B27" s="2081" t="str">
        <f>IF(MKK!A39=0,"",MKK!A39&amp;" ("&amp;MKK!B39&amp;")")</f>
        <v/>
      </c>
      <c r="C27" s="2081"/>
      <c r="D27" s="566">
        <f>MKK!D39</f>
        <v>0</v>
      </c>
      <c r="E27" s="2082">
        <f>IFERROR(VLOOKUP($A27,'Informasi Debitur'!$A$101:$E$107,5,0),0)</f>
        <v>0</v>
      </c>
      <c r="F27" s="2083"/>
      <c r="G27" s="794">
        <f>MKK!E39</f>
        <v>0</v>
      </c>
      <c r="H27" s="566">
        <f t="shared" si="0"/>
        <v>0</v>
      </c>
      <c r="I27" s="567" t="str">
        <f>IF(B27="","",IF(D27&lt;=0,VLOOKUP($A27,MKK!$A$34:$L$40,8,0)&amp;" Tahun",IF(VLOOKUP($A27,MKK!$A$34:$L$40,9,0)=0,"",TEXT(VLOOKUP($A27,MKK!$A$34:$L$40,9,0),"dd-mmm-yyy"))&amp;" s/d "&amp;TEXT(VLOOKUP($A27,MKK!$A$34:$L$40,10,0),"dd-mmm-yyyy")))</f>
        <v/>
      </c>
      <c r="J27" s="590"/>
      <c r="K27" s="590"/>
      <c r="L27" s="590"/>
      <c r="M27" s="590"/>
      <c r="N27" s="590"/>
      <c r="O27" s="590"/>
      <c r="P27" s="590"/>
      <c r="Q27" s="590"/>
      <c r="R27" s="590"/>
      <c r="U27" s="586">
        <f t="shared" si="1"/>
        <v>0</v>
      </c>
      <c r="AB27" s="447" t="str">
        <f>IF(OR(LEFT(B27,2)="PR",LEFT(B27,2)="PB"),"Modal Kerja",IF(LEFT(B27,2)="PA","Investasi",""))</f>
        <v/>
      </c>
    </row>
    <row r="28" spans="1:36" hidden="1" x14ac:dyDescent="0.25">
      <c r="A28" s="665">
        <f>MKK!A40</f>
        <v>0</v>
      </c>
      <c r="B28" s="2081" t="str">
        <f>IF(MKK!A40=0,"",MKK!A40&amp;" ("&amp;MKK!B40&amp;")")</f>
        <v/>
      </c>
      <c r="C28" s="2081"/>
      <c r="D28" s="566">
        <f>MKK!D40</f>
        <v>0</v>
      </c>
      <c r="E28" s="2082">
        <f>IFERROR(VLOOKUP($A28,'Informasi Debitur'!$A$101:$E$107,5,0),0)</f>
        <v>0</v>
      </c>
      <c r="F28" s="2083"/>
      <c r="G28" s="794">
        <f>MKK!E40</f>
        <v>0</v>
      </c>
      <c r="H28" s="566">
        <f t="shared" si="0"/>
        <v>0</v>
      </c>
      <c r="I28" s="567" t="str">
        <f>IF(B28="","",IF(D28&lt;=0,VLOOKUP($A28,MKK!$A$34:$L$40,8,0)&amp;" Tahun",IF(VLOOKUP($A28,MKK!$A$34:$L$40,9,0)=0,"",TEXT(VLOOKUP($A28,MKK!$A$34:$L$40,9,0),"dd-mmm-yyy"))&amp;" s/d "&amp;TEXT(VLOOKUP($A28,MKK!$A$34:$L$40,10,0),"dd-mmm-yyyy")))</f>
        <v/>
      </c>
      <c r="J28" s="590"/>
      <c r="K28" s="590"/>
      <c r="L28" s="590"/>
      <c r="M28" s="590"/>
      <c r="N28" s="590"/>
      <c r="O28" s="590"/>
      <c r="P28" s="590"/>
      <c r="Q28" s="590"/>
      <c r="R28" s="590"/>
      <c r="U28" s="586">
        <f t="shared" si="1"/>
        <v>0</v>
      </c>
      <c r="AA28" s="785" t="s">
        <v>7677</v>
      </c>
      <c r="AB28" s="447" t="str">
        <f>IF(OR(LEFT(B28,2)="PR",LEFT(B28,2)="PB"),"Modal Kerja",IF(LEFT(B28,2)="PA","Investasi",""))</f>
        <v/>
      </c>
    </row>
    <row r="29" spans="1:36" x14ac:dyDescent="0.25">
      <c r="B29" s="2086" t="s">
        <v>267</v>
      </c>
      <c r="C29" s="2086"/>
      <c r="D29" s="574">
        <f>SUM(D22:D28)</f>
        <v>0</v>
      </c>
      <c r="E29" s="2087">
        <f>SUM(E22:E28)</f>
        <v>1400</v>
      </c>
      <c r="F29" s="2087">
        <f>SUM(F22:F28)</f>
        <v>0</v>
      </c>
      <c r="G29" s="574">
        <f>SUM(G22:G28)</f>
        <v>1000</v>
      </c>
      <c r="H29" s="574">
        <f>SUM(H22:H28)</f>
        <v>1000</v>
      </c>
      <c r="I29" s="575"/>
      <c r="J29" s="590"/>
      <c r="K29" s="590"/>
      <c r="L29" s="590"/>
      <c r="M29" s="590"/>
      <c r="N29" s="590"/>
      <c r="O29" s="590"/>
      <c r="P29" s="590"/>
      <c r="Q29" s="590"/>
      <c r="R29" s="590"/>
      <c r="AA29" s="786"/>
    </row>
    <row r="30" spans="1:36" ht="3" customHeight="1" x14ac:dyDescent="0.25">
      <c r="A30" s="447"/>
      <c r="U30" s="586">
        <f>SUM(U22:U28)</f>
        <v>1</v>
      </c>
      <c r="V30" s="586">
        <f>COUNTA('Informasi Debitur'!A101:A107)</f>
        <v>1</v>
      </c>
      <c r="AA30" s="649" t="s">
        <v>7676</v>
      </c>
    </row>
    <row r="31" spans="1:36" hidden="1" x14ac:dyDescent="0.25">
      <c r="A31" s="447"/>
      <c r="B31" s="446" t="s">
        <v>4216</v>
      </c>
      <c r="D31" s="446" t="str">
        <f>":  "&amp; MKK!B50</f>
        <v xml:space="preserve">:  </v>
      </c>
      <c r="AA31" s="649" t="s">
        <v>7674</v>
      </c>
    </row>
    <row r="32" spans="1:36" ht="3.75" hidden="1" customHeight="1" x14ac:dyDescent="0.25">
      <c r="A32" s="447"/>
      <c r="B32" s="446" t="s">
        <v>7648</v>
      </c>
      <c r="D32" s="446" t="str">
        <f>":  "&amp;MKK!B51</f>
        <v xml:space="preserve">:  </v>
      </c>
      <c r="AA32" s="649" t="s">
        <v>7674</v>
      </c>
    </row>
    <row r="33" spans="1:27" hidden="1" x14ac:dyDescent="0.25">
      <c r="A33" s="446" t="s">
        <v>7647</v>
      </c>
      <c r="B33" s="2047" t="s">
        <v>6304</v>
      </c>
      <c r="C33" s="2047"/>
      <c r="D33" s="582" t="s">
        <v>6305</v>
      </c>
      <c r="E33" s="2084" t="s">
        <v>4243</v>
      </c>
      <c r="F33" s="2085"/>
      <c r="G33" s="788" t="s">
        <v>4244</v>
      </c>
      <c r="H33" s="582" t="s">
        <v>267</v>
      </c>
      <c r="I33" s="582" t="s">
        <v>6306</v>
      </c>
      <c r="J33" s="589"/>
      <c r="K33" s="589"/>
      <c r="L33" s="589"/>
      <c r="M33" s="589"/>
      <c r="N33" s="589"/>
      <c r="O33" s="589"/>
      <c r="P33" s="589"/>
      <c r="Q33" s="589"/>
      <c r="R33" s="589"/>
      <c r="AA33" s="649" t="s">
        <v>7674</v>
      </c>
    </row>
    <row r="34" spans="1:27" hidden="1" x14ac:dyDescent="0.25">
      <c r="B34" s="2081" t="str">
        <f>IF(ISBLANK(MKK!A55)=TRUE,"",MKK!A55)</f>
        <v/>
      </c>
      <c r="C34" s="2081"/>
      <c r="D34" s="566">
        <f>MKK!D55</f>
        <v>0</v>
      </c>
      <c r="E34" s="2089"/>
      <c r="F34" s="2090"/>
      <c r="G34" s="566">
        <f>MKK!E55</f>
        <v>0</v>
      </c>
      <c r="H34" s="566">
        <f>D34+G34</f>
        <v>0</v>
      </c>
      <c r="I34" s="567" t="str">
        <f>IF(B34="","","JW "&amp;MKK!H55&amp;" Tahun")</f>
        <v/>
      </c>
      <c r="J34" s="590"/>
      <c r="K34" s="590"/>
      <c r="L34" s="590"/>
      <c r="M34" s="590"/>
      <c r="N34" s="590"/>
      <c r="O34" s="590"/>
      <c r="P34" s="590"/>
      <c r="Q34" s="590"/>
      <c r="R34" s="590"/>
      <c r="U34" s="586">
        <f>IF(B34="",0,1)</f>
        <v>0</v>
      </c>
      <c r="AA34" s="649" t="s">
        <v>7674</v>
      </c>
    </row>
    <row r="35" spans="1:27" hidden="1" x14ac:dyDescent="0.25">
      <c r="B35" s="2081" t="str">
        <f>IF(ISBLANK(MKK!A56)=TRUE,"",MKK!A56)</f>
        <v/>
      </c>
      <c r="C35" s="2081"/>
      <c r="D35" s="566">
        <f>MKK!D56</f>
        <v>0</v>
      </c>
      <c r="E35" s="2089"/>
      <c r="F35" s="2090"/>
      <c r="G35" s="566">
        <f>MKK!E56</f>
        <v>0</v>
      </c>
      <c r="H35" s="566">
        <f t="shared" ref="H35:H40" si="2">D35+G35</f>
        <v>0</v>
      </c>
      <c r="I35" s="567" t="str">
        <f>IF(B35="","","JW "&amp;MKK!H56&amp;" Tahun")</f>
        <v/>
      </c>
      <c r="J35" s="590"/>
      <c r="K35" s="590"/>
      <c r="L35" s="590"/>
      <c r="M35" s="590"/>
      <c r="N35" s="590"/>
      <c r="O35" s="590"/>
      <c r="P35" s="590"/>
      <c r="Q35" s="590"/>
      <c r="R35" s="590"/>
      <c r="U35" s="586">
        <f t="shared" ref="U35:U40" si="3">IF(B35="",0,1)</f>
        <v>0</v>
      </c>
      <c r="AA35" s="649" t="s">
        <v>7674</v>
      </c>
    </row>
    <row r="36" spans="1:27" hidden="1" x14ac:dyDescent="0.25">
      <c r="B36" s="2081" t="str">
        <f>IF(ISBLANK(MKK!A57)=TRUE,"",MKK!A57)</f>
        <v/>
      </c>
      <c r="C36" s="2081"/>
      <c r="D36" s="566">
        <f>MKK!D57</f>
        <v>0</v>
      </c>
      <c r="E36" s="2089"/>
      <c r="F36" s="2090"/>
      <c r="G36" s="566">
        <f>MKK!E57</f>
        <v>0</v>
      </c>
      <c r="H36" s="566">
        <f t="shared" si="2"/>
        <v>0</v>
      </c>
      <c r="I36" s="567" t="str">
        <f>IF(B36="","","JW "&amp;MKK!H57&amp;" Tahun")</f>
        <v/>
      </c>
      <c r="J36" s="590"/>
      <c r="K36" s="590"/>
      <c r="L36" s="590"/>
      <c r="M36" s="590"/>
      <c r="N36" s="590"/>
      <c r="O36" s="590"/>
      <c r="P36" s="590"/>
      <c r="Q36" s="590"/>
      <c r="R36" s="590"/>
      <c r="U36" s="586">
        <f t="shared" si="3"/>
        <v>0</v>
      </c>
      <c r="AA36" s="649" t="s">
        <v>7674</v>
      </c>
    </row>
    <row r="37" spans="1:27" hidden="1" x14ac:dyDescent="0.25">
      <c r="B37" s="2081" t="str">
        <f>IF(ISBLANK(MKK!A58)=TRUE,"",MKK!A58)</f>
        <v/>
      </c>
      <c r="C37" s="2081"/>
      <c r="D37" s="566">
        <f>MKK!D58</f>
        <v>0</v>
      </c>
      <c r="E37" s="2089"/>
      <c r="F37" s="2090"/>
      <c r="G37" s="566">
        <f>MKK!E58</f>
        <v>0</v>
      </c>
      <c r="H37" s="566">
        <f t="shared" si="2"/>
        <v>0</v>
      </c>
      <c r="I37" s="567" t="str">
        <f>IF(B37="","","JW "&amp;MKK!H58&amp;" Tahun")</f>
        <v/>
      </c>
      <c r="J37" s="590"/>
      <c r="K37" s="590"/>
      <c r="L37" s="590"/>
      <c r="M37" s="590"/>
      <c r="N37" s="590"/>
      <c r="O37" s="590"/>
      <c r="P37" s="590"/>
      <c r="Q37" s="590"/>
      <c r="R37" s="590"/>
      <c r="U37" s="586">
        <f t="shared" si="3"/>
        <v>0</v>
      </c>
      <c r="AA37" s="649" t="s">
        <v>7674</v>
      </c>
    </row>
    <row r="38" spans="1:27" hidden="1" x14ac:dyDescent="0.25">
      <c r="B38" s="2081" t="str">
        <f>IF(ISBLANK(MKK!A59)=TRUE,"",MKK!A59)</f>
        <v/>
      </c>
      <c r="C38" s="2081"/>
      <c r="D38" s="566">
        <f>MKK!D59</f>
        <v>0</v>
      </c>
      <c r="E38" s="2089"/>
      <c r="F38" s="2090"/>
      <c r="G38" s="566">
        <f>MKK!E59</f>
        <v>0</v>
      </c>
      <c r="H38" s="566">
        <f t="shared" si="2"/>
        <v>0</v>
      </c>
      <c r="I38" s="567" t="str">
        <f>IF(B38="","","JW "&amp;MKK!H59&amp;" Tahun")</f>
        <v/>
      </c>
      <c r="J38" s="590"/>
      <c r="K38" s="590"/>
      <c r="L38" s="590"/>
      <c r="M38" s="590"/>
      <c r="N38" s="590"/>
      <c r="O38" s="590"/>
      <c r="P38" s="590"/>
      <c r="Q38" s="590"/>
      <c r="R38" s="590"/>
      <c r="U38" s="586">
        <f t="shared" si="3"/>
        <v>0</v>
      </c>
      <c r="AA38" s="649" t="s">
        <v>7674</v>
      </c>
    </row>
    <row r="39" spans="1:27" hidden="1" x14ac:dyDescent="0.25">
      <c r="B39" s="2081" t="str">
        <f>IF(ISBLANK(MKK!A60)=TRUE,"",MKK!A60)</f>
        <v/>
      </c>
      <c r="C39" s="2081"/>
      <c r="D39" s="566">
        <f>MKK!D60</f>
        <v>0</v>
      </c>
      <c r="E39" s="2089"/>
      <c r="F39" s="2090"/>
      <c r="G39" s="566">
        <f>MKK!E60</f>
        <v>0</v>
      </c>
      <c r="H39" s="566">
        <f t="shared" si="2"/>
        <v>0</v>
      </c>
      <c r="I39" s="567" t="str">
        <f>IF(B39="","","JW "&amp;MKK!H60&amp;" Tahun")</f>
        <v/>
      </c>
      <c r="J39" s="590"/>
      <c r="K39" s="590"/>
      <c r="L39" s="590"/>
      <c r="M39" s="590"/>
      <c r="N39" s="590"/>
      <c r="O39" s="590"/>
      <c r="P39" s="590"/>
      <c r="Q39" s="590"/>
      <c r="R39" s="590"/>
      <c r="U39" s="586">
        <f t="shared" si="3"/>
        <v>0</v>
      </c>
      <c r="AA39" s="649" t="s">
        <v>7674</v>
      </c>
    </row>
    <row r="40" spans="1:27" hidden="1" x14ac:dyDescent="0.25">
      <c r="B40" s="2081" t="str">
        <f>IF(ISBLANK(MKK!A61)=TRUE,"",MKK!A61)</f>
        <v/>
      </c>
      <c r="C40" s="2081"/>
      <c r="D40" s="566">
        <f>MKK!D61</f>
        <v>0</v>
      </c>
      <c r="E40" s="2089"/>
      <c r="F40" s="2090"/>
      <c r="G40" s="566">
        <f>MKK!E61</f>
        <v>0</v>
      </c>
      <c r="H40" s="566">
        <f t="shared" si="2"/>
        <v>0</v>
      </c>
      <c r="I40" s="567" t="str">
        <f>IF(B40="","","JW "&amp;MKK!H61&amp;" Tahun")</f>
        <v/>
      </c>
      <c r="J40" s="590"/>
      <c r="K40" s="590"/>
      <c r="L40" s="590"/>
      <c r="M40" s="590"/>
      <c r="N40" s="590"/>
      <c r="O40" s="590"/>
      <c r="P40" s="590"/>
      <c r="Q40" s="590"/>
      <c r="R40" s="590"/>
      <c r="U40" s="586">
        <f t="shared" si="3"/>
        <v>0</v>
      </c>
      <c r="AA40" s="649" t="s">
        <v>7674</v>
      </c>
    </row>
    <row r="41" spans="1:27" hidden="1" x14ac:dyDescent="0.25">
      <c r="B41" s="2086" t="s">
        <v>267</v>
      </c>
      <c r="C41" s="2086"/>
      <c r="D41" s="574">
        <f>SUM(D34:D40)</f>
        <v>0</v>
      </c>
      <c r="E41" s="2136">
        <f>SUM(E34:E40)</f>
        <v>0</v>
      </c>
      <c r="F41" s="2136">
        <f>SUM(F34:F40)</f>
        <v>0</v>
      </c>
      <c r="G41" s="574">
        <f>SUM(G34:G40)</f>
        <v>0</v>
      </c>
      <c r="H41" s="574">
        <f>SUM(H34:H40)</f>
        <v>0</v>
      </c>
      <c r="I41" s="575"/>
      <c r="J41" s="590"/>
      <c r="K41" s="590"/>
      <c r="L41" s="590"/>
      <c r="M41" s="590"/>
      <c r="N41" s="590"/>
      <c r="O41" s="590"/>
      <c r="P41" s="590"/>
      <c r="Q41" s="590"/>
      <c r="R41" s="590"/>
      <c r="AA41" s="649" t="s">
        <v>7674</v>
      </c>
    </row>
    <row r="42" spans="1:27" hidden="1" x14ac:dyDescent="0.25">
      <c r="A42" s="447"/>
      <c r="U42" s="586">
        <f>SUM(U34:U40)</f>
        <v>0</v>
      </c>
      <c r="AA42" s="649" t="s">
        <v>7674</v>
      </c>
    </row>
    <row r="43" spans="1:27" hidden="1" x14ac:dyDescent="0.25">
      <c r="A43" s="447"/>
      <c r="B43" s="446" t="s">
        <v>4217</v>
      </c>
      <c r="D43" s="446" t="str">
        <f>":  "&amp; MKK!B71</f>
        <v xml:space="preserve">:  </v>
      </c>
      <c r="AA43" s="649" t="s">
        <v>7675</v>
      </c>
    </row>
    <row r="44" spans="1:27" hidden="1" x14ac:dyDescent="0.25">
      <c r="A44" s="447"/>
      <c r="B44" s="446" t="s">
        <v>7648</v>
      </c>
      <c r="D44" s="446" t="str">
        <f>":  "&amp; MKK!B72</f>
        <v xml:space="preserve">:  </v>
      </c>
      <c r="AA44" s="649" t="s">
        <v>7675</v>
      </c>
    </row>
    <row r="45" spans="1:27" hidden="1" x14ac:dyDescent="0.25">
      <c r="B45" s="2047" t="s">
        <v>6304</v>
      </c>
      <c r="C45" s="2047"/>
      <c r="D45" s="582" t="s">
        <v>6305</v>
      </c>
      <c r="E45" s="2084" t="s">
        <v>4243</v>
      </c>
      <c r="F45" s="2085"/>
      <c r="G45" s="788" t="s">
        <v>4244</v>
      </c>
      <c r="H45" s="582" t="s">
        <v>267</v>
      </c>
      <c r="I45" s="582" t="s">
        <v>6306</v>
      </c>
      <c r="J45" s="589"/>
      <c r="K45" s="589"/>
      <c r="L45" s="589"/>
      <c r="M45" s="589"/>
      <c r="N45" s="589"/>
      <c r="O45" s="589"/>
      <c r="P45" s="589"/>
      <c r="Q45" s="589"/>
      <c r="R45" s="589"/>
      <c r="AA45" s="649" t="s">
        <v>7675</v>
      </c>
    </row>
    <row r="46" spans="1:27" hidden="1" x14ac:dyDescent="0.25">
      <c r="B46" s="2081" t="str">
        <f>IF(ISBLANK(MKK!A76)=TRUE,"",MKK!A76)</f>
        <v/>
      </c>
      <c r="C46" s="2081"/>
      <c r="D46" s="566">
        <f>MKK!D76</f>
        <v>0</v>
      </c>
      <c r="E46" s="2089"/>
      <c r="F46" s="2090"/>
      <c r="G46" s="566">
        <f>MKK!E76</f>
        <v>0</v>
      </c>
      <c r="H46" s="566">
        <f>D46+G46</f>
        <v>0</v>
      </c>
      <c r="I46" s="567" t="str">
        <f>IF(B46="","","JW "&amp;MKK!H76&amp;" Tahun")</f>
        <v/>
      </c>
      <c r="J46" s="590"/>
      <c r="K46" s="590"/>
      <c r="L46" s="590"/>
      <c r="M46" s="590"/>
      <c r="N46" s="590"/>
      <c r="O46" s="590"/>
      <c r="P46" s="590"/>
      <c r="Q46" s="590"/>
      <c r="R46" s="590"/>
      <c r="U46" s="586">
        <f>IF(B46="",0,1)</f>
        <v>0</v>
      </c>
      <c r="AA46" s="649" t="s">
        <v>7675</v>
      </c>
    </row>
    <row r="47" spans="1:27" hidden="1" x14ac:dyDescent="0.25">
      <c r="B47" s="2081" t="str">
        <f>IF(ISBLANK(MKK!A77)=TRUE,"",MKK!A77)</f>
        <v/>
      </c>
      <c r="C47" s="2081"/>
      <c r="D47" s="566">
        <f>MKK!D77</f>
        <v>0</v>
      </c>
      <c r="E47" s="2089"/>
      <c r="F47" s="2090"/>
      <c r="G47" s="566">
        <f>MKK!E77</f>
        <v>0</v>
      </c>
      <c r="H47" s="566">
        <f t="shared" ref="H47:H52" si="4">D47+G47</f>
        <v>0</v>
      </c>
      <c r="I47" s="567" t="str">
        <f>IF(B47="","","JW "&amp;MKK!H77&amp;" Tahun")</f>
        <v/>
      </c>
      <c r="J47" s="590"/>
      <c r="K47" s="590"/>
      <c r="L47" s="590"/>
      <c r="M47" s="590"/>
      <c r="N47" s="590"/>
      <c r="O47" s="590"/>
      <c r="P47" s="590"/>
      <c r="Q47" s="590"/>
      <c r="R47" s="590"/>
      <c r="U47" s="586">
        <f t="shared" ref="U47:U52" si="5">IF(B47="",0,1)</f>
        <v>0</v>
      </c>
      <c r="AA47" s="649" t="s">
        <v>7675</v>
      </c>
    </row>
    <row r="48" spans="1:27" hidden="1" x14ac:dyDescent="0.25">
      <c r="B48" s="2081" t="str">
        <f>IF(ISBLANK(MKK!A78)=TRUE,"",MKK!A78)</f>
        <v/>
      </c>
      <c r="C48" s="2081"/>
      <c r="D48" s="566">
        <f>MKK!D78</f>
        <v>0</v>
      </c>
      <c r="E48" s="2089"/>
      <c r="F48" s="2090"/>
      <c r="G48" s="566">
        <f>MKK!E78</f>
        <v>0</v>
      </c>
      <c r="H48" s="566">
        <f t="shared" si="4"/>
        <v>0</v>
      </c>
      <c r="I48" s="567" t="str">
        <f>IF(B48="","","JW "&amp;MKK!H78&amp;" Tahun")</f>
        <v/>
      </c>
      <c r="J48" s="590"/>
      <c r="K48" s="590"/>
      <c r="L48" s="590"/>
      <c r="M48" s="590"/>
      <c r="N48" s="590"/>
      <c r="O48" s="590"/>
      <c r="P48" s="590"/>
      <c r="Q48" s="590"/>
      <c r="R48" s="590"/>
      <c r="U48" s="586">
        <f t="shared" si="5"/>
        <v>0</v>
      </c>
      <c r="AA48" s="649" t="s">
        <v>7675</v>
      </c>
    </row>
    <row r="49" spans="1:27" hidden="1" x14ac:dyDescent="0.25">
      <c r="B49" s="2081" t="str">
        <f>IF(ISBLANK(MKK!A79)=TRUE,"",MKK!A79)</f>
        <v/>
      </c>
      <c r="C49" s="2081"/>
      <c r="D49" s="566">
        <f>MKK!D79</f>
        <v>0</v>
      </c>
      <c r="E49" s="2089"/>
      <c r="F49" s="2090"/>
      <c r="G49" s="566">
        <f>MKK!E79</f>
        <v>0</v>
      </c>
      <c r="H49" s="566">
        <f t="shared" si="4"/>
        <v>0</v>
      </c>
      <c r="I49" s="567" t="str">
        <f>IF(B49="","","JW "&amp;MKK!H79&amp;" Tahun")</f>
        <v/>
      </c>
      <c r="J49" s="590"/>
      <c r="K49" s="590"/>
      <c r="L49" s="590"/>
      <c r="M49" s="590"/>
      <c r="N49" s="590"/>
      <c r="O49" s="590"/>
      <c r="P49" s="590"/>
      <c r="Q49" s="590"/>
      <c r="R49" s="590"/>
      <c r="U49" s="586">
        <f t="shared" si="5"/>
        <v>0</v>
      </c>
      <c r="AA49" s="649" t="s">
        <v>7675</v>
      </c>
    </row>
    <row r="50" spans="1:27" hidden="1" x14ac:dyDescent="0.25">
      <c r="B50" s="2081" t="str">
        <f>IF(ISBLANK(MKK!A80)=TRUE,"",MKK!A80)</f>
        <v/>
      </c>
      <c r="C50" s="2081"/>
      <c r="D50" s="566">
        <f>MKK!D80</f>
        <v>0</v>
      </c>
      <c r="E50" s="2089"/>
      <c r="F50" s="2090"/>
      <c r="G50" s="566">
        <f>MKK!E80</f>
        <v>0</v>
      </c>
      <c r="H50" s="566">
        <f t="shared" si="4"/>
        <v>0</v>
      </c>
      <c r="I50" s="567" t="str">
        <f>IF(B50="","","JW "&amp;MKK!H80&amp;" Tahun")</f>
        <v/>
      </c>
      <c r="J50" s="590"/>
      <c r="K50" s="590"/>
      <c r="L50" s="590"/>
      <c r="M50" s="590"/>
      <c r="N50" s="590"/>
      <c r="O50" s="590"/>
      <c r="P50" s="590"/>
      <c r="Q50" s="590"/>
      <c r="R50" s="590"/>
      <c r="U50" s="586">
        <f t="shared" si="5"/>
        <v>0</v>
      </c>
      <c r="AA50" s="649" t="s">
        <v>7675</v>
      </c>
    </row>
    <row r="51" spans="1:27" hidden="1" x14ac:dyDescent="0.25">
      <c r="B51" s="2081" t="str">
        <f>IF(ISBLANK(MKK!A81)=TRUE,"",MKK!A81)</f>
        <v/>
      </c>
      <c r="C51" s="2081"/>
      <c r="D51" s="566">
        <f>MKK!D81</f>
        <v>0</v>
      </c>
      <c r="E51" s="2089"/>
      <c r="F51" s="2090"/>
      <c r="G51" s="566">
        <f>MKK!E81</f>
        <v>0</v>
      </c>
      <c r="H51" s="566">
        <f t="shared" si="4"/>
        <v>0</v>
      </c>
      <c r="I51" s="567" t="str">
        <f>IF(B51="","","JW "&amp;MKK!H81&amp;" Tahun")</f>
        <v/>
      </c>
      <c r="J51" s="590"/>
      <c r="K51" s="590"/>
      <c r="L51" s="590"/>
      <c r="M51" s="590"/>
      <c r="N51" s="590"/>
      <c r="O51" s="590"/>
      <c r="P51" s="590"/>
      <c r="Q51" s="590"/>
      <c r="R51" s="590"/>
      <c r="U51" s="586">
        <f t="shared" si="5"/>
        <v>0</v>
      </c>
      <c r="AA51" s="649" t="s">
        <v>7675</v>
      </c>
    </row>
    <row r="52" spans="1:27" hidden="1" x14ac:dyDescent="0.25">
      <c r="B52" s="2081" t="str">
        <f>IF(ISBLANK(MKK!A82)=TRUE,"",MKK!A82)</f>
        <v/>
      </c>
      <c r="C52" s="2081"/>
      <c r="D52" s="566">
        <f>MKK!D82</f>
        <v>0</v>
      </c>
      <c r="E52" s="2089"/>
      <c r="F52" s="2090"/>
      <c r="G52" s="566">
        <f>MKK!E82</f>
        <v>0</v>
      </c>
      <c r="H52" s="566">
        <f t="shared" si="4"/>
        <v>0</v>
      </c>
      <c r="I52" s="567" t="str">
        <f>IF(B52="","","JW "&amp;MKK!H82&amp;" Tahun")</f>
        <v/>
      </c>
      <c r="J52" s="590"/>
      <c r="K52" s="590"/>
      <c r="L52" s="590"/>
      <c r="M52" s="590"/>
      <c r="N52" s="590"/>
      <c r="O52" s="590"/>
      <c r="P52" s="590"/>
      <c r="Q52" s="590"/>
      <c r="R52" s="590"/>
      <c r="U52" s="586">
        <f t="shared" si="5"/>
        <v>0</v>
      </c>
      <c r="AA52" s="649" t="s">
        <v>7675</v>
      </c>
    </row>
    <row r="53" spans="1:27" hidden="1" x14ac:dyDescent="0.25">
      <c r="B53" s="2086" t="s">
        <v>267</v>
      </c>
      <c r="C53" s="2086"/>
      <c r="D53" s="574">
        <f>SUM(D46:D52)</f>
        <v>0</v>
      </c>
      <c r="E53" s="2136">
        <f>SUM(E46:E52)</f>
        <v>0</v>
      </c>
      <c r="F53" s="2136">
        <f>SUM(F46:F52)</f>
        <v>0</v>
      </c>
      <c r="G53" s="574">
        <f>SUM(G46:G52)</f>
        <v>0</v>
      </c>
      <c r="H53" s="574">
        <f>SUM(H46:H52)</f>
        <v>0</v>
      </c>
      <c r="I53" s="575"/>
      <c r="J53" s="590"/>
      <c r="K53" s="590"/>
      <c r="L53" s="590"/>
      <c r="M53" s="590"/>
      <c r="N53" s="590"/>
      <c r="O53" s="590"/>
      <c r="P53" s="590"/>
      <c r="Q53" s="590"/>
      <c r="R53" s="590"/>
      <c r="AA53" s="649" t="s">
        <v>7675</v>
      </c>
    </row>
    <row r="54" spans="1:27" hidden="1" x14ac:dyDescent="0.25">
      <c r="A54" s="447"/>
      <c r="U54" s="586">
        <f>SUM(U46:U52)</f>
        <v>0</v>
      </c>
      <c r="AA54" s="649" t="s">
        <v>7675</v>
      </c>
    </row>
    <row r="55" spans="1:27" hidden="1" x14ac:dyDescent="0.25">
      <c r="A55" s="447"/>
    </row>
    <row r="56" spans="1:27" x14ac:dyDescent="0.25">
      <c r="B56" s="446" t="s">
        <v>6307</v>
      </c>
    </row>
    <row r="57" spans="1:27" ht="105.75" customHeight="1" x14ac:dyDescent="0.25">
      <c r="B57" s="2088" t="s">
        <v>8214</v>
      </c>
      <c r="C57" s="2088"/>
      <c r="D57" s="2088"/>
      <c r="E57" s="2088"/>
      <c r="F57" s="2088"/>
      <c r="G57" s="2088"/>
      <c r="H57" s="2088"/>
      <c r="I57" s="2088"/>
      <c r="J57" s="591"/>
      <c r="K57" s="2080"/>
      <c r="L57" s="2080"/>
      <c r="M57" s="2080"/>
      <c r="N57" s="2080"/>
      <c r="O57" s="2080"/>
      <c r="P57" s="2080"/>
      <c r="Q57" s="2080"/>
      <c r="R57" s="2080"/>
      <c r="V57" s="592" t="str">
        <f>'Informasi Debitur'!A12&amp;" "&amp;'Informasi Debitur'!A13&amp;" "&amp;'Informasi Debitur'!A14&amp;" "&amp;'Informasi Debitur'!A15&amp;" "&amp;'Informasi Debitur'!A16</f>
        <v xml:space="preserve">Pengajuan Fasilitas Kredit :
- Modal Kerja PRK Rp 1.400.000.000,- yang akan digunakan untuk modal kerja terutama untuk membiayai piutang usaha dan inventory dengan jangka waktu 12 bulan.  
 Dengan adanya modal yang diberikan BTPN calon debitur lebih mudah untuk mengatur operasional usaha, karena harga besi plat yang cenderung turun naik dipengaruhi kebijakkan luar negeri.
 - Jaminan merupakan jaminan fasilitas exist Bank Panin KPR dengan OS Rp 384.80 jt yang akan dilakukan pelunasan sendiri terlebih dahulu sebelum dilakukkannya pengikatan kredit.  </v>
      </c>
    </row>
    <row r="58" spans="1:27" x14ac:dyDescent="0.25">
      <c r="U58" s="593"/>
    </row>
    <row r="59" spans="1:27" ht="14.25" customHeight="1" x14ac:dyDescent="0.25">
      <c r="A59" s="509" t="s">
        <v>7642</v>
      </c>
    </row>
    <row r="60" spans="1:27" ht="12.75" customHeight="1" x14ac:dyDescent="0.25">
      <c r="A60" s="509"/>
    </row>
    <row r="61" spans="1:27" x14ac:dyDescent="0.25">
      <c r="B61" s="446" t="s">
        <v>6308</v>
      </c>
    </row>
    <row r="63" spans="1:27" x14ac:dyDescent="0.25">
      <c r="B63" s="2084" t="s">
        <v>6309</v>
      </c>
      <c r="C63" s="2109"/>
      <c r="D63" s="2085"/>
      <c r="E63" s="2084" t="s">
        <v>6310</v>
      </c>
      <c r="F63" s="2109"/>
      <c r="G63" s="2109"/>
      <c r="H63" s="2109"/>
      <c r="I63" s="2085"/>
      <c r="J63" s="589"/>
      <c r="K63" s="589"/>
      <c r="L63" s="589"/>
      <c r="M63" s="589"/>
      <c r="N63" s="589"/>
      <c r="O63" s="589"/>
      <c r="P63" s="589"/>
      <c r="Q63" s="589"/>
      <c r="R63" s="589"/>
    </row>
    <row r="64" spans="1:27" x14ac:dyDescent="0.25">
      <c r="B64" s="2110"/>
      <c r="C64" s="2111"/>
      <c r="D64" s="2112"/>
      <c r="E64" s="2122"/>
      <c r="F64" s="2123"/>
      <c r="G64" s="2123"/>
      <c r="H64" s="2123"/>
      <c r="I64" s="2124"/>
      <c r="J64" s="590"/>
      <c r="K64" s="590"/>
      <c r="L64" s="590"/>
      <c r="M64" s="590"/>
      <c r="N64" s="590"/>
      <c r="O64" s="590"/>
      <c r="P64" s="590"/>
      <c r="Q64" s="590"/>
      <c r="R64" s="590"/>
      <c r="U64" s="586">
        <f>IF(AND(B64="",E64=""),0,1)</f>
        <v>0</v>
      </c>
      <c r="Y64" s="592">
        <f>F64</f>
        <v>0</v>
      </c>
    </row>
    <row r="65" spans="1:27" x14ac:dyDescent="0.25">
      <c r="B65" s="2113" t="s">
        <v>323</v>
      </c>
      <c r="C65" s="2114"/>
      <c r="D65" s="2115"/>
      <c r="E65" s="2125" t="s">
        <v>323</v>
      </c>
      <c r="F65" s="2126"/>
      <c r="G65" s="2126"/>
      <c r="H65" s="2126"/>
      <c r="I65" s="2127"/>
      <c r="J65" s="594"/>
      <c r="K65" s="594"/>
      <c r="L65" s="594"/>
      <c r="M65" s="594"/>
      <c r="N65" s="594"/>
      <c r="O65" s="594"/>
      <c r="P65" s="594"/>
      <c r="Q65" s="594"/>
      <c r="R65" s="594"/>
      <c r="U65" s="586">
        <f>IF(AND(B65="",E65=""),0,1)</f>
        <v>1</v>
      </c>
      <c r="Y65" s="592">
        <f>F65</f>
        <v>0</v>
      </c>
    </row>
    <row r="66" spans="1:27" hidden="1" x14ac:dyDescent="0.25">
      <c r="B66" s="2116"/>
      <c r="C66" s="2117"/>
      <c r="D66" s="2118"/>
      <c r="E66" s="2128"/>
      <c r="F66" s="2129"/>
      <c r="G66" s="2129"/>
      <c r="H66" s="2129"/>
      <c r="I66" s="2130"/>
      <c r="J66" s="594"/>
      <c r="K66" s="594"/>
      <c r="L66" s="594"/>
      <c r="M66" s="594"/>
      <c r="N66" s="594"/>
      <c r="O66" s="594"/>
      <c r="P66" s="594"/>
      <c r="Q66" s="594"/>
      <c r="R66" s="594"/>
      <c r="U66" s="586">
        <f>IF(AND(B66="",E66=""),0,1)</f>
        <v>0</v>
      </c>
      <c r="Y66" s="592">
        <f>F66</f>
        <v>0</v>
      </c>
    </row>
    <row r="67" spans="1:27" x14ac:dyDescent="0.25">
      <c r="B67" s="2119"/>
      <c r="C67" s="2120"/>
      <c r="D67" s="2121"/>
      <c r="E67" s="2131"/>
      <c r="F67" s="2132"/>
      <c r="G67" s="2132"/>
      <c r="H67" s="2132"/>
      <c r="I67" s="2133"/>
      <c r="J67" s="594"/>
      <c r="K67" s="594"/>
      <c r="L67" s="594"/>
      <c r="M67" s="594"/>
      <c r="N67" s="594"/>
      <c r="O67" s="594"/>
      <c r="P67" s="594"/>
      <c r="Q67" s="594"/>
      <c r="R67" s="594"/>
      <c r="U67" s="586">
        <f>IF(AND(B67="",E67=""),0,1)</f>
        <v>0</v>
      </c>
      <c r="Y67" s="592">
        <f>F67</f>
        <v>0</v>
      </c>
    </row>
    <row r="68" spans="1:27" x14ac:dyDescent="0.25">
      <c r="T68" s="447" t="s">
        <v>7859</v>
      </c>
      <c r="U68" s="586">
        <f>SUM(U64:U67)</f>
        <v>1</v>
      </c>
    </row>
    <row r="69" spans="1:27" x14ac:dyDescent="0.25">
      <c r="A69" s="509" t="s">
        <v>7643</v>
      </c>
    </row>
    <row r="70" spans="1:27" hidden="1" x14ac:dyDescent="0.25"/>
    <row r="71" spans="1:27" ht="70.5" customHeight="1" x14ac:dyDescent="0.25">
      <c r="B71" s="510" t="str">
        <f>CHAR(149)</f>
        <v>•</v>
      </c>
      <c r="C71" s="2042" t="s">
        <v>8188</v>
      </c>
      <c r="D71" s="2042"/>
      <c r="E71" s="2042"/>
      <c r="F71" s="2042"/>
      <c r="G71" s="2042"/>
      <c r="H71" s="2042"/>
      <c r="I71" s="2042"/>
      <c r="U71" s="586">
        <f>IF(C71="",0,1)</f>
        <v>1</v>
      </c>
      <c r="V71" s="592" t="str">
        <f>IF(ISBLANK('Informasi Debitur'!J34)=TRUE,"",'Informasi Debitur'!J34)</f>
        <v>Perusahaan yang dimiliki saat ini PT Barito Inti Perkasa dikelola oleh Bp Oh Njen Lieng bersama rekan Bp Andy Susanto dengan masing2 Kepemilikan Saham 50%.</v>
      </c>
    </row>
    <row r="72" spans="1:27" ht="92.25" customHeight="1" x14ac:dyDescent="0.25">
      <c r="B72" s="510" t="str">
        <f>CHAR(149)</f>
        <v>•</v>
      </c>
      <c r="C72" s="2042" t="s">
        <v>8185</v>
      </c>
      <c r="D72" s="2108"/>
      <c r="E72" s="2108"/>
      <c r="F72" s="2108"/>
      <c r="G72" s="2108"/>
      <c r="H72" s="2108"/>
      <c r="I72" s="2108"/>
      <c r="J72" s="595"/>
      <c r="K72" s="595"/>
      <c r="L72" s="595"/>
      <c r="M72" s="595"/>
      <c r="N72" s="595"/>
      <c r="O72" s="595"/>
      <c r="P72" s="595"/>
      <c r="Q72" s="595"/>
      <c r="R72" s="595"/>
      <c r="S72" s="596"/>
      <c r="U72" s="586">
        <f>IF(C72="",0,1)</f>
        <v>1</v>
      </c>
      <c r="V72" s="592" t="str">
        <f>IF(ISBLANK('Informasi Debitur'!A53)=TRUE,"",'Informasi Debitur'!A53)</f>
        <v>Usaha yang dijalankan Bp Oh Njen Lieng (Cadeb) yaitu meliputi jasa pembuatan Karoseri Bak Dump Truk, Tangki Minyak,dsb dengan nama perusahaan PT Barito Inti Perkasa. Penjualan Komponen Karoseri seperti Hydraulic Dump Truck berfungsi untuk pengangkat bak untuk mengeluarkan material yang diangkut Truck ke tanah, Pompa Oli, dan Gear Pump. Ukuran Karoseri atau Tangki BBM berdasarkan pesanan ukuran yang dipesan dari pelanggan melalui order telepon atau langsung datang ke Kantor &amp; Bengkel cadeb. Ukuran panjang x lebar x Tinggi Karoseri dapat disesuaikan sesuai dengan ukuran dari customer atau ukuran standart. 
Bahan2 yang diperlukan dalam pembuatan Karoseri Besi Baja Plat, Besi UNP (Bentuk Kanal) dan komponen lainnya.
Alur Proses pembuatan Karoseri : Plat Besi Baja dipotong sesuai dengan ukuran yang diinginkan, kemudian dibentuk (bending), ditekuk, ditambah dengan komponen-komponen yang diperlukan, ada pengelasan dan dirakit dengan mesin las, setelah selesai pembentukkan dinaikkan ke Armada (unit) dilakukan proses penyetelan dan pengecetan sampai dengan selesai. Mesin2 yang digunakan: Mesin Bending, Mesin Potong, dan Mesin Las CO. 
Jumlah Karoseri rata2 yang dibuat sekitar 25 unit/bln dengan harga kisaran Rp 50 jt an sd Rp 100 jt an. Kondisi saat ini diharapkan oleh cadeb dapat meningkatkan penjualan jasa pembuatan Karoseri yang dipergunakan untuk Armada Angkutan pengangkutan batubara, Kelapa Sawit, dan usaha transportir BBM. 
Jam Operasional usaha Senin sd Sabtu jam 08:00 pagi sd jam 05:00 sore dengan dibantu oleh 40 orang tenaga kerja (3 orang staff Administrasi &amp; Keuangan, dan 37 orang mekanik, bagian produksi pembuatan).</v>
      </c>
    </row>
    <row r="73" spans="1:27" ht="60" customHeight="1" x14ac:dyDescent="0.25">
      <c r="B73" s="510" t="str">
        <f t="shared" ref="B73:B97" si="6">CHAR(149)</f>
        <v>•</v>
      </c>
      <c r="C73" s="2042" t="s">
        <v>8187</v>
      </c>
      <c r="D73" s="2108"/>
      <c r="E73" s="2108"/>
      <c r="F73" s="2108"/>
      <c r="G73" s="2108"/>
      <c r="H73" s="2108"/>
      <c r="I73" s="2108"/>
      <c r="J73" s="595"/>
      <c r="K73" s="595"/>
      <c r="L73" s="595"/>
      <c r="M73" s="595"/>
      <c r="N73" s="595"/>
      <c r="O73" s="595"/>
      <c r="P73" s="595"/>
      <c r="Q73" s="595"/>
      <c r="R73" s="595"/>
      <c r="U73" s="586">
        <f>IF(C73="",0,1)</f>
        <v>1</v>
      </c>
      <c r="V73" s="592" t="str">
        <f>IF(ISBLANK('Informasi Debitur'!A54)=TRUE,"",'Informasi Debitur'!A54)</f>
        <v>Beberapa kerjasama pelanggan rutin pembuatan Karoseri seperti PT Astra Isuzu, PT Sumber Berlian Motor, PT Mitra Lintas Borneo, PT Borneo Auto Cemerlang.Dan pelanggan2 lainnya saat ini berjumlah sekitar 20 pelanggan. Pembayaran dari pelanggan (AR) dengan rata2 pembayaran sekitar 35 hr (setelah selesai diolah Karoseri dilakukan pengecekkan oleh pelanggan,bentuk,ukuran, dan bahan yang diminta, jika tidak ada lagi tambahan atau revisi /sudah sesuai yang diharapkan, dilakukan penagihan oleh Cadeb yang kemudian akan dilakukan pembayaran). Dan untuk pembelian sparepart ke Supplier (AP) seperti PT Benteng Anugerah Sejahtera, PT Sidomukti, CV Cakra Perkasa Teknik,dll rata2 pembayaran sekitar 30 hr.</v>
      </c>
    </row>
    <row r="74" spans="1:27" ht="51.75" customHeight="1" x14ac:dyDescent="0.25">
      <c r="B74" s="510" t="str">
        <f t="shared" si="6"/>
        <v>•</v>
      </c>
      <c r="C74" s="2042" t="s">
        <v>8186</v>
      </c>
      <c r="D74" s="2108"/>
      <c r="E74" s="2108"/>
      <c r="F74" s="2108"/>
      <c r="G74" s="2108"/>
      <c r="H74" s="2108"/>
      <c r="I74" s="2108"/>
      <c r="J74" s="595"/>
      <c r="K74" s="595"/>
      <c r="L74" s="595"/>
      <c r="M74" s="595"/>
      <c r="N74" s="595"/>
      <c r="O74" s="595"/>
      <c r="P74" s="595"/>
      <c r="Q74" s="595"/>
      <c r="R74" s="595"/>
      <c r="U74" s="586">
        <f>IF(C74="",0,1)</f>
        <v>1</v>
      </c>
      <c r="V74" s="592" t="str">
        <f>IF(ISBLANK('Informasi Debitur'!A55)=TRUE,"",'Informasi Debitur'!A55)</f>
        <v>Rata2 penghasilan usaha sekitar Rp 1, 5 M an/bln, dengan GPM kisaran kisaran 30%. Pinjaman saat ini belum adanya fas modal kerja, ada pinjaman hanya KPR (yang akan di TO dari Bank Panin), dan 2 fas KPM. Sales terefleksi juga pada Mutasi rekening. Keuntungan % GPM yang diperoleh oleh cadeb cukup besar karena pembuatan Karoseri diperlukan keahlian khusus, tidak banyak pesaing usaha atau pengusaha yang bergerak dalam usaha pembuatan Karoseri.</v>
      </c>
    </row>
    <row r="75" spans="1:27" ht="123" customHeight="1" x14ac:dyDescent="0.25">
      <c r="B75" s="510" t="str">
        <f t="shared" si="6"/>
        <v>•</v>
      </c>
      <c r="C75" s="2042" t="s">
        <v>8169</v>
      </c>
      <c r="D75" s="2108"/>
      <c r="E75" s="2108"/>
      <c r="F75" s="2108"/>
      <c r="G75" s="2108"/>
      <c r="H75" s="2108"/>
      <c r="I75" s="2108"/>
      <c r="J75" s="595"/>
      <c r="K75" s="595"/>
      <c r="L75" s="595"/>
      <c r="M75" s="595"/>
      <c r="N75" s="595"/>
      <c r="O75" s="595"/>
      <c r="P75" s="595"/>
      <c r="Q75" s="595"/>
      <c r="R75" s="595"/>
      <c r="U75" s="586">
        <f>IF(C75="",0,1)</f>
        <v>1</v>
      </c>
      <c r="V75" s="592" t="str">
        <f>IF(ISBLANK('Informasi Debitur'!A56)=TRUE,"",'Informasi Debitur'!A56)</f>
        <v>Jumlah Karyawan pada saat ini berjumlah 40 orang yang terdiri dari 3 staff admin kantor, dan 37 orang lainnya bagian produksi Karoseri.</v>
      </c>
    </row>
    <row r="76" spans="1:27" ht="1.5" hidden="1" customHeight="1" x14ac:dyDescent="0.25">
      <c r="B76" s="510" t="str">
        <f t="shared" si="6"/>
        <v>•</v>
      </c>
      <c r="C76" s="2135" t="str">
        <f>IF(ISBLANK('Informasi Debitur'!A57)=TRUE,"",'Informasi Debitur'!A57)</f>
        <v>Detail informasi mengenai usaha debitur (misalnya apakah debitur market leader, informasi positif / negatif terkait usaha debitur, siklus usaha debitur)</v>
      </c>
      <c r="D76" s="2135"/>
      <c r="E76" s="2135"/>
      <c r="F76" s="2135"/>
      <c r="G76" s="2135"/>
      <c r="H76" s="2135"/>
      <c r="I76" s="2135"/>
      <c r="J76" s="595"/>
      <c r="K76" s="595"/>
      <c r="L76" s="595"/>
      <c r="M76" s="595"/>
      <c r="N76" s="595"/>
      <c r="O76" s="595"/>
      <c r="P76" s="595"/>
      <c r="Q76" s="595"/>
      <c r="R76" s="595"/>
      <c r="T76" s="447" t="s">
        <v>7860</v>
      </c>
      <c r="U76" s="586">
        <f>SUM(U71:U75)</f>
        <v>5</v>
      </c>
      <c r="V76" s="784" t="str">
        <f>IF(ISBLANK('Informasi Debitur'!A57)=TRUE,"",'Informasi Debitur'!A57)</f>
        <v>Detail informasi mengenai usaha debitur (misalnya apakah debitur market leader, informasi positif / negatif terkait usaha debitur, siklus usaha debitur)</v>
      </c>
    </row>
    <row r="77" spans="1:27" ht="93" customHeight="1" x14ac:dyDescent="0.25">
      <c r="B77" s="510" t="str">
        <f t="shared" si="6"/>
        <v>•</v>
      </c>
      <c r="C77" s="2042" t="s">
        <v>8218</v>
      </c>
      <c r="D77" s="2108"/>
      <c r="E77" s="2108"/>
      <c r="F77" s="2108"/>
      <c r="G77" s="2108"/>
      <c r="H77" s="2108"/>
      <c r="I77" s="2108"/>
      <c r="J77" s="595"/>
      <c r="K77" s="595"/>
      <c r="L77" s="595"/>
      <c r="M77" s="595"/>
      <c r="N77" s="595"/>
      <c r="O77" s="595"/>
      <c r="P77" s="595"/>
      <c r="Q77" s="595"/>
      <c r="R77" s="595"/>
      <c r="U77" s="586">
        <f>IF(C77="",0,1)</f>
        <v>1</v>
      </c>
      <c r="V77" s="592" t="str">
        <f>IF(ISBLANK('Informasi Debitur'!A58)=TRUE,"",'Informasi Debitur'!A58)</f>
        <v xml:space="preserve">Usaha pembuatan Karoseri di Banjarmasin tidak terlalu banyak pesaing. Tarif pembuatan jasa Karoseri misal Bak Dump Truck ukuran PxLxT : 4,2 mtr x 2 mtr x 1,4 mtr sekitar Rp 56 jt an,  Tangki BBM Solar Industri 5 rb liter Rp 52 jt an, Tangki BBM Ssolar Industri Rp 104 jt an.  
Siklus usaha jasa Industri pengolahan Karoseri :
1. Adanya pemesanan pembuatan Karoseri sesuai dengan pemesanan yang disepakati. 
2. Pembayaran DP oleh customer.
3. Dilakukan proses pembuatan Karoseri : pembentukkan Plat Besi Baja. 
4. Dibuatkan Nota Penagihan oleh perusahaan debitur. 
</v>
      </c>
    </row>
    <row r="78" spans="1:27" ht="96" hidden="1" customHeight="1" x14ac:dyDescent="0.25">
      <c r="B78" s="510" t="str">
        <f t="shared" si="6"/>
        <v>•</v>
      </c>
      <c r="C78" s="2134"/>
      <c r="D78" s="2134"/>
      <c r="E78" s="2134"/>
      <c r="F78" s="2134"/>
      <c r="G78" s="2134"/>
      <c r="H78" s="2134"/>
      <c r="I78" s="2134"/>
      <c r="J78" s="595"/>
      <c r="K78" s="595"/>
      <c r="L78" s="595"/>
      <c r="M78" s="595"/>
      <c r="N78" s="595"/>
      <c r="O78" s="595"/>
      <c r="P78" s="595"/>
      <c r="Q78" s="595"/>
      <c r="R78" s="595"/>
      <c r="U78" s="586">
        <f>IF(C78="",0,1)</f>
        <v>0</v>
      </c>
      <c r="V78" s="592" t="str">
        <f>IF(ISBLANK('Informasi Debitur'!A59)=TRUE,"",'Informasi Debitur'!A59)</f>
        <v xml:space="preserve">  Informasi Positif : 
-Usaha yang dijalankan oleh Cadeb termasuk usaha yg susah untuk ditiru, karena tidak semua pengusaha bisa menjalankan usaha ini dan kompetitor di Banjarmasin tidak terlalu banyak.
-Usaha yang dijalankan sangat diperlukan setiap angkutan Truck, sehingga mengangkut muatan barang lebih kuat, karena terbuat dari plat baja.
</v>
      </c>
    </row>
    <row r="79" spans="1:27" ht="5.25" hidden="1" customHeight="1" x14ac:dyDescent="0.25">
      <c r="B79" s="510" t="str">
        <f t="shared" si="6"/>
        <v>•</v>
      </c>
      <c r="C79" s="2134" t="str">
        <f>IF(ISBLANK('Informasi Debitur'!A60)=TRUE,"",'Informasi Debitur'!A60)</f>
        <v xml:space="preserve"> Informasi Tambahan :
- Debitur memiliki usaha lain usaha Batubara dan Penjualan Batubara dengan nama perusahaan PT Barito Inti Perdana, usaha dijalankan kerjasama dengan 2 orang rekan (sehingga dengan Bp Oh Njen Lieng menjadi 3 orang pengurus). Modal saham yang disetorkan Rp 300 jt dengan masing2 modal Rp 100 jt. Keuangan (rekening) dan manajemen terpisah untuk usaha Batubara ini. Penjualan Batubara dilakukan secara Lokal ke perusahaan di Jakarta sebelumnya pernah kerjasama dengan perusahaan PLN batubara. Tetapi dalam perhitungan analisa usaha hanya berdasarkan Usaha jasa pembuatan Karoseri yang merupakan usaha utama dari Debitur.  </v>
      </c>
      <c r="D79" s="2134"/>
      <c r="E79" s="2134"/>
      <c r="F79" s="2134"/>
      <c r="G79" s="2134"/>
      <c r="H79" s="2134"/>
      <c r="I79" s="2134"/>
      <c r="J79" s="595"/>
      <c r="K79" s="595"/>
      <c r="L79" s="595"/>
      <c r="M79" s="595"/>
      <c r="N79" s="595"/>
      <c r="O79" s="595"/>
      <c r="P79" s="595"/>
      <c r="Q79" s="595"/>
      <c r="R79" s="595"/>
      <c r="U79" s="586">
        <f>IF(C79="",0,1)</f>
        <v>1</v>
      </c>
      <c r="V79" s="586" t="str">
        <f>IF(ISBLANK('Informasi Debitur'!A61)=TRUE,"",'Informasi Debitur'!A61)</f>
        <v/>
      </c>
    </row>
    <row r="80" spans="1:27" s="447" customFormat="1" hidden="1" x14ac:dyDescent="0.25">
      <c r="A80" s="446"/>
      <c r="B80" s="510" t="str">
        <f t="shared" si="6"/>
        <v>•</v>
      </c>
      <c r="C80" s="2134" t="str">
        <f>IF(ISBLANK('Informasi Debitur'!A61)=TRUE,"",'Informasi Debitur'!A61)</f>
        <v/>
      </c>
      <c r="D80" s="2134"/>
      <c r="E80" s="2134"/>
      <c r="F80" s="2134"/>
      <c r="G80" s="2134"/>
      <c r="H80" s="2134"/>
      <c r="I80" s="2134"/>
      <c r="J80" s="595"/>
      <c r="K80" s="595"/>
      <c r="L80" s="595"/>
      <c r="M80" s="595"/>
      <c r="N80" s="595"/>
      <c r="O80" s="595"/>
      <c r="P80" s="595"/>
      <c r="Q80" s="595"/>
      <c r="R80" s="595"/>
      <c r="S80" s="586"/>
      <c r="T80" s="586"/>
      <c r="U80" s="586">
        <f>IF(C80="",0,1)</f>
        <v>0</v>
      </c>
      <c r="V80" s="586" t="str">
        <f>IF(ISBLANK('Informasi Debitur'!A61)=TRUE,"",'Informasi Debitur'!A61)</f>
        <v/>
      </c>
      <c r="W80" s="586"/>
      <c r="X80" s="586"/>
      <c r="Y80" s="586"/>
      <c r="Z80" s="586"/>
      <c r="AA80" s="649"/>
    </row>
    <row r="81" spans="1:27" s="447" customFormat="1" ht="15" hidden="1" customHeight="1" x14ac:dyDescent="0.25">
      <c r="A81" s="446"/>
      <c r="B81" s="510" t="str">
        <f t="shared" si="6"/>
        <v>•</v>
      </c>
      <c r="C81" s="2135" t="str">
        <f>IF(ISBLANK('Informasi Debitur'!A62)=TRUE,"",'Informasi Debitur'!A62)</f>
        <v>Daftar proyek (project) dan rencana perusahaan jangka pendek - jika ada</v>
      </c>
      <c r="D81" s="2135"/>
      <c r="E81" s="2135"/>
      <c r="F81" s="2135"/>
      <c r="G81" s="2135"/>
      <c r="H81" s="2135"/>
      <c r="I81" s="2135"/>
      <c r="J81" s="595"/>
      <c r="K81" s="595"/>
      <c r="L81" s="595"/>
      <c r="M81" s="595"/>
      <c r="N81" s="595"/>
      <c r="O81" s="595"/>
      <c r="P81" s="595"/>
      <c r="Q81" s="595"/>
      <c r="R81" s="595"/>
      <c r="S81" s="586"/>
      <c r="T81" s="447" t="s">
        <v>7861</v>
      </c>
      <c r="U81" s="586">
        <f>SUM(U77:U80)</f>
        <v>2</v>
      </c>
      <c r="V81" s="586" t="str">
        <f>IF(ISBLANK('Informasi Debitur'!A62)=TRUE,"",'Informasi Debitur'!A62)</f>
        <v>Daftar proyek (project) dan rencana perusahaan jangka pendek - jika ada</v>
      </c>
      <c r="W81" s="586"/>
      <c r="X81" s="586"/>
      <c r="Y81" s="586"/>
      <c r="Z81" s="586"/>
      <c r="AA81" s="649"/>
    </row>
    <row r="82" spans="1:27" s="447" customFormat="1" hidden="1" x14ac:dyDescent="0.25">
      <c r="A82" s="446"/>
      <c r="B82" s="510" t="str">
        <f t="shared" si="6"/>
        <v>•</v>
      </c>
      <c r="C82" s="2134" t="str">
        <f>IF(ISBLANK('Informasi Debitur'!A63)=TRUE,"",'Informasi Debitur'!A63)</f>
        <v xml:space="preserve">Dengan berjalannya usaha pertambangan, perkebunan kelapa sawit di Kalsel. Maka harapan dari Cadeb usaha dapat semakin lebih meningkat. </v>
      </c>
      <c r="D82" s="2134"/>
      <c r="E82" s="2134"/>
      <c r="F82" s="2134"/>
      <c r="G82" s="2134"/>
      <c r="H82" s="2134"/>
      <c r="I82" s="2134"/>
      <c r="J82" s="595"/>
      <c r="K82" s="595"/>
      <c r="L82" s="595"/>
      <c r="M82" s="595"/>
      <c r="N82" s="595"/>
      <c r="O82" s="595"/>
      <c r="P82" s="595"/>
      <c r="Q82" s="595"/>
      <c r="R82" s="595"/>
      <c r="S82" s="586"/>
      <c r="T82" s="586"/>
      <c r="U82" s="586">
        <f>IF(C82="",0,1)</f>
        <v>1</v>
      </c>
      <c r="V82" s="586" t="str">
        <f>IF(ISBLANK('Informasi Debitur'!A63)=TRUE,"",'Informasi Debitur'!A63)</f>
        <v xml:space="preserve">Dengan berjalannya usaha pertambangan, perkebunan kelapa sawit di Kalsel. Maka harapan dari Cadeb usaha dapat semakin lebih meningkat. </v>
      </c>
      <c r="W82" s="586"/>
      <c r="X82" s="586"/>
      <c r="Y82" s="586"/>
      <c r="Z82" s="586"/>
      <c r="AA82" s="649"/>
    </row>
    <row r="83" spans="1:27" s="447" customFormat="1" hidden="1" x14ac:dyDescent="0.25">
      <c r="A83" s="446"/>
      <c r="B83" s="510" t="str">
        <f t="shared" si="6"/>
        <v>•</v>
      </c>
      <c r="C83" s="2134" t="str">
        <f>IF(ISBLANK('Informasi Debitur'!A64)=TRUE,"",'Informasi Debitur'!A64)</f>
        <v/>
      </c>
      <c r="D83" s="2134"/>
      <c r="E83" s="2134"/>
      <c r="F83" s="2134"/>
      <c r="G83" s="2134"/>
      <c r="H83" s="2134"/>
      <c r="I83" s="2134"/>
      <c r="J83" s="595"/>
      <c r="K83" s="595"/>
      <c r="L83" s="595"/>
      <c r="M83" s="595"/>
      <c r="N83" s="595"/>
      <c r="O83" s="595"/>
      <c r="P83" s="595"/>
      <c r="Q83" s="595"/>
      <c r="R83" s="595"/>
      <c r="S83" s="586"/>
      <c r="T83" s="586"/>
      <c r="U83" s="586">
        <f>IF(C83="",0,1)</f>
        <v>0</v>
      </c>
      <c r="V83" s="586" t="str">
        <f>IF(ISBLANK('Informasi Debitur'!A64)=TRUE,"",'Informasi Debitur'!A64)</f>
        <v/>
      </c>
      <c r="W83" s="586"/>
      <c r="X83" s="586"/>
      <c r="Y83" s="586"/>
      <c r="Z83" s="586"/>
      <c r="AA83" s="649"/>
    </row>
    <row r="84" spans="1:27" s="447" customFormat="1" hidden="1" x14ac:dyDescent="0.25">
      <c r="A84" s="446"/>
      <c r="B84" s="510" t="str">
        <f t="shared" si="6"/>
        <v>•</v>
      </c>
      <c r="C84" s="2134" t="str">
        <f>IF(ISBLANK('Informasi Debitur'!A65)=TRUE,"",'Informasi Debitur'!A65)</f>
        <v/>
      </c>
      <c r="D84" s="2134"/>
      <c r="E84" s="2134"/>
      <c r="F84" s="2134"/>
      <c r="G84" s="2134"/>
      <c r="H84" s="2134"/>
      <c r="I84" s="2134"/>
      <c r="J84" s="595"/>
      <c r="K84" s="595"/>
      <c r="L84" s="595"/>
      <c r="M84" s="595"/>
      <c r="N84" s="595"/>
      <c r="O84" s="595"/>
      <c r="P84" s="595"/>
      <c r="Q84" s="595"/>
      <c r="R84" s="595"/>
      <c r="S84" s="586"/>
      <c r="T84" s="586"/>
      <c r="U84" s="586">
        <f>IF(C84="",0,1)</f>
        <v>0</v>
      </c>
      <c r="V84" s="586" t="str">
        <f>IF(ISBLANK('Informasi Debitur'!A65)=TRUE,"",'Informasi Debitur'!A65)</f>
        <v/>
      </c>
      <c r="W84" s="586"/>
      <c r="X84" s="586"/>
      <c r="Y84" s="586"/>
      <c r="Z84" s="586"/>
      <c r="AA84" s="649"/>
    </row>
    <row r="85" spans="1:27" s="447" customFormat="1" hidden="1" x14ac:dyDescent="0.25">
      <c r="A85" s="446"/>
      <c r="B85" s="510" t="str">
        <f t="shared" si="6"/>
        <v>•</v>
      </c>
      <c r="C85" s="2134" t="str">
        <f>IF(ISBLANK('Informasi Debitur'!A66)=TRUE,"",'Informasi Debitur'!A66)</f>
        <v/>
      </c>
      <c r="D85" s="2134"/>
      <c r="E85" s="2134"/>
      <c r="F85" s="2134"/>
      <c r="G85" s="2134"/>
      <c r="H85" s="2134"/>
      <c r="I85" s="2134"/>
      <c r="J85" s="595"/>
      <c r="K85" s="595"/>
      <c r="L85" s="595"/>
      <c r="M85" s="595"/>
      <c r="N85" s="595"/>
      <c r="O85" s="595"/>
      <c r="P85" s="595"/>
      <c r="Q85" s="595"/>
      <c r="R85" s="595"/>
      <c r="S85" s="586"/>
      <c r="T85" s="586"/>
      <c r="U85" s="586">
        <f>IF(C85="",0,1)</f>
        <v>0</v>
      </c>
      <c r="V85" s="586" t="str">
        <f>IF(ISBLANK('Informasi Debitur'!A66)=TRUE,"",'Informasi Debitur'!A66)</f>
        <v/>
      </c>
      <c r="W85" s="586"/>
      <c r="X85" s="586"/>
      <c r="Y85" s="586"/>
      <c r="Z85" s="586"/>
      <c r="AA85" s="649"/>
    </row>
    <row r="86" spans="1:27" s="447" customFormat="1" hidden="1" x14ac:dyDescent="0.25">
      <c r="A86" s="446"/>
      <c r="B86" s="583" t="s">
        <v>7649</v>
      </c>
      <c r="C86" s="583"/>
      <c r="D86" s="446"/>
      <c r="E86" s="446"/>
      <c r="F86" s="446"/>
      <c r="G86" s="446"/>
      <c r="H86" s="446"/>
      <c r="I86" s="446"/>
      <c r="J86" s="586"/>
      <c r="K86" s="586"/>
      <c r="L86" s="586"/>
      <c r="M86" s="586"/>
      <c r="N86" s="586"/>
      <c r="O86" s="586"/>
      <c r="P86" s="586"/>
      <c r="Q86" s="586"/>
      <c r="R86" s="586"/>
      <c r="S86" s="586"/>
      <c r="T86" s="447" t="s">
        <v>7862</v>
      </c>
      <c r="U86" s="586">
        <f>SUM(U82:U85)</f>
        <v>1</v>
      </c>
      <c r="V86" s="586"/>
      <c r="W86" s="586"/>
      <c r="X86" s="586"/>
      <c r="Y86" s="586"/>
      <c r="Z86" s="586"/>
      <c r="AA86" s="649"/>
    </row>
    <row r="87" spans="1:27" s="447" customFormat="1" hidden="1" x14ac:dyDescent="0.25">
      <c r="A87" s="446"/>
      <c r="B87" s="510" t="str">
        <f t="shared" si="6"/>
        <v>•</v>
      </c>
      <c r="C87" s="2137"/>
      <c r="D87" s="2137"/>
      <c r="E87" s="2137"/>
      <c r="F87" s="2137"/>
      <c r="G87" s="2137"/>
      <c r="H87" s="2137"/>
      <c r="I87" s="2137"/>
      <c r="J87" s="586"/>
      <c r="K87" s="586"/>
      <c r="L87" s="586"/>
      <c r="M87" s="586"/>
      <c r="N87" s="586"/>
      <c r="O87" s="586"/>
      <c r="P87" s="586"/>
      <c r="Q87" s="586"/>
      <c r="R87" s="586"/>
      <c r="S87" s="586"/>
      <c r="T87" s="586"/>
      <c r="U87" s="586">
        <f>IF(C87="",0,1)</f>
        <v>0</v>
      </c>
      <c r="V87" s="586">
        <f t="shared" ref="V87:V97" si="7">C87</f>
        <v>0</v>
      </c>
      <c r="W87" s="586"/>
      <c r="X87" s="586"/>
      <c r="Y87" s="586"/>
      <c r="Z87" s="586"/>
      <c r="AA87" s="649"/>
    </row>
    <row r="88" spans="1:27" s="447" customFormat="1" hidden="1" x14ac:dyDescent="0.25">
      <c r="A88" s="446"/>
      <c r="B88" s="510" t="str">
        <f t="shared" si="6"/>
        <v>•</v>
      </c>
      <c r="C88" s="2137"/>
      <c r="D88" s="2137"/>
      <c r="E88" s="2137"/>
      <c r="F88" s="2137"/>
      <c r="G88" s="2137"/>
      <c r="H88" s="2137"/>
      <c r="I88" s="2137"/>
      <c r="J88" s="586"/>
      <c r="K88" s="586"/>
      <c r="L88" s="586"/>
      <c r="M88" s="586"/>
      <c r="N88" s="586"/>
      <c r="O88" s="586"/>
      <c r="P88" s="586"/>
      <c r="Q88" s="586"/>
      <c r="R88" s="586"/>
      <c r="S88" s="586"/>
      <c r="T88" s="586"/>
      <c r="U88" s="586">
        <f t="shared" ref="U88:U96" si="8">IF(C88="",0,1)</f>
        <v>0</v>
      </c>
      <c r="V88" s="586">
        <f t="shared" si="7"/>
        <v>0</v>
      </c>
      <c r="W88" s="586"/>
      <c r="X88" s="586"/>
      <c r="Y88" s="586"/>
      <c r="Z88" s="586"/>
      <c r="AA88" s="649"/>
    </row>
    <row r="89" spans="1:27" s="447" customFormat="1" hidden="1" x14ac:dyDescent="0.25">
      <c r="A89" s="446"/>
      <c r="B89" s="510" t="str">
        <f t="shared" si="6"/>
        <v>•</v>
      </c>
      <c r="C89" s="2137"/>
      <c r="D89" s="2137"/>
      <c r="E89" s="2137"/>
      <c r="F89" s="2137"/>
      <c r="G89" s="2137"/>
      <c r="H89" s="2137"/>
      <c r="I89" s="2137"/>
      <c r="J89" s="586"/>
      <c r="K89" s="586"/>
      <c r="L89" s="586"/>
      <c r="M89" s="586"/>
      <c r="N89" s="586"/>
      <c r="O89" s="586"/>
      <c r="P89" s="586"/>
      <c r="Q89" s="586"/>
      <c r="R89" s="586"/>
      <c r="S89" s="586"/>
      <c r="T89" s="586"/>
      <c r="U89" s="586">
        <f t="shared" si="8"/>
        <v>0</v>
      </c>
      <c r="V89" s="586">
        <f t="shared" si="7"/>
        <v>0</v>
      </c>
      <c r="W89" s="586"/>
      <c r="X89" s="586"/>
      <c r="Y89" s="586"/>
      <c r="Z89" s="586"/>
      <c r="AA89" s="649"/>
    </row>
    <row r="90" spans="1:27" s="447" customFormat="1" hidden="1" x14ac:dyDescent="0.25">
      <c r="A90" s="446"/>
      <c r="B90" s="510" t="str">
        <f t="shared" si="6"/>
        <v>•</v>
      </c>
      <c r="C90" s="2137"/>
      <c r="D90" s="2137"/>
      <c r="E90" s="2137"/>
      <c r="F90" s="2137"/>
      <c r="G90" s="2137"/>
      <c r="H90" s="2137"/>
      <c r="I90" s="2137"/>
      <c r="J90" s="586"/>
      <c r="K90" s="586"/>
      <c r="L90" s="586"/>
      <c r="M90" s="586"/>
      <c r="N90" s="586"/>
      <c r="O90" s="586"/>
      <c r="P90" s="586"/>
      <c r="Q90" s="586"/>
      <c r="R90" s="586"/>
      <c r="S90" s="586"/>
      <c r="T90" s="586"/>
      <c r="U90" s="586">
        <f t="shared" si="8"/>
        <v>0</v>
      </c>
      <c r="V90" s="586">
        <f t="shared" si="7"/>
        <v>0</v>
      </c>
      <c r="W90" s="586"/>
      <c r="X90" s="586"/>
      <c r="Y90" s="586"/>
      <c r="Z90" s="586"/>
      <c r="AA90" s="649"/>
    </row>
    <row r="91" spans="1:27" s="447" customFormat="1" hidden="1" x14ac:dyDescent="0.25">
      <c r="A91" s="446"/>
      <c r="B91" s="510" t="str">
        <f t="shared" si="6"/>
        <v>•</v>
      </c>
      <c r="C91" s="609"/>
      <c r="D91" s="609"/>
      <c r="E91" s="609"/>
      <c r="F91" s="609"/>
      <c r="G91" s="609"/>
      <c r="H91" s="609"/>
      <c r="I91" s="446"/>
      <c r="J91" s="586"/>
      <c r="K91" s="586"/>
      <c r="L91" s="586"/>
      <c r="M91" s="586"/>
      <c r="N91" s="586"/>
      <c r="O91" s="586"/>
      <c r="P91" s="586"/>
      <c r="Q91" s="586"/>
      <c r="R91" s="586"/>
      <c r="S91" s="586"/>
      <c r="T91" s="586"/>
      <c r="U91" s="586">
        <f t="shared" si="8"/>
        <v>0</v>
      </c>
      <c r="V91" s="586">
        <f t="shared" si="7"/>
        <v>0</v>
      </c>
      <c r="W91" s="586"/>
      <c r="X91" s="586"/>
      <c r="Y91" s="586"/>
      <c r="Z91" s="586"/>
      <c r="AA91" s="649"/>
    </row>
    <row r="92" spans="1:27" s="447" customFormat="1" hidden="1" x14ac:dyDescent="0.25">
      <c r="A92" s="446"/>
      <c r="B92" s="510" t="str">
        <f t="shared" si="6"/>
        <v>•</v>
      </c>
      <c r="C92" s="2137"/>
      <c r="D92" s="2137"/>
      <c r="E92" s="2137"/>
      <c r="F92" s="2137"/>
      <c r="G92" s="2137"/>
      <c r="H92" s="2137"/>
      <c r="I92" s="2137"/>
      <c r="J92" s="586"/>
      <c r="K92" s="586"/>
      <c r="L92" s="586"/>
      <c r="M92" s="586"/>
      <c r="N92" s="586"/>
      <c r="O92" s="586"/>
      <c r="P92" s="586"/>
      <c r="Q92" s="586"/>
      <c r="R92" s="586"/>
      <c r="S92" s="586"/>
      <c r="T92" s="586"/>
      <c r="U92" s="586">
        <f t="shared" si="8"/>
        <v>0</v>
      </c>
      <c r="V92" s="586">
        <f t="shared" si="7"/>
        <v>0</v>
      </c>
      <c r="W92" s="586"/>
      <c r="X92" s="586"/>
      <c r="Y92" s="586"/>
      <c r="Z92" s="586"/>
      <c r="AA92" s="649"/>
    </row>
    <row r="93" spans="1:27" s="447" customFormat="1" hidden="1" x14ac:dyDescent="0.25">
      <c r="A93" s="446"/>
      <c r="B93" s="510" t="str">
        <f t="shared" si="6"/>
        <v>•</v>
      </c>
      <c r="C93" s="2137"/>
      <c r="D93" s="2137"/>
      <c r="E93" s="2137"/>
      <c r="F93" s="2137"/>
      <c r="G93" s="2137"/>
      <c r="H93" s="2137"/>
      <c r="I93" s="2137"/>
      <c r="J93" s="586"/>
      <c r="K93" s="586"/>
      <c r="L93" s="586"/>
      <c r="M93" s="586"/>
      <c r="N93" s="586"/>
      <c r="O93" s="586"/>
      <c r="P93" s="586"/>
      <c r="Q93" s="586"/>
      <c r="R93" s="586"/>
      <c r="S93" s="586"/>
      <c r="T93" s="586"/>
      <c r="U93" s="586">
        <f t="shared" si="8"/>
        <v>0</v>
      </c>
      <c r="V93" s="586">
        <f t="shared" si="7"/>
        <v>0</v>
      </c>
      <c r="W93" s="586"/>
      <c r="X93" s="586"/>
      <c r="Y93" s="586"/>
      <c r="Z93" s="586"/>
      <c r="AA93" s="649"/>
    </row>
    <row r="94" spans="1:27" s="447" customFormat="1" hidden="1" x14ac:dyDescent="0.25">
      <c r="A94" s="446"/>
      <c r="B94" s="510" t="str">
        <f t="shared" si="6"/>
        <v>•</v>
      </c>
      <c r="C94" s="2137"/>
      <c r="D94" s="2137"/>
      <c r="E94" s="2137"/>
      <c r="F94" s="2137"/>
      <c r="G94" s="2137"/>
      <c r="H94" s="2137"/>
      <c r="I94" s="2137"/>
      <c r="J94" s="586"/>
      <c r="K94" s="586"/>
      <c r="L94" s="586"/>
      <c r="M94" s="586"/>
      <c r="N94" s="586"/>
      <c r="O94" s="586"/>
      <c r="P94" s="586"/>
      <c r="Q94" s="586"/>
      <c r="R94" s="586"/>
      <c r="S94" s="586"/>
      <c r="T94" s="586"/>
      <c r="U94" s="586">
        <f t="shared" si="8"/>
        <v>0</v>
      </c>
      <c r="V94" s="586">
        <f t="shared" si="7"/>
        <v>0</v>
      </c>
      <c r="W94" s="586"/>
      <c r="X94" s="586"/>
      <c r="Y94" s="586"/>
      <c r="Z94" s="586"/>
      <c r="AA94" s="649"/>
    </row>
    <row r="95" spans="1:27" s="447" customFormat="1" hidden="1" x14ac:dyDescent="0.25">
      <c r="A95" s="446"/>
      <c r="B95" s="510" t="str">
        <f t="shared" si="6"/>
        <v>•</v>
      </c>
      <c r="C95" s="2137"/>
      <c r="D95" s="2137"/>
      <c r="E95" s="2137"/>
      <c r="F95" s="2137"/>
      <c r="G95" s="2137"/>
      <c r="H95" s="2137"/>
      <c r="I95" s="2137"/>
      <c r="J95" s="586"/>
      <c r="K95" s="586"/>
      <c r="L95" s="586"/>
      <c r="M95" s="586"/>
      <c r="N95" s="586"/>
      <c r="O95" s="586"/>
      <c r="P95" s="586"/>
      <c r="Q95" s="586"/>
      <c r="R95" s="586"/>
      <c r="S95" s="586"/>
      <c r="T95" s="586"/>
      <c r="U95" s="586">
        <f t="shared" si="8"/>
        <v>0</v>
      </c>
      <c r="V95" s="586">
        <f t="shared" si="7"/>
        <v>0</v>
      </c>
      <c r="W95" s="586"/>
      <c r="X95" s="586"/>
      <c r="Y95" s="586"/>
      <c r="Z95" s="586"/>
      <c r="AA95" s="649"/>
    </row>
    <row r="96" spans="1:27" s="447" customFormat="1" hidden="1" x14ac:dyDescent="0.25">
      <c r="A96" s="446"/>
      <c r="B96" s="510" t="str">
        <f t="shared" si="6"/>
        <v>•</v>
      </c>
      <c r="C96" s="2137"/>
      <c r="D96" s="2137"/>
      <c r="E96" s="2137"/>
      <c r="F96" s="2137"/>
      <c r="G96" s="2137"/>
      <c r="H96" s="2137"/>
      <c r="I96" s="2137"/>
      <c r="J96" s="586"/>
      <c r="K96" s="586"/>
      <c r="L96" s="586"/>
      <c r="M96" s="586"/>
      <c r="N96" s="586"/>
      <c r="O96" s="586"/>
      <c r="P96" s="586"/>
      <c r="Q96" s="586"/>
      <c r="R96" s="586"/>
      <c r="S96" s="586"/>
      <c r="T96" s="586"/>
      <c r="U96" s="586">
        <f t="shared" si="8"/>
        <v>0</v>
      </c>
      <c r="V96" s="586">
        <f t="shared" si="7"/>
        <v>0</v>
      </c>
      <c r="W96" s="586"/>
      <c r="X96" s="586"/>
      <c r="Y96" s="586"/>
      <c r="Z96" s="586"/>
      <c r="AA96" s="649"/>
    </row>
    <row r="97" spans="1:27" s="447" customFormat="1" hidden="1" x14ac:dyDescent="0.25">
      <c r="A97" s="446"/>
      <c r="B97" s="510" t="str">
        <f t="shared" si="6"/>
        <v>•</v>
      </c>
      <c r="C97" s="2137"/>
      <c r="D97" s="2137"/>
      <c r="E97" s="2137"/>
      <c r="F97" s="2137"/>
      <c r="G97" s="2137"/>
      <c r="H97" s="2137"/>
      <c r="I97" s="2137"/>
      <c r="J97" s="586"/>
      <c r="K97" s="586"/>
      <c r="L97" s="586"/>
      <c r="M97" s="586"/>
      <c r="N97" s="586"/>
      <c r="O97" s="586"/>
      <c r="P97" s="586"/>
      <c r="Q97" s="586"/>
      <c r="R97" s="586"/>
      <c r="S97" s="586"/>
      <c r="T97" s="586"/>
      <c r="U97" s="586">
        <f>IF(C97="",0,1)</f>
        <v>0</v>
      </c>
      <c r="V97" s="586">
        <f t="shared" si="7"/>
        <v>0</v>
      </c>
      <c r="W97" s="586"/>
      <c r="X97" s="586"/>
      <c r="Y97" s="586"/>
      <c r="Z97" s="586"/>
      <c r="AA97" s="649"/>
    </row>
    <row r="98" spans="1:27" s="447" customFormat="1" hidden="1" x14ac:dyDescent="0.25">
      <c r="A98" s="446"/>
      <c r="B98" s="446"/>
      <c r="C98" s="446"/>
      <c r="D98" s="446"/>
      <c r="E98" s="446"/>
      <c r="F98" s="446"/>
      <c r="G98" s="446"/>
      <c r="H98" s="446"/>
      <c r="I98" s="446"/>
      <c r="J98" s="586"/>
      <c r="K98" s="586"/>
      <c r="L98" s="586"/>
      <c r="M98" s="586"/>
      <c r="N98" s="586"/>
      <c r="O98" s="586"/>
      <c r="P98" s="586"/>
      <c r="Q98" s="586"/>
      <c r="R98" s="586"/>
      <c r="S98" s="586"/>
      <c r="T98" s="447" t="s">
        <v>7863</v>
      </c>
      <c r="U98" s="586">
        <f>SUM(U87:U97)</f>
        <v>0</v>
      </c>
      <c r="V98" s="586"/>
      <c r="W98" s="586"/>
      <c r="X98" s="586"/>
      <c r="Y98" s="586"/>
      <c r="Z98" s="586"/>
      <c r="AA98" s="649"/>
    </row>
    <row r="99" spans="1:27" s="447" customFormat="1" x14ac:dyDescent="0.25">
      <c r="A99" s="509" t="s">
        <v>7644</v>
      </c>
      <c r="B99" s="446"/>
      <c r="C99" s="446"/>
      <c r="D99" s="446"/>
      <c r="E99" s="446"/>
      <c r="F99" s="446"/>
      <c r="G99" s="446"/>
      <c r="H99" s="446"/>
      <c r="I99" s="446"/>
      <c r="J99" s="586"/>
      <c r="K99" s="586"/>
      <c r="L99" s="586"/>
      <c r="M99" s="586"/>
      <c r="N99" s="586"/>
      <c r="O99" s="586"/>
      <c r="P99" s="586"/>
      <c r="Q99" s="586"/>
      <c r="R99" s="586"/>
      <c r="S99" s="586"/>
      <c r="T99" s="586"/>
      <c r="U99" s="586"/>
      <c r="V99" s="586"/>
      <c r="W99" s="586"/>
      <c r="X99" s="586"/>
      <c r="Y99" s="586"/>
      <c r="Z99" s="586"/>
      <c r="AA99" s="649"/>
    </row>
    <row r="100" spans="1:27" hidden="1" x14ac:dyDescent="0.25"/>
    <row r="101" spans="1:27" s="447" customFormat="1" x14ac:dyDescent="0.25">
      <c r="A101" s="446"/>
      <c r="B101" s="2026" t="s">
        <v>6311</v>
      </c>
      <c r="C101" s="2026"/>
      <c r="D101" s="2026"/>
      <c r="E101" s="2026"/>
      <c r="F101" s="1085">
        <f>'Analisa Lap Keu'!C9</f>
        <v>42734</v>
      </c>
      <c r="G101" s="1085">
        <f>'Analisa Lap Keu'!E9</f>
        <v>43099</v>
      </c>
      <c r="H101" s="1085">
        <f>'Analisa Lap Keu'!G9</f>
        <v>43452</v>
      </c>
      <c r="I101" s="1186" t="s">
        <v>8034</v>
      </c>
      <c r="J101" s="588"/>
      <c r="K101" s="588"/>
      <c r="L101" s="586"/>
      <c r="M101" s="586"/>
      <c r="N101" s="586"/>
      <c r="O101" s="586"/>
      <c r="P101" s="586"/>
      <c r="Q101" s="586"/>
      <c r="R101" s="586"/>
      <c r="S101" s="586"/>
      <c r="T101" s="586"/>
      <c r="U101" s="586"/>
      <c r="V101" s="586"/>
      <c r="W101" s="586"/>
      <c r="X101" s="586"/>
      <c r="Y101" s="586"/>
      <c r="Z101" s="586"/>
      <c r="AA101" s="649"/>
    </row>
    <row r="102" spans="1:27" s="447" customFormat="1" x14ac:dyDescent="0.25">
      <c r="A102" s="446"/>
      <c r="B102" s="2061" t="s">
        <v>6312</v>
      </c>
      <c r="C102" s="2061"/>
      <c r="D102" s="2061"/>
      <c r="E102" s="2061"/>
      <c r="F102" s="555">
        <f>'Analisa Lap Keu'!C68</f>
        <v>0</v>
      </c>
      <c r="G102" s="555">
        <f>'Analisa Lap Keu'!E68</f>
        <v>0</v>
      </c>
      <c r="H102" s="555">
        <f>'Analisa Lap Keu'!G68</f>
        <v>18762.97</v>
      </c>
      <c r="I102" s="2144"/>
      <c r="J102" s="588"/>
      <c r="K102" s="588"/>
      <c r="L102" s="586"/>
      <c r="M102" s="586"/>
      <c r="N102" s="586"/>
      <c r="O102" s="586"/>
      <c r="P102" s="586"/>
      <c r="Q102" s="586"/>
      <c r="R102" s="586"/>
      <c r="S102" s="586"/>
      <c r="T102" s="586"/>
      <c r="U102" s="586"/>
      <c r="V102" s="586"/>
      <c r="W102" s="586"/>
      <c r="X102" s="586"/>
      <c r="Y102" s="586"/>
      <c r="Z102" s="586"/>
      <c r="AA102" s="649"/>
    </row>
    <row r="103" spans="1:27" s="447" customFormat="1" x14ac:dyDescent="0.25">
      <c r="A103" s="446"/>
      <c r="B103" s="2061" t="s">
        <v>6313</v>
      </c>
      <c r="C103" s="2061"/>
      <c r="D103" s="2061"/>
      <c r="E103" s="2061"/>
      <c r="F103" s="555">
        <f>'Analisa Lap Keu'!C78</f>
        <v>0</v>
      </c>
      <c r="G103" s="555">
        <f>'Analisa Lap Keu'!E78</f>
        <v>0</v>
      </c>
      <c r="H103" s="555">
        <f>'Analisa Lap Keu'!G78</f>
        <v>4187.3850000000002</v>
      </c>
      <c r="I103" s="2145"/>
      <c r="J103" s="588"/>
      <c r="K103" s="588"/>
      <c r="L103" s="586"/>
      <c r="M103" s="586"/>
      <c r="N103" s="586"/>
      <c r="O103" s="586"/>
      <c r="P103" s="586"/>
      <c r="Q103" s="586"/>
      <c r="R103" s="586"/>
      <c r="S103" s="586"/>
      <c r="T103" s="586"/>
      <c r="U103" s="586"/>
      <c r="V103" s="586"/>
      <c r="W103" s="586"/>
      <c r="X103" s="586"/>
      <c r="Y103" s="586"/>
      <c r="Z103" s="586"/>
      <c r="AA103" s="649"/>
    </row>
    <row r="104" spans="1:27" s="447" customFormat="1" x14ac:dyDescent="0.25">
      <c r="A104" s="446"/>
      <c r="B104" s="2061" t="s">
        <v>6314</v>
      </c>
      <c r="C104" s="2061"/>
      <c r="D104" s="2061"/>
      <c r="E104" s="2061"/>
      <c r="F104" s="555">
        <f>'Analisa Lap Keu'!C26</f>
        <v>0</v>
      </c>
      <c r="G104" s="555">
        <f>'Analisa Lap Keu'!E26</f>
        <v>0</v>
      </c>
      <c r="H104" s="555">
        <f>'Analisa Lap Keu'!G26</f>
        <v>1732.94</v>
      </c>
      <c r="I104" s="555">
        <f>'Analisa Lap Keu'!I26</f>
        <v>601.94074074074081</v>
      </c>
      <c r="J104" s="588"/>
      <c r="K104" s="588"/>
      <c r="L104" s="586"/>
      <c r="M104" s="586"/>
      <c r="N104" s="586"/>
      <c r="O104" s="586"/>
      <c r="P104" s="586"/>
      <c r="Q104" s="586"/>
      <c r="R104" s="586"/>
      <c r="S104" s="586"/>
      <c r="T104" s="586"/>
      <c r="U104" s="586"/>
      <c r="V104" s="586"/>
      <c r="W104" s="586"/>
      <c r="X104" s="586"/>
      <c r="Y104" s="586"/>
      <c r="Z104" s="586"/>
      <c r="AA104" s="649"/>
    </row>
    <row r="105" spans="1:27" s="447" customFormat="1" x14ac:dyDescent="0.25">
      <c r="A105" s="446"/>
      <c r="B105" s="2061" t="s">
        <v>6315</v>
      </c>
      <c r="C105" s="2061"/>
      <c r="D105" s="2061"/>
      <c r="E105" s="2061"/>
      <c r="F105" s="555">
        <f>'Analisa Lap Keu'!C27</f>
        <v>0</v>
      </c>
      <c r="G105" s="555">
        <f>'Analisa Lap Keu'!E27</f>
        <v>0</v>
      </c>
      <c r="H105" s="555">
        <f>'Analisa Lap Keu'!G27</f>
        <v>1225.2</v>
      </c>
      <c r="I105" s="555">
        <f>'Analisa Lap Keu'!I27</f>
        <v>850</v>
      </c>
      <c r="J105" s="588"/>
      <c r="K105" s="588"/>
      <c r="L105" s="586"/>
      <c r="M105" s="586"/>
      <c r="N105" s="586"/>
      <c r="O105" s="586"/>
      <c r="P105" s="586"/>
      <c r="Q105" s="586"/>
      <c r="R105" s="586"/>
      <c r="S105" s="586"/>
      <c r="T105" s="586"/>
      <c r="U105" s="586"/>
      <c r="V105" s="586"/>
      <c r="W105" s="586"/>
      <c r="X105" s="586"/>
      <c r="Y105" s="586"/>
      <c r="Z105" s="586"/>
      <c r="AA105" s="649"/>
    </row>
    <row r="106" spans="1:27" s="447" customFormat="1" x14ac:dyDescent="0.25">
      <c r="A106" s="446"/>
      <c r="B106" s="2061" t="s">
        <v>6316</v>
      </c>
      <c r="C106" s="2061"/>
      <c r="D106" s="2061"/>
      <c r="E106" s="2061"/>
      <c r="F106" s="555">
        <f>'Analisa Lap Keu'!C47</f>
        <v>0</v>
      </c>
      <c r="G106" s="555">
        <f>'Analisa Lap Keu'!E47</f>
        <v>0</v>
      </c>
      <c r="H106" s="555">
        <f>'Analisa Lap Keu'!G47</f>
        <v>937.54</v>
      </c>
      <c r="I106" s="555">
        <f>'Analisa Lap Keu'!I47</f>
        <v>421.35839019326068</v>
      </c>
      <c r="J106" s="597"/>
      <c r="K106" s="597"/>
      <c r="L106" s="598"/>
      <c r="M106" s="598"/>
      <c r="N106" s="598"/>
      <c r="O106" s="598"/>
      <c r="P106" s="598"/>
      <c r="Q106" s="598"/>
      <c r="R106" s="598"/>
      <c r="S106" s="598"/>
      <c r="T106" s="598"/>
      <c r="U106" s="586"/>
      <c r="V106" s="586"/>
      <c r="W106" s="586"/>
      <c r="X106" s="586"/>
      <c r="Y106" s="586"/>
      <c r="Z106" s="586"/>
      <c r="AA106" s="649"/>
    </row>
    <row r="107" spans="1:27" s="447" customFormat="1" x14ac:dyDescent="0.25">
      <c r="A107" s="446"/>
      <c r="B107" s="2061" t="s">
        <v>6317</v>
      </c>
      <c r="C107" s="2061"/>
      <c r="D107" s="2061"/>
      <c r="E107" s="2061"/>
      <c r="F107" s="555">
        <f>'Analisa Lap Keu'!C26+'Analisa Lap Keu'!C27-'Analisa Lap Keu'!C47-'Analisa Lap Keu'!C48</f>
        <v>0</v>
      </c>
      <c r="G107" s="555">
        <f>'Analisa Lap Keu'!E26+'Analisa Lap Keu'!E27-'Analisa Lap Keu'!E47-'Analisa Lap Keu'!E48</f>
        <v>0</v>
      </c>
      <c r="H107" s="555">
        <f>'Analisa Lap Keu'!G26+'Analisa Lap Keu'!G27-'Analisa Lap Keu'!G47-'Analisa Lap Keu'!G48</f>
        <v>2020.6000000000004</v>
      </c>
      <c r="I107" s="585">
        <f>'Analisa Lap Keu'!E97</f>
        <v>1030.58235054748</v>
      </c>
      <c r="J107" s="597"/>
      <c r="K107" s="597"/>
      <c r="L107" s="598"/>
      <c r="M107" s="598"/>
      <c r="N107" s="598"/>
      <c r="O107" s="598"/>
      <c r="P107" s="598"/>
      <c r="Q107" s="598"/>
      <c r="R107" s="598"/>
      <c r="S107" s="598"/>
      <c r="T107" s="598"/>
      <c r="U107" s="586"/>
      <c r="V107" s="586"/>
      <c r="W107" s="586"/>
      <c r="X107" s="586"/>
      <c r="Y107" s="586"/>
      <c r="Z107" s="586"/>
      <c r="AA107" s="649"/>
    </row>
    <row r="108" spans="1:27" s="447" customFormat="1" x14ac:dyDescent="0.25">
      <c r="A108" s="446"/>
      <c r="B108" s="2061" t="s">
        <v>6318</v>
      </c>
      <c r="C108" s="2061"/>
      <c r="D108" s="2061"/>
      <c r="E108" s="2061"/>
      <c r="F108" s="2138"/>
      <c r="G108" s="2139"/>
      <c r="H108" s="1194">
        <f>'Analisa Lap Keu'!E100/'Memo Review'!H107</f>
        <v>0.4949025042066712</v>
      </c>
      <c r="I108" s="584">
        <f>'Analisa Lap Keu'!E101</f>
        <v>0.97032517534262674</v>
      </c>
      <c r="J108" s="588"/>
      <c r="K108" s="588"/>
      <c r="L108" s="586"/>
      <c r="M108" s="586"/>
      <c r="N108" s="586"/>
      <c r="O108" s="586"/>
      <c r="P108" s="586"/>
      <c r="Q108" s="586"/>
      <c r="R108" s="586"/>
      <c r="S108" s="586"/>
      <c r="T108" s="586"/>
      <c r="U108" s="586"/>
      <c r="V108" s="586"/>
      <c r="W108" s="586"/>
      <c r="X108" s="586"/>
      <c r="Y108" s="586"/>
      <c r="Z108" s="586"/>
      <c r="AA108" s="649"/>
    </row>
    <row r="109" spans="1:27" s="447" customFormat="1" ht="13.5" customHeight="1" x14ac:dyDescent="0.25">
      <c r="A109" s="446"/>
      <c r="B109" s="2061" t="s">
        <v>707</v>
      </c>
      <c r="C109" s="2061"/>
      <c r="D109" s="2061"/>
      <c r="E109" s="2061"/>
      <c r="F109" s="2140"/>
      <c r="G109" s="2141"/>
      <c r="H109" s="556">
        <f>RAC!E67</f>
        <v>2.05375785817614</v>
      </c>
      <c r="I109" s="619"/>
      <c r="J109" s="588"/>
      <c r="K109" s="588"/>
      <c r="L109" s="586"/>
      <c r="M109" s="586"/>
      <c r="N109" s="586"/>
      <c r="O109" s="586"/>
      <c r="P109" s="586"/>
      <c r="Q109" s="586"/>
      <c r="R109" s="586"/>
      <c r="S109" s="586"/>
      <c r="T109" s="586"/>
      <c r="U109" s="586"/>
      <c r="V109" s="586"/>
      <c r="W109" s="586"/>
      <c r="X109" s="586"/>
      <c r="Y109" s="586"/>
      <c r="Z109" s="586"/>
      <c r="AA109" s="649"/>
    </row>
    <row r="110" spans="1:27" s="447" customFormat="1" hidden="1" x14ac:dyDescent="0.25">
      <c r="A110" s="446"/>
      <c r="B110" s="2022"/>
      <c r="C110" s="2022"/>
      <c r="D110" s="2022"/>
      <c r="E110" s="2022"/>
      <c r="F110" s="555"/>
      <c r="G110" s="555"/>
      <c r="H110" s="576"/>
      <c r="I110" s="577"/>
      <c r="J110" s="588"/>
      <c r="K110" s="588"/>
      <c r="L110" s="586"/>
      <c r="M110" s="586"/>
      <c r="N110" s="586"/>
      <c r="O110" s="586"/>
      <c r="P110" s="586"/>
      <c r="Q110" s="586"/>
      <c r="R110" s="586"/>
      <c r="S110" s="586"/>
      <c r="T110" s="586"/>
      <c r="U110" s="586"/>
      <c r="V110" s="586"/>
      <c r="W110" s="586"/>
      <c r="X110" s="586"/>
      <c r="Y110" s="586"/>
      <c r="Z110" s="586"/>
      <c r="AA110" s="649"/>
    </row>
    <row r="111" spans="1:27" s="447" customFormat="1" x14ac:dyDescent="0.25">
      <c r="A111" s="446"/>
      <c r="B111" s="2061" t="str">
        <f>'Analisa Lap Keu'!A17</f>
        <v>WI DOH (hari)</v>
      </c>
      <c r="C111" s="2061"/>
      <c r="D111" s="2061"/>
      <c r="E111" s="2061"/>
      <c r="F111" s="555" t="str">
        <f>IFERROR(F112+F113-F114-F115,"-")</f>
        <v>-</v>
      </c>
      <c r="G111" s="555" t="str">
        <f>IFERROR(G112+G113-G114-G115,"-")</f>
        <v>-</v>
      </c>
      <c r="H111" s="555">
        <f>IFERROR(H112+H113-H114-H115,"-")</f>
        <v>41.134099432370149</v>
      </c>
      <c r="I111" s="555">
        <f>IFERROR(I112+I113-I114-I115,"-")</f>
        <v>60.518552836468132</v>
      </c>
      <c r="J111" s="588"/>
      <c r="K111" s="588"/>
      <c r="L111" s="586"/>
      <c r="M111" s="586"/>
      <c r="N111" s="586"/>
      <c r="O111" s="586"/>
      <c r="P111" s="586"/>
      <c r="Q111" s="586"/>
      <c r="R111" s="586"/>
      <c r="S111" s="586"/>
      <c r="T111" s="586"/>
      <c r="U111" s="586"/>
      <c r="V111" s="586"/>
      <c r="W111" s="586"/>
      <c r="X111" s="586"/>
      <c r="Y111" s="586"/>
      <c r="Z111" s="586"/>
      <c r="AA111" s="649"/>
    </row>
    <row r="112" spans="1:27" s="447" customFormat="1" x14ac:dyDescent="0.25">
      <c r="A112" s="446"/>
      <c r="B112" s="2061" t="str">
        <f>'Analisa Lap Keu'!A18</f>
        <v>AR DOH (hari)</v>
      </c>
      <c r="C112" s="2061"/>
      <c r="D112" s="2061"/>
      <c r="E112" s="2061"/>
      <c r="F112" s="555" t="str">
        <f>'Analisa Lap Keu'!C18</f>
        <v>-</v>
      </c>
      <c r="G112" s="555" t="str">
        <f>'Analisa Lap Keu'!E18</f>
        <v>-</v>
      </c>
      <c r="H112" s="555">
        <f>'Analisa Lap Keu'!G18</f>
        <v>33.249448248331689</v>
      </c>
      <c r="I112" s="555">
        <f>IF(ISERROR(I104*360/'Analisa Lap Keu'!I68),"-",I104*360/'Analisa Lap Keu'!I68)</f>
        <v>30</v>
      </c>
      <c r="J112" s="588"/>
      <c r="K112" s="588"/>
      <c r="L112" s="586"/>
      <c r="M112" s="586"/>
      <c r="N112" s="586"/>
      <c r="O112" s="586"/>
      <c r="P112" s="586"/>
      <c r="Q112" s="586"/>
      <c r="R112" s="586"/>
      <c r="S112" s="586"/>
      <c r="T112" s="586"/>
      <c r="U112" s="586"/>
      <c r="V112" s="586"/>
      <c r="W112" s="586"/>
      <c r="X112" s="586"/>
      <c r="Y112" s="586"/>
      <c r="Z112" s="586"/>
      <c r="AA112" s="649"/>
    </row>
    <row r="113" spans="1:27" s="447" customFormat="1" x14ac:dyDescent="0.25">
      <c r="A113" s="446"/>
      <c r="B113" s="2061" t="str">
        <f>'Analisa Lap Keu'!A19</f>
        <v>Inventory DOH (hari)</v>
      </c>
      <c r="C113" s="2061"/>
      <c r="D113" s="2061"/>
      <c r="E113" s="2061"/>
      <c r="F113" s="555" t="str">
        <f>'Analisa Lap Keu'!C19</f>
        <v>-</v>
      </c>
      <c r="G113" s="555" t="str">
        <f>'Analisa Lap Keu'!E19</f>
        <v>-</v>
      </c>
      <c r="H113" s="555">
        <f>'Analisa Lap Keu'!G19</f>
        <v>33.582265976096522</v>
      </c>
      <c r="I113" s="555">
        <f>IF(ISERROR(I105*360/('Analisa Lap Keu'!$I$69+'Analisa Lap Keu'!$I$70)),"-",I105*360/('Analisa Lap Keu'!$I$69+'Analisa Lap Keu'!$I$70))</f>
        <v>60.518552836468125</v>
      </c>
      <c r="J113" s="588"/>
      <c r="K113" s="588"/>
      <c r="L113" s="586"/>
      <c r="M113" s="586"/>
      <c r="N113" s="586"/>
      <c r="O113" s="586"/>
      <c r="P113" s="586"/>
      <c r="Q113" s="586"/>
      <c r="R113" s="586"/>
      <c r="S113" s="586"/>
      <c r="T113" s="586"/>
      <c r="U113" s="586"/>
      <c r="V113" s="586"/>
      <c r="W113" s="586"/>
      <c r="X113" s="586"/>
      <c r="Y113" s="586"/>
      <c r="Z113" s="586"/>
      <c r="AA113" s="649"/>
    </row>
    <row r="114" spans="1:27" s="447" customFormat="1" x14ac:dyDescent="0.25">
      <c r="A114" s="446"/>
      <c r="B114" s="2061" t="str">
        <f>'Analisa Lap Keu'!A20</f>
        <v>AP DOH (hari)</v>
      </c>
      <c r="C114" s="2061"/>
      <c r="D114" s="2061"/>
      <c r="E114" s="2061"/>
      <c r="F114" s="555" t="str">
        <f>'Analisa Lap Keu'!C20</f>
        <v>-</v>
      </c>
      <c r="G114" s="555" t="str">
        <f>'Analisa Lap Keu'!E20</f>
        <v>-</v>
      </c>
      <c r="H114" s="555">
        <f>'Analisa Lap Keu'!G20</f>
        <v>25.697614792058058</v>
      </c>
      <c r="I114" s="555">
        <f>IF(ISERROR(I106*360/('Analisa Lap Keu'!$I$69+'Analisa Lap Keu'!$I$70)),"-",I106*360/('Analisa Lap Keu'!$I$69+'Analisa Lap Keu'!$I$70))</f>
        <v>30</v>
      </c>
      <c r="J114" s="588"/>
      <c r="K114" s="588"/>
      <c r="L114" s="586"/>
      <c r="M114" s="586"/>
      <c r="N114" s="586"/>
      <c r="O114" s="586"/>
      <c r="P114" s="586"/>
      <c r="Q114" s="586"/>
      <c r="R114" s="586"/>
      <c r="S114" s="586"/>
      <c r="T114" s="586"/>
      <c r="U114" s="586"/>
      <c r="V114" s="586"/>
      <c r="W114" s="586"/>
      <c r="X114" s="586"/>
      <c r="Y114" s="586"/>
      <c r="Z114" s="586"/>
      <c r="AA114" s="649"/>
    </row>
    <row r="115" spans="1:27" s="447" customFormat="1" x14ac:dyDescent="0.25">
      <c r="A115" s="446"/>
      <c r="B115" s="2092" t="str">
        <f>'Analisa Lap Keu'!A21</f>
        <v>AE DOH (hari)</v>
      </c>
      <c r="C115" s="2093"/>
      <c r="D115" s="2093"/>
      <c r="E115" s="2094"/>
      <c r="F115" s="555" t="str">
        <f>'Analisa Lap Keu'!C21</f>
        <v>-</v>
      </c>
      <c r="G115" s="555" t="str">
        <f>'Analisa Lap Keu'!E21</f>
        <v>-</v>
      </c>
      <c r="H115" s="578">
        <f>'Analisa Lap Keu'!G21</f>
        <v>0</v>
      </c>
      <c r="I115" s="578">
        <f>IF(ISERROR('Analisa Lap Keu'!E96*360/('Analisa Lap Keu'!$I$69+'Analisa Lap Keu'!$I$70)),"-",'Analisa Lap Keu'!E96*360/('Analisa Lap Keu'!$I$69+'Analisa Lap Keu'!$I$70))</f>
        <v>0</v>
      </c>
      <c r="J115" s="588"/>
      <c r="K115" s="588"/>
      <c r="L115" s="586"/>
      <c r="M115" s="586"/>
      <c r="N115" s="586"/>
      <c r="O115" s="586"/>
      <c r="P115" s="586"/>
      <c r="Q115" s="586"/>
      <c r="R115" s="586"/>
      <c r="S115" s="586"/>
      <c r="T115" s="586"/>
      <c r="U115" s="586"/>
      <c r="V115" s="586"/>
      <c r="W115" s="586"/>
      <c r="X115" s="586"/>
      <c r="Y115" s="586"/>
      <c r="Z115" s="586"/>
      <c r="AA115" s="649"/>
    </row>
    <row r="116" spans="1:27" s="447" customFormat="1" x14ac:dyDescent="0.25">
      <c r="A116" s="446"/>
      <c r="B116" s="2064"/>
      <c r="C116" s="2064"/>
      <c r="D116" s="2064"/>
      <c r="E116" s="2064"/>
      <c r="F116" s="512"/>
      <c r="G116" s="2064"/>
      <c r="H116" s="2064"/>
      <c r="I116" s="446"/>
      <c r="J116" s="586"/>
      <c r="K116" s="586"/>
      <c r="L116" s="586"/>
      <c r="M116" s="586"/>
      <c r="N116" s="586"/>
      <c r="O116" s="586"/>
      <c r="P116" s="586"/>
      <c r="Q116" s="586"/>
      <c r="R116" s="586"/>
      <c r="S116" s="586"/>
      <c r="T116" s="586"/>
      <c r="U116" s="586"/>
      <c r="V116" s="586"/>
      <c r="W116" s="586"/>
      <c r="X116" s="586"/>
      <c r="Y116" s="586"/>
      <c r="Z116" s="586"/>
      <c r="AA116" s="649"/>
    </row>
    <row r="117" spans="1:27" s="447" customFormat="1" ht="120.75" customHeight="1" x14ac:dyDescent="0.25">
      <c r="A117" s="446"/>
      <c r="B117" s="547" t="str">
        <f>CHAR(149)</f>
        <v>•</v>
      </c>
      <c r="C117" s="2011" t="s">
        <v>8220</v>
      </c>
      <c r="D117" s="2011"/>
      <c r="E117" s="2011"/>
      <c r="F117" s="2011"/>
      <c r="G117" s="2011"/>
      <c r="H117" s="2011"/>
      <c r="I117" s="2012"/>
      <c r="J117" s="586"/>
      <c r="K117" s="586"/>
      <c r="L117" s="586"/>
      <c r="M117" s="586"/>
      <c r="N117" s="586"/>
      <c r="O117" s="586"/>
      <c r="P117" s="586"/>
      <c r="Q117" s="586"/>
      <c r="R117" s="586"/>
      <c r="S117" s="586"/>
      <c r="T117" s="586"/>
      <c r="U117" s="586">
        <f>IF(C117="",0,1)</f>
        <v>1</v>
      </c>
      <c r="V117" s="586"/>
      <c r="W117" s="586"/>
      <c r="X117" s="586"/>
      <c r="Y117" s="586"/>
      <c r="Z117" s="586"/>
      <c r="AA117" s="649"/>
    </row>
    <row r="118" spans="1:27" s="447" customFormat="1" ht="61.5" customHeight="1" x14ac:dyDescent="0.25">
      <c r="A118" s="446"/>
      <c r="B118" s="548" t="str">
        <f>CHAR(149)</f>
        <v>•</v>
      </c>
      <c r="C118" s="2065" t="s">
        <v>8215</v>
      </c>
      <c r="D118" s="2066"/>
      <c r="E118" s="2066"/>
      <c r="F118" s="2066"/>
      <c r="G118" s="2066"/>
      <c r="H118" s="2066"/>
      <c r="I118" s="2067"/>
      <c r="J118" s="586"/>
      <c r="K118" s="586"/>
      <c r="L118" s="586"/>
      <c r="M118" s="586"/>
      <c r="N118" s="586"/>
      <c r="O118" s="586"/>
      <c r="P118" s="586"/>
      <c r="Q118" s="586"/>
      <c r="R118" s="586"/>
      <c r="S118" s="586"/>
      <c r="T118" s="586"/>
      <c r="U118" s="586">
        <f>IF(C118="",0,1)</f>
        <v>1</v>
      </c>
      <c r="V118" s="586"/>
      <c r="W118" s="586"/>
      <c r="X118" s="586"/>
      <c r="Y118" s="586"/>
      <c r="Z118" s="586"/>
      <c r="AA118" s="649"/>
    </row>
    <row r="119" spans="1:27" s="447" customFormat="1" ht="301.5" customHeight="1" x14ac:dyDescent="0.25">
      <c r="A119" s="446"/>
      <c r="B119" s="549" t="str">
        <f>CHAR(149)</f>
        <v>•</v>
      </c>
      <c r="C119" s="2032" t="s">
        <v>8244</v>
      </c>
      <c r="D119" s="2032"/>
      <c r="E119" s="2032"/>
      <c r="F119" s="2032"/>
      <c r="G119" s="2032"/>
      <c r="H119" s="2032"/>
      <c r="I119" s="2033"/>
      <c r="J119" s="586"/>
      <c r="K119" s="586"/>
      <c r="L119" s="586"/>
      <c r="M119" s="586"/>
      <c r="N119" s="586"/>
      <c r="O119" s="586"/>
      <c r="P119" s="586"/>
      <c r="Q119" s="586"/>
      <c r="R119" s="586"/>
      <c r="S119" s="586"/>
      <c r="T119" s="586"/>
      <c r="U119" s="586">
        <f>IF(C119="",0,1)</f>
        <v>1</v>
      </c>
      <c r="V119" s="586"/>
      <c r="W119" s="586"/>
      <c r="X119" s="586"/>
      <c r="Y119" s="586"/>
      <c r="Z119" s="586"/>
      <c r="AA119" s="649"/>
    </row>
    <row r="120" spans="1:27" s="447" customFormat="1" x14ac:dyDescent="0.25">
      <c r="A120" s="446"/>
      <c r="B120" s="550"/>
      <c r="C120" s="551"/>
      <c r="D120" s="551"/>
      <c r="E120" s="551"/>
      <c r="F120" s="551"/>
      <c r="G120" s="551"/>
      <c r="H120" s="551"/>
      <c r="I120" s="551"/>
      <c r="J120" s="586"/>
      <c r="K120" s="586"/>
      <c r="L120" s="586"/>
      <c r="M120" s="586"/>
      <c r="N120" s="586"/>
      <c r="O120" s="586"/>
      <c r="P120" s="586"/>
      <c r="Q120" s="586"/>
      <c r="R120" s="586"/>
      <c r="S120" s="586"/>
      <c r="T120" s="447" t="s">
        <v>7864</v>
      </c>
      <c r="U120" s="586">
        <f>SUM(U117:U119)</f>
        <v>3</v>
      </c>
      <c r="V120" s="586"/>
      <c r="W120" s="586"/>
      <c r="X120" s="586"/>
      <c r="Y120" s="586"/>
      <c r="Z120" s="586"/>
      <c r="AA120" s="649"/>
    </row>
    <row r="121" spans="1:27" s="447" customFormat="1" x14ac:dyDescent="0.25">
      <c r="A121" s="509" t="s">
        <v>7645</v>
      </c>
      <c r="B121" s="446"/>
      <c r="C121" s="446"/>
      <c r="D121" s="446"/>
      <c r="E121" s="446"/>
      <c r="F121" s="446"/>
      <c r="G121" s="446"/>
      <c r="H121" s="446"/>
      <c r="I121" s="446"/>
      <c r="J121" s="586"/>
      <c r="K121" s="586"/>
      <c r="L121" s="586"/>
      <c r="M121" s="586"/>
      <c r="N121" s="586"/>
      <c r="O121" s="586"/>
      <c r="P121" s="586"/>
      <c r="Q121" s="586"/>
      <c r="R121" s="586"/>
      <c r="S121" s="586"/>
      <c r="T121" s="586"/>
      <c r="U121" s="586"/>
      <c r="V121" s="586"/>
      <c r="W121" s="586"/>
      <c r="X121" s="586"/>
      <c r="Y121" s="586"/>
      <c r="Z121" s="586"/>
      <c r="AA121" s="649"/>
    </row>
    <row r="122" spans="1:27" s="447" customFormat="1" x14ac:dyDescent="0.25">
      <c r="A122" s="513"/>
      <c r="B122" s="446"/>
      <c r="C122" s="446"/>
      <c r="D122" s="446"/>
      <c r="E122" s="446"/>
      <c r="F122" s="446"/>
      <c r="G122" s="446"/>
      <c r="H122" s="446"/>
      <c r="I122" s="446"/>
      <c r="J122" s="586"/>
      <c r="K122" s="586"/>
      <c r="L122" s="586"/>
      <c r="M122" s="586"/>
      <c r="N122" s="586"/>
      <c r="O122" s="586"/>
      <c r="P122" s="586"/>
      <c r="Q122" s="586"/>
      <c r="R122" s="586"/>
      <c r="S122" s="586"/>
      <c r="T122" s="586"/>
      <c r="U122" s="586"/>
      <c r="V122" s="586"/>
      <c r="W122" s="586"/>
      <c r="X122" s="586"/>
      <c r="Y122" s="586"/>
      <c r="Z122" s="586"/>
      <c r="AA122" s="649"/>
    </row>
    <row r="123" spans="1:27" s="447" customFormat="1" x14ac:dyDescent="0.25">
      <c r="A123" s="446"/>
      <c r="B123" s="446" t="s">
        <v>6319</v>
      </c>
      <c r="C123" s="446"/>
      <c r="D123" s="446"/>
      <c r="E123" s="446"/>
      <c r="F123" s="446"/>
      <c r="G123" s="446"/>
      <c r="H123" s="446"/>
      <c r="I123" s="446"/>
      <c r="J123" s="586"/>
      <c r="K123" s="586"/>
      <c r="L123" s="586"/>
      <c r="M123" s="586"/>
      <c r="N123" s="586"/>
      <c r="O123" s="586"/>
      <c r="P123" s="586"/>
      <c r="Q123" s="586"/>
      <c r="R123" s="586"/>
      <c r="S123" s="586"/>
      <c r="T123" s="586"/>
      <c r="U123" s="586"/>
      <c r="V123" s="586"/>
      <c r="W123" s="586"/>
      <c r="X123" s="586"/>
      <c r="Y123" s="586"/>
      <c r="Z123" s="586"/>
      <c r="AA123" s="649"/>
    </row>
    <row r="124" spans="1:27" hidden="1" x14ac:dyDescent="0.25"/>
    <row r="125" spans="1:27" s="447" customFormat="1" ht="30" x14ac:dyDescent="0.25">
      <c r="A125" s="446"/>
      <c r="B125" s="2068" t="s">
        <v>6320</v>
      </c>
      <c r="C125" s="2069"/>
      <c r="D125" s="552" t="s">
        <v>4</v>
      </c>
      <c r="E125" s="552" t="s">
        <v>7595</v>
      </c>
      <c r="F125" s="553" t="s">
        <v>7596</v>
      </c>
      <c r="G125" s="553" t="s">
        <v>4319</v>
      </c>
      <c r="H125" s="2068" t="s">
        <v>4318</v>
      </c>
      <c r="I125" s="2070"/>
      <c r="J125" s="586"/>
      <c r="K125" s="586"/>
      <c r="L125" s="586"/>
      <c r="M125" s="586"/>
      <c r="N125" s="586"/>
      <c r="O125" s="586"/>
      <c r="P125" s="586"/>
      <c r="Q125" s="586"/>
      <c r="R125" s="586"/>
      <c r="S125" s="586"/>
      <c r="T125" s="586"/>
      <c r="U125" s="586"/>
      <c r="V125" s="586"/>
      <c r="W125" s="586"/>
      <c r="X125" s="586"/>
      <c r="Y125" s="586"/>
      <c r="Z125" s="586"/>
      <c r="AA125" s="649"/>
    </row>
    <row r="126" spans="1:27" s="447" customFormat="1" hidden="1" x14ac:dyDescent="0.25">
      <c r="A126" s="446"/>
      <c r="B126" s="2062" t="str">
        <f>IF(D126="","","BTPN")</f>
        <v/>
      </c>
      <c r="C126" s="2063"/>
      <c r="D126" s="555" t="str">
        <f>IF(D22=0,"",B22)</f>
        <v/>
      </c>
      <c r="E126" s="557">
        <f>D22</f>
        <v>0</v>
      </c>
      <c r="F126" s="558">
        <f>'Informasi Debitur'!H101</f>
        <v>0</v>
      </c>
      <c r="G126" s="2071"/>
      <c r="H126" s="2072"/>
      <c r="I126" s="2073"/>
      <c r="J126" s="586"/>
      <c r="K126" s="586"/>
      <c r="L126" s="586"/>
      <c r="M126" s="586"/>
      <c r="N126" s="586"/>
      <c r="O126" s="586"/>
      <c r="P126" s="586"/>
      <c r="Q126" s="586"/>
      <c r="R126" s="586"/>
      <c r="S126" s="586"/>
      <c r="T126" s="586"/>
      <c r="U126" s="586">
        <f t="shared" ref="U126:U132" si="9">IF(B126="",0,1)</f>
        <v>0</v>
      </c>
      <c r="V126" s="586"/>
      <c r="W126" s="586"/>
      <c r="X126" s="586"/>
      <c r="Y126" s="586"/>
      <c r="Z126" s="586"/>
      <c r="AA126" s="649"/>
    </row>
    <row r="127" spans="1:27" s="447" customFormat="1" hidden="1" x14ac:dyDescent="0.25">
      <c r="A127" s="446"/>
      <c r="B127" s="2062" t="str">
        <f t="shared" ref="B127:B132" si="10">IF(D127="","","BTPN")</f>
        <v/>
      </c>
      <c r="C127" s="2063"/>
      <c r="D127" s="555" t="str">
        <f t="shared" ref="D127:D132" si="11">IF(D23=0,"",B23)</f>
        <v/>
      </c>
      <c r="E127" s="557">
        <f t="shared" ref="E127:E132" si="12">D23</f>
        <v>0</v>
      </c>
      <c r="F127" s="558">
        <f>'Informasi Debitur'!H102</f>
        <v>0</v>
      </c>
      <c r="G127" s="2074"/>
      <c r="H127" s="2075"/>
      <c r="I127" s="2076"/>
      <c r="J127" s="586"/>
      <c r="K127" s="586"/>
      <c r="L127" s="586"/>
      <c r="M127" s="586"/>
      <c r="N127" s="586"/>
      <c r="O127" s="586"/>
      <c r="P127" s="586"/>
      <c r="Q127" s="586"/>
      <c r="R127" s="586"/>
      <c r="S127" s="586"/>
      <c r="T127" s="586"/>
      <c r="U127" s="586">
        <f t="shared" si="9"/>
        <v>0</v>
      </c>
      <c r="V127" s="586"/>
      <c r="W127" s="586"/>
      <c r="X127" s="586"/>
      <c r="Y127" s="586"/>
      <c r="Z127" s="586"/>
      <c r="AA127" s="649"/>
    </row>
    <row r="128" spans="1:27" s="447" customFormat="1" hidden="1" x14ac:dyDescent="0.25">
      <c r="A128" s="446"/>
      <c r="B128" s="2062" t="str">
        <f t="shared" si="10"/>
        <v/>
      </c>
      <c r="C128" s="2063"/>
      <c r="D128" s="555" t="str">
        <f t="shared" si="11"/>
        <v/>
      </c>
      <c r="E128" s="557">
        <f t="shared" si="12"/>
        <v>0</v>
      </c>
      <c r="F128" s="558">
        <f>'Informasi Debitur'!H103</f>
        <v>0</v>
      </c>
      <c r="G128" s="2074"/>
      <c r="H128" s="2075"/>
      <c r="I128" s="2076"/>
      <c r="J128" s="586"/>
      <c r="K128" s="586"/>
      <c r="L128" s="586"/>
      <c r="M128" s="586"/>
      <c r="N128" s="586"/>
      <c r="O128" s="586"/>
      <c r="P128" s="586"/>
      <c r="Q128" s="586"/>
      <c r="R128" s="586"/>
      <c r="S128" s="586"/>
      <c r="T128" s="586"/>
      <c r="U128" s="586">
        <f t="shared" si="9"/>
        <v>0</v>
      </c>
      <c r="V128" s="586"/>
      <c r="W128" s="586"/>
      <c r="X128" s="586"/>
      <c r="Y128" s="586"/>
      <c r="Z128" s="586"/>
      <c r="AA128" s="649"/>
    </row>
    <row r="129" spans="1:27" s="447" customFormat="1" hidden="1" x14ac:dyDescent="0.25">
      <c r="A129" s="446"/>
      <c r="B129" s="2062" t="str">
        <f t="shared" si="10"/>
        <v/>
      </c>
      <c r="C129" s="2063"/>
      <c r="D129" s="555" t="str">
        <f t="shared" si="11"/>
        <v/>
      </c>
      <c r="E129" s="557">
        <f t="shared" si="12"/>
        <v>0</v>
      </c>
      <c r="F129" s="558">
        <f>'Informasi Debitur'!H104</f>
        <v>0</v>
      </c>
      <c r="G129" s="2074"/>
      <c r="H129" s="2075"/>
      <c r="I129" s="2076"/>
      <c r="J129" s="586"/>
      <c r="K129" s="586"/>
      <c r="L129" s="586"/>
      <c r="M129" s="586"/>
      <c r="N129" s="586"/>
      <c r="O129" s="586"/>
      <c r="P129" s="586"/>
      <c r="Q129" s="586"/>
      <c r="R129" s="586"/>
      <c r="S129" s="586"/>
      <c r="T129" s="586"/>
      <c r="U129" s="586">
        <f t="shared" si="9"/>
        <v>0</v>
      </c>
      <c r="V129" s="586"/>
      <c r="W129" s="586"/>
      <c r="X129" s="586"/>
      <c r="Y129" s="586"/>
      <c r="Z129" s="586"/>
      <c r="AA129" s="649"/>
    </row>
    <row r="130" spans="1:27" s="447" customFormat="1" hidden="1" x14ac:dyDescent="0.25">
      <c r="A130" s="446"/>
      <c r="B130" s="2062" t="str">
        <f t="shared" si="10"/>
        <v/>
      </c>
      <c r="C130" s="2063"/>
      <c r="D130" s="555" t="str">
        <f t="shared" si="11"/>
        <v/>
      </c>
      <c r="E130" s="557">
        <f t="shared" si="12"/>
        <v>0</v>
      </c>
      <c r="F130" s="558">
        <f>'Informasi Debitur'!H105</f>
        <v>0</v>
      </c>
      <c r="G130" s="2074"/>
      <c r="H130" s="2075"/>
      <c r="I130" s="2076"/>
      <c r="J130" s="586"/>
      <c r="K130" s="586"/>
      <c r="L130" s="586"/>
      <c r="M130" s="586"/>
      <c r="N130" s="586"/>
      <c r="O130" s="586"/>
      <c r="P130" s="586"/>
      <c r="Q130" s="586"/>
      <c r="R130" s="586"/>
      <c r="S130" s="586"/>
      <c r="T130" s="586"/>
      <c r="U130" s="586">
        <f t="shared" si="9"/>
        <v>0</v>
      </c>
      <c r="V130" s="586"/>
      <c r="W130" s="586"/>
      <c r="X130" s="586"/>
      <c r="Y130" s="586"/>
      <c r="Z130" s="586"/>
      <c r="AA130" s="649"/>
    </row>
    <row r="131" spans="1:27" s="447" customFormat="1" hidden="1" x14ac:dyDescent="0.25">
      <c r="A131" s="446"/>
      <c r="B131" s="2062" t="str">
        <f t="shared" si="10"/>
        <v/>
      </c>
      <c r="C131" s="2063"/>
      <c r="D131" s="555" t="str">
        <f t="shared" si="11"/>
        <v/>
      </c>
      <c r="E131" s="557">
        <f t="shared" si="12"/>
        <v>0</v>
      </c>
      <c r="F131" s="558">
        <f>'Informasi Debitur'!H106</f>
        <v>0</v>
      </c>
      <c r="G131" s="2074"/>
      <c r="H131" s="2075"/>
      <c r="I131" s="2076"/>
      <c r="J131" s="586"/>
      <c r="K131" s="586"/>
      <c r="L131" s="586"/>
      <c r="M131" s="586"/>
      <c r="N131" s="586"/>
      <c r="O131" s="586"/>
      <c r="P131" s="586"/>
      <c r="Q131" s="586"/>
      <c r="R131" s="586"/>
      <c r="S131" s="586"/>
      <c r="T131" s="586"/>
      <c r="U131" s="586">
        <f t="shared" si="9"/>
        <v>0</v>
      </c>
      <c r="V131" s="586"/>
      <c r="W131" s="586"/>
      <c r="X131" s="586"/>
      <c r="Y131" s="586"/>
      <c r="Z131" s="586"/>
      <c r="AA131" s="649"/>
    </row>
    <row r="132" spans="1:27" s="447" customFormat="1" hidden="1" x14ac:dyDescent="0.25">
      <c r="A132" s="446"/>
      <c r="B132" s="2062" t="str">
        <f t="shared" si="10"/>
        <v/>
      </c>
      <c r="C132" s="2063"/>
      <c r="D132" s="555" t="str">
        <f t="shared" si="11"/>
        <v/>
      </c>
      <c r="E132" s="557">
        <f t="shared" si="12"/>
        <v>0</v>
      </c>
      <c r="F132" s="558">
        <f>'Informasi Debitur'!H107</f>
        <v>0</v>
      </c>
      <c r="G132" s="2077"/>
      <c r="H132" s="2078"/>
      <c r="I132" s="2079"/>
      <c r="J132" s="586"/>
      <c r="K132" s="586"/>
      <c r="L132" s="586"/>
      <c r="M132" s="586"/>
      <c r="N132" s="586"/>
      <c r="O132" s="586"/>
      <c r="P132" s="586"/>
      <c r="Q132" s="586"/>
      <c r="R132" s="586"/>
      <c r="S132" s="586"/>
      <c r="T132" s="586"/>
      <c r="U132" s="586">
        <f t="shared" si="9"/>
        <v>0</v>
      </c>
      <c r="V132" s="586"/>
      <c r="W132" s="586"/>
      <c r="X132" s="586"/>
      <c r="Y132" s="586"/>
      <c r="Z132" s="586"/>
      <c r="AA132" s="649"/>
    </row>
    <row r="133" spans="1:27" s="447" customFormat="1" x14ac:dyDescent="0.25">
      <c r="A133" s="446"/>
      <c r="B133" s="1996" t="str">
        <f>IF(ISBLANK('Informasi Debitur'!A154)=TRUE,"",'Informasi Debitur'!A154)</f>
        <v>Permata</v>
      </c>
      <c r="C133" s="1997"/>
      <c r="D133" s="555" t="str">
        <f>IF(ISBLANK('Informasi Debitur'!C154)=TRUE,"",'Informasi Debitur'!C154)</f>
        <v>KPM</v>
      </c>
      <c r="E133" s="557">
        <f>IF(ISBLANK('Informasi Debitur'!F154)=TRUE,0,'Informasi Debitur'!F154)</f>
        <v>49.116999999999997</v>
      </c>
      <c r="F133" s="558">
        <f>IF(ISBLANK('Informasi Debitur'!G154)=TRUE,0,'Informasi Debitur'!G154)</f>
        <v>49.116999999999997</v>
      </c>
      <c r="G133" s="571">
        <f>IF(ISBLANK('Informasi Debitur'!H154)=TRUE,"",'Informasi Debitur'!H154)</f>
        <v>42965</v>
      </c>
      <c r="H133" s="2057" t="str">
        <f>'Informasi Debitur'!I154</f>
        <v>Oh Njen Lieng ( Cadeb )</v>
      </c>
      <c r="I133" s="2058"/>
      <c r="J133" s="586"/>
      <c r="K133" s="586"/>
      <c r="L133" s="586"/>
      <c r="M133" s="586"/>
      <c r="N133" s="586"/>
      <c r="O133" s="586"/>
      <c r="P133" s="586"/>
      <c r="Q133" s="586"/>
      <c r="R133" s="586"/>
      <c r="S133" s="586"/>
      <c r="T133" s="586"/>
      <c r="U133" s="586">
        <f t="shared" ref="U133:U147" si="13">IF(B133="",0,1)</f>
        <v>1</v>
      </c>
      <c r="V133" s="586"/>
      <c r="W133" s="586"/>
      <c r="X133" s="586"/>
      <c r="Y133" s="586"/>
      <c r="Z133" s="586"/>
      <c r="AA133" s="649"/>
    </row>
    <row r="134" spans="1:27" s="447" customFormat="1" x14ac:dyDescent="0.25">
      <c r="A134" s="446"/>
      <c r="B134" s="1996" t="str">
        <f>IF(ISBLANK('Informasi Debitur'!A155)=TRUE,"",'Informasi Debitur'!A155)</f>
        <v>Permata</v>
      </c>
      <c r="C134" s="1997"/>
      <c r="D134" s="555" t="str">
        <f>IF(ISBLANK('Informasi Debitur'!C155)=TRUE,"",'Informasi Debitur'!C155)</f>
        <v>KPM</v>
      </c>
      <c r="E134" s="557">
        <f>IF(ISBLANK('Informasi Debitur'!F155)=TRUE,0,'Informasi Debitur'!F155)</f>
        <v>94.872</v>
      </c>
      <c r="F134" s="558">
        <f>IF(ISBLANK('Informasi Debitur'!G155)=TRUE,0,'Informasi Debitur'!G155)</f>
        <v>94.872</v>
      </c>
      <c r="G134" s="572">
        <f>IF(ISBLANK('Informasi Debitur'!H155)=TRUE,"",'Informasi Debitur'!H155)</f>
        <v>42965</v>
      </c>
      <c r="H134" s="2057" t="str">
        <f>'Informasi Debitur'!I155</f>
        <v>Oh Njen Lieng ( Cadeb )</v>
      </c>
      <c r="I134" s="2058"/>
      <c r="J134" s="586"/>
      <c r="K134" s="586"/>
      <c r="L134" s="586"/>
      <c r="M134" s="586"/>
      <c r="N134" s="586"/>
      <c r="O134" s="586"/>
      <c r="P134" s="586"/>
      <c r="Q134" s="586"/>
      <c r="R134" s="586"/>
      <c r="S134" s="586"/>
      <c r="T134" s="586"/>
      <c r="U134" s="586">
        <f t="shared" si="13"/>
        <v>1</v>
      </c>
      <c r="V134" s="586"/>
      <c r="W134" s="586"/>
      <c r="X134" s="586"/>
      <c r="Y134" s="586"/>
      <c r="Z134" s="586"/>
      <c r="AA134" s="649"/>
    </row>
    <row r="135" spans="1:27" s="447" customFormat="1" x14ac:dyDescent="0.25">
      <c r="A135" s="446"/>
      <c r="B135" s="1996" t="str">
        <f>IF(ISBLANK('Informasi Debitur'!A156)=TRUE,"",'Informasi Debitur'!A156)</f>
        <v>Panin</v>
      </c>
      <c r="C135" s="1997"/>
      <c r="D135" s="555" t="str">
        <f>IF(ISBLANK('Informasi Debitur'!C156)=TRUE,"",'Informasi Debitur'!C156)</f>
        <v>KPR</v>
      </c>
      <c r="E135" s="557">
        <f>IF(ISBLANK('Informasi Debitur'!F156)=TRUE,0,'Informasi Debitur'!F156)</f>
        <v>375.93599999999998</v>
      </c>
      <c r="F135" s="558">
        <f>IF(ISBLANK('Informasi Debitur'!G156)=TRUE,0,'Informasi Debitur'!G156)</f>
        <v>375.93599999999998</v>
      </c>
      <c r="G135" s="572">
        <f>IF(ISBLANK('Informasi Debitur'!H156)=TRUE,"",'Informasi Debitur'!H156)</f>
        <v>40651</v>
      </c>
      <c r="H135" s="2057" t="str">
        <f>'Informasi Debitur'!I156</f>
        <v>Yuanita (Istri Cadeb)</v>
      </c>
      <c r="I135" s="2058"/>
      <c r="J135" s="586"/>
      <c r="K135" s="586"/>
      <c r="L135" s="586"/>
      <c r="M135" s="586"/>
      <c r="N135" s="586"/>
      <c r="O135" s="586"/>
      <c r="P135" s="586"/>
      <c r="Q135" s="586"/>
      <c r="R135" s="586"/>
      <c r="S135" s="586"/>
      <c r="T135" s="586"/>
      <c r="U135" s="586">
        <f t="shared" si="13"/>
        <v>1</v>
      </c>
      <c r="V135" s="586"/>
      <c r="W135" s="586"/>
      <c r="X135" s="586"/>
      <c r="Y135" s="586"/>
      <c r="Z135" s="586"/>
      <c r="AA135" s="649"/>
    </row>
    <row r="136" spans="1:27" s="447" customFormat="1" x14ac:dyDescent="0.25">
      <c r="A136" s="446"/>
      <c r="B136" s="1996" t="str">
        <f>IF(ISBLANK('Informasi Debitur'!A157)=TRUE,"",'Informasi Debitur'!A157)</f>
        <v>Danamon</v>
      </c>
      <c r="C136" s="1997"/>
      <c r="D136" s="555" t="str">
        <f>IF(ISBLANK('Informasi Debitur'!C157)=TRUE,"",'Informasi Debitur'!C157)</f>
        <v>KPM</v>
      </c>
      <c r="E136" s="557">
        <f>IF(ISBLANK('Informasi Debitur'!F157)=TRUE,0,'Informasi Debitur'!F157)</f>
        <v>70.036000000000001</v>
      </c>
      <c r="F136" s="558">
        <f>IF(ISBLANK('Informasi Debitur'!G157)=TRUE,0,'Informasi Debitur'!G157)</f>
        <v>70.036000000000001</v>
      </c>
      <c r="G136" s="572">
        <f>IF(ISBLANK('Informasi Debitur'!H157)=TRUE,"",'Informasi Debitur'!H157)</f>
        <v>42949</v>
      </c>
      <c r="H136" s="2057" t="str">
        <f>'Informasi Debitur'!I157</f>
        <v>PT Barito Inti Perkasa  (Perusahaan Cadeb)</v>
      </c>
      <c r="I136" s="2058"/>
      <c r="J136" s="586"/>
      <c r="K136" s="586"/>
      <c r="L136" s="586"/>
      <c r="M136" s="586"/>
      <c r="N136" s="586"/>
      <c r="O136" s="586"/>
      <c r="P136" s="586"/>
      <c r="Q136" s="586"/>
      <c r="R136" s="586"/>
      <c r="S136" s="586"/>
      <c r="T136" s="586"/>
      <c r="U136" s="586">
        <f t="shared" si="13"/>
        <v>1</v>
      </c>
      <c r="V136" s="586"/>
      <c r="W136" s="586"/>
      <c r="X136" s="586"/>
      <c r="Y136" s="586"/>
      <c r="Z136" s="586"/>
      <c r="AA136" s="649"/>
    </row>
    <row r="137" spans="1:27" s="447" customFormat="1" x14ac:dyDescent="0.25">
      <c r="A137" s="446"/>
      <c r="B137" s="1996" t="str">
        <f>IF(ISBLANK('Informasi Debitur'!A158)=TRUE,"",'Informasi Debitur'!A158)</f>
        <v>Danamon</v>
      </c>
      <c r="C137" s="1997"/>
      <c r="D137" s="555" t="str">
        <f>IF(ISBLANK('Informasi Debitur'!C158)=TRUE,"",'Informasi Debitur'!C158)</f>
        <v>KPM</v>
      </c>
      <c r="E137" s="557">
        <f>IF(ISBLANK('Informasi Debitur'!F158)=TRUE,0,'Informasi Debitur'!F158)</f>
        <v>70.036000000000001</v>
      </c>
      <c r="F137" s="558">
        <f>IF(ISBLANK('Informasi Debitur'!G158)=TRUE,0,'Informasi Debitur'!G158)</f>
        <v>70.036000000000001</v>
      </c>
      <c r="G137" s="572">
        <f>IF(ISBLANK('Informasi Debitur'!H158)=TRUE,"",'Informasi Debitur'!H158)</f>
        <v>42949</v>
      </c>
      <c r="H137" s="2057" t="str">
        <f>'Informasi Debitur'!I158</f>
        <v>PT Barito Inti Perkasa (Perusahaan Cadeb)</v>
      </c>
      <c r="I137" s="2058"/>
      <c r="J137" s="598"/>
      <c r="K137" s="598"/>
      <c r="L137" s="598"/>
      <c r="M137" s="598"/>
      <c r="N137" s="598"/>
      <c r="O137" s="598"/>
      <c r="P137" s="598"/>
      <c r="Q137" s="598"/>
      <c r="R137" s="598"/>
      <c r="S137" s="586"/>
      <c r="T137" s="586"/>
      <c r="U137" s="586">
        <f t="shared" si="13"/>
        <v>1</v>
      </c>
      <c r="V137" s="586"/>
      <c r="W137" s="586"/>
      <c r="X137" s="586"/>
      <c r="Y137" s="586"/>
      <c r="Z137" s="586"/>
      <c r="AA137" s="649"/>
    </row>
    <row r="138" spans="1:27" s="447" customFormat="1" x14ac:dyDescent="0.25">
      <c r="A138" s="446"/>
      <c r="B138" s="1996" t="str">
        <f>IF(ISBLANK('Informasi Debitur'!A159)=TRUE,"",'Informasi Debitur'!A159)</f>
        <v>Citibank</v>
      </c>
      <c r="C138" s="1997"/>
      <c r="D138" s="555" t="str">
        <f>IF(ISBLANK('Informasi Debitur'!C159)=TRUE,"",'Informasi Debitur'!C159)</f>
        <v>Kartu Kredit</v>
      </c>
      <c r="E138" s="557">
        <f>IF(ISBLANK('Informasi Debitur'!F159)=TRUE,0,'Informasi Debitur'!F159)</f>
        <v>174.85499999999999</v>
      </c>
      <c r="F138" s="558">
        <f>IF(ISBLANK('Informasi Debitur'!G159)=TRUE,0,'Informasi Debitur'!G159)</f>
        <v>174.85499999999999</v>
      </c>
      <c r="G138" s="572">
        <f>IF(ISBLANK('Informasi Debitur'!H159)=TRUE,"",'Informasi Debitur'!H159)</f>
        <v>42584</v>
      </c>
      <c r="H138" s="2057" t="str">
        <f>'Informasi Debitur'!I159</f>
        <v>Oh Njen Lieng ( Cadeb )</v>
      </c>
      <c r="I138" s="2058"/>
      <c r="J138" s="598"/>
      <c r="K138" s="598"/>
      <c r="L138" s="598"/>
      <c r="M138" s="598"/>
      <c r="N138" s="598"/>
      <c r="O138" s="598"/>
      <c r="P138" s="598"/>
      <c r="Q138" s="598"/>
      <c r="R138" s="598"/>
      <c r="S138" s="586"/>
      <c r="T138" s="586"/>
      <c r="U138" s="586">
        <f t="shared" si="13"/>
        <v>1</v>
      </c>
      <c r="V138" s="586"/>
      <c r="W138" s="586"/>
      <c r="X138" s="586"/>
      <c r="Y138" s="586"/>
      <c r="Z138" s="586"/>
      <c r="AA138" s="649"/>
    </row>
    <row r="139" spans="1:27" s="447" customFormat="1" x14ac:dyDescent="0.25">
      <c r="A139" s="446"/>
      <c r="B139" s="1996" t="str">
        <f>IF(ISBLANK('Informasi Debitur'!A160)=TRUE,"",'Informasi Debitur'!A160)</f>
        <v>Bank2</v>
      </c>
      <c r="C139" s="1997"/>
      <c r="D139" s="555" t="str">
        <f>IF(ISBLANK('Informasi Debitur'!C160)=TRUE,"",'Informasi Debitur'!C160)</f>
        <v>Kartu Kredit</v>
      </c>
      <c r="E139" s="557">
        <f>IF(ISBLANK('Informasi Debitur'!F160)=TRUE,0,'Informasi Debitur'!F160)</f>
        <v>280.10000000000002</v>
      </c>
      <c r="F139" s="558">
        <f>IF(ISBLANK('Informasi Debitur'!G160)=TRUE,0,'Informasi Debitur'!G160)</f>
        <v>120.96299999999999</v>
      </c>
      <c r="G139" s="572" t="str">
        <f>IF(ISBLANK('Informasi Debitur'!H160)=TRUE,"",'Informasi Debitur'!H160)</f>
        <v/>
      </c>
      <c r="H139" s="2057" t="str">
        <f>'Informasi Debitur'!I160</f>
        <v>Oh Njen Lieng ( Cadeb )</v>
      </c>
      <c r="I139" s="2058"/>
      <c r="J139" s="586"/>
      <c r="K139" s="586"/>
      <c r="L139" s="586"/>
      <c r="M139" s="586"/>
      <c r="N139" s="586"/>
      <c r="O139" s="586"/>
      <c r="P139" s="586"/>
      <c r="Q139" s="586"/>
      <c r="R139" s="586"/>
      <c r="S139" s="586"/>
      <c r="T139" s="586"/>
      <c r="U139" s="586">
        <f t="shared" si="13"/>
        <v>1</v>
      </c>
      <c r="V139" s="586"/>
      <c r="W139" s="586"/>
      <c r="X139" s="586"/>
      <c r="Y139" s="586"/>
      <c r="Z139" s="586"/>
      <c r="AA139" s="649"/>
    </row>
    <row r="140" spans="1:27" s="447" customFormat="1" x14ac:dyDescent="0.25">
      <c r="A140" s="446"/>
      <c r="B140" s="1996" t="str">
        <f>IF(ISBLANK('Informasi Debitur'!A161)=TRUE,"",'Informasi Debitur'!A161)</f>
        <v>Bank2</v>
      </c>
      <c r="C140" s="1997"/>
      <c r="D140" s="555" t="str">
        <f>IF(ISBLANK('Informasi Debitur'!C161)=TRUE,"",'Informasi Debitur'!C161)</f>
        <v>Kartu Kredit</v>
      </c>
      <c r="E140" s="557">
        <f>IF(ISBLANK('Informasi Debitur'!F161)=TRUE,0,'Informasi Debitur'!F161)</f>
        <v>865.03599999999994</v>
      </c>
      <c r="F140" s="558">
        <f>IF(ISBLANK('Informasi Debitur'!G161)=TRUE,0,'Informasi Debitur'!G161)</f>
        <v>3.1819999999999999</v>
      </c>
      <c r="G140" s="572" t="str">
        <f>IF(ISBLANK('Informasi Debitur'!H161)=TRUE,"",'Informasi Debitur'!H161)</f>
        <v/>
      </c>
      <c r="H140" s="2057" t="str">
        <f>'Informasi Debitur'!I161</f>
        <v>Andy Susanto  (Komisaris PT Barito Inti Perkasa)</v>
      </c>
      <c r="I140" s="2058"/>
      <c r="J140" s="586"/>
      <c r="K140" s="586"/>
      <c r="L140" s="586"/>
      <c r="M140" s="586"/>
      <c r="N140" s="586"/>
      <c r="O140" s="586"/>
      <c r="P140" s="586"/>
      <c r="Q140" s="586"/>
      <c r="R140" s="586"/>
      <c r="S140" s="586"/>
      <c r="T140" s="586"/>
      <c r="U140" s="586">
        <f t="shared" si="13"/>
        <v>1</v>
      </c>
      <c r="V140" s="586"/>
      <c r="W140" s="586"/>
      <c r="X140" s="586"/>
      <c r="Y140" s="586"/>
      <c r="Z140" s="586"/>
      <c r="AA140" s="649"/>
    </row>
    <row r="141" spans="1:27" s="447" customFormat="1" hidden="1" x14ac:dyDescent="0.25">
      <c r="A141" s="446"/>
      <c r="B141" s="1996" t="str">
        <f>IF(ISBLANK('Informasi Debitur'!A162)=TRUE,"",'Informasi Debitur'!A162)</f>
        <v/>
      </c>
      <c r="C141" s="1997"/>
      <c r="D141" s="555" t="str">
        <f>IF(ISBLANK('Informasi Debitur'!C162)=TRUE,"",'Informasi Debitur'!C162)</f>
        <v/>
      </c>
      <c r="E141" s="557">
        <f>IF(ISBLANK('Informasi Debitur'!F162)=TRUE,0,'Informasi Debitur'!F162)</f>
        <v>0</v>
      </c>
      <c r="F141" s="558">
        <f>IF(ISBLANK('Informasi Debitur'!G162)=TRUE,0,'Informasi Debitur'!G162)</f>
        <v>0</v>
      </c>
      <c r="G141" s="572" t="str">
        <f>IF(ISBLANK('Informasi Debitur'!H162)=TRUE,"",'Informasi Debitur'!H162)</f>
        <v/>
      </c>
      <c r="H141" s="2057">
        <f>'Informasi Debitur'!I162</f>
        <v>0</v>
      </c>
      <c r="I141" s="2058"/>
      <c r="J141" s="586"/>
      <c r="K141" s="586"/>
      <c r="L141" s="586"/>
      <c r="M141" s="586"/>
      <c r="N141" s="586"/>
      <c r="O141" s="586"/>
      <c r="P141" s="586"/>
      <c r="Q141" s="586"/>
      <c r="R141" s="586"/>
      <c r="S141" s="586"/>
      <c r="T141" s="586"/>
      <c r="U141" s="586">
        <f t="shared" si="13"/>
        <v>0</v>
      </c>
      <c r="V141" s="586"/>
      <c r="W141" s="586"/>
      <c r="X141" s="586"/>
      <c r="Y141" s="586"/>
      <c r="Z141" s="586"/>
      <c r="AA141" s="649"/>
    </row>
    <row r="142" spans="1:27" s="447" customFormat="1" hidden="1" x14ac:dyDescent="0.25">
      <c r="A142" s="446"/>
      <c r="B142" s="1996" t="str">
        <f>IF(ISBLANK('Informasi Debitur'!A163)=TRUE,"",'Informasi Debitur'!A163)</f>
        <v/>
      </c>
      <c r="C142" s="1997"/>
      <c r="D142" s="555" t="str">
        <f>IF(ISBLANK('Informasi Debitur'!C163)=TRUE,"",'Informasi Debitur'!C163)</f>
        <v/>
      </c>
      <c r="E142" s="557">
        <f>IF(ISBLANK('Informasi Debitur'!F163)=TRUE,0,'Informasi Debitur'!F163)</f>
        <v>0</v>
      </c>
      <c r="F142" s="558">
        <f>IF(ISBLANK('Informasi Debitur'!G163)=TRUE,0,'Informasi Debitur'!G163)</f>
        <v>0</v>
      </c>
      <c r="G142" s="572" t="str">
        <f>IF(ISBLANK('Informasi Debitur'!H163)=TRUE,"",'Informasi Debitur'!H163)</f>
        <v/>
      </c>
      <c r="H142" s="2057">
        <f>'Informasi Debitur'!I163</f>
        <v>0</v>
      </c>
      <c r="I142" s="2058"/>
      <c r="J142" s="586"/>
      <c r="K142" s="586"/>
      <c r="L142" s="586"/>
      <c r="M142" s="586"/>
      <c r="N142" s="586"/>
      <c r="O142" s="586"/>
      <c r="P142" s="586"/>
      <c r="Q142" s="586"/>
      <c r="R142" s="586"/>
      <c r="S142" s="586"/>
      <c r="T142" s="586"/>
      <c r="U142" s="586">
        <f t="shared" si="13"/>
        <v>0</v>
      </c>
      <c r="V142" s="586"/>
      <c r="W142" s="586"/>
      <c r="X142" s="586"/>
      <c r="Y142" s="586"/>
      <c r="Z142" s="586"/>
      <c r="AA142" s="649"/>
    </row>
    <row r="143" spans="1:27" s="447" customFormat="1" hidden="1" x14ac:dyDescent="0.25">
      <c r="A143" s="446"/>
      <c r="B143" s="1996" t="str">
        <f>IF(ISBLANK('Informasi Debitur'!A164)=TRUE,"",'Informasi Debitur'!A164)</f>
        <v/>
      </c>
      <c r="C143" s="1997"/>
      <c r="D143" s="555" t="str">
        <f>IF(ISBLANK('Informasi Debitur'!C164)=TRUE,"",'Informasi Debitur'!C164)</f>
        <v/>
      </c>
      <c r="E143" s="557">
        <f>IF(ISBLANK('Informasi Debitur'!F164)=TRUE,0,'Informasi Debitur'!F164)</f>
        <v>0</v>
      </c>
      <c r="F143" s="558">
        <f>IF(ISBLANK('Informasi Debitur'!G164)=TRUE,0,'Informasi Debitur'!G164)</f>
        <v>0</v>
      </c>
      <c r="G143" s="572" t="str">
        <f>IF(ISBLANK('Informasi Debitur'!H164)=TRUE,"",'Informasi Debitur'!H164)</f>
        <v/>
      </c>
      <c r="H143" s="2057">
        <f>'Informasi Debitur'!I164</f>
        <v>0</v>
      </c>
      <c r="I143" s="2058"/>
      <c r="J143" s="586"/>
      <c r="K143" s="586"/>
      <c r="L143" s="586"/>
      <c r="M143" s="586"/>
      <c r="N143" s="586"/>
      <c r="O143" s="586"/>
      <c r="P143" s="586"/>
      <c r="Q143" s="586"/>
      <c r="R143" s="586"/>
      <c r="S143" s="586"/>
      <c r="T143" s="586"/>
      <c r="U143" s="586">
        <f t="shared" si="13"/>
        <v>0</v>
      </c>
      <c r="V143" s="586"/>
      <c r="W143" s="586"/>
      <c r="X143" s="586"/>
      <c r="Y143" s="586"/>
      <c r="Z143" s="586"/>
      <c r="AA143" s="649"/>
    </row>
    <row r="144" spans="1:27" s="447" customFormat="1" hidden="1" x14ac:dyDescent="0.25">
      <c r="A144" s="446"/>
      <c r="B144" s="1996" t="str">
        <f>IF(ISBLANK('Informasi Debitur'!A165)=TRUE,"",'Informasi Debitur'!A165)</f>
        <v/>
      </c>
      <c r="C144" s="1997"/>
      <c r="D144" s="555" t="str">
        <f>IF(ISBLANK('Informasi Debitur'!C165)=TRUE,"",'Informasi Debitur'!C165)</f>
        <v/>
      </c>
      <c r="E144" s="557">
        <f>IF(ISBLANK('Informasi Debitur'!F165)=TRUE,0,'Informasi Debitur'!F165)</f>
        <v>0</v>
      </c>
      <c r="F144" s="558">
        <f>IF(ISBLANK('Informasi Debitur'!G165)=TRUE,0,'Informasi Debitur'!G165)</f>
        <v>0</v>
      </c>
      <c r="G144" s="572" t="str">
        <f>IF(ISBLANK('Informasi Debitur'!H165)=TRUE,"",'Informasi Debitur'!H165)</f>
        <v/>
      </c>
      <c r="H144" s="2057">
        <f>'Informasi Debitur'!I165</f>
        <v>0</v>
      </c>
      <c r="I144" s="2058"/>
      <c r="J144" s="586"/>
      <c r="K144" s="586"/>
      <c r="L144" s="586"/>
      <c r="M144" s="586"/>
      <c r="N144" s="586"/>
      <c r="O144" s="586"/>
      <c r="P144" s="586"/>
      <c r="Q144" s="586"/>
      <c r="R144" s="586"/>
      <c r="S144" s="586"/>
      <c r="T144" s="586"/>
      <c r="U144" s="586">
        <f t="shared" si="13"/>
        <v>0</v>
      </c>
      <c r="V144" s="586"/>
      <c r="W144" s="586"/>
      <c r="X144" s="586"/>
      <c r="Y144" s="586"/>
      <c r="Z144" s="586"/>
      <c r="AA144" s="649"/>
    </row>
    <row r="145" spans="1:27" s="447" customFormat="1" hidden="1" x14ac:dyDescent="0.25">
      <c r="A145" s="446"/>
      <c r="B145" s="1996" t="str">
        <f>IF(ISBLANK('Informasi Debitur'!A166)=TRUE,"",'Informasi Debitur'!A166)</f>
        <v/>
      </c>
      <c r="C145" s="1997"/>
      <c r="D145" s="555" t="str">
        <f>IF(ISBLANK('Informasi Debitur'!C166)=TRUE,"",'Informasi Debitur'!C166)</f>
        <v/>
      </c>
      <c r="E145" s="557">
        <f>IF(ISBLANK('Informasi Debitur'!F166)=TRUE,0,'Informasi Debitur'!F166)</f>
        <v>0</v>
      </c>
      <c r="F145" s="558">
        <f>IF(ISBLANK('Informasi Debitur'!G166)=TRUE,0,'Informasi Debitur'!G166)</f>
        <v>0</v>
      </c>
      <c r="G145" s="572" t="str">
        <f>IF(ISBLANK('Informasi Debitur'!H166)=TRUE,"",'Informasi Debitur'!H166)</f>
        <v/>
      </c>
      <c r="H145" s="2057">
        <f>'Informasi Debitur'!I166</f>
        <v>0</v>
      </c>
      <c r="I145" s="2058"/>
      <c r="J145" s="586"/>
      <c r="K145" s="586"/>
      <c r="L145" s="586"/>
      <c r="M145" s="586"/>
      <c r="N145" s="586"/>
      <c r="O145" s="586"/>
      <c r="P145" s="586"/>
      <c r="Q145" s="586"/>
      <c r="R145" s="586"/>
      <c r="S145" s="586"/>
      <c r="T145" s="586"/>
      <c r="U145" s="586">
        <f t="shared" si="13"/>
        <v>0</v>
      </c>
      <c r="V145" s="586"/>
      <c r="W145" s="586"/>
      <c r="X145" s="586"/>
      <c r="Y145" s="586"/>
      <c r="Z145" s="586"/>
      <c r="AA145" s="649"/>
    </row>
    <row r="146" spans="1:27" s="447" customFormat="1" hidden="1" x14ac:dyDescent="0.25">
      <c r="A146" s="446"/>
      <c r="B146" s="1996" t="str">
        <f>IF(ISBLANK('Informasi Debitur'!A167)=TRUE,"",'Informasi Debitur'!A167)</f>
        <v/>
      </c>
      <c r="C146" s="1997"/>
      <c r="D146" s="555" t="str">
        <f>IF(ISBLANK('Informasi Debitur'!C167)=TRUE,"",'Informasi Debitur'!C167)</f>
        <v/>
      </c>
      <c r="E146" s="557">
        <f>IF(ISBLANK('Informasi Debitur'!F167)=TRUE,0,'Informasi Debitur'!F167)</f>
        <v>0</v>
      </c>
      <c r="F146" s="558">
        <f>IF(ISBLANK('Informasi Debitur'!G167)=TRUE,0,'Informasi Debitur'!G167)</f>
        <v>0</v>
      </c>
      <c r="G146" s="572" t="str">
        <f>IF(ISBLANK('Informasi Debitur'!H167)=TRUE,"",'Informasi Debitur'!H167)</f>
        <v/>
      </c>
      <c r="H146" s="2057">
        <f>'Informasi Debitur'!I167</f>
        <v>0</v>
      </c>
      <c r="I146" s="2058"/>
      <c r="J146" s="586"/>
      <c r="K146" s="586"/>
      <c r="L146" s="586"/>
      <c r="M146" s="586"/>
      <c r="N146" s="586"/>
      <c r="O146" s="586"/>
      <c r="P146" s="586"/>
      <c r="Q146" s="586"/>
      <c r="R146" s="586"/>
      <c r="S146" s="586"/>
      <c r="T146" s="586"/>
      <c r="U146" s="586">
        <f t="shared" si="13"/>
        <v>0</v>
      </c>
      <c r="V146" s="586"/>
      <c r="W146" s="586"/>
      <c r="X146" s="586"/>
      <c r="Y146" s="586"/>
      <c r="Z146" s="586"/>
      <c r="AA146" s="649"/>
    </row>
    <row r="147" spans="1:27" s="447" customFormat="1" x14ac:dyDescent="0.25">
      <c r="A147" s="446"/>
      <c r="B147" s="2054" t="str">
        <f>IF(ISBLANK('Informasi Debitur'!A168)=TRUE,"",'Informasi Debitur'!A168)</f>
        <v/>
      </c>
      <c r="C147" s="2055"/>
      <c r="D147" s="555" t="str">
        <f>IF(ISBLANK('Informasi Debitur'!C168)=TRUE,"",'Informasi Debitur'!C168)</f>
        <v/>
      </c>
      <c r="E147" s="562">
        <f>IF(ISBLANK('Informasi Debitur'!F168)=TRUE,0,'Informasi Debitur'!F168)</f>
        <v>0</v>
      </c>
      <c r="F147" s="563">
        <f>IF(ISBLANK('Informasi Debitur'!G168)=TRUE,0,'Informasi Debitur'!G168)</f>
        <v>0</v>
      </c>
      <c r="G147" s="573" t="str">
        <f>IF(ISBLANK('Informasi Debitur'!H168)=TRUE,"",'Informasi Debitur'!H168)</f>
        <v/>
      </c>
      <c r="H147" s="2059">
        <f>'Informasi Debitur'!I168</f>
        <v>0</v>
      </c>
      <c r="I147" s="2060"/>
      <c r="J147" s="586"/>
      <c r="K147" s="586"/>
      <c r="L147" s="586"/>
      <c r="M147" s="586"/>
      <c r="N147" s="586"/>
      <c r="O147" s="586"/>
      <c r="P147" s="586"/>
      <c r="Q147" s="586"/>
      <c r="R147" s="586"/>
      <c r="S147" s="586"/>
      <c r="T147" s="586"/>
      <c r="U147" s="586">
        <f t="shared" si="13"/>
        <v>0</v>
      </c>
      <c r="V147" s="586"/>
      <c r="W147" s="586"/>
      <c r="X147" s="586"/>
      <c r="Y147" s="586"/>
      <c r="Z147" s="586"/>
      <c r="AA147" s="649"/>
    </row>
    <row r="148" spans="1:27" s="447" customFormat="1" x14ac:dyDescent="0.25">
      <c r="A148" s="446"/>
      <c r="B148" s="2056" t="s">
        <v>7631</v>
      </c>
      <c r="C148" s="2056"/>
      <c r="D148" s="2056"/>
      <c r="E148" s="564">
        <f>SUM(E126:E147)</f>
        <v>1979.9880000000003</v>
      </c>
      <c r="F148" s="564">
        <f>SUM(F126:F147)</f>
        <v>958.99700000000007</v>
      </c>
      <c r="G148" s="565"/>
      <c r="H148" s="2142"/>
      <c r="I148" s="2143"/>
      <c r="J148" s="586"/>
      <c r="K148" s="586"/>
      <c r="L148" s="586"/>
      <c r="M148" s="586"/>
      <c r="N148" s="586"/>
      <c r="O148" s="586"/>
      <c r="P148" s="586"/>
      <c r="Q148" s="586"/>
      <c r="R148" s="586"/>
      <c r="S148" s="586"/>
      <c r="T148" s="447" t="s">
        <v>7865</v>
      </c>
      <c r="U148" s="586">
        <f>SUM(U126:U132)</f>
        <v>0</v>
      </c>
      <c r="V148" s="586"/>
      <c r="W148" s="586"/>
      <c r="X148" s="586"/>
      <c r="Y148" s="586"/>
      <c r="Z148" s="586"/>
      <c r="AA148" s="649"/>
    </row>
    <row r="149" spans="1:27" s="447" customFormat="1" x14ac:dyDescent="0.25">
      <c r="A149" s="446"/>
      <c r="B149" s="446"/>
      <c r="C149" s="446"/>
      <c r="D149" s="446"/>
      <c r="E149" s="446"/>
      <c r="F149" s="446"/>
      <c r="G149" s="446"/>
      <c r="H149" s="446"/>
      <c r="I149" s="446"/>
      <c r="J149" s="586"/>
      <c r="K149" s="586"/>
      <c r="L149" s="586"/>
      <c r="M149" s="586"/>
      <c r="N149" s="586"/>
      <c r="O149" s="586"/>
      <c r="P149" s="586"/>
      <c r="Q149" s="586"/>
      <c r="R149" s="586"/>
      <c r="S149" s="586"/>
      <c r="T149" s="447" t="s">
        <v>7866</v>
      </c>
      <c r="U149" s="586">
        <f>SUM(U133:U147)</f>
        <v>8</v>
      </c>
      <c r="V149" s="586"/>
      <c r="W149" s="586"/>
      <c r="X149" s="586"/>
      <c r="Y149" s="586"/>
      <c r="Z149" s="586"/>
      <c r="AA149" s="649"/>
    </row>
    <row r="150" spans="1:27" s="447" customFormat="1" ht="91.5" customHeight="1" x14ac:dyDescent="0.25">
      <c r="A150" s="446"/>
      <c r="B150" s="514" t="str">
        <f>CHAR(149)</f>
        <v>•</v>
      </c>
      <c r="C150" s="2013" t="s">
        <v>8216</v>
      </c>
      <c r="D150" s="2014"/>
      <c r="E150" s="2014"/>
      <c r="F150" s="2014"/>
      <c r="G150" s="2014"/>
      <c r="H150" s="2014"/>
      <c r="I150" s="2015"/>
      <c r="J150" s="599"/>
      <c r="K150" s="599"/>
      <c r="L150" s="599"/>
      <c r="M150" s="599"/>
      <c r="N150" s="599"/>
      <c r="O150" s="599"/>
      <c r="P150" s="599"/>
      <c r="Q150" s="599"/>
      <c r="R150" s="599"/>
      <c r="S150" s="586"/>
      <c r="T150" s="586"/>
      <c r="U150" s="586">
        <f>IF(C150="",0,1)</f>
        <v>1</v>
      </c>
      <c r="V150" s="600" t="str">
        <f>C150</f>
        <v xml:space="preserve">- OJK Checking yang disajikan adalah OJK Checking tanggal 19 Juni 2018 dengan posisi data per Mei 2018 an. Oh Njen Lieng, pasangan 
  beserta perusahaan dan pengurus dengan hasil lancar.
- Kolektabilitas seluruh fasilitas Kol.1 (Clear) -&gt; NO DPD
- Tidak termasuk dalam laporan DHN dan DHBI
- Tidak pernah mengajukan pinjaman melalui MUR dengan kondisi Reject -&gt; AGAPE Clear
- Core Bank System -&gt; Clear (Kol.1)
</v>
      </c>
      <c r="W150" s="586"/>
      <c r="X150" s="586"/>
      <c r="Y150" s="586"/>
      <c r="Z150" s="586"/>
      <c r="AA150" s="649"/>
    </row>
    <row r="151" spans="1:27" s="447" customFormat="1" ht="32.25" customHeight="1" x14ac:dyDescent="0.25">
      <c r="A151" s="446"/>
      <c r="B151" s="515" t="str">
        <f>CHAR(149)</f>
        <v>•</v>
      </c>
      <c r="C151" s="2016" t="s">
        <v>8217</v>
      </c>
      <c r="D151" s="2017"/>
      <c r="E151" s="2017"/>
      <c r="F151" s="2017"/>
      <c r="G151" s="2017"/>
      <c r="H151" s="2017"/>
      <c r="I151" s="2018"/>
      <c r="J151" s="599"/>
      <c r="K151" s="599"/>
      <c r="L151" s="599"/>
      <c r="M151" s="599"/>
      <c r="N151" s="599"/>
      <c r="O151" s="599"/>
      <c r="P151" s="599"/>
      <c r="Q151" s="599"/>
      <c r="R151" s="599"/>
      <c r="S151" s="586"/>
      <c r="T151" s="586"/>
      <c r="U151" s="586">
        <f>IF(C151="",0,1)</f>
        <v>1</v>
      </c>
      <c r="V151" s="600" t="str">
        <f>C151</f>
        <v>Adjustment LTD, CPLTD dan kewajiban bunga sesuai dengan hasil OJK Checking yang memperhitungkan fasilitas cadeb, pasangan beserta perusahaan (PT. Barito Inti Perkasa) dan pengurus (Bp. Andy Susanto - Komsaris PT. Barito Inti Perkasa)</v>
      </c>
      <c r="W151" s="586"/>
      <c r="X151" s="586"/>
      <c r="Y151" s="586"/>
      <c r="Z151" s="586"/>
      <c r="AA151" s="649"/>
    </row>
    <row r="152" spans="1:27" s="447" customFormat="1" ht="65.25" customHeight="1" x14ac:dyDescent="0.25">
      <c r="A152" s="446"/>
      <c r="B152" s="516" t="str">
        <f>CHAR(149)</f>
        <v>•</v>
      </c>
      <c r="C152" s="2019" t="s">
        <v>8219</v>
      </c>
      <c r="D152" s="2020"/>
      <c r="E152" s="2020"/>
      <c r="F152" s="2020"/>
      <c r="G152" s="2020"/>
      <c r="H152" s="2020"/>
      <c r="I152" s="2021"/>
      <c r="J152" s="599"/>
      <c r="K152" s="599"/>
      <c r="L152" s="599"/>
      <c r="M152" s="599"/>
      <c r="N152" s="599"/>
      <c r="O152" s="599"/>
      <c r="P152" s="599"/>
      <c r="Q152" s="599"/>
      <c r="R152" s="599"/>
      <c r="S152" s="586"/>
      <c r="T152" s="586"/>
      <c r="U152" s="586">
        <f>IF(C152="",0,1)</f>
        <v>1</v>
      </c>
      <c r="V152" s="600" t="str">
        <f>C152</f>
        <v>- OJK Checking dilakukan pula pada PT. Barito Inti Perdana beserta Pengurus dengan Kolektibilitas 1/lancar.
PT. Barito Inti Perdana merupakan usaha pertambangan batubara dengan pengurus terdiri dari Rinto Pawesto, Eko Budiyanto dan Oh Njeng Lieng, dimana Bp. Oh Njeng Lieng merupakan salah satu pendiri namun atas kewajiban dari PT. Barito Inti Perdana tidak diperhitungkan dikarenakan memiliki entitas yang berbeda dengan PT. Barito Inti Perkasa (jasa pembuatan karoseri)</v>
      </c>
      <c r="W152" s="586"/>
      <c r="X152" s="586"/>
      <c r="Y152" s="586"/>
      <c r="Z152" s="586"/>
      <c r="AA152" s="649"/>
    </row>
    <row r="153" spans="1:27" s="447" customFormat="1" hidden="1" x14ac:dyDescent="0.25">
      <c r="A153" s="446"/>
      <c r="B153" s="446"/>
      <c r="C153" s="446"/>
      <c r="D153" s="446"/>
      <c r="E153" s="446"/>
      <c r="F153" s="446"/>
      <c r="G153" s="446"/>
      <c r="H153" s="446"/>
      <c r="I153" s="446"/>
      <c r="J153" s="586"/>
      <c r="K153" s="586"/>
      <c r="L153" s="586"/>
      <c r="M153" s="586"/>
      <c r="N153" s="586"/>
      <c r="O153" s="586"/>
      <c r="P153" s="586"/>
      <c r="Q153" s="586"/>
      <c r="R153" s="586"/>
      <c r="S153" s="586"/>
      <c r="T153" s="586"/>
      <c r="U153" s="586">
        <f>SUM(U150:U152)</f>
        <v>3</v>
      </c>
      <c r="V153" s="586"/>
      <c r="W153" s="586"/>
      <c r="X153" s="586"/>
      <c r="Y153" s="586"/>
      <c r="Z153" s="586"/>
      <c r="AA153" s="649"/>
    </row>
    <row r="154" spans="1:27" s="447" customFormat="1" hidden="1" x14ac:dyDescent="0.25">
      <c r="A154" s="446"/>
      <c r="B154" s="446"/>
      <c r="C154" s="446"/>
      <c r="D154" s="446"/>
      <c r="E154" s="446"/>
      <c r="F154" s="446"/>
      <c r="G154" s="446"/>
      <c r="H154" s="446"/>
      <c r="I154" s="446"/>
      <c r="J154" s="586"/>
      <c r="K154" s="586"/>
      <c r="L154" s="586"/>
      <c r="M154" s="586"/>
      <c r="N154" s="586"/>
      <c r="O154" s="586"/>
      <c r="P154" s="586"/>
      <c r="Q154" s="586"/>
      <c r="R154" s="586"/>
      <c r="S154" s="586"/>
      <c r="T154" s="586"/>
      <c r="U154" s="586"/>
      <c r="V154" s="586"/>
      <c r="W154" s="586"/>
      <c r="X154" s="586"/>
      <c r="Y154" s="586"/>
      <c r="Z154" s="586"/>
      <c r="AA154" s="649"/>
    </row>
    <row r="155" spans="1:27" s="447" customFormat="1" x14ac:dyDescent="0.25">
      <c r="A155" s="509" t="s">
        <v>7646</v>
      </c>
      <c r="B155" s="446"/>
      <c r="C155" s="446"/>
      <c r="D155" s="446"/>
      <c r="E155" s="446"/>
      <c r="F155" s="446"/>
      <c r="G155" s="446"/>
      <c r="H155" s="446"/>
      <c r="I155" s="446"/>
      <c r="J155" s="586"/>
      <c r="K155" s="586"/>
      <c r="L155" s="586"/>
      <c r="M155" s="586"/>
      <c r="N155" s="586"/>
      <c r="O155" s="586"/>
      <c r="P155" s="586"/>
      <c r="Q155" s="586"/>
      <c r="R155" s="586"/>
      <c r="S155" s="586"/>
      <c r="T155" s="586"/>
      <c r="U155" s="586"/>
      <c r="V155" s="586"/>
      <c r="W155" s="586"/>
      <c r="X155" s="586"/>
      <c r="Y155" s="586"/>
      <c r="Z155" s="586"/>
      <c r="AA155" s="649"/>
    </row>
    <row r="156" spans="1:27" hidden="1" x14ac:dyDescent="0.25"/>
    <row r="157" spans="1:27" s="447" customFormat="1" x14ac:dyDescent="0.25">
      <c r="A157" s="446"/>
      <c r="B157" s="2047" t="s">
        <v>6321</v>
      </c>
      <c r="C157" s="2047"/>
      <c r="D157" s="2047"/>
      <c r="E157" s="2047"/>
      <c r="F157" s="524" t="s">
        <v>7587</v>
      </c>
      <c r="G157" s="2047" t="s">
        <v>6306</v>
      </c>
      <c r="H157" s="2047"/>
      <c r="I157" s="2047"/>
      <c r="J157" s="589"/>
      <c r="K157" s="589"/>
      <c r="L157" s="589"/>
      <c r="M157" s="589"/>
      <c r="N157" s="589"/>
      <c r="O157" s="589"/>
      <c r="P157" s="589"/>
      <c r="Q157" s="589"/>
      <c r="R157" s="589"/>
      <c r="S157" s="586"/>
      <c r="T157" s="586"/>
      <c r="U157" s="586"/>
      <c r="V157" s="586"/>
      <c r="W157" s="586"/>
      <c r="X157" s="586"/>
      <c r="Y157" s="586"/>
      <c r="Z157" s="586"/>
      <c r="AA157" s="649"/>
    </row>
    <row r="158" spans="1:27" s="447" customFormat="1" ht="106.5" customHeight="1" x14ac:dyDescent="0.25">
      <c r="A158" s="446"/>
      <c r="B158" s="2048" t="str">
        <f>IF(MKK!A96&lt;&gt;0,MKK!A96&amp;","&amp;MKK!C96,"")</f>
        <v xml:space="preserve">Tanah dan Bangunan,Jalan A. Yani km 7 Komplek Bunyamin Residence Blok A No. 16, RT 13, Kel. Kertak Hanyar II, Kec. Kertak Hanyar, Kabupaten Banjar- Propinsi Kalimantan Selatan </v>
      </c>
      <c r="C158" s="2049"/>
      <c r="D158" s="2049"/>
      <c r="E158" s="2050"/>
      <c r="F158" s="1310">
        <f>MKK!D96</f>
        <v>1501.886</v>
      </c>
      <c r="G158" s="2051" t="s">
        <v>8221</v>
      </c>
      <c r="H158" s="2052"/>
      <c r="I158" s="2053"/>
      <c r="J158" s="601"/>
      <c r="K158" s="601"/>
      <c r="L158" s="601"/>
      <c r="M158" s="601"/>
      <c r="N158" s="601"/>
      <c r="O158" s="601"/>
      <c r="P158" s="601"/>
      <c r="Q158" s="601"/>
      <c r="R158" s="601"/>
      <c r="S158" s="586"/>
      <c r="T158" s="586"/>
      <c r="U158" s="586">
        <f t="shared" ref="U158:U167" si="14">IF(B158=",",0,1)</f>
        <v>1</v>
      </c>
      <c r="V158" s="586"/>
      <c r="W158" s="602" t="str">
        <f>'Informasi Debitur'!A221&amp;","&amp;'Informasi Debitur'!C221</f>
        <v xml:space="preserve">Tanah dan Bangunan,Jl A Yani km 7 Komp Bunyamin Residence Blok A No 16, RT 13, Kel Kertak Hanyar II, Kec.Kertak Hanyar, Kabupaten Banjar, Propinsi Kalimantan Selatan </v>
      </c>
      <c r="X158" s="603" t="str">
        <f>G158</f>
        <v>SHM 2895 an. Yuanita (istri Cadeb), kepemilikan sejak 18 April 2011 - Objek Jaminan berupa tanah dan bangunan yang merupakan rumah tinggal cadeb dan istri 
MV meningkat 40,72% dari hasil penilaian bank Panin sebesar IDR. 1.067,40 juta dengan penilaian dilakukan pada tanggal 05 April 2011.</v>
      </c>
      <c r="Y158" s="604"/>
      <c r="Z158" s="605"/>
      <c r="AA158" s="649"/>
    </row>
    <row r="159" spans="1:27" s="447" customFormat="1" hidden="1" x14ac:dyDescent="0.25">
      <c r="A159" s="446"/>
      <c r="B159" s="2003" t="str">
        <f>IF(MKK!A97&lt;&gt;0,MKK!A97&amp;","&amp;MKK!C97,"")</f>
        <v/>
      </c>
      <c r="C159" s="2003"/>
      <c r="D159" s="2003"/>
      <c r="E159" s="2003"/>
      <c r="F159" s="555">
        <f>MKK!D97</f>
        <v>0</v>
      </c>
      <c r="G159" s="2004"/>
      <c r="H159" s="2005"/>
      <c r="I159" s="2006"/>
      <c r="J159" s="601"/>
      <c r="K159" s="601"/>
      <c r="L159" s="601"/>
      <c r="M159" s="601"/>
      <c r="N159" s="601"/>
      <c r="O159" s="601"/>
      <c r="P159" s="601"/>
      <c r="Q159" s="601"/>
      <c r="R159" s="601"/>
      <c r="S159" s="586"/>
      <c r="T159" s="586"/>
      <c r="U159" s="586">
        <f t="shared" si="14"/>
        <v>1</v>
      </c>
      <c r="V159" s="586"/>
      <c r="W159" s="602" t="str">
        <f>'Informasi Debitur'!A222&amp;","&amp;'Informasi Debitur'!C222</f>
        <v>,</v>
      </c>
      <c r="X159" s="603">
        <f>G159</f>
        <v>0</v>
      </c>
      <c r="Y159" s="586"/>
      <c r="Z159" s="586"/>
      <c r="AA159" s="649"/>
    </row>
    <row r="160" spans="1:27" s="447" customFormat="1" hidden="1" x14ac:dyDescent="0.25">
      <c r="A160" s="446"/>
      <c r="B160" s="2003" t="str">
        <f>IF(MKK!A98&lt;&gt;0,MKK!A98&amp;","&amp;MKK!C98,"")</f>
        <v/>
      </c>
      <c r="C160" s="2003"/>
      <c r="D160" s="2003"/>
      <c r="E160" s="2003"/>
      <c r="F160" s="555">
        <f>MKK!D98</f>
        <v>0</v>
      </c>
      <c r="G160" s="2004"/>
      <c r="H160" s="2005"/>
      <c r="I160" s="2006"/>
      <c r="J160" s="601"/>
      <c r="K160" s="601"/>
      <c r="L160" s="601"/>
      <c r="M160" s="601"/>
      <c r="N160" s="601"/>
      <c r="O160" s="601"/>
      <c r="P160" s="601"/>
      <c r="Q160" s="601"/>
      <c r="R160" s="601"/>
      <c r="S160" s="586"/>
      <c r="T160" s="586"/>
      <c r="U160" s="586">
        <f t="shared" si="14"/>
        <v>1</v>
      </c>
      <c r="V160" s="586"/>
      <c r="W160" s="602" t="str">
        <f>'Informasi Debitur'!A223&amp;","&amp;'Informasi Debitur'!C223</f>
        <v>,</v>
      </c>
      <c r="X160" s="603">
        <f>G160</f>
        <v>0</v>
      </c>
      <c r="Y160" s="586"/>
      <c r="Z160" s="586"/>
      <c r="AA160" s="649"/>
    </row>
    <row r="161" spans="1:27" s="447" customFormat="1" hidden="1" x14ac:dyDescent="0.25">
      <c r="A161" s="446"/>
      <c r="B161" s="2003" t="str">
        <f>IF(MKK!A99&lt;&gt;0,MKK!A99&amp;","&amp;MKK!C99,"")</f>
        <v/>
      </c>
      <c r="C161" s="2003"/>
      <c r="D161" s="2003"/>
      <c r="E161" s="2003"/>
      <c r="F161" s="555">
        <f>MKK!D99</f>
        <v>0</v>
      </c>
      <c r="G161" s="2004"/>
      <c r="H161" s="2005"/>
      <c r="I161" s="2006"/>
      <c r="J161" s="601"/>
      <c r="K161" s="601"/>
      <c r="L161" s="601"/>
      <c r="M161" s="601"/>
      <c r="N161" s="601"/>
      <c r="O161" s="601"/>
      <c r="P161" s="601"/>
      <c r="Q161" s="601"/>
      <c r="R161" s="601"/>
      <c r="S161" s="586"/>
      <c r="T161" s="586"/>
      <c r="U161" s="586">
        <f t="shared" si="14"/>
        <v>1</v>
      </c>
      <c r="V161" s="586"/>
      <c r="W161" s="602" t="str">
        <f>'Informasi Debitur'!A224&amp;","&amp;'Informasi Debitur'!C224</f>
        <v>,</v>
      </c>
      <c r="X161" s="603">
        <f>G161</f>
        <v>0</v>
      </c>
      <c r="Y161" s="586"/>
      <c r="Z161" s="586"/>
      <c r="AA161" s="649"/>
    </row>
    <row r="162" spans="1:27" s="447" customFormat="1" hidden="1" x14ac:dyDescent="0.25">
      <c r="A162" s="446"/>
      <c r="B162" s="2003" t="str">
        <f>IF(MKK!A100&lt;&gt;0,MKK!A100&amp;","&amp;MKK!C100,"")</f>
        <v/>
      </c>
      <c r="C162" s="2003"/>
      <c r="D162" s="2003"/>
      <c r="E162" s="2003"/>
      <c r="F162" s="555">
        <f>MKK!D100</f>
        <v>0</v>
      </c>
      <c r="G162" s="2004"/>
      <c r="H162" s="2005"/>
      <c r="I162" s="2006"/>
      <c r="J162" s="601"/>
      <c r="K162" s="601"/>
      <c r="L162" s="601"/>
      <c r="M162" s="601"/>
      <c r="N162" s="601"/>
      <c r="O162" s="601"/>
      <c r="P162" s="601"/>
      <c r="Q162" s="601"/>
      <c r="R162" s="601"/>
      <c r="S162" s="586"/>
      <c r="T162" s="586"/>
      <c r="U162" s="586">
        <f t="shared" si="14"/>
        <v>1</v>
      </c>
      <c r="V162" s="586"/>
      <c r="W162" s="602" t="str">
        <f>'Informasi Debitur'!A225&amp;","&amp;'Informasi Debitur'!C225</f>
        <v>,</v>
      </c>
      <c r="X162" s="603">
        <f t="shared" ref="X162:X167" si="15">G162</f>
        <v>0</v>
      </c>
      <c r="Y162" s="586"/>
      <c r="Z162" s="586"/>
      <c r="AA162" s="649"/>
    </row>
    <row r="163" spans="1:27" s="447" customFormat="1" hidden="1" x14ac:dyDescent="0.25">
      <c r="A163" s="446"/>
      <c r="B163" s="2003" t="str">
        <f>IF(MKK!A101&lt;&gt;0,MKK!A101&amp;","&amp;MKK!C101,"")</f>
        <v/>
      </c>
      <c r="C163" s="2003"/>
      <c r="D163" s="2003"/>
      <c r="E163" s="2003"/>
      <c r="F163" s="555">
        <f>MKK!D101</f>
        <v>0</v>
      </c>
      <c r="G163" s="2004"/>
      <c r="H163" s="2005"/>
      <c r="I163" s="2006"/>
      <c r="J163" s="601"/>
      <c r="K163" s="601"/>
      <c r="L163" s="601"/>
      <c r="M163" s="601"/>
      <c r="N163" s="601"/>
      <c r="O163" s="601"/>
      <c r="P163" s="601"/>
      <c r="Q163" s="601"/>
      <c r="R163" s="601"/>
      <c r="S163" s="586"/>
      <c r="T163" s="586"/>
      <c r="U163" s="586">
        <f t="shared" si="14"/>
        <v>1</v>
      </c>
      <c r="V163" s="586"/>
      <c r="W163" s="602" t="str">
        <f>'Informasi Debitur'!A226&amp;","&amp;'Informasi Debitur'!C226</f>
        <v>,</v>
      </c>
      <c r="X163" s="603">
        <f t="shared" si="15"/>
        <v>0</v>
      </c>
      <c r="Y163" s="586"/>
      <c r="Z163" s="586"/>
      <c r="AA163" s="649"/>
    </row>
    <row r="164" spans="1:27" s="447" customFormat="1" hidden="1" x14ac:dyDescent="0.25">
      <c r="A164" s="446"/>
      <c r="B164" s="2003" t="str">
        <f>IF(MKK!A102&lt;&gt;0,MKK!A102&amp;","&amp;MKK!C102,"")</f>
        <v/>
      </c>
      <c r="C164" s="2003"/>
      <c r="D164" s="2003"/>
      <c r="E164" s="2003"/>
      <c r="F164" s="555">
        <f>MKK!D102</f>
        <v>0</v>
      </c>
      <c r="G164" s="2004"/>
      <c r="H164" s="2005"/>
      <c r="I164" s="2006"/>
      <c r="J164" s="601"/>
      <c r="K164" s="601"/>
      <c r="L164" s="601"/>
      <c r="M164" s="601"/>
      <c r="N164" s="601"/>
      <c r="O164" s="601"/>
      <c r="P164" s="601"/>
      <c r="Q164" s="601"/>
      <c r="R164" s="601"/>
      <c r="S164" s="586"/>
      <c r="T164" s="586"/>
      <c r="U164" s="586">
        <f t="shared" si="14"/>
        <v>1</v>
      </c>
      <c r="V164" s="586"/>
      <c r="W164" s="602" t="str">
        <f>'Informasi Debitur'!A227&amp;","&amp;'Informasi Debitur'!C227</f>
        <v>,</v>
      </c>
      <c r="X164" s="603">
        <f t="shared" si="15"/>
        <v>0</v>
      </c>
      <c r="Y164" s="586"/>
      <c r="Z164" s="586"/>
      <c r="AA164" s="649"/>
    </row>
    <row r="165" spans="1:27" s="447" customFormat="1" hidden="1" x14ac:dyDescent="0.25">
      <c r="A165" s="446"/>
      <c r="B165" s="2003" t="str">
        <f>IF(MKK!A103&lt;&gt;0,MKK!A103&amp;","&amp;MKK!C103,"")</f>
        <v/>
      </c>
      <c r="C165" s="2003"/>
      <c r="D165" s="2003"/>
      <c r="E165" s="2003"/>
      <c r="F165" s="555">
        <f>MKK!D103</f>
        <v>0</v>
      </c>
      <c r="G165" s="2004"/>
      <c r="H165" s="2005"/>
      <c r="I165" s="2006"/>
      <c r="J165" s="601"/>
      <c r="K165" s="601"/>
      <c r="L165" s="601"/>
      <c r="M165" s="601"/>
      <c r="N165" s="601"/>
      <c r="O165" s="601"/>
      <c r="P165" s="601"/>
      <c r="Q165" s="601"/>
      <c r="R165" s="601"/>
      <c r="S165" s="586"/>
      <c r="T165" s="586"/>
      <c r="U165" s="586">
        <f t="shared" si="14"/>
        <v>1</v>
      </c>
      <c r="V165" s="586"/>
      <c r="W165" s="602" t="str">
        <f>'Informasi Debitur'!A228&amp;","&amp;'Informasi Debitur'!C228</f>
        <v>,</v>
      </c>
      <c r="X165" s="603">
        <f t="shared" si="15"/>
        <v>0</v>
      </c>
      <c r="Y165" s="586"/>
      <c r="Z165" s="586"/>
      <c r="AA165" s="649"/>
    </row>
    <row r="166" spans="1:27" s="447" customFormat="1" x14ac:dyDescent="0.25">
      <c r="A166" s="446"/>
      <c r="B166" s="2003" t="str">
        <f>IF(MKK!A104&lt;&gt;0,MKK!A104&amp;","&amp;MKK!C104,"")</f>
        <v/>
      </c>
      <c r="C166" s="2003"/>
      <c r="D166" s="2003"/>
      <c r="E166" s="2003"/>
      <c r="F166" s="555">
        <f>MKK!D104</f>
        <v>0</v>
      </c>
      <c r="G166" s="2004"/>
      <c r="H166" s="2005"/>
      <c r="I166" s="2006"/>
      <c r="J166" s="601"/>
      <c r="K166" s="601"/>
      <c r="L166" s="601"/>
      <c r="M166" s="601"/>
      <c r="N166" s="601"/>
      <c r="O166" s="601"/>
      <c r="P166" s="601"/>
      <c r="Q166" s="601"/>
      <c r="R166" s="601"/>
      <c r="S166" s="586"/>
      <c r="T166" s="586"/>
      <c r="U166" s="586">
        <f t="shared" si="14"/>
        <v>1</v>
      </c>
      <c r="V166" s="586"/>
      <c r="W166" s="602" t="str">
        <f>'Informasi Debitur'!A229&amp;","&amp;'Informasi Debitur'!C229</f>
        <v>,</v>
      </c>
      <c r="X166" s="603">
        <f t="shared" si="15"/>
        <v>0</v>
      </c>
      <c r="Y166" s="586"/>
      <c r="Z166" s="586"/>
      <c r="AA166" s="649"/>
    </row>
    <row r="167" spans="1:27" s="447" customFormat="1" x14ac:dyDescent="0.25">
      <c r="A167" s="446"/>
      <c r="B167" s="2003" t="str">
        <f>IF(MKK!A105&lt;&gt;0,MKK!A105&amp;","&amp;MKK!C105,"")</f>
        <v/>
      </c>
      <c r="C167" s="2003"/>
      <c r="D167" s="2003"/>
      <c r="E167" s="2003"/>
      <c r="F167" s="555">
        <f>MKK!D105</f>
        <v>0</v>
      </c>
      <c r="G167" s="2004"/>
      <c r="H167" s="2005"/>
      <c r="I167" s="2006"/>
      <c r="J167" s="601"/>
      <c r="K167" s="601"/>
      <c r="L167" s="601"/>
      <c r="M167" s="601"/>
      <c r="N167" s="601"/>
      <c r="O167" s="601"/>
      <c r="P167" s="601"/>
      <c r="Q167" s="601"/>
      <c r="R167" s="601"/>
      <c r="S167" s="586"/>
      <c r="T167" s="586"/>
      <c r="U167" s="586">
        <f t="shared" si="14"/>
        <v>1</v>
      </c>
      <c r="V167" s="586"/>
      <c r="W167" s="602" t="str">
        <f>'Informasi Debitur'!A230&amp;","&amp;'Informasi Debitur'!C230</f>
        <v>,</v>
      </c>
      <c r="X167" s="603">
        <f t="shared" si="15"/>
        <v>0</v>
      </c>
      <c r="Y167" s="586"/>
      <c r="Z167" s="586"/>
      <c r="AA167" s="649"/>
    </row>
    <row r="168" spans="1:27" s="447" customFormat="1" x14ac:dyDescent="0.25">
      <c r="A168" s="446"/>
      <c r="B168" s="2007" t="s">
        <v>777</v>
      </c>
      <c r="C168" s="2008"/>
      <c r="D168" s="2008"/>
      <c r="E168" s="2009"/>
      <c r="F168" s="517">
        <f>SUM(F158:F167)</f>
        <v>1501.886</v>
      </c>
      <c r="G168" s="446"/>
      <c r="H168" s="446"/>
      <c r="I168" s="446"/>
      <c r="J168" s="586"/>
      <c r="K168" s="586"/>
      <c r="L168" s="586"/>
      <c r="M168" s="586"/>
      <c r="N168" s="586"/>
      <c r="O168" s="586"/>
      <c r="P168" s="586"/>
      <c r="Q168" s="586"/>
      <c r="R168" s="586"/>
      <c r="S168" s="586"/>
      <c r="T168" s="586"/>
      <c r="U168" s="586">
        <f>SUM(U158:U167)</f>
        <v>10</v>
      </c>
      <c r="V168" s="586"/>
      <c r="W168" s="586"/>
      <c r="X168" s="586"/>
      <c r="Y168" s="586"/>
      <c r="Z168" s="586"/>
      <c r="AA168" s="649"/>
    </row>
    <row r="169" spans="1:27" s="447" customFormat="1" x14ac:dyDescent="0.25">
      <c r="A169" s="446"/>
      <c r="B169" s="446"/>
      <c r="C169" s="446"/>
      <c r="D169" s="446"/>
      <c r="E169" s="446"/>
      <c r="F169" s="446"/>
      <c r="G169" s="446"/>
      <c r="H169" s="446"/>
      <c r="I169" s="446"/>
      <c r="J169" s="586"/>
      <c r="K169" s="586"/>
      <c r="L169" s="586"/>
      <c r="M169" s="586"/>
      <c r="N169" s="586"/>
      <c r="O169" s="586"/>
      <c r="P169" s="586"/>
      <c r="Q169" s="586"/>
      <c r="R169" s="586"/>
      <c r="S169" s="586"/>
      <c r="T169" s="586"/>
      <c r="U169" s="586"/>
      <c r="V169" s="586"/>
      <c r="W169" s="586"/>
      <c r="X169" s="586"/>
      <c r="Y169" s="586"/>
      <c r="Z169" s="586"/>
      <c r="AA169" s="649"/>
    </row>
    <row r="170" spans="1:27" s="447" customFormat="1" ht="60.75" customHeight="1" x14ac:dyDescent="0.25">
      <c r="A170" s="446"/>
      <c r="B170" s="547" t="str">
        <f>CHAR(149)</f>
        <v>•</v>
      </c>
      <c r="C170" s="2010" t="s">
        <v>8223</v>
      </c>
      <c r="D170" s="2011"/>
      <c r="E170" s="2011"/>
      <c r="F170" s="2011"/>
      <c r="G170" s="2011"/>
      <c r="H170" s="2011"/>
      <c r="I170" s="2012"/>
      <c r="J170" s="586"/>
      <c r="K170" s="586"/>
      <c r="L170" s="586"/>
      <c r="M170" s="586"/>
      <c r="N170" s="586"/>
      <c r="O170" s="586"/>
      <c r="P170" s="586"/>
      <c r="Q170" s="586"/>
      <c r="R170" s="586"/>
      <c r="S170" s="586"/>
      <c r="T170" s="586"/>
      <c r="U170" s="586">
        <f>IF(C170="",0,1)</f>
        <v>1</v>
      </c>
      <c r="V170" s="586"/>
      <c r="W170" s="586"/>
      <c r="X170" s="586"/>
      <c r="Y170" s="586"/>
      <c r="Z170" s="586"/>
      <c r="AA170" s="649"/>
    </row>
    <row r="171" spans="1:27" s="447" customFormat="1" hidden="1" x14ac:dyDescent="0.25">
      <c r="A171" s="446"/>
      <c r="B171" s="548" t="str">
        <f>CHAR(149)</f>
        <v>•</v>
      </c>
      <c r="C171" s="2029"/>
      <c r="D171" s="2029"/>
      <c r="E171" s="2029"/>
      <c r="F171" s="2029"/>
      <c r="G171" s="2029"/>
      <c r="H171" s="2029"/>
      <c r="I171" s="2030"/>
      <c r="J171" s="586"/>
      <c r="K171" s="586"/>
      <c r="L171" s="586"/>
      <c r="M171" s="586"/>
      <c r="N171" s="586"/>
      <c r="O171" s="586"/>
      <c r="P171" s="586"/>
      <c r="Q171" s="586"/>
      <c r="R171" s="586"/>
      <c r="S171" s="586"/>
      <c r="T171" s="586"/>
      <c r="U171" s="586">
        <f>IF(C171="",0,1)</f>
        <v>0</v>
      </c>
      <c r="V171" s="586"/>
      <c r="W171" s="586"/>
      <c r="X171" s="586"/>
      <c r="Y171" s="586"/>
      <c r="Z171" s="586"/>
      <c r="AA171" s="649"/>
    </row>
    <row r="172" spans="1:27" s="447" customFormat="1" x14ac:dyDescent="0.25">
      <c r="A172" s="446"/>
      <c r="B172" s="549" t="str">
        <f>CHAR(149)</f>
        <v>•</v>
      </c>
      <c r="C172" s="2031" t="s">
        <v>8222</v>
      </c>
      <c r="D172" s="2032"/>
      <c r="E172" s="2032"/>
      <c r="F172" s="2032"/>
      <c r="G172" s="2032"/>
      <c r="H172" s="2032"/>
      <c r="I172" s="2033"/>
      <c r="J172" s="586"/>
      <c r="K172" s="586"/>
      <c r="L172" s="586"/>
      <c r="M172" s="586"/>
      <c r="N172" s="586"/>
      <c r="O172" s="586"/>
      <c r="P172" s="586"/>
      <c r="Q172" s="586"/>
      <c r="R172" s="586"/>
      <c r="S172" s="586"/>
      <c r="T172" s="586"/>
      <c r="U172" s="586">
        <f>IF(C172="",0,1)</f>
        <v>1</v>
      </c>
      <c r="V172" s="586"/>
      <c r="W172" s="586"/>
      <c r="X172" s="586"/>
      <c r="Y172" s="586"/>
      <c r="Z172" s="586"/>
      <c r="AA172" s="649"/>
    </row>
    <row r="173" spans="1:27" s="447" customFormat="1" x14ac:dyDescent="0.25">
      <c r="A173" s="446"/>
      <c r="B173" s="550"/>
      <c r="C173" s="640"/>
      <c r="D173" s="640"/>
      <c r="E173" s="640"/>
      <c r="F173" s="640"/>
      <c r="G173" s="640"/>
      <c r="H173" s="640"/>
      <c r="I173" s="640"/>
      <c r="J173" s="586"/>
      <c r="K173" s="586"/>
      <c r="L173" s="586"/>
      <c r="M173" s="586"/>
      <c r="N173" s="586"/>
      <c r="O173" s="586"/>
      <c r="P173" s="586"/>
      <c r="Q173" s="586"/>
      <c r="R173" s="586"/>
      <c r="S173" s="586"/>
      <c r="T173" s="586"/>
      <c r="U173" s="586"/>
      <c r="V173" s="586"/>
      <c r="W173" s="586"/>
      <c r="X173" s="586"/>
      <c r="Y173" s="586"/>
      <c r="Z173" s="586"/>
      <c r="AA173" s="649"/>
    </row>
    <row r="174" spans="1:27" s="447" customFormat="1" x14ac:dyDescent="0.25">
      <c r="A174" s="513" t="s">
        <v>7680</v>
      </c>
      <c r="B174" s="446"/>
      <c r="C174" s="446"/>
      <c r="D174" s="446"/>
      <c r="E174" s="446"/>
      <c r="F174" s="446"/>
      <c r="G174" s="446"/>
      <c r="H174" s="446"/>
      <c r="I174" s="446"/>
      <c r="J174" s="586"/>
      <c r="K174" s="586"/>
      <c r="L174" s="586"/>
      <c r="M174" s="586"/>
      <c r="N174" s="586"/>
      <c r="O174" s="586"/>
      <c r="P174" s="586"/>
      <c r="Q174" s="586"/>
      <c r="R174" s="586"/>
      <c r="S174" s="586"/>
      <c r="T174" s="586"/>
      <c r="U174" s="586">
        <f>SUM(U170:U172)</f>
        <v>2</v>
      </c>
      <c r="V174" s="586"/>
      <c r="W174" s="586"/>
      <c r="X174" s="586"/>
      <c r="Y174" s="586"/>
      <c r="Z174" s="586"/>
      <c r="AA174" s="649"/>
    </row>
    <row r="175" spans="1:27" s="447" customFormat="1" x14ac:dyDescent="0.25">
      <c r="A175" s="446" t="s">
        <v>7681</v>
      </c>
      <c r="B175" s="446"/>
      <c r="C175" s="446"/>
      <c r="D175" s="446"/>
      <c r="E175" s="446"/>
      <c r="F175" s="446"/>
      <c r="G175" s="446"/>
      <c r="H175" s="446"/>
      <c r="I175" s="446"/>
      <c r="J175" s="586"/>
      <c r="K175" s="586"/>
      <c r="L175" s="586"/>
      <c r="M175" s="586"/>
      <c r="N175" s="586"/>
      <c r="O175" s="586"/>
      <c r="P175" s="586"/>
      <c r="Q175" s="586"/>
      <c r="R175" s="586"/>
      <c r="S175" s="586"/>
      <c r="T175" s="586"/>
      <c r="U175" s="586"/>
      <c r="V175" s="586"/>
      <c r="W175" s="586"/>
      <c r="X175" s="586"/>
      <c r="Y175" s="586"/>
      <c r="Z175" s="586"/>
      <c r="AA175" s="649"/>
    </row>
    <row r="176" spans="1:27" s="447" customFormat="1" x14ac:dyDescent="0.25">
      <c r="A176" s="446"/>
      <c r="B176" s="547" t="str">
        <f>CHAR(149)</f>
        <v>•</v>
      </c>
      <c r="C176" s="2027"/>
      <c r="D176" s="2027"/>
      <c r="E176" s="2027"/>
      <c r="F176" s="2027"/>
      <c r="G176" s="2027"/>
      <c r="H176" s="2027"/>
      <c r="I176" s="2028"/>
      <c r="J176" s="586"/>
      <c r="K176" s="586"/>
      <c r="L176" s="586"/>
      <c r="M176" s="586"/>
      <c r="N176" s="586"/>
      <c r="O176" s="586"/>
      <c r="P176" s="586"/>
      <c r="Q176" s="586"/>
      <c r="R176" s="586"/>
      <c r="S176" s="586"/>
      <c r="T176" s="586"/>
      <c r="U176" s="586">
        <f>IF(C176="",0,1)</f>
        <v>0</v>
      </c>
      <c r="V176" s="586"/>
      <c r="W176" s="586"/>
      <c r="X176" s="586"/>
      <c r="Y176" s="586"/>
      <c r="Z176" s="586"/>
      <c r="AA176" s="649"/>
    </row>
    <row r="177" spans="1:27" s="447" customFormat="1" hidden="1" x14ac:dyDescent="0.25">
      <c r="A177" s="446"/>
      <c r="B177" s="548" t="str">
        <f>CHAR(149)</f>
        <v>•</v>
      </c>
      <c r="C177" s="1998"/>
      <c r="D177" s="1998"/>
      <c r="E177" s="1998"/>
      <c r="F177" s="1998"/>
      <c r="G177" s="1998"/>
      <c r="H177" s="1998"/>
      <c r="I177" s="1999"/>
      <c r="J177" s="586"/>
      <c r="K177" s="586"/>
      <c r="L177" s="586"/>
      <c r="M177" s="586"/>
      <c r="N177" s="586"/>
      <c r="O177" s="586"/>
      <c r="P177" s="586"/>
      <c r="Q177" s="586"/>
      <c r="R177" s="586"/>
      <c r="S177" s="586"/>
      <c r="T177" s="586"/>
      <c r="U177" s="586">
        <f>IF(C177="",0,1)</f>
        <v>0</v>
      </c>
      <c r="V177" s="586"/>
      <c r="W177" s="586"/>
      <c r="X177" s="586"/>
      <c r="Y177" s="586"/>
      <c r="Z177" s="586"/>
      <c r="AA177" s="649"/>
    </row>
    <row r="178" spans="1:27" s="447" customFormat="1" ht="9.75" hidden="1" customHeight="1" x14ac:dyDescent="0.25">
      <c r="A178" s="446"/>
      <c r="B178" s="548" t="str">
        <f>CHAR(149)</f>
        <v>•</v>
      </c>
      <c r="C178" s="1998"/>
      <c r="D178" s="1998"/>
      <c r="E178" s="1998"/>
      <c r="F178" s="1998"/>
      <c r="G178" s="1998"/>
      <c r="H178" s="1998"/>
      <c r="I178" s="1999"/>
      <c r="J178" s="586"/>
      <c r="K178" s="586"/>
      <c r="L178" s="586"/>
      <c r="M178" s="586"/>
      <c r="N178" s="586"/>
      <c r="O178" s="586"/>
      <c r="P178" s="586"/>
      <c r="Q178" s="586"/>
      <c r="R178" s="586"/>
      <c r="S178" s="586"/>
      <c r="T178" s="586"/>
      <c r="U178" s="586">
        <f>IF(C178="",0,1)</f>
        <v>0</v>
      </c>
      <c r="V178" s="586"/>
      <c r="W178" s="586"/>
      <c r="X178" s="586"/>
      <c r="Y178" s="586"/>
      <c r="Z178" s="586"/>
      <c r="AA178" s="649"/>
    </row>
    <row r="179" spans="1:27" s="447" customFormat="1" x14ac:dyDescent="0.25">
      <c r="A179" s="446"/>
      <c r="B179" s="548" t="str">
        <f>CHAR(149)</f>
        <v>•</v>
      </c>
      <c r="C179" s="1998"/>
      <c r="D179" s="1998"/>
      <c r="E179" s="1998"/>
      <c r="F179" s="1998"/>
      <c r="G179" s="1998"/>
      <c r="H179" s="1998"/>
      <c r="I179" s="1999"/>
      <c r="J179" s="586"/>
      <c r="K179" s="586"/>
      <c r="L179" s="586"/>
      <c r="M179" s="586"/>
      <c r="N179" s="586"/>
      <c r="O179" s="586"/>
      <c r="P179" s="586"/>
      <c r="Q179" s="586"/>
      <c r="R179" s="586"/>
      <c r="S179" s="586"/>
      <c r="T179" s="586"/>
      <c r="U179" s="586">
        <f>IF(C179="",0,1)</f>
        <v>0</v>
      </c>
      <c r="V179" s="586"/>
      <c r="W179" s="586"/>
      <c r="X179" s="586"/>
      <c r="Y179" s="586"/>
      <c r="Z179" s="586"/>
      <c r="AA179" s="649"/>
    </row>
    <row r="180" spans="1:27" s="447" customFormat="1" x14ac:dyDescent="0.25">
      <c r="A180" s="446"/>
      <c r="B180" s="549" t="str">
        <f>CHAR(149)</f>
        <v>•</v>
      </c>
      <c r="C180" s="2000"/>
      <c r="D180" s="2000"/>
      <c r="E180" s="2000"/>
      <c r="F180" s="2000"/>
      <c r="G180" s="2000"/>
      <c r="H180" s="2000"/>
      <c r="I180" s="2001"/>
      <c r="J180" s="586"/>
      <c r="K180" s="586"/>
      <c r="L180" s="586"/>
      <c r="M180" s="586"/>
      <c r="N180" s="586"/>
      <c r="O180" s="586"/>
      <c r="P180" s="586"/>
      <c r="Q180" s="586"/>
      <c r="R180" s="586"/>
      <c r="S180" s="586"/>
      <c r="T180" s="586"/>
      <c r="U180" s="586">
        <f>IF(C180="",0,1)</f>
        <v>0</v>
      </c>
      <c r="V180" s="586"/>
      <c r="W180" s="586"/>
      <c r="X180" s="586"/>
      <c r="Y180" s="586"/>
      <c r="Z180" s="586"/>
      <c r="AA180" s="649"/>
    </row>
    <row r="181" spans="1:27" s="447" customFormat="1" x14ac:dyDescent="0.25">
      <c r="A181" s="446"/>
      <c r="B181" s="446"/>
      <c r="C181" s="446"/>
      <c r="D181" s="446"/>
      <c r="E181" s="446"/>
      <c r="F181" s="446"/>
      <c r="G181" s="446"/>
      <c r="H181" s="446"/>
      <c r="I181" s="446"/>
      <c r="J181" s="586"/>
      <c r="K181" s="586"/>
      <c r="L181" s="586"/>
      <c r="M181" s="586"/>
      <c r="N181" s="586"/>
      <c r="O181" s="586"/>
      <c r="P181" s="586"/>
      <c r="Q181" s="586"/>
      <c r="R181" s="586"/>
      <c r="S181" s="586"/>
      <c r="T181" s="586"/>
      <c r="U181" s="586">
        <f>SUM(U176:U180)</f>
        <v>0</v>
      </c>
      <c r="V181" s="586"/>
      <c r="W181" s="586"/>
      <c r="X181" s="586"/>
      <c r="Y181" s="586"/>
      <c r="Z181" s="586"/>
      <c r="AA181" s="649"/>
    </row>
    <row r="182" spans="1:27" s="447" customFormat="1" x14ac:dyDescent="0.25">
      <c r="A182" s="509" t="s">
        <v>7679</v>
      </c>
      <c r="B182" s="446"/>
      <c r="C182" s="446"/>
      <c r="D182" s="446"/>
      <c r="E182" s="446"/>
      <c r="F182" s="446"/>
      <c r="G182" s="446"/>
      <c r="H182" s="446"/>
      <c r="I182" s="446"/>
      <c r="J182" s="586"/>
      <c r="K182" s="586"/>
      <c r="L182" s="586"/>
      <c r="M182" s="586"/>
      <c r="N182" s="586"/>
      <c r="O182" s="586"/>
      <c r="P182" s="586"/>
      <c r="Q182" s="586"/>
      <c r="R182" s="586"/>
      <c r="S182" s="586"/>
      <c r="T182" s="586"/>
      <c r="U182" s="586"/>
      <c r="V182" s="586"/>
      <c r="W182" s="586"/>
      <c r="X182" s="586"/>
      <c r="Y182" s="586"/>
      <c r="Z182" s="586"/>
      <c r="AA182" s="649"/>
    </row>
    <row r="183" spans="1:27" s="447" customFormat="1" hidden="1" x14ac:dyDescent="0.25">
      <c r="A183" s="509"/>
      <c r="B183" s="2002"/>
      <c r="C183" s="2002"/>
      <c r="D183" s="2002"/>
      <c r="E183" s="2002"/>
      <c r="F183" s="2002"/>
      <c r="G183" s="2002"/>
      <c r="H183" s="2002"/>
      <c r="I183" s="2002"/>
      <c r="J183" s="586"/>
      <c r="K183" s="586"/>
      <c r="L183" s="586"/>
      <c r="M183" s="586"/>
      <c r="N183" s="586"/>
      <c r="O183" s="586"/>
      <c r="P183" s="586"/>
      <c r="Q183" s="586"/>
      <c r="R183" s="586"/>
      <c r="S183" s="586"/>
      <c r="T183" s="586"/>
      <c r="U183" s="586"/>
      <c r="V183" s="586"/>
      <c r="W183" s="586"/>
      <c r="X183" s="586"/>
      <c r="Y183" s="586"/>
      <c r="Z183" s="586"/>
      <c r="AA183" s="649"/>
    </row>
    <row r="184" spans="1:27" s="447" customFormat="1" hidden="1" x14ac:dyDescent="0.25">
      <c r="A184" s="509"/>
      <c r="B184" s="2002"/>
      <c r="C184" s="2002"/>
      <c r="D184" s="2002"/>
      <c r="E184" s="2002"/>
      <c r="F184" s="2002"/>
      <c r="G184" s="2002"/>
      <c r="H184" s="2002"/>
      <c r="I184" s="2002"/>
      <c r="J184" s="586"/>
      <c r="K184" s="586"/>
      <c r="L184" s="586"/>
      <c r="M184" s="586"/>
      <c r="N184" s="586"/>
      <c r="O184" s="586"/>
      <c r="P184" s="586"/>
      <c r="Q184" s="586"/>
      <c r="R184" s="586"/>
      <c r="S184" s="586"/>
      <c r="T184" s="586"/>
      <c r="U184" s="586"/>
      <c r="V184" s="586"/>
      <c r="W184" s="586"/>
      <c r="X184" s="586"/>
      <c r="Y184" s="586"/>
      <c r="Z184" s="586"/>
      <c r="AA184" s="649"/>
    </row>
    <row r="185" spans="1:27" s="447" customFormat="1" hidden="1" x14ac:dyDescent="0.25">
      <c r="A185" s="509"/>
      <c r="B185" s="2002"/>
      <c r="C185" s="2002"/>
      <c r="D185" s="2002"/>
      <c r="E185" s="2002"/>
      <c r="F185" s="2002"/>
      <c r="G185" s="2002"/>
      <c r="H185" s="2002"/>
      <c r="I185" s="2002"/>
      <c r="J185" s="586"/>
      <c r="K185" s="586"/>
      <c r="L185" s="586"/>
      <c r="M185" s="586"/>
      <c r="N185" s="586"/>
      <c r="O185" s="586"/>
      <c r="P185" s="586"/>
      <c r="Q185" s="586"/>
      <c r="R185" s="586"/>
      <c r="S185" s="586"/>
      <c r="T185" s="586"/>
      <c r="U185" s="586"/>
      <c r="V185" s="586"/>
      <c r="W185" s="586"/>
      <c r="X185" s="586"/>
      <c r="Y185" s="586"/>
      <c r="Z185" s="586"/>
      <c r="AA185" s="649"/>
    </row>
    <row r="186" spans="1:27" s="447" customFormat="1" hidden="1" x14ac:dyDescent="0.25">
      <c r="A186" s="509"/>
      <c r="B186" s="2002"/>
      <c r="C186" s="2002"/>
      <c r="D186" s="2002"/>
      <c r="E186" s="2002"/>
      <c r="F186" s="2002"/>
      <c r="G186" s="2002"/>
      <c r="H186" s="2002"/>
      <c r="I186" s="2002"/>
      <c r="J186" s="586"/>
      <c r="K186" s="586"/>
      <c r="L186" s="586"/>
      <c r="M186" s="586"/>
      <c r="N186" s="586"/>
      <c r="O186" s="586"/>
      <c r="P186" s="586"/>
      <c r="Q186" s="586"/>
      <c r="R186" s="586"/>
      <c r="S186" s="586"/>
      <c r="T186" s="586"/>
      <c r="U186" s="586"/>
      <c r="V186" s="586"/>
      <c r="W186" s="586"/>
      <c r="X186" s="586"/>
      <c r="Y186" s="586"/>
      <c r="Z186" s="586"/>
      <c r="AA186" s="649"/>
    </row>
    <row r="187" spans="1:27" x14ac:dyDescent="0.25">
      <c r="B187" s="2002"/>
      <c r="C187" s="2002"/>
      <c r="D187" s="2002"/>
      <c r="E187" s="2002"/>
      <c r="F187" s="2002"/>
      <c r="G187" s="2002"/>
      <c r="H187" s="2002"/>
      <c r="I187" s="2002"/>
    </row>
    <row r="188" spans="1:27" s="447" customFormat="1" x14ac:dyDescent="0.25">
      <c r="A188" s="446"/>
      <c r="B188" s="518" t="s">
        <v>144</v>
      </c>
      <c r="C188" s="518"/>
      <c r="D188" s="796"/>
      <c r="E188" s="796"/>
      <c r="F188" s="796"/>
      <c r="G188" s="796"/>
      <c r="H188" s="796"/>
      <c r="I188" s="796"/>
      <c r="J188" s="593"/>
      <c r="K188" s="593"/>
      <c r="L188" s="593"/>
      <c r="M188" s="593"/>
      <c r="N188" s="593"/>
      <c r="O188" s="593"/>
      <c r="P188" s="593"/>
      <c r="Q188" s="593"/>
      <c r="R188" s="593"/>
      <c r="S188" s="586"/>
      <c r="T188" s="586"/>
      <c r="U188" s="586"/>
      <c r="V188" s="592" t="str">
        <f>B188</f>
        <v>Covenant</v>
      </c>
      <c r="W188" s="586"/>
      <c r="X188" s="586"/>
      <c r="Y188" s="586"/>
      <c r="Z188" s="586"/>
      <c r="AA188" s="649"/>
    </row>
    <row r="189" spans="1:27" s="447" customFormat="1" ht="18.75" customHeight="1" x14ac:dyDescent="0.25">
      <c r="A189" s="446"/>
      <c r="B189" s="1311" t="s">
        <v>697</v>
      </c>
      <c r="C189" s="1994" t="s">
        <v>8224</v>
      </c>
      <c r="D189" s="1994"/>
      <c r="E189" s="1994"/>
      <c r="F189" s="1994"/>
      <c r="G189" s="1994"/>
      <c r="H189" s="1994"/>
      <c r="I189" s="1994"/>
      <c r="J189" s="586"/>
      <c r="K189" s="586"/>
      <c r="L189" s="586"/>
      <c r="M189" s="586"/>
      <c r="N189" s="586"/>
      <c r="O189" s="586"/>
      <c r="P189" s="586"/>
      <c r="Q189" s="586"/>
      <c r="R189" s="586"/>
      <c r="S189" s="586"/>
      <c r="T189" s="586"/>
      <c r="U189" s="586">
        <f>IF(LEN(C189)&gt;1,1,0)</f>
        <v>1</v>
      </c>
      <c r="V189" s="592" t="str">
        <f t="shared" ref="V189:V251" si="16">C189</f>
        <v>Dana Retensi 1 x kewajiban Bunga Fasilitas PRK, dimana penempatan dana retensi sesuai ketentuan Bank BTPN --&gt; ABL,Legal&amp;FC/AS&amp;CEM Monitor</v>
      </c>
      <c r="W189" s="586"/>
      <c r="X189" s="586"/>
      <c r="Y189" s="586"/>
      <c r="Z189" s="586"/>
      <c r="AA189" s="649"/>
    </row>
    <row r="190" spans="1:27" s="447" customFormat="1" ht="31.5" customHeight="1" x14ac:dyDescent="0.25">
      <c r="A190" s="446"/>
      <c r="B190" s="1311" t="s">
        <v>8229</v>
      </c>
      <c r="C190" s="1994" t="s">
        <v>8227</v>
      </c>
      <c r="D190" s="1994"/>
      <c r="E190" s="1994"/>
      <c r="F190" s="1994"/>
      <c r="G190" s="1994"/>
      <c r="H190" s="1994"/>
      <c r="I190" s="1994"/>
      <c r="J190" s="606"/>
      <c r="K190" s="606"/>
      <c r="L190" s="606"/>
      <c r="M190" s="606"/>
      <c r="N190" s="606"/>
      <c r="O190" s="606"/>
      <c r="P190" s="606"/>
      <c r="Q190" s="606"/>
      <c r="R190" s="606"/>
      <c r="S190" s="586"/>
      <c r="T190" s="586"/>
      <c r="U190" s="586">
        <f t="shared" ref="U190:U228" si="17">IF(LEN(C190)&gt;1,1,0)</f>
        <v>1</v>
      </c>
      <c r="V190" s="592" t="str">
        <f t="shared" si="16"/>
        <v xml:space="preserve">Debitur wajib menyerahkan periode List persedian barang, Piutang Usaha dan Hutang Usaha secara periodical per semester (Periode Juni dan Desember) --&gt;  RM dan ABL Verifikasi, Legal&amp;FC/AS&amp;CEM Monitor </v>
      </c>
      <c r="W190" s="586"/>
      <c r="X190" s="586"/>
      <c r="Y190" s="586"/>
      <c r="Z190" s="586"/>
      <c r="AA190" s="649"/>
    </row>
    <row r="191" spans="1:27" s="447" customFormat="1" ht="32.25" customHeight="1" x14ac:dyDescent="0.25">
      <c r="A191" s="446"/>
      <c r="B191" s="1312" t="s">
        <v>8230</v>
      </c>
      <c r="C191" s="1994" t="s">
        <v>8228</v>
      </c>
      <c r="D191" s="1994"/>
      <c r="E191" s="1994"/>
      <c r="F191" s="1994"/>
      <c r="G191" s="1994"/>
      <c r="H191" s="1994"/>
      <c r="I191" s="1994"/>
      <c r="J191" s="606"/>
      <c r="K191" s="606"/>
      <c r="L191" s="606"/>
      <c r="M191" s="606"/>
      <c r="N191" s="606"/>
      <c r="O191" s="606"/>
      <c r="P191" s="606"/>
      <c r="Q191" s="606"/>
      <c r="R191" s="606"/>
      <c r="S191" s="586"/>
      <c r="T191" s="586"/>
      <c r="U191" s="586">
        <f t="shared" si="17"/>
        <v>1</v>
      </c>
      <c r="V191" s="592" t="str">
        <f t="shared" si="16"/>
        <v>Debitur wajib melampirkan rekap pendapatan usaha periode bulan Maret 2018 s.d Juni 2018 (bukti pembayaran berupa nota penjualan/invoice) --&gt; RM &amp; ABL Verifikasi, ACM Review, Legal&amp;FC Monitor.</v>
      </c>
      <c r="W191" s="586"/>
      <c r="X191" s="586"/>
      <c r="Y191" s="586"/>
      <c r="Z191" s="586"/>
      <c r="AA191" s="649"/>
    </row>
    <row r="192" spans="1:27" s="447" customFormat="1" hidden="1" x14ac:dyDescent="0.25">
      <c r="A192" s="446"/>
      <c r="B192" s="519" t="s">
        <v>7600</v>
      </c>
      <c r="C192" s="1993">
        <f>IF(OR(MKK!L129="Ya",MKK!L129=""),IF(ISBLANK(MKK!A129)=TRUE,"",MKK!A129),"")</f>
        <v>0</v>
      </c>
      <c r="D192" s="1993"/>
      <c r="E192" s="1993"/>
      <c r="F192" s="1993"/>
      <c r="G192" s="1993"/>
      <c r="H192" s="1993"/>
      <c r="I192" s="1993"/>
      <c r="J192" s="606"/>
      <c r="K192" s="606"/>
      <c r="L192" s="606"/>
      <c r="M192" s="606"/>
      <c r="N192" s="606"/>
      <c r="O192" s="606"/>
      <c r="P192" s="606"/>
      <c r="Q192" s="606"/>
      <c r="R192" s="606"/>
      <c r="S192" s="586"/>
      <c r="T192" s="586"/>
      <c r="U192" s="586">
        <f t="shared" si="17"/>
        <v>0</v>
      </c>
      <c r="V192" s="592">
        <f t="shared" si="16"/>
        <v>0</v>
      </c>
      <c r="W192" s="586"/>
      <c r="X192" s="586"/>
      <c r="Y192" s="586"/>
      <c r="Z192" s="586"/>
      <c r="AA192" s="649"/>
    </row>
    <row r="193" spans="1:27" s="447" customFormat="1" hidden="1" x14ac:dyDescent="0.25">
      <c r="A193" s="446"/>
      <c r="B193" s="519" t="s">
        <v>7600</v>
      </c>
      <c r="C193" s="1993">
        <f>IF(OR(MKK!L130="Ya",MKK!L130=""),IF(ISBLANK(MKK!A130)=TRUE,"",MKK!A130),"")</f>
        <v>0</v>
      </c>
      <c r="D193" s="1993"/>
      <c r="E193" s="1993"/>
      <c r="F193" s="1993"/>
      <c r="G193" s="1993"/>
      <c r="H193" s="1993"/>
      <c r="I193" s="1993"/>
      <c r="J193" s="606"/>
      <c r="K193" s="606"/>
      <c r="L193" s="606"/>
      <c r="M193" s="606"/>
      <c r="N193" s="606"/>
      <c r="O193" s="606"/>
      <c r="P193" s="606"/>
      <c r="Q193" s="606"/>
      <c r="R193" s="606"/>
      <c r="S193" s="586"/>
      <c r="T193" s="586"/>
      <c r="U193" s="586">
        <f t="shared" si="17"/>
        <v>0</v>
      </c>
      <c r="V193" s="592"/>
      <c r="W193" s="586"/>
      <c r="X193" s="586"/>
      <c r="Y193" s="586"/>
      <c r="Z193" s="586"/>
      <c r="AA193" s="649"/>
    </row>
    <row r="194" spans="1:27" s="447" customFormat="1" hidden="1" x14ac:dyDescent="0.25">
      <c r="A194" s="446"/>
      <c r="B194" s="519" t="s">
        <v>7600</v>
      </c>
      <c r="C194" s="1993">
        <f>IF(OR(MKK!L131="Ya",MKK!L131=""),IF(ISBLANK(MKK!A131)=TRUE,"",MKK!A131),"")</f>
        <v>0</v>
      </c>
      <c r="D194" s="1993"/>
      <c r="E194" s="1993"/>
      <c r="F194" s="1993"/>
      <c r="G194" s="1993"/>
      <c r="H194" s="1993"/>
      <c r="I194" s="1993"/>
      <c r="J194" s="606"/>
      <c r="K194" s="606"/>
      <c r="L194" s="606"/>
      <c r="M194" s="606"/>
      <c r="N194" s="606"/>
      <c r="O194" s="606"/>
      <c r="P194" s="606"/>
      <c r="Q194" s="606"/>
      <c r="R194" s="606"/>
      <c r="S194" s="586"/>
      <c r="T194" s="586"/>
      <c r="U194" s="586">
        <f t="shared" si="17"/>
        <v>0</v>
      </c>
      <c r="V194" s="592">
        <f t="shared" si="16"/>
        <v>0</v>
      </c>
      <c r="W194" s="586"/>
      <c r="X194" s="586"/>
      <c r="Y194" s="586"/>
      <c r="Z194" s="586"/>
      <c r="AA194" s="649"/>
    </row>
    <row r="195" spans="1:27" s="447" customFormat="1" hidden="1" x14ac:dyDescent="0.25">
      <c r="A195" s="446"/>
      <c r="B195" s="519" t="s">
        <v>7600</v>
      </c>
      <c r="C195" s="1993">
        <f>IF(OR(MKK!L132="Ya",MKK!L132=""),IF(ISBLANK(MKK!A132)=TRUE,"",MKK!A132),"")</f>
        <v>0</v>
      </c>
      <c r="D195" s="1993"/>
      <c r="E195" s="1993"/>
      <c r="F195" s="1993"/>
      <c r="G195" s="1993"/>
      <c r="H195" s="1993"/>
      <c r="I195" s="1993"/>
      <c r="J195" s="606"/>
      <c r="K195" s="606"/>
      <c r="L195" s="606"/>
      <c r="M195" s="606"/>
      <c r="N195" s="606"/>
      <c r="O195" s="606"/>
      <c r="P195" s="606"/>
      <c r="Q195" s="606"/>
      <c r="R195" s="606"/>
      <c r="S195" s="586"/>
      <c r="T195" s="586"/>
      <c r="U195" s="586">
        <f t="shared" si="17"/>
        <v>0</v>
      </c>
      <c r="V195" s="592">
        <f t="shared" si="16"/>
        <v>0</v>
      </c>
      <c r="W195" s="586"/>
      <c r="X195" s="586"/>
      <c r="Y195" s="586"/>
      <c r="Z195" s="586"/>
      <c r="AA195" s="649"/>
    </row>
    <row r="196" spans="1:27" s="447" customFormat="1" hidden="1" x14ac:dyDescent="0.25">
      <c r="A196" s="446"/>
      <c r="B196" s="519" t="s">
        <v>7600</v>
      </c>
      <c r="C196" s="1993">
        <f>IF(OR(MKK!L133="Ya",MKK!L133=""),IF(ISBLANK(MKK!A133)=TRUE,"",MKK!A133),"")</f>
        <v>0</v>
      </c>
      <c r="D196" s="1993"/>
      <c r="E196" s="1993"/>
      <c r="F196" s="1993"/>
      <c r="G196" s="1993"/>
      <c r="H196" s="1993"/>
      <c r="I196" s="1993"/>
      <c r="J196" s="606"/>
      <c r="K196" s="606"/>
      <c r="L196" s="606"/>
      <c r="M196" s="606"/>
      <c r="N196" s="606"/>
      <c r="O196" s="606"/>
      <c r="P196" s="606"/>
      <c r="Q196" s="606"/>
      <c r="R196" s="606"/>
      <c r="S196" s="586"/>
      <c r="T196" s="586"/>
      <c r="U196" s="586">
        <f t="shared" si="17"/>
        <v>0</v>
      </c>
      <c r="V196" s="592">
        <f t="shared" si="16"/>
        <v>0</v>
      </c>
      <c r="W196" s="586"/>
      <c r="X196" s="586"/>
      <c r="Y196" s="586"/>
      <c r="Z196" s="586"/>
      <c r="AA196" s="649"/>
    </row>
    <row r="197" spans="1:27" s="447" customFormat="1" hidden="1" x14ac:dyDescent="0.25">
      <c r="A197" s="446"/>
      <c r="B197" s="519" t="s">
        <v>7600</v>
      </c>
      <c r="C197" s="1993">
        <f>IF(OR(MKK!L134="Ya",MKK!L134=""),IF(ISBLANK(MKK!A134)=TRUE,"",MKK!A134),"")</f>
        <v>0</v>
      </c>
      <c r="D197" s="1993"/>
      <c r="E197" s="1993"/>
      <c r="F197" s="1993"/>
      <c r="G197" s="1993"/>
      <c r="H197" s="1993"/>
      <c r="I197" s="1993"/>
      <c r="J197" s="606"/>
      <c r="K197" s="606"/>
      <c r="L197" s="606"/>
      <c r="M197" s="606"/>
      <c r="N197" s="606"/>
      <c r="O197" s="606"/>
      <c r="P197" s="606"/>
      <c r="Q197" s="606"/>
      <c r="R197" s="606"/>
      <c r="S197" s="586"/>
      <c r="T197" s="586"/>
      <c r="U197" s="586">
        <f t="shared" si="17"/>
        <v>0</v>
      </c>
      <c r="V197" s="592">
        <f t="shared" si="16"/>
        <v>0</v>
      </c>
      <c r="W197" s="586"/>
      <c r="X197" s="586"/>
      <c r="Y197" s="586"/>
      <c r="Z197" s="586"/>
      <c r="AA197" s="649"/>
    </row>
    <row r="198" spans="1:27" s="447" customFormat="1" hidden="1" x14ac:dyDescent="0.25">
      <c r="A198" s="446"/>
      <c r="B198" s="519" t="s">
        <v>7600</v>
      </c>
      <c r="C198" s="1993">
        <f>IF(OR(MKK!L135="Ya",MKK!L135=""),IF(ISBLANK(MKK!A135)=TRUE,"",MKK!A135),"")</f>
        <v>0</v>
      </c>
      <c r="D198" s="1993"/>
      <c r="E198" s="1993"/>
      <c r="F198" s="1993"/>
      <c r="G198" s="1993"/>
      <c r="H198" s="1993"/>
      <c r="I198" s="1993"/>
      <c r="J198" s="606"/>
      <c r="K198" s="606"/>
      <c r="L198" s="606"/>
      <c r="M198" s="606"/>
      <c r="N198" s="606"/>
      <c r="O198" s="606"/>
      <c r="P198" s="606"/>
      <c r="Q198" s="606"/>
      <c r="R198" s="606"/>
      <c r="S198" s="586"/>
      <c r="T198" s="586"/>
      <c r="U198" s="586">
        <f t="shared" si="17"/>
        <v>0</v>
      </c>
      <c r="V198" s="592">
        <f t="shared" si="16"/>
        <v>0</v>
      </c>
      <c r="W198" s="586"/>
      <c r="X198" s="586"/>
      <c r="Y198" s="586"/>
      <c r="Z198" s="586"/>
      <c r="AA198" s="649"/>
    </row>
    <row r="199" spans="1:27" s="447" customFormat="1" hidden="1" x14ac:dyDescent="0.25">
      <c r="A199" s="446"/>
      <c r="B199" s="519" t="s">
        <v>7600</v>
      </c>
      <c r="C199" s="1993">
        <f>IF(OR(MKK!L136="Ya",MKK!L136=""),IF(ISBLANK(MKK!A136)=TRUE,"",MKK!A136),"")</f>
        <v>0</v>
      </c>
      <c r="D199" s="1993"/>
      <c r="E199" s="1993"/>
      <c r="F199" s="1993"/>
      <c r="G199" s="1993"/>
      <c r="H199" s="1993"/>
      <c r="I199" s="1993"/>
      <c r="J199" s="606"/>
      <c r="K199" s="606"/>
      <c r="L199" s="606"/>
      <c r="M199" s="606"/>
      <c r="N199" s="606"/>
      <c r="O199" s="606"/>
      <c r="P199" s="606"/>
      <c r="Q199" s="606"/>
      <c r="R199" s="606"/>
      <c r="S199" s="586"/>
      <c r="T199" s="586"/>
      <c r="U199" s="586">
        <f t="shared" si="17"/>
        <v>0</v>
      </c>
      <c r="V199" s="592">
        <f t="shared" si="16"/>
        <v>0</v>
      </c>
      <c r="W199" s="586"/>
      <c r="X199" s="586"/>
      <c r="Y199" s="586"/>
      <c r="Z199" s="586"/>
      <c r="AA199" s="649"/>
    </row>
    <row r="200" spans="1:27" s="447" customFormat="1" hidden="1" x14ac:dyDescent="0.25">
      <c r="A200" s="446"/>
      <c r="B200" s="519" t="s">
        <v>7600</v>
      </c>
      <c r="C200" s="1993">
        <f>IF(OR(MKK!L137="Ya",MKK!L137=""),IF(ISBLANK(MKK!A137)=TRUE,"",MKK!A137),"")</f>
        <v>0</v>
      </c>
      <c r="D200" s="1993"/>
      <c r="E200" s="1993"/>
      <c r="F200" s="1993"/>
      <c r="G200" s="1993"/>
      <c r="H200" s="1993"/>
      <c r="I200" s="1993"/>
      <c r="J200" s="606"/>
      <c r="K200" s="606"/>
      <c r="L200" s="606"/>
      <c r="M200" s="606"/>
      <c r="N200" s="606"/>
      <c r="O200" s="606"/>
      <c r="P200" s="606"/>
      <c r="Q200" s="606"/>
      <c r="R200" s="606"/>
      <c r="S200" s="586"/>
      <c r="T200" s="586"/>
      <c r="U200" s="586">
        <f t="shared" si="17"/>
        <v>0</v>
      </c>
      <c r="V200" s="592">
        <f t="shared" si="16"/>
        <v>0</v>
      </c>
      <c r="W200" s="586"/>
      <c r="X200" s="586"/>
      <c r="Y200" s="586"/>
      <c r="Z200" s="586"/>
      <c r="AA200" s="649"/>
    </row>
    <row r="201" spans="1:27" s="447" customFormat="1" hidden="1" x14ac:dyDescent="0.25">
      <c r="A201" s="446"/>
      <c r="B201" s="519" t="s">
        <v>7600</v>
      </c>
      <c r="C201" s="1993">
        <f>IF(OR(MKK!L138="Ya",MKK!L138=""),IF(ISBLANK(MKK!A138)=TRUE,"",MKK!A138),"")</f>
        <v>0</v>
      </c>
      <c r="D201" s="1993"/>
      <c r="E201" s="1993"/>
      <c r="F201" s="1993"/>
      <c r="G201" s="1993"/>
      <c r="H201" s="1993"/>
      <c r="I201" s="1993"/>
      <c r="J201" s="606"/>
      <c r="K201" s="606"/>
      <c r="L201" s="606"/>
      <c r="M201" s="606"/>
      <c r="N201" s="606"/>
      <c r="O201" s="606"/>
      <c r="P201" s="606"/>
      <c r="Q201" s="606"/>
      <c r="R201" s="606"/>
      <c r="S201" s="586"/>
      <c r="T201" s="586"/>
      <c r="U201" s="586">
        <f t="shared" si="17"/>
        <v>0</v>
      </c>
      <c r="V201" s="592">
        <f t="shared" si="16"/>
        <v>0</v>
      </c>
      <c r="W201" s="586"/>
      <c r="X201" s="586"/>
      <c r="Y201" s="586"/>
      <c r="Z201" s="586"/>
      <c r="AA201" s="649"/>
    </row>
    <row r="202" spans="1:27" s="447" customFormat="1" hidden="1" x14ac:dyDescent="0.25">
      <c r="A202" s="446"/>
      <c r="B202" s="519" t="s">
        <v>7600</v>
      </c>
      <c r="C202" s="1993">
        <f>IF(OR(MKK!L139="Ya",MKK!L139=""),IF(ISBLANK(MKK!A139)=TRUE,"",MKK!A139),"")</f>
        <v>0</v>
      </c>
      <c r="D202" s="1993"/>
      <c r="E202" s="1993"/>
      <c r="F202" s="1993"/>
      <c r="G202" s="1993"/>
      <c r="H202" s="1993"/>
      <c r="I202" s="1993"/>
      <c r="J202" s="606"/>
      <c r="K202" s="606"/>
      <c r="L202" s="606"/>
      <c r="M202" s="606"/>
      <c r="N202" s="606"/>
      <c r="O202" s="606"/>
      <c r="P202" s="606"/>
      <c r="Q202" s="606"/>
      <c r="R202" s="606"/>
      <c r="S202" s="586"/>
      <c r="T202" s="586"/>
      <c r="U202" s="586">
        <f t="shared" si="17"/>
        <v>0</v>
      </c>
      <c r="V202" s="592">
        <f t="shared" si="16"/>
        <v>0</v>
      </c>
      <c r="W202" s="586"/>
      <c r="X202" s="586"/>
      <c r="Y202" s="586"/>
      <c r="Z202" s="586"/>
      <c r="AA202" s="649"/>
    </row>
    <row r="203" spans="1:27" s="447" customFormat="1" hidden="1" x14ac:dyDescent="0.25">
      <c r="A203" s="446"/>
      <c r="B203" s="519" t="s">
        <v>7600</v>
      </c>
      <c r="C203" s="1993">
        <f>IF(OR(MKK!L140="Ya",MKK!L140=""),IF(ISBLANK(MKK!A140)=TRUE,"",MKK!A140),"")</f>
        <v>0</v>
      </c>
      <c r="D203" s="1993"/>
      <c r="E203" s="1993"/>
      <c r="F203" s="1993"/>
      <c r="G203" s="1993"/>
      <c r="H203" s="1993"/>
      <c r="I203" s="1993"/>
      <c r="J203" s="606"/>
      <c r="K203" s="606"/>
      <c r="L203" s="606"/>
      <c r="M203" s="606"/>
      <c r="N203" s="606"/>
      <c r="O203" s="606"/>
      <c r="P203" s="606"/>
      <c r="Q203" s="606"/>
      <c r="R203" s="606"/>
      <c r="S203" s="586"/>
      <c r="T203" s="586"/>
      <c r="U203" s="586">
        <f t="shared" si="17"/>
        <v>0</v>
      </c>
      <c r="V203" s="592">
        <f t="shared" si="16"/>
        <v>0</v>
      </c>
      <c r="W203" s="586"/>
      <c r="X203" s="586"/>
      <c r="Y203" s="586"/>
      <c r="Z203" s="586"/>
      <c r="AA203" s="649"/>
    </row>
    <row r="204" spans="1:27" s="447" customFormat="1" hidden="1" x14ac:dyDescent="0.25">
      <c r="A204" s="446"/>
      <c r="B204" s="519" t="s">
        <v>7600</v>
      </c>
      <c r="C204" s="1993" t="str">
        <f>IF(OR(MKK!L141="Ya",MKK!L141=""),IF(ISBLANK(MKK!A141)=TRUE,"",MKK!A141),"")</f>
        <v/>
      </c>
      <c r="D204" s="1993"/>
      <c r="E204" s="1993"/>
      <c r="F204" s="1993"/>
      <c r="G204" s="1993"/>
      <c r="H204" s="1993"/>
      <c r="I204" s="1993"/>
      <c r="J204" s="606"/>
      <c r="K204" s="606"/>
      <c r="L204" s="606"/>
      <c r="M204" s="606"/>
      <c r="N204" s="606"/>
      <c r="O204" s="606"/>
      <c r="P204" s="606"/>
      <c r="Q204" s="606"/>
      <c r="R204" s="606"/>
      <c r="S204" s="586"/>
      <c r="T204" s="586"/>
      <c r="U204" s="586">
        <f t="shared" si="17"/>
        <v>0</v>
      </c>
      <c r="V204" s="592" t="str">
        <f t="shared" si="16"/>
        <v/>
      </c>
      <c r="W204" s="586"/>
      <c r="X204" s="586"/>
      <c r="Y204" s="586"/>
      <c r="Z204" s="586"/>
      <c r="AA204" s="649"/>
    </row>
    <row r="205" spans="1:27" s="447" customFormat="1" hidden="1" x14ac:dyDescent="0.25">
      <c r="A205" s="446"/>
      <c r="B205" s="519"/>
      <c r="C205" s="787"/>
      <c r="D205" s="787"/>
      <c r="E205" s="787"/>
      <c r="F205" s="787"/>
      <c r="G205" s="787"/>
      <c r="H205" s="787"/>
      <c r="I205" s="787"/>
      <c r="J205" s="606"/>
      <c r="K205" s="606"/>
      <c r="L205" s="606"/>
      <c r="M205" s="606"/>
      <c r="N205" s="606"/>
      <c r="O205" s="606"/>
      <c r="P205" s="606"/>
      <c r="Q205" s="606"/>
      <c r="R205" s="606"/>
      <c r="S205" s="586"/>
      <c r="T205" s="586"/>
      <c r="U205" s="586"/>
      <c r="V205" s="592"/>
      <c r="W205" s="586"/>
      <c r="X205" s="586"/>
      <c r="Y205" s="586"/>
      <c r="Z205" s="586"/>
      <c r="AA205" s="649"/>
    </row>
    <row r="206" spans="1:27" s="447" customFormat="1" ht="15" customHeight="1" x14ac:dyDescent="0.25">
      <c r="A206" s="446"/>
      <c r="B206" s="518" t="s">
        <v>7597</v>
      </c>
      <c r="C206" s="518"/>
      <c r="D206" s="526"/>
      <c r="E206" s="526"/>
      <c r="F206" s="526"/>
      <c r="G206" s="526"/>
      <c r="H206" s="526"/>
      <c r="I206" s="526"/>
      <c r="J206" s="606"/>
      <c r="K206" s="606"/>
      <c r="L206" s="606"/>
      <c r="M206" s="606"/>
      <c r="N206" s="606"/>
      <c r="O206" s="606"/>
      <c r="P206" s="606"/>
      <c r="Q206" s="606"/>
      <c r="R206" s="606"/>
      <c r="S206" s="586"/>
      <c r="T206" s="447" t="s">
        <v>144</v>
      </c>
      <c r="U206" s="586">
        <f>SUM(U189:U204)</f>
        <v>3</v>
      </c>
      <c r="V206" s="592" t="str">
        <f>B206</f>
        <v>Condition Precedent</v>
      </c>
      <c r="W206" s="586"/>
      <c r="X206" s="586"/>
      <c r="Y206" s="586"/>
      <c r="Z206" s="586"/>
      <c r="AA206" s="649"/>
    </row>
    <row r="207" spans="1:27" s="447" customFormat="1" ht="35.25" customHeight="1" x14ac:dyDescent="0.25">
      <c r="A207" s="446"/>
      <c r="B207" s="1311" t="s">
        <v>697</v>
      </c>
      <c r="C207" s="1994" t="s">
        <v>8225</v>
      </c>
      <c r="D207" s="1994"/>
      <c r="E207" s="1994"/>
      <c r="F207" s="1994"/>
      <c r="G207" s="1994"/>
      <c r="H207" s="1994"/>
      <c r="I207" s="1994"/>
      <c r="J207" s="606"/>
      <c r="K207" s="606"/>
      <c r="L207" s="606"/>
      <c r="M207" s="606"/>
      <c r="N207" s="606"/>
      <c r="O207" s="606"/>
      <c r="P207" s="606"/>
      <c r="Q207" s="606"/>
      <c r="R207" s="606"/>
      <c r="S207" s="586"/>
      <c r="T207" s="586"/>
      <c r="U207" s="586">
        <f t="shared" si="17"/>
        <v>1</v>
      </c>
      <c r="V207" s="592" t="str">
        <f t="shared" si="16"/>
        <v>Debitur wajib melampirkan Bukti Lunas Fasilitas KPR dan Roya jaminan (SHM. 2895) Bank Panin an. Yuanita  --&gt; ACM Verifikasi, ABL, Legal&amp;FC/AS&amp;CEM Monitor.</v>
      </c>
      <c r="W207" s="586"/>
      <c r="X207" s="586"/>
      <c r="Y207" s="586"/>
      <c r="Z207" s="586"/>
      <c r="AA207" s="649"/>
    </row>
    <row r="208" spans="1:27" s="447" customFormat="1" ht="15.75" customHeight="1" x14ac:dyDescent="0.25">
      <c r="A208" s="446"/>
      <c r="B208" s="1311" t="s">
        <v>8229</v>
      </c>
      <c r="C208" s="1994" t="s">
        <v>8226</v>
      </c>
      <c r="D208" s="1994"/>
      <c r="E208" s="1994"/>
      <c r="F208" s="1994"/>
      <c r="G208" s="1994"/>
      <c r="H208" s="1994"/>
      <c r="I208" s="1994"/>
      <c r="J208" s="606"/>
      <c r="K208" s="606"/>
      <c r="L208" s="606"/>
      <c r="M208" s="606"/>
      <c r="N208" s="606"/>
      <c r="O208" s="606"/>
      <c r="P208" s="606"/>
      <c r="Q208" s="606"/>
      <c r="R208" s="606"/>
      <c r="S208" s="586"/>
      <c r="T208" s="586"/>
      <c r="U208" s="586">
        <f t="shared" si="17"/>
        <v>1</v>
      </c>
      <c r="V208" s="592" t="str">
        <f t="shared" si="16"/>
        <v>Dipastikan atas jaminan sudah definitive an.debitur/Istri sebelum Pengikatan Kredit  --&gt; ABL, Legal&amp;FC/AS&amp;CEM Monitor.</v>
      </c>
      <c r="W208" s="586"/>
      <c r="X208" s="586"/>
      <c r="Y208" s="586"/>
      <c r="Z208" s="586"/>
      <c r="AA208" s="649"/>
    </row>
    <row r="209" spans="1:27" s="447" customFormat="1" ht="30.75" customHeight="1" x14ac:dyDescent="0.25">
      <c r="A209" s="446"/>
      <c r="B209" s="1311" t="s">
        <v>8230</v>
      </c>
      <c r="C209" s="1994" t="s">
        <v>8248</v>
      </c>
      <c r="D209" s="1994"/>
      <c r="E209" s="1994"/>
      <c r="F209" s="1994"/>
      <c r="G209" s="1994"/>
      <c r="H209" s="1994"/>
      <c r="I209" s="1994"/>
      <c r="J209" s="606"/>
      <c r="K209" s="606"/>
      <c r="L209" s="606"/>
      <c r="M209" s="606"/>
      <c r="N209" s="606"/>
      <c r="O209" s="606"/>
      <c r="P209" s="606"/>
      <c r="Q209" s="606"/>
      <c r="R209" s="606"/>
      <c r="S209" s="586"/>
      <c r="T209" s="586"/>
      <c r="U209" s="586">
        <f t="shared" si="17"/>
        <v>1</v>
      </c>
      <c r="V209" s="592" t="str">
        <f t="shared" si="16"/>
        <v xml:space="preserve">Debitur wajib melampirkan Historical Pembayaran fasilitas KPM bank Permata an. Oh Njeng Lieng 3  bulan terakhir wajib on file, dengan DPD tidak lebih dari 7 hari. --&gt; RM &amp; ACM Verifikasi, ABL, Legal&amp;FC /AS&amp;CEM Monitor </v>
      </c>
      <c r="W209" s="586"/>
      <c r="X209" s="586"/>
      <c r="Y209" s="586"/>
      <c r="Z209" s="586"/>
      <c r="AA209" s="649"/>
    </row>
    <row r="210" spans="1:27" s="447" customFormat="1" x14ac:dyDescent="0.25">
      <c r="A210" s="446"/>
      <c r="B210" s="1312"/>
      <c r="C210" s="1994"/>
      <c r="D210" s="1994"/>
      <c r="E210" s="1994"/>
      <c r="F210" s="1994"/>
      <c r="G210" s="1994"/>
      <c r="H210" s="1994"/>
      <c r="I210" s="1994"/>
      <c r="J210" s="606"/>
      <c r="K210" s="606"/>
      <c r="L210" s="606"/>
      <c r="M210" s="606"/>
      <c r="N210" s="606"/>
      <c r="O210" s="606"/>
      <c r="P210" s="606"/>
      <c r="Q210" s="606"/>
      <c r="R210" s="606"/>
      <c r="S210" s="586"/>
      <c r="T210" s="586"/>
      <c r="U210" s="586">
        <f t="shared" si="17"/>
        <v>0</v>
      </c>
      <c r="V210" s="592">
        <f t="shared" si="16"/>
        <v>0</v>
      </c>
      <c r="W210" s="586"/>
      <c r="X210" s="586"/>
      <c r="Y210" s="586"/>
      <c r="Z210" s="586"/>
      <c r="AA210" s="649"/>
    </row>
    <row r="211" spans="1:27" s="447" customFormat="1" x14ac:dyDescent="0.25">
      <c r="A211" s="446"/>
      <c r="B211" s="1312"/>
      <c r="C211" s="2046"/>
      <c r="D211" s="2046"/>
      <c r="E211" s="2046"/>
      <c r="F211" s="2046"/>
      <c r="G211" s="2046"/>
      <c r="H211" s="2046"/>
      <c r="I211" s="2046"/>
      <c r="J211" s="606"/>
      <c r="K211" s="606"/>
      <c r="L211" s="606"/>
      <c r="M211" s="606"/>
      <c r="N211" s="606"/>
      <c r="O211" s="606"/>
      <c r="P211" s="606"/>
      <c r="Q211" s="606"/>
      <c r="R211" s="606"/>
      <c r="S211" s="586"/>
      <c r="T211" s="586"/>
      <c r="U211" s="586">
        <f t="shared" si="17"/>
        <v>0</v>
      </c>
      <c r="V211" s="592">
        <f t="shared" si="16"/>
        <v>0</v>
      </c>
      <c r="W211" s="586"/>
      <c r="X211" s="586"/>
      <c r="Y211" s="586"/>
      <c r="Z211" s="586"/>
      <c r="AA211" s="649"/>
    </row>
    <row r="212" spans="1:27" s="447" customFormat="1" ht="16.5" hidden="1" customHeight="1" x14ac:dyDescent="0.25">
      <c r="A212" s="446"/>
      <c r="B212" s="519" t="s">
        <v>7600</v>
      </c>
      <c r="C212" s="1995"/>
      <c r="D212" s="1995"/>
      <c r="E212" s="1995"/>
      <c r="F212" s="1995"/>
      <c r="G212" s="1995"/>
      <c r="H212" s="1995"/>
      <c r="I212" s="1995"/>
      <c r="J212" s="606"/>
      <c r="K212" s="606"/>
      <c r="L212" s="606"/>
      <c r="M212" s="606"/>
      <c r="N212" s="606"/>
      <c r="O212" s="606"/>
      <c r="P212" s="606"/>
      <c r="Q212" s="606"/>
      <c r="R212" s="606"/>
      <c r="S212" s="586"/>
      <c r="T212" s="586"/>
      <c r="U212" s="586">
        <f t="shared" si="17"/>
        <v>0</v>
      </c>
      <c r="V212" s="592">
        <f t="shared" si="16"/>
        <v>0</v>
      </c>
      <c r="W212" s="586"/>
      <c r="X212" s="586"/>
      <c r="Y212" s="586"/>
      <c r="Z212" s="586"/>
      <c r="AA212" s="649"/>
    </row>
    <row r="213" spans="1:27" s="447" customFormat="1" hidden="1" x14ac:dyDescent="0.25">
      <c r="A213" s="446"/>
      <c r="B213" s="519" t="s">
        <v>7600</v>
      </c>
      <c r="C213" s="1993">
        <f>IF(OR(MKK!L152="Ya",MKK!L152=""),IF(ISBLANK(MKK!A152)=TRUE,"",MKK!A152),"")</f>
        <v>0</v>
      </c>
      <c r="D213" s="1993"/>
      <c r="E213" s="1993"/>
      <c r="F213" s="1993"/>
      <c r="G213" s="1993"/>
      <c r="H213" s="1993"/>
      <c r="I213" s="1993"/>
      <c r="J213" s="606"/>
      <c r="K213" s="606"/>
      <c r="L213" s="606"/>
      <c r="M213" s="606"/>
      <c r="N213" s="606"/>
      <c r="O213" s="606"/>
      <c r="P213" s="606"/>
      <c r="Q213" s="606"/>
      <c r="R213" s="606"/>
      <c r="S213" s="586"/>
      <c r="T213" s="586"/>
      <c r="U213" s="586">
        <f t="shared" si="17"/>
        <v>0</v>
      </c>
      <c r="V213" s="592">
        <f t="shared" si="16"/>
        <v>0</v>
      </c>
      <c r="W213" s="586"/>
      <c r="X213" s="586"/>
      <c r="Y213" s="586"/>
      <c r="Z213" s="586"/>
      <c r="AA213" s="649"/>
    </row>
    <row r="214" spans="1:27" s="447" customFormat="1" hidden="1" x14ac:dyDescent="0.25">
      <c r="A214" s="446"/>
      <c r="B214" s="519" t="s">
        <v>7600</v>
      </c>
      <c r="C214" s="1993">
        <f>IF(OR(MKK!L153="Ya",MKK!L153=""),IF(ISBLANK(MKK!A153)=TRUE,"",MKK!A153),"")</f>
        <v>0</v>
      </c>
      <c r="D214" s="1993"/>
      <c r="E214" s="1993"/>
      <c r="F214" s="1993"/>
      <c r="G214" s="1993"/>
      <c r="H214" s="1993"/>
      <c r="I214" s="1993"/>
      <c r="J214" s="606"/>
      <c r="K214" s="606"/>
      <c r="L214" s="606"/>
      <c r="M214" s="606"/>
      <c r="N214" s="606"/>
      <c r="O214" s="606"/>
      <c r="P214" s="606"/>
      <c r="Q214" s="606"/>
      <c r="R214" s="606"/>
      <c r="S214" s="586"/>
      <c r="T214" s="586"/>
      <c r="U214" s="586">
        <f t="shared" si="17"/>
        <v>0</v>
      </c>
      <c r="V214" s="592">
        <f t="shared" si="16"/>
        <v>0</v>
      </c>
      <c r="W214" s="586"/>
      <c r="X214" s="586"/>
      <c r="Y214" s="586"/>
      <c r="Z214" s="586"/>
      <c r="AA214" s="649"/>
    </row>
    <row r="215" spans="1:27" s="447" customFormat="1" hidden="1" x14ac:dyDescent="0.25">
      <c r="A215" s="446"/>
      <c r="B215" s="519" t="s">
        <v>7600</v>
      </c>
      <c r="C215" s="1993">
        <f>IF(OR(MKK!L154="Ya",MKK!L154=""),IF(ISBLANK(MKK!A154)=TRUE,"",MKK!A154),"")</f>
        <v>0</v>
      </c>
      <c r="D215" s="1993"/>
      <c r="E215" s="1993"/>
      <c r="F215" s="1993"/>
      <c r="G215" s="1993"/>
      <c r="H215" s="1993"/>
      <c r="I215" s="1993"/>
      <c r="J215" s="606"/>
      <c r="K215" s="606"/>
      <c r="L215" s="606"/>
      <c r="M215" s="606"/>
      <c r="N215" s="606"/>
      <c r="O215" s="606"/>
      <c r="P215" s="606"/>
      <c r="Q215" s="606"/>
      <c r="R215" s="606"/>
      <c r="S215" s="586"/>
      <c r="T215" s="586"/>
      <c r="U215" s="586">
        <f t="shared" si="17"/>
        <v>0</v>
      </c>
      <c r="V215" s="592">
        <f t="shared" si="16"/>
        <v>0</v>
      </c>
      <c r="W215" s="586"/>
      <c r="X215" s="586"/>
      <c r="Y215" s="586"/>
      <c r="Z215" s="586"/>
      <c r="AA215" s="649"/>
    </row>
    <row r="216" spans="1:27" s="447" customFormat="1" hidden="1" x14ac:dyDescent="0.25">
      <c r="A216" s="446"/>
      <c r="B216" s="519" t="s">
        <v>7600</v>
      </c>
      <c r="C216" s="1993">
        <f>IF(OR(MKK!L155="Ya",MKK!L155=""),IF(ISBLANK(MKK!A155)=TRUE,"",MKK!A155),"")</f>
        <v>0</v>
      </c>
      <c r="D216" s="1993"/>
      <c r="E216" s="1993"/>
      <c r="F216" s="1993"/>
      <c r="G216" s="1993"/>
      <c r="H216" s="1993"/>
      <c r="I216" s="1993"/>
      <c r="J216" s="606"/>
      <c r="K216" s="606"/>
      <c r="L216" s="606"/>
      <c r="M216" s="606"/>
      <c r="N216" s="606"/>
      <c r="O216" s="606"/>
      <c r="P216" s="606"/>
      <c r="Q216" s="606"/>
      <c r="R216" s="606"/>
      <c r="S216" s="586"/>
      <c r="T216" s="586"/>
      <c r="U216" s="586">
        <f t="shared" si="17"/>
        <v>0</v>
      </c>
      <c r="V216" s="592">
        <f t="shared" si="16"/>
        <v>0</v>
      </c>
      <c r="W216" s="586"/>
      <c r="X216" s="586"/>
      <c r="Y216" s="586"/>
      <c r="Z216" s="586"/>
      <c r="AA216" s="649"/>
    </row>
    <row r="217" spans="1:27" s="447" customFormat="1" hidden="1" x14ac:dyDescent="0.25">
      <c r="A217" s="446"/>
      <c r="B217" s="519" t="s">
        <v>7600</v>
      </c>
      <c r="C217" s="1993" t="str">
        <f>IF(OR(MKK!L156="Ya",MKK!L156=""),IF(ISBLANK(MKK!A156)=TRUE,"",MKK!A156),"")</f>
        <v/>
      </c>
      <c r="D217" s="1993"/>
      <c r="E217" s="1993"/>
      <c r="F217" s="1993"/>
      <c r="G217" s="1993"/>
      <c r="H217" s="1993"/>
      <c r="I217" s="1993"/>
      <c r="J217" s="606"/>
      <c r="K217" s="606"/>
      <c r="L217" s="606"/>
      <c r="M217" s="606"/>
      <c r="N217" s="606"/>
      <c r="O217" s="606"/>
      <c r="P217" s="606"/>
      <c r="Q217" s="606"/>
      <c r="R217" s="606"/>
      <c r="S217" s="586"/>
      <c r="T217" s="586"/>
      <c r="U217" s="586">
        <f t="shared" si="17"/>
        <v>0</v>
      </c>
      <c r="V217" s="592" t="str">
        <f t="shared" si="16"/>
        <v/>
      </c>
      <c r="W217" s="586"/>
      <c r="X217" s="586"/>
      <c r="Y217" s="586"/>
      <c r="Z217" s="586"/>
      <c r="AA217" s="649"/>
    </row>
    <row r="218" spans="1:27" s="447" customFormat="1" hidden="1" x14ac:dyDescent="0.25">
      <c r="A218" s="446"/>
      <c r="B218" s="519"/>
      <c r="C218" s="787"/>
      <c r="D218" s="787"/>
      <c r="E218" s="787"/>
      <c r="F218" s="787"/>
      <c r="G218" s="787"/>
      <c r="H218" s="787"/>
      <c r="I218" s="787"/>
      <c r="J218" s="606"/>
      <c r="K218" s="606"/>
      <c r="L218" s="606"/>
      <c r="M218" s="606"/>
      <c r="N218" s="606"/>
      <c r="O218" s="606"/>
      <c r="P218" s="606"/>
      <c r="Q218" s="606"/>
      <c r="R218" s="606"/>
      <c r="S218" s="586"/>
      <c r="T218" s="586"/>
      <c r="U218" s="586"/>
      <c r="V218" s="592"/>
      <c r="W218" s="586"/>
      <c r="X218" s="586"/>
      <c r="Y218" s="586"/>
      <c r="Z218" s="586"/>
      <c r="AA218" s="649"/>
    </row>
    <row r="219" spans="1:27" s="447" customFormat="1" ht="15" hidden="1" customHeight="1" x14ac:dyDescent="0.25">
      <c r="A219" s="446"/>
      <c r="B219" s="2036" t="s">
        <v>7598</v>
      </c>
      <c r="C219" s="2036"/>
      <c r="D219" s="526"/>
      <c r="E219" s="526"/>
      <c r="F219" s="526"/>
      <c r="G219" s="526"/>
      <c r="H219" s="526"/>
      <c r="I219" s="526"/>
      <c r="J219" s="606"/>
      <c r="K219" s="606"/>
      <c r="L219" s="606"/>
      <c r="M219" s="606"/>
      <c r="N219" s="606"/>
      <c r="O219" s="606"/>
      <c r="P219" s="606"/>
      <c r="Q219" s="606"/>
      <c r="R219" s="606"/>
      <c r="S219" s="586"/>
      <c r="T219" s="447" t="s">
        <v>7867</v>
      </c>
      <c r="U219" s="586">
        <f>SUM(U207:U217)</f>
        <v>3</v>
      </c>
      <c r="V219" s="592" t="str">
        <f>B219</f>
        <v>Drawdown condition</v>
      </c>
      <c r="W219" s="586"/>
      <c r="X219" s="586"/>
      <c r="Y219" s="586"/>
      <c r="Z219" s="586"/>
      <c r="AA219" s="649"/>
    </row>
    <row r="220" spans="1:27" s="447" customFormat="1" hidden="1" x14ac:dyDescent="0.25">
      <c r="A220" s="446"/>
      <c r="B220" s="519" t="s">
        <v>7600</v>
      </c>
      <c r="C220" s="1993" t="s">
        <v>323</v>
      </c>
      <c r="D220" s="1993"/>
      <c r="E220" s="1993"/>
      <c r="F220" s="1993"/>
      <c r="G220" s="1993"/>
      <c r="H220" s="1993"/>
      <c r="I220" s="1993"/>
      <c r="J220" s="606"/>
      <c r="K220" s="606"/>
      <c r="L220" s="606"/>
      <c r="M220" s="606"/>
      <c r="N220" s="606"/>
      <c r="O220" s="606"/>
      <c r="P220" s="606"/>
      <c r="Q220" s="606"/>
      <c r="R220" s="606"/>
      <c r="S220" s="586"/>
      <c r="T220" s="586"/>
      <c r="U220" s="586">
        <f t="shared" si="17"/>
        <v>1</v>
      </c>
      <c r="V220" s="592" t="str">
        <f t="shared" si="16"/>
        <v>NA</v>
      </c>
      <c r="W220" s="586"/>
      <c r="X220" s="586"/>
      <c r="Y220" s="586"/>
      <c r="Z220" s="586"/>
      <c r="AA220" s="649"/>
    </row>
    <row r="221" spans="1:27" s="447" customFormat="1" ht="3.75" hidden="1" customHeight="1" x14ac:dyDescent="0.25">
      <c r="A221" s="446"/>
      <c r="B221" s="519" t="s">
        <v>7600</v>
      </c>
      <c r="C221" s="1993">
        <f>IF(OR(MKK!L160="Ya",MKK!L160=""),IF(ISBLANK(MKK!A160)=TRUE,"",MKK!A160),"")</f>
        <v>0</v>
      </c>
      <c r="D221" s="1993"/>
      <c r="E221" s="1993"/>
      <c r="F221" s="1993"/>
      <c r="G221" s="1993"/>
      <c r="H221" s="1993"/>
      <c r="I221" s="1993"/>
      <c r="J221" s="606"/>
      <c r="K221" s="606"/>
      <c r="L221" s="606"/>
      <c r="M221" s="606"/>
      <c r="N221" s="606"/>
      <c r="O221" s="606"/>
      <c r="P221" s="606"/>
      <c r="Q221" s="606"/>
      <c r="R221" s="606"/>
      <c r="S221" s="586"/>
      <c r="T221" s="586"/>
      <c r="U221" s="586">
        <f t="shared" si="17"/>
        <v>0</v>
      </c>
      <c r="V221" s="592">
        <f t="shared" si="16"/>
        <v>0</v>
      </c>
      <c r="W221" s="586"/>
      <c r="X221" s="586"/>
      <c r="Y221" s="586"/>
      <c r="Z221" s="586"/>
      <c r="AA221" s="649"/>
    </row>
    <row r="222" spans="1:27" s="447" customFormat="1" hidden="1" x14ac:dyDescent="0.25">
      <c r="A222" s="446"/>
      <c r="B222" s="519" t="s">
        <v>7600</v>
      </c>
      <c r="C222" s="1993">
        <f>IF(OR(MKK!L161="Ya",MKK!L161=""),IF(ISBLANK(MKK!A161)=TRUE,"",MKK!A161),"")</f>
        <v>0</v>
      </c>
      <c r="D222" s="1993"/>
      <c r="E222" s="1993"/>
      <c r="F222" s="1993"/>
      <c r="G222" s="1993"/>
      <c r="H222" s="1993"/>
      <c r="I222" s="1993"/>
      <c r="J222" s="606"/>
      <c r="K222" s="606"/>
      <c r="L222" s="606"/>
      <c r="M222" s="606"/>
      <c r="N222" s="606"/>
      <c r="O222" s="606"/>
      <c r="P222" s="606"/>
      <c r="Q222" s="606"/>
      <c r="R222" s="606"/>
      <c r="S222" s="586"/>
      <c r="T222" s="586"/>
      <c r="U222" s="586">
        <f t="shared" si="17"/>
        <v>0</v>
      </c>
      <c r="V222" s="592">
        <f t="shared" si="16"/>
        <v>0</v>
      </c>
      <c r="W222" s="586"/>
      <c r="X222" s="586"/>
      <c r="Y222" s="586"/>
      <c r="Z222" s="586"/>
      <c r="AA222" s="649"/>
    </row>
    <row r="223" spans="1:27" s="447" customFormat="1" hidden="1" x14ac:dyDescent="0.25">
      <c r="A223" s="446"/>
      <c r="B223" s="519" t="s">
        <v>7600</v>
      </c>
      <c r="C223" s="1993">
        <f>IF(OR(MKK!L162="Ya",MKK!L162=""),IF(ISBLANK(MKK!A162)=TRUE,"",MKK!A162),"")</f>
        <v>0</v>
      </c>
      <c r="D223" s="1993"/>
      <c r="E223" s="1993"/>
      <c r="F223" s="1993"/>
      <c r="G223" s="1993"/>
      <c r="H223" s="1993"/>
      <c r="I223" s="1993"/>
      <c r="J223" s="606"/>
      <c r="K223" s="606"/>
      <c r="L223" s="606"/>
      <c r="M223" s="606"/>
      <c r="N223" s="606"/>
      <c r="O223" s="606"/>
      <c r="P223" s="606"/>
      <c r="Q223" s="606"/>
      <c r="R223" s="606"/>
      <c r="S223" s="586"/>
      <c r="T223" s="586"/>
      <c r="U223" s="586">
        <f t="shared" si="17"/>
        <v>0</v>
      </c>
      <c r="V223" s="592">
        <f t="shared" si="16"/>
        <v>0</v>
      </c>
      <c r="W223" s="586"/>
      <c r="X223" s="586"/>
      <c r="Y223" s="586"/>
      <c r="Z223" s="586"/>
      <c r="AA223" s="649"/>
    </row>
    <row r="224" spans="1:27" s="447" customFormat="1" hidden="1" x14ac:dyDescent="0.25">
      <c r="A224" s="446"/>
      <c r="B224" s="519" t="s">
        <v>7600</v>
      </c>
      <c r="C224" s="1993">
        <f>IF(OR(MKK!L163="Ya",MKK!L163=""),IF(ISBLANK(MKK!A163)=TRUE,"",MKK!A163),"")</f>
        <v>0</v>
      </c>
      <c r="D224" s="1993"/>
      <c r="E224" s="1993"/>
      <c r="F224" s="1993"/>
      <c r="G224" s="1993"/>
      <c r="H224" s="1993"/>
      <c r="I224" s="1993"/>
      <c r="J224" s="606"/>
      <c r="K224" s="606"/>
      <c r="L224" s="606"/>
      <c r="M224" s="606"/>
      <c r="N224" s="606"/>
      <c r="O224" s="606"/>
      <c r="P224" s="606"/>
      <c r="Q224" s="606"/>
      <c r="R224" s="606"/>
      <c r="S224" s="586"/>
      <c r="T224" s="586"/>
      <c r="U224" s="586">
        <f t="shared" si="17"/>
        <v>0</v>
      </c>
      <c r="V224" s="592">
        <f t="shared" si="16"/>
        <v>0</v>
      </c>
      <c r="W224" s="586"/>
      <c r="X224" s="586"/>
      <c r="Y224" s="586"/>
      <c r="Z224" s="586"/>
      <c r="AA224" s="649"/>
    </row>
    <row r="225" spans="1:27" s="447" customFormat="1" hidden="1" x14ac:dyDescent="0.25">
      <c r="A225" s="446"/>
      <c r="B225" s="519" t="s">
        <v>7600</v>
      </c>
      <c r="C225" s="1993">
        <f>IF(OR(MKK!L164="Ya",MKK!L164=""),IF(ISBLANK(MKK!A164)=TRUE,"",MKK!A164),"")</f>
        <v>0</v>
      </c>
      <c r="D225" s="1993"/>
      <c r="E225" s="1993"/>
      <c r="F225" s="1993"/>
      <c r="G225" s="1993"/>
      <c r="H225" s="1993"/>
      <c r="I225" s="1993"/>
      <c r="J225" s="606"/>
      <c r="K225" s="606"/>
      <c r="L225" s="606"/>
      <c r="M225" s="606"/>
      <c r="N225" s="606"/>
      <c r="O225" s="606"/>
      <c r="P225" s="606"/>
      <c r="Q225" s="606"/>
      <c r="R225" s="606"/>
      <c r="S225" s="586"/>
      <c r="T225" s="586"/>
      <c r="U225" s="586">
        <f t="shared" si="17"/>
        <v>0</v>
      </c>
      <c r="V225" s="592">
        <f t="shared" si="16"/>
        <v>0</v>
      </c>
      <c r="W225" s="586"/>
      <c r="X225" s="586"/>
      <c r="Y225" s="586"/>
      <c r="Z225" s="586"/>
      <c r="AA225" s="649"/>
    </row>
    <row r="226" spans="1:27" s="447" customFormat="1" hidden="1" x14ac:dyDescent="0.25">
      <c r="A226" s="446"/>
      <c r="B226" s="519" t="s">
        <v>7600</v>
      </c>
      <c r="C226" s="1993">
        <f>IF(OR(MKK!L165="Ya",MKK!L165=""),IF(ISBLANK(MKK!A165)=TRUE,"",MKK!A165),"")</f>
        <v>0</v>
      </c>
      <c r="D226" s="1993"/>
      <c r="E226" s="1993"/>
      <c r="F226" s="1993"/>
      <c r="G226" s="1993"/>
      <c r="H226" s="1993"/>
      <c r="I226" s="1993"/>
      <c r="J226" s="606"/>
      <c r="K226" s="606"/>
      <c r="L226" s="606"/>
      <c r="M226" s="606"/>
      <c r="N226" s="606"/>
      <c r="O226" s="606"/>
      <c r="P226" s="606"/>
      <c r="Q226" s="606"/>
      <c r="R226" s="606"/>
      <c r="S226" s="586"/>
      <c r="T226" s="586"/>
      <c r="U226" s="586">
        <f t="shared" si="17"/>
        <v>0</v>
      </c>
      <c r="V226" s="592">
        <f t="shared" si="16"/>
        <v>0</v>
      </c>
      <c r="W226" s="586"/>
      <c r="X226" s="586"/>
      <c r="Y226" s="586"/>
      <c r="Z226" s="586"/>
      <c r="AA226" s="649"/>
    </row>
    <row r="227" spans="1:27" s="447" customFormat="1" hidden="1" x14ac:dyDescent="0.25">
      <c r="A227" s="446"/>
      <c r="B227" s="519" t="s">
        <v>7600</v>
      </c>
      <c r="C227" s="1993">
        <f>IF(OR(MKK!L166="Ya",MKK!L166=""),IF(ISBLANK(MKK!A166)=TRUE,"",MKK!A166),"")</f>
        <v>0</v>
      </c>
      <c r="D227" s="1993"/>
      <c r="E227" s="1993"/>
      <c r="F227" s="1993"/>
      <c r="G227" s="1993"/>
      <c r="H227" s="1993"/>
      <c r="I227" s="1993"/>
      <c r="J227" s="606"/>
      <c r="K227" s="606"/>
      <c r="L227" s="606"/>
      <c r="M227" s="606"/>
      <c r="N227" s="606"/>
      <c r="O227" s="606"/>
      <c r="P227" s="606"/>
      <c r="Q227" s="606"/>
      <c r="R227" s="606"/>
      <c r="S227" s="586"/>
      <c r="T227" s="586"/>
      <c r="U227" s="586">
        <f t="shared" si="17"/>
        <v>0</v>
      </c>
      <c r="V227" s="592">
        <f t="shared" si="16"/>
        <v>0</v>
      </c>
      <c r="W227" s="586"/>
      <c r="X227" s="586"/>
      <c r="Y227" s="586"/>
      <c r="Z227" s="586"/>
      <c r="AA227" s="649"/>
    </row>
    <row r="228" spans="1:27" s="447" customFormat="1" hidden="1" x14ac:dyDescent="0.25">
      <c r="A228" s="446"/>
      <c r="B228" s="519" t="s">
        <v>7600</v>
      </c>
      <c r="C228" s="1993" t="str">
        <f>IF(OR(MKK!L167="Ya",MKK!L167=""),IF(ISBLANK(MKK!A167)=TRUE,"",MKK!A167),"")</f>
        <v/>
      </c>
      <c r="D228" s="1993"/>
      <c r="E228" s="1993"/>
      <c r="F228" s="1993"/>
      <c r="G228" s="1993"/>
      <c r="H228" s="1993"/>
      <c r="I228" s="1993"/>
      <c r="J228" s="606"/>
      <c r="K228" s="606"/>
      <c r="L228" s="606"/>
      <c r="M228" s="606"/>
      <c r="N228" s="606"/>
      <c r="O228" s="606"/>
      <c r="P228" s="606"/>
      <c r="Q228" s="606"/>
      <c r="R228" s="606"/>
      <c r="S228" s="586"/>
      <c r="T228" s="586"/>
      <c r="U228" s="586">
        <f t="shared" si="17"/>
        <v>0</v>
      </c>
      <c r="V228" s="592" t="str">
        <f t="shared" si="16"/>
        <v/>
      </c>
      <c r="W228" s="586"/>
      <c r="X228" s="586"/>
      <c r="Y228" s="586"/>
      <c r="Z228" s="586"/>
      <c r="AA228" s="649"/>
    </row>
    <row r="229" spans="1:27" s="447" customFormat="1" hidden="1" x14ac:dyDescent="0.25">
      <c r="A229" s="446"/>
      <c r="B229" s="519"/>
      <c r="C229" s="787"/>
      <c r="D229" s="787"/>
      <c r="E229" s="787"/>
      <c r="F229" s="787"/>
      <c r="G229" s="787"/>
      <c r="H229" s="787"/>
      <c r="I229" s="787"/>
      <c r="J229" s="606"/>
      <c r="K229" s="606"/>
      <c r="L229" s="606"/>
      <c r="M229" s="606"/>
      <c r="N229" s="606"/>
      <c r="O229" s="606"/>
      <c r="P229" s="606"/>
      <c r="Q229" s="606"/>
      <c r="R229" s="606"/>
      <c r="S229" s="586"/>
      <c r="T229" s="586"/>
      <c r="U229" s="586"/>
      <c r="V229" s="592"/>
      <c r="W229" s="586"/>
      <c r="X229" s="586"/>
      <c r="Y229" s="586"/>
      <c r="Z229" s="586"/>
      <c r="AA229" s="649"/>
    </row>
    <row r="230" spans="1:27" s="447" customFormat="1" hidden="1" x14ac:dyDescent="0.25">
      <c r="B230" s="518" t="s">
        <v>2922</v>
      </c>
      <c r="C230" s="518"/>
      <c r="D230" s="520"/>
      <c r="E230" s="526"/>
      <c r="F230" s="526"/>
      <c r="G230" s="526"/>
      <c r="H230" s="526"/>
      <c r="I230" s="526"/>
      <c r="J230" s="606"/>
      <c r="K230" s="606"/>
      <c r="L230" s="606"/>
      <c r="M230" s="606"/>
      <c r="N230" s="606"/>
      <c r="O230" s="606"/>
      <c r="P230" s="606"/>
      <c r="Q230" s="606"/>
      <c r="R230" s="606"/>
      <c r="S230" s="586"/>
      <c r="T230" s="447" t="s">
        <v>7868</v>
      </c>
      <c r="U230" s="586">
        <f>SUM(U220:U228)</f>
        <v>1</v>
      </c>
      <c r="V230" s="592">
        <f t="shared" si="16"/>
        <v>0</v>
      </c>
      <c r="W230" s="586"/>
      <c r="X230" s="586"/>
      <c r="Y230" s="586"/>
      <c r="Z230" s="586"/>
      <c r="AA230" s="649"/>
    </row>
    <row r="231" spans="1:27" s="447" customFormat="1" ht="31.5" hidden="1" customHeight="1" x14ac:dyDescent="0.25">
      <c r="A231" s="446"/>
      <c r="B231" s="1995" t="s">
        <v>7833</v>
      </c>
      <c r="C231" s="1995"/>
      <c r="D231" s="1995"/>
      <c r="E231" s="1995"/>
      <c r="F231" s="1995"/>
      <c r="G231" s="1995"/>
      <c r="H231" s="1995"/>
      <c r="I231" s="1995"/>
      <c r="J231" s="586"/>
      <c r="K231" s="586"/>
      <c r="L231" s="586"/>
      <c r="M231" s="586"/>
      <c r="N231" s="586"/>
      <c r="O231" s="586"/>
      <c r="P231" s="586"/>
      <c r="Q231" s="586"/>
      <c r="R231" s="586"/>
      <c r="S231" s="586"/>
      <c r="T231" s="586"/>
      <c r="U231" s="586"/>
      <c r="V231" s="592" t="str">
        <f>B231</f>
        <v>External Purpose 
(merupakan condition yang bersifat eksternal ditujukan kepada Debitur untuk melakukan suatu aktivitas atau memenuhi dokumen perkreditan kepada Bank)</v>
      </c>
      <c r="W231" s="586"/>
      <c r="X231" s="586"/>
      <c r="Y231" s="586"/>
      <c r="Z231" s="586"/>
      <c r="AA231" s="649"/>
    </row>
    <row r="232" spans="1:27" hidden="1" x14ac:dyDescent="0.25">
      <c r="B232" s="519" t="s">
        <v>7600</v>
      </c>
      <c r="C232" s="1993" t="s">
        <v>323</v>
      </c>
      <c r="D232" s="1993"/>
      <c r="E232" s="1993"/>
      <c r="F232" s="1993"/>
      <c r="G232" s="1993"/>
      <c r="H232" s="1993"/>
      <c r="I232" s="1993"/>
      <c r="U232" s="586">
        <f t="shared" ref="U232:U240" si="18">IF(COUNT(C232)&gt;0,0,1)</f>
        <v>1</v>
      </c>
      <c r="V232" s="592" t="str">
        <f>C232</f>
        <v>NA</v>
      </c>
    </row>
    <row r="233" spans="1:27" ht="3.75" hidden="1" customHeight="1" x14ac:dyDescent="0.25">
      <c r="B233" s="519" t="s">
        <v>7600</v>
      </c>
      <c r="C233" s="1993">
        <f>IF(ISBLANK(MKK!A171)=TRUE,"",MKK!A171)</f>
        <v>0</v>
      </c>
      <c r="D233" s="1993"/>
      <c r="E233" s="1993"/>
      <c r="F233" s="1993"/>
      <c r="G233" s="1993"/>
      <c r="H233" s="1993"/>
      <c r="I233" s="1993"/>
      <c r="U233" s="586">
        <f t="shared" si="18"/>
        <v>0</v>
      </c>
      <c r="V233" s="592">
        <f t="shared" si="16"/>
        <v>0</v>
      </c>
    </row>
    <row r="234" spans="1:27" hidden="1" x14ac:dyDescent="0.25">
      <c r="B234" s="519" t="s">
        <v>7600</v>
      </c>
      <c r="C234" s="1993">
        <f>IF(ISBLANK(MKK!A172)=TRUE,"",MKK!A172)</f>
        <v>0</v>
      </c>
      <c r="D234" s="1993"/>
      <c r="E234" s="1993"/>
      <c r="F234" s="1993"/>
      <c r="G234" s="1993"/>
      <c r="H234" s="1993"/>
      <c r="I234" s="1993"/>
      <c r="U234" s="586">
        <f t="shared" si="18"/>
        <v>0</v>
      </c>
      <c r="V234" s="592">
        <f t="shared" si="16"/>
        <v>0</v>
      </c>
    </row>
    <row r="235" spans="1:27" hidden="1" x14ac:dyDescent="0.25">
      <c r="B235" s="519" t="s">
        <v>7600</v>
      </c>
      <c r="C235" s="1993">
        <f>IF(ISBLANK(MKK!A173)=TRUE,"",MKK!A173)</f>
        <v>0</v>
      </c>
      <c r="D235" s="1993"/>
      <c r="E235" s="1993"/>
      <c r="F235" s="1993"/>
      <c r="G235" s="1993"/>
      <c r="H235" s="1993"/>
      <c r="I235" s="1993"/>
      <c r="U235" s="586">
        <f t="shared" si="18"/>
        <v>0</v>
      </c>
      <c r="V235" s="592">
        <f t="shared" si="16"/>
        <v>0</v>
      </c>
    </row>
    <row r="236" spans="1:27" hidden="1" x14ac:dyDescent="0.25">
      <c r="B236" s="519" t="s">
        <v>7600</v>
      </c>
      <c r="C236" s="1993">
        <f>IF(ISBLANK(MKK!A174)=TRUE,"",MKK!A174)</f>
        <v>0</v>
      </c>
      <c r="D236" s="1993"/>
      <c r="E236" s="1993"/>
      <c r="F236" s="1993"/>
      <c r="G236" s="1993"/>
      <c r="H236" s="1993"/>
      <c r="I236" s="1993"/>
      <c r="U236" s="586">
        <f t="shared" si="18"/>
        <v>0</v>
      </c>
      <c r="V236" s="592"/>
    </row>
    <row r="237" spans="1:27" ht="15" hidden="1" customHeight="1" x14ac:dyDescent="0.25">
      <c r="B237" s="519" t="s">
        <v>7600</v>
      </c>
      <c r="C237" s="1993">
        <f>IF(ISBLANK(MKK!A175)=TRUE,"",MKK!A175)</f>
        <v>0</v>
      </c>
      <c r="D237" s="1993"/>
      <c r="E237" s="1993"/>
      <c r="F237" s="1993"/>
      <c r="G237" s="1993"/>
      <c r="H237" s="1993"/>
      <c r="I237" s="1993"/>
      <c r="U237" s="586">
        <f t="shared" si="18"/>
        <v>0</v>
      </c>
      <c r="V237" s="592"/>
    </row>
    <row r="238" spans="1:27" hidden="1" x14ac:dyDescent="0.25">
      <c r="B238" s="519" t="s">
        <v>7600</v>
      </c>
      <c r="C238" s="1993">
        <f>IF(ISBLANK(MKK!A176)=TRUE,"",MKK!A176)</f>
        <v>0</v>
      </c>
      <c r="D238" s="1993"/>
      <c r="E238" s="1993"/>
      <c r="F238" s="1993"/>
      <c r="G238" s="1993"/>
      <c r="H238" s="1993"/>
      <c r="I238" s="1993"/>
      <c r="U238" s="586">
        <f t="shared" si="18"/>
        <v>0</v>
      </c>
      <c r="V238" s="592"/>
    </row>
    <row r="239" spans="1:27" hidden="1" x14ac:dyDescent="0.25">
      <c r="B239" s="519" t="s">
        <v>7600</v>
      </c>
      <c r="C239" s="1993">
        <f>IF(ISBLANK(MKK!A177)=TRUE,"",MKK!A177)</f>
        <v>0</v>
      </c>
      <c r="D239" s="1993"/>
      <c r="E239" s="1993"/>
      <c r="F239" s="1993"/>
      <c r="G239" s="1993"/>
      <c r="H239" s="1993"/>
      <c r="I239" s="1993"/>
      <c r="U239" s="586">
        <f t="shared" si="18"/>
        <v>0</v>
      </c>
      <c r="V239" s="592"/>
    </row>
    <row r="240" spans="1:27" hidden="1" x14ac:dyDescent="0.25">
      <c r="B240" s="519" t="s">
        <v>7600</v>
      </c>
      <c r="C240" s="1993">
        <f>IF(ISBLANK(MKK!A178)=TRUE,"",MKK!A178)</f>
        <v>0</v>
      </c>
      <c r="D240" s="1993"/>
      <c r="E240" s="1993"/>
      <c r="F240" s="1993"/>
      <c r="G240" s="1993"/>
      <c r="H240" s="1993"/>
      <c r="I240" s="1993"/>
      <c r="U240" s="586">
        <f t="shared" si="18"/>
        <v>0</v>
      </c>
      <c r="V240" s="592"/>
    </row>
    <row r="241" spans="2:27" hidden="1" x14ac:dyDescent="0.25">
      <c r="B241" s="519"/>
      <c r="C241" s="787"/>
      <c r="D241" s="787"/>
      <c r="E241" s="787"/>
      <c r="F241" s="787"/>
      <c r="G241" s="787"/>
      <c r="H241" s="787"/>
      <c r="I241" s="787"/>
      <c r="V241" s="592"/>
    </row>
    <row r="242" spans="2:27" ht="31.5" hidden="1" customHeight="1" x14ac:dyDescent="0.25">
      <c r="B242" s="1995" t="s">
        <v>7834</v>
      </c>
      <c r="C242" s="1995"/>
      <c r="D242" s="1995"/>
      <c r="E242" s="1995"/>
      <c r="F242" s="1995"/>
      <c r="G242" s="1995"/>
      <c r="H242" s="1995"/>
      <c r="I242" s="1995"/>
      <c r="T242" s="447" t="s">
        <v>7869</v>
      </c>
      <c r="U242" s="586">
        <f>SUM(U232:U240)</f>
        <v>1</v>
      </c>
      <c r="V242" s="592"/>
    </row>
    <row r="243" spans="2:27" hidden="1" x14ac:dyDescent="0.25">
      <c r="B243" s="519" t="s">
        <v>7600</v>
      </c>
      <c r="C243" s="1993" t="s">
        <v>323</v>
      </c>
      <c r="D243" s="1993"/>
      <c r="E243" s="1993"/>
      <c r="F243" s="1993"/>
      <c r="G243" s="1993"/>
      <c r="H243" s="1993"/>
      <c r="I243" s="1993"/>
      <c r="U243" s="586">
        <f t="shared" ref="U243:U249" si="19">IF(COUNT(C243)&gt;0,0,1)</f>
        <v>1</v>
      </c>
      <c r="V243" s="592"/>
    </row>
    <row r="244" spans="2:27" ht="3" hidden="1" customHeight="1" x14ac:dyDescent="0.25">
      <c r="B244" s="519" t="s">
        <v>7600</v>
      </c>
      <c r="C244" s="1993">
        <f>IF(ISBLANK(MKK!A181)=TRUE,"",MKK!A181)</f>
        <v>0</v>
      </c>
      <c r="D244" s="1993"/>
      <c r="E244" s="1993"/>
      <c r="F244" s="1993"/>
      <c r="G244" s="1993"/>
      <c r="H244" s="1993"/>
      <c r="I244" s="1993"/>
      <c r="U244" s="586">
        <f t="shared" si="19"/>
        <v>0</v>
      </c>
      <c r="V244" s="592"/>
    </row>
    <row r="245" spans="2:27" hidden="1" x14ac:dyDescent="0.25">
      <c r="B245" s="519" t="s">
        <v>7600</v>
      </c>
      <c r="C245" s="1993">
        <f>IF(ISBLANK(MKK!A182)=TRUE,"",MKK!A182)</f>
        <v>0</v>
      </c>
      <c r="D245" s="1993"/>
      <c r="E245" s="1993"/>
      <c r="F245" s="1993"/>
      <c r="G245" s="1993"/>
      <c r="H245" s="1993"/>
      <c r="I245" s="1993"/>
      <c r="U245" s="586">
        <f t="shared" si="19"/>
        <v>0</v>
      </c>
      <c r="V245" s="592"/>
    </row>
    <row r="246" spans="2:27" hidden="1" x14ac:dyDescent="0.25">
      <c r="B246" s="519" t="s">
        <v>7600</v>
      </c>
      <c r="C246" s="1993">
        <f>IF(ISBLANK(MKK!A183)=TRUE,"",MKK!A183)</f>
        <v>0</v>
      </c>
      <c r="D246" s="1993"/>
      <c r="E246" s="1993"/>
      <c r="F246" s="1993"/>
      <c r="G246" s="1993"/>
      <c r="H246" s="1993"/>
      <c r="I246" s="1993"/>
      <c r="U246" s="586">
        <f t="shared" si="19"/>
        <v>0</v>
      </c>
      <c r="V246" s="592"/>
    </row>
    <row r="247" spans="2:27" hidden="1" x14ac:dyDescent="0.25">
      <c r="B247" s="519" t="s">
        <v>7600</v>
      </c>
      <c r="C247" s="1993">
        <f>IF(ISBLANK(MKK!A184)=TRUE,"",MKK!A184)</f>
        <v>0</v>
      </c>
      <c r="D247" s="1993"/>
      <c r="E247" s="1993"/>
      <c r="F247" s="1993"/>
      <c r="G247" s="1993"/>
      <c r="H247" s="1993"/>
      <c r="I247" s="1993"/>
      <c r="U247" s="586">
        <f t="shared" si="19"/>
        <v>0</v>
      </c>
      <c r="V247" s="592"/>
    </row>
    <row r="248" spans="2:27" hidden="1" x14ac:dyDescent="0.25">
      <c r="B248" s="519" t="s">
        <v>7600</v>
      </c>
      <c r="C248" s="1993">
        <f>IF(ISBLANK(MKK!A185)=TRUE,"",MKK!A185)</f>
        <v>0</v>
      </c>
      <c r="D248" s="1993"/>
      <c r="E248" s="1993"/>
      <c r="F248" s="1993"/>
      <c r="G248" s="1993"/>
      <c r="H248" s="1993"/>
      <c r="I248" s="1993"/>
      <c r="U248" s="586">
        <f t="shared" si="19"/>
        <v>0</v>
      </c>
      <c r="V248" s="592"/>
    </row>
    <row r="249" spans="2:27" hidden="1" x14ac:dyDescent="0.25">
      <c r="B249" s="519" t="s">
        <v>7600</v>
      </c>
      <c r="C249" s="1993">
        <f>IF(ISBLANK(MKK!A181)=TRUE,"",MKK!A181)</f>
        <v>0</v>
      </c>
      <c r="D249" s="1993"/>
      <c r="E249" s="1993"/>
      <c r="F249" s="1993"/>
      <c r="G249" s="1993"/>
      <c r="H249" s="1993"/>
      <c r="I249" s="1993"/>
      <c r="U249" s="586">
        <f t="shared" si="19"/>
        <v>0</v>
      </c>
      <c r="V249" s="592"/>
    </row>
    <row r="250" spans="2:27" hidden="1" x14ac:dyDescent="0.25">
      <c r="B250" s="521"/>
      <c r="C250" s="526"/>
      <c r="D250" s="526"/>
      <c r="E250" s="526"/>
      <c r="F250" s="526"/>
      <c r="G250" s="526"/>
      <c r="H250" s="526"/>
      <c r="I250" s="526"/>
      <c r="T250" s="447" t="s">
        <v>7870</v>
      </c>
      <c r="U250" s="586">
        <f>SUM(U243:U249)</f>
        <v>1</v>
      </c>
      <c r="V250" s="592">
        <f t="shared" si="16"/>
        <v>0</v>
      </c>
    </row>
    <row r="251" spans="2:27" ht="26.25" customHeight="1" x14ac:dyDescent="0.25">
      <c r="B251" s="522" t="s">
        <v>7586</v>
      </c>
      <c r="C251" s="526"/>
      <c r="D251" s="2041" t="str">
        <f>MKK!B193</f>
        <v>Disetujui hanya sebagian</v>
      </c>
      <c r="E251" s="2041"/>
      <c r="F251" s="2041"/>
      <c r="G251" s="526"/>
      <c r="H251" s="526"/>
      <c r="I251" s="526"/>
      <c r="V251" s="592">
        <f t="shared" si="16"/>
        <v>0</v>
      </c>
    </row>
    <row r="252" spans="2:27" s="447" customFormat="1" ht="10.5" hidden="1" customHeight="1" x14ac:dyDescent="0.25">
      <c r="B252" s="511"/>
      <c r="C252" s="527"/>
      <c r="D252" s="528"/>
      <c r="E252" s="528"/>
      <c r="F252" s="528"/>
      <c r="G252" s="527"/>
      <c r="H252" s="527"/>
      <c r="I252" s="527"/>
      <c r="J252" s="586"/>
      <c r="K252" s="586"/>
      <c r="L252" s="586"/>
      <c r="M252" s="586"/>
      <c r="N252" s="586"/>
      <c r="O252" s="586"/>
      <c r="P252" s="586"/>
      <c r="Q252" s="586"/>
      <c r="R252" s="586"/>
      <c r="S252" s="586"/>
      <c r="T252" s="586"/>
      <c r="U252" s="586"/>
      <c r="V252" s="592"/>
      <c r="W252" s="586"/>
      <c r="X252" s="586"/>
      <c r="Y252" s="586"/>
      <c r="Z252" s="586"/>
      <c r="AA252" s="649"/>
    </row>
    <row r="253" spans="2:27" s="447" customFormat="1" ht="15.75" customHeight="1" x14ac:dyDescent="0.25">
      <c r="B253" s="518" t="s">
        <v>7176</v>
      </c>
      <c r="C253" s="518"/>
      <c r="D253" s="520"/>
      <c r="E253" s="528"/>
      <c r="F253" s="528"/>
      <c r="G253" s="527"/>
      <c r="H253" s="527"/>
      <c r="I253" s="527"/>
      <c r="J253" s="586"/>
      <c r="K253" s="586"/>
      <c r="L253" s="586"/>
      <c r="M253" s="586"/>
      <c r="N253" s="586"/>
      <c r="O253" s="586"/>
      <c r="P253" s="586"/>
      <c r="Q253" s="586"/>
      <c r="R253" s="586"/>
      <c r="S253" s="586"/>
      <c r="T253" s="586"/>
      <c r="U253" s="586"/>
      <c r="V253" s="592"/>
      <c r="W253" s="586"/>
      <c r="X253" s="586"/>
      <c r="Y253" s="586"/>
      <c r="Z253" s="586"/>
      <c r="AA253" s="649"/>
    </row>
    <row r="254" spans="2:27" ht="18" customHeight="1" x14ac:dyDescent="0.25">
      <c r="B254" s="1314" t="s">
        <v>697</v>
      </c>
      <c r="C254" s="2042" t="s">
        <v>8232</v>
      </c>
      <c r="D254" s="2042"/>
      <c r="E254" s="2042"/>
      <c r="F254" s="2042"/>
      <c r="G254" s="2042"/>
      <c r="H254" s="2042"/>
      <c r="I254" s="2042"/>
      <c r="U254" s="586">
        <f>IF(C254="",0,1)</f>
        <v>1</v>
      </c>
      <c r="V254" s="592" t="str">
        <f>C254</f>
        <v>Sales hanya tercerim 34,65% atau IDR 541,75 juta dari sales LK Proforma April 2018.</v>
      </c>
    </row>
    <row r="255" spans="2:27" ht="18" customHeight="1" x14ac:dyDescent="0.25">
      <c r="B255" s="1314" t="s">
        <v>8229</v>
      </c>
      <c r="C255" s="2042" t="s">
        <v>8231</v>
      </c>
      <c r="D255" s="2042"/>
      <c r="E255" s="2042"/>
      <c r="F255" s="2042"/>
      <c r="G255" s="2042"/>
      <c r="H255" s="2042"/>
      <c r="I255" s="2042"/>
      <c r="U255" s="586">
        <f>IF(C255="",0,1)</f>
        <v>1</v>
      </c>
      <c r="V255" s="592" t="str">
        <f>C255</f>
        <v>Perhitungan bank financing terhadap modal kerja projeksi cenderung over financing.</v>
      </c>
    </row>
    <row r="256" spans="2:27" hidden="1" x14ac:dyDescent="0.25">
      <c r="B256" s="1313" t="s">
        <v>7600</v>
      </c>
      <c r="C256" s="2042" t="str">
        <f>IF(ISBLANK(MKK!A191)=TRUE,"",MKK!A191)</f>
        <v/>
      </c>
      <c r="D256" s="2042"/>
      <c r="E256" s="2042"/>
      <c r="F256" s="2042"/>
      <c r="G256" s="2042"/>
      <c r="H256" s="2042"/>
      <c r="I256" s="2042"/>
      <c r="U256" s="586">
        <f>IF(C256="",0,1)</f>
        <v>0</v>
      </c>
      <c r="V256" s="592" t="str">
        <f>C256</f>
        <v/>
      </c>
    </row>
    <row r="257" spans="1:27" x14ac:dyDescent="0.25">
      <c r="B257" s="521"/>
      <c r="T257" s="447" t="s">
        <v>6309</v>
      </c>
      <c r="U257" s="586">
        <f>SUM(U253:U256)</f>
        <v>2</v>
      </c>
      <c r="V257" s="592">
        <f>C257</f>
        <v>0</v>
      </c>
    </row>
    <row r="258" spans="1:27" s="447" customFormat="1" x14ac:dyDescent="0.25">
      <c r="A258" s="446"/>
      <c r="B258" s="446"/>
      <c r="C258" s="525"/>
      <c r="D258" s="523" t="str">
        <f>F8</f>
        <v>27 JULI 2018</v>
      </c>
      <c r="E258" s="446"/>
      <c r="F258" s="446"/>
      <c r="G258" s="446"/>
      <c r="H258" s="446"/>
      <c r="I258" s="446"/>
      <c r="J258" s="586"/>
      <c r="K258" s="586"/>
      <c r="L258" s="586"/>
      <c r="M258" s="586"/>
      <c r="N258" s="586"/>
      <c r="O258" s="586"/>
      <c r="P258" s="586"/>
      <c r="Q258" s="586"/>
      <c r="R258" s="586"/>
      <c r="S258" s="586"/>
      <c r="T258" s="586"/>
      <c r="U258" s="586"/>
      <c r="V258" s="607">
        <f>'Informasi Debitur'!J4</f>
        <v>43255</v>
      </c>
      <c r="W258" s="586"/>
      <c r="X258" s="586"/>
      <c r="Y258" s="586"/>
      <c r="Z258" s="586"/>
      <c r="AA258" s="649"/>
    </row>
    <row r="259" spans="1:27" ht="30.75" customHeight="1" x14ac:dyDescent="0.25">
      <c r="C259" s="2044"/>
      <c r="D259" s="2045"/>
    </row>
    <row r="260" spans="1:27" ht="33.75" customHeight="1" x14ac:dyDescent="0.25">
      <c r="C260" s="2037"/>
      <c r="D260" s="2038"/>
    </row>
    <row r="261" spans="1:27" ht="31.5" customHeight="1" x14ac:dyDescent="0.25">
      <c r="C261" s="2039" t="s">
        <v>8234</v>
      </c>
      <c r="D261" s="2040"/>
    </row>
    <row r="262" spans="1:27" x14ac:dyDescent="0.25">
      <c r="C262" s="554"/>
      <c r="D262" s="554"/>
    </row>
    <row r="263" spans="1:27" s="447" customFormat="1" x14ac:dyDescent="0.25">
      <c r="A263" s="2043" t="str">
        <f>"Summary Credit Review - "&amp;'Informasi Debitur'!J5</f>
        <v xml:space="preserve">Summary Credit Review - OH NJEN LIENG </v>
      </c>
      <c r="B263" s="2043"/>
      <c r="C263" s="2043"/>
      <c r="D263" s="2043"/>
      <c r="E263" s="2043"/>
      <c r="F263" s="2043"/>
      <c r="G263" s="2043"/>
      <c r="H263" s="2043"/>
      <c r="I263" s="2043"/>
      <c r="J263" s="449"/>
      <c r="K263" s="449"/>
      <c r="L263" s="449"/>
      <c r="M263" s="449"/>
      <c r="N263" s="449"/>
      <c r="O263" s="449"/>
      <c r="P263" s="449"/>
      <c r="Q263" s="449"/>
      <c r="R263" s="449"/>
      <c r="S263" s="586"/>
      <c r="T263" s="586"/>
      <c r="U263" s="586"/>
      <c r="V263" s="586"/>
      <c r="W263" s="586"/>
      <c r="X263" s="586"/>
      <c r="Y263" s="586"/>
      <c r="Z263" s="586"/>
      <c r="AA263" s="649"/>
    </row>
    <row r="265" spans="1:27" s="447" customFormat="1" x14ac:dyDescent="0.25">
      <c r="A265" s="446"/>
      <c r="B265" s="2026" t="s">
        <v>7841</v>
      </c>
      <c r="C265" s="2026"/>
      <c r="D265" s="2026"/>
      <c r="E265" s="2026"/>
      <c r="F265" s="2026"/>
      <c r="G265" s="2026"/>
      <c r="H265" s="2026" t="s">
        <v>7842</v>
      </c>
      <c r="I265" s="2026"/>
      <c r="J265" s="593"/>
      <c r="K265" s="593"/>
      <c r="L265" s="593"/>
      <c r="M265" s="593"/>
      <c r="N265" s="593"/>
      <c r="O265" s="593"/>
      <c r="P265" s="593"/>
      <c r="Q265" s="593"/>
      <c r="R265" s="593"/>
      <c r="S265" s="586"/>
      <c r="T265" s="586"/>
      <c r="U265" s="586"/>
      <c r="V265" s="586"/>
      <c r="W265" s="586"/>
      <c r="X265" s="586"/>
      <c r="Y265" s="586"/>
      <c r="Z265" s="586"/>
      <c r="AA265" s="649"/>
    </row>
    <row r="266" spans="1:27" s="447" customFormat="1" ht="138" customHeight="1" x14ac:dyDescent="0.25">
      <c r="A266" s="446"/>
      <c r="B266" s="2023"/>
      <c r="C266" s="2023"/>
      <c r="D266" s="2023"/>
      <c r="E266" s="2023"/>
      <c r="F266" s="2023"/>
      <c r="G266" s="2023"/>
      <c r="H266" s="2034" t="s">
        <v>8243</v>
      </c>
      <c r="I266" s="2035"/>
      <c r="J266" s="608"/>
      <c r="K266" s="608"/>
      <c r="L266" s="608"/>
      <c r="M266" s="608"/>
      <c r="N266" s="608"/>
      <c r="O266" s="608"/>
      <c r="P266" s="608"/>
      <c r="Q266" s="608"/>
      <c r="R266" s="608"/>
      <c r="S266" s="586"/>
      <c r="T266" s="586"/>
      <c r="U266" s="586"/>
      <c r="V266" s="586"/>
      <c r="W266" s="586"/>
      <c r="X266" s="586"/>
      <c r="Y266" s="586"/>
      <c r="Z266" s="586"/>
      <c r="AA266" s="649"/>
    </row>
    <row r="267" spans="1:27" s="447" customFormat="1" ht="135" customHeight="1" x14ac:dyDescent="0.25">
      <c r="A267" s="446"/>
      <c r="B267" s="2023"/>
      <c r="C267" s="2023"/>
      <c r="D267" s="2023"/>
      <c r="E267" s="2023"/>
      <c r="F267" s="2023"/>
      <c r="G267" s="2023"/>
      <c r="H267" s="2024"/>
      <c r="I267" s="2025"/>
      <c r="J267" s="608"/>
      <c r="K267" s="608"/>
      <c r="L267" s="608"/>
      <c r="M267" s="608"/>
      <c r="N267" s="608"/>
      <c r="O267" s="608"/>
      <c r="P267" s="608"/>
      <c r="Q267" s="608"/>
      <c r="R267" s="608"/>
      <c r="S267" s="586"/>
      <c r="T267" s="586"/>
      <c r="U267" s="586"/>
      <c r="V267" s="586"/>
      <c r="W267" s="586"/>
      <c r="X267" s="586"/>
      <c r="Y267" s="586"/>
      <c r="Z267" s="586"/>
      <c r="AA267" s="649"/>
    </row>
    <row r="268" spans="1:27" s="447" customFormat="1" ht="99.95" customHeight="1" x14ac:dyDescent="0.25">
      <c r="A268" s="446"/>
      <c r="B268" s="2023"/>
      <c r="C268" s="2023"/>
      <c r="D268" s="2023"/>
      <c r="E268" s="2023"/>
      <c r="F268" s="2023"/>
      <c r="G268" s="2023"/>
      <c r="H268" s="2024"/>
      <c r="I268" s="2025"/>
      <c r="J268" s="608"/>
      <c r="K268" s="608"/>
      <c r="L268" s="608"/>
      <c r="M268" s="608"/>
      <c r="N268" s="608"/>
      <c r="O268" s="608"/>
      <c r="P268" s="608"/>
      <c r="Q268" s="608"/>
      <c r="R268" s="608"/>
      <c r="S268" s="586"/>
      <c r="T268" s="586"/>
      <c r="U268" s="586"/>
      <c r="V268" s="586"/>
      <c r="W268" s="586"/>
      <c r="X268" s="586"/>
      <c r="Y268" s="586"/>
      <c r="Z268" s="586"/>
      <c r="AA268" s="649"/>
    </row>
    <row r="269" spans="1:27" s="447" customFormat="1" ht="99.95" customHeight="1" x14ac:dyDescent="0.25">
      <c r="A269" s="446"/>
      <c r="B269" s="2023"/>
      <c r="C269" s="2023"/>
      <c r="D269" s="2023"/>
      <c r="E269" s="2023"/>
      <c r="F269" s="2023"/>
      <c r="G269" s="2023"/>
      <c r="H269" s="2024"/>
      <c r="I269" s="2025"/>
      <c r="J269" s="608"/>
      <c r="K269" s="608"/>
      <c r="L269" s="608"/>
      <c r="M269" s="608"/>
      <c r="N269" s="608"/>
      <c r="O269" s="608"/>
      <c r="P269" s="608"/>
      <c r="Q269" s="608"/>
      <c r="R269" s="608"/>
      <c r="S269" s="586"/>
      <c r="T269" s="586"/>
      <c r="U269" s="586"/>
      <c r="V269" s="586"/>
      <c r="W269" s="586"/>
      <c r="X269" s="586"/>
      <c r="Y269" s="586"/>
      <c r="Z269" s="586"/>
      <c r="AA269" s="649"/>
    </row>
  </sheetData>
  <sheetProtection password="CCA9" sheet="1" formatCells="0" formatRows="0" autoFilter="0"/>
  <protectedRanges>
    <protectedRange password="94AB" sqref="B183:I187" name="Kesimpulan_"/>
    <protectedRange password="94AB" sqref="C176:I180" name="Catatan Tambahan"/>
    <protectedRange password="94AB" sqref="C87:I97" name="GroupInfo"/>
    <protectedRange password="94AB" sqref="C170:I172" name="Col Ket"/>
    <protectedRange sqref="B266:I269" name="Range17"/>
    <protectedRange password="94AB" sqref="D251" name="Keputusan Kredit"/>
    <protectedRange password="94AB" sqref="C230:I230" name="kesimpulan_4"/>
    <protectedRange password="94AB" sqref="B206:I206 B219 B188:C188" name="kesimpulan_3"/>
    <protectedRange password="94AB" sqref="C258:D258" name="Ttd"/>
    <protectedRange password="94AB" sqref="B257 B207:B218 B220:B229 B254:I256 C207:I230 B189:I205 B242:H242 B232:I241 B243:I250 D188:I188" name="kesimpulan"/>
    <protectedRange password="94AB" sqref="C150:I152" name="Hub_bank"/>
    <protectedRange password="94AB" sqref="B64:I67" name="Reason_ola"/>
    <protectedRange password="94AB" sqref="B57:I57" name="Tujuan"/>
    <protectedRange password="94AB" sqref="F8:I8" name="Tgl_memo"/>
    <protectedRange password="94AB" sqref="C71:I85" name="Bisnis_issue"/>
    <protectedRange password="94AB" sqref="G158:I167" name="Coll_notes"/>
    <protectedRange sqref="B61" name="Range15"/>
    <protectedRange password="94AB" sqref="C254:I256" name="kep_kredit"/>
    <protectedRange password="94AB" sqref="C117:I119" name="Ket Financial Issue"/>
    <protectedRange password="94AB" sqref="B22:I28 B34:I40 B46:I52" name="Range20"/>
    <protectedRange password="94AB" sqref="E22:F28" name="ProposedLoan"/>
  </protectedRanges>
  <autoFilter ref="AA29:AA54">
    <filterColumn colId="0">
      <filters>
        <filter val="None"/>
      </filters>
    </filterColumn>
  </autoFilter>
  <mergeCells count="282">
    <mergeCell ref="F108:G109"/>
    <mergeCell ref="C94:I94"/>
    <mergeCell ref="C95:I95"/>
    <mergeCell ref="C96:I96"/>
    <mergeCell ref="C97:I97"/>
    <mergeCell ref="C77:I77"/>
    <mergeCell ref="C78:I78"/>
    <mergeCell ref="H148:I148"/>
    <mergeCell ref="H142:I142"/>
    <mergeCell ref="H143:I143"/>
    <mergeCell ref="H144:I144"/>
    <mergeCell ref="C88:I88"/>
    <mergeCell ref="C89:I89"/>
    <mergeCell ref="H137:I137"/>
    <mergeCell ref="B106:E106"/>
    <mergeCell ref="B115:E115"/>
    <mergeCell ref="I102:I103"/>
    <mergeCell ref="B101:E101"/>
    <mergeCell ref="B102:E102"/>
    <mergeCell ref="B103:E103"/>
    <mergeCell ref="B107:E107"/>
    <mergeCell ref="B108:E108"/>
    <mergeCell ref="B109:E109"/>
    <mergeCell ref="B111:E111"/>
    <mergeCell ref="C93:I93"/>
    <mergeCell ref="B53:C53"/>
    <mergeCell ref="E53:F53"/>
    <mergeCell ref="B50:C50"/>
    <mergeCell ref="E50:F50"/>
    <mergeCell ref="C76:I76"/>
    <mergeCell ref="C87:I87"/>
    <mergeCell ref="B51:C51"/>
    <mergeCell ref="C90:I90"/>
    <mergeCell ref="C92:I92"/>
    <mergeCell ref="E52:F52"/>
    <mergeCell ref="B63:D63"/>
    <mergeCell ref="C71:I71"/>
    <mergeCell ref="C72:I72"/>
    <mergeCell ref="C73:I73"/>
    <mergeCell ref="C74:I74"/>
    <mergeCell ref="C84:I84"/>
    <mergeCell ref="C85:I85"/>
    <mergeCell ref="C83:I83"/>
    <mergeCell ref="B52:C52"/>
    <mergeCell ref="E51:F51"/>
    <mergeCell ref="B46:C46"/>
    <mergeCell ref="E46:F46"/>
    <mergeCell ref="B47:C47"/>
    <mergeCell ref="E47:F47"/>
    <mergeCell ref="B48:C48"/>
    <mergeCell ref="E48:F48"/>
    <mergeCell ref="B49:C49"/>
    <mergeCell ref="E49:F49"/>
    <mergeCell ref="B39:C39"/>
    <mergeCell ref="E39:F39"/>
    <mergeCell ref="B40:C40"/>
    <mergeCell ref="E40:F40"/>
    <mergeCell ref="B41:C41"/>
    <mergeCell ref="E41:F41"/>
    <mergeCell ref="B45:C45"/>
    <mergeCell ref="E45:F45"/>
    <mergeCell ref="B112:E112"/>
    <mergeCell ref="H139:I139"/>
    <mergeCell ref="H140:I140"/>
    <mergeCell ref="C75:I75"/>
    <mergeCell ref="E63:I63"/>
    <mergeCell ref="B64:D64"/>
    <mergeCell ref="B65:D65"/>
    <mergeCell ref="H141:I141"/>
    <mergeCell ref="H133:I133"/>
    <mergeCell ref="H134:I134"/>
    <mergeCell ref="H135:I135"/>
    <mergeCell ref="H136:I136"/>
    <mergeCell ref="H138:I138"/>
    <mergeCell ref="B66:D66"/>
    <mergeCell ref="B67:D67"/>
    <mergeCell ref="E64:I64"/>
    <mergeCell ref="E65:I65"/>
    <mergeCell ref="E66:I66"/>
    <mergeCell ref="E67:I67"/>
    <mergeCell ref="C79:I79"/>
    <mergeCell ref="C80:I80"/>
    <mergeCell ref="C81:I81"/>
    <mergeCell ref="C82:I82"/>
    <mergeCell ref="B104:E104"/>
    <mergeCell ref="B105:E105"/>
    <mergeCell ref="A1:I1"/>
    <mergeCell ref="A3:D3"/>
    <mergeCell ref="F3:I3"/>
    <mergeCell ref="A5:D5"/>
    <mergeCell ref="F5:I5"/>
    <mergeCell ref="A6:D6"/>
    <mergeCell ref="F6:I6"/>
    <mergeCell ref="A4:D4"/>
    <mergeCell ref="F4:I4"/>
    <mergeCell ref="A7:D7"/>
    <mergeCell ref="F7:I7"/>
    <mergeCell ref="A8:D8"/>
    <mergeCell ref="F8:I8"/>
    <mergeCell ref="B21:C21"/>
    <mergeCell ref="E21:F21"/>
    <mergeCell ref="B17:D17"/>
    <mergeCell ref="B16:D16"/>
    <mergeCell ref="B22:C22"/>
    <mergeCell ref="E22:F22"/>
    <mergeCell ref="B23:C23"/>
    <mergeCell ref="E23:F23"/>
    <mergeCell ref="B24:C24"/>
    <mergeCell ref="E24:F24"/>
    <mergeCell ref="K57:R57"/>
    <mergeCell ref="B25:C25"/>
    <mergeCell ref="E25:F25"/>
    <mergeCell ref="B26:C26"/>
    <mergeCell ref="E26:F26"/>
    <mergeCell ref="B27:C27"/>
    <mergeCell ref="E27:F27"/>
    <mergeCell ref="B33:C33"/>
    <mergeCell ref="E33:F33"/>
    <mergeCell ref="B34:C34"/>
    <mergeCell ref="B28:C28"/>
    <mergeCell ref="E28:F28"/>
    <mergeCell ref="B29:C29"/>
    <mergeCell ref="E29:F29"/>
    <mergeCell ref="B57:I57"/>
    <mergeCell ref="E34:F34"/>
    <mergeCell ref="B35:C35"/>
    <mergeCell ref="E35:F35"/>
    <mergeCell ref="B36:C36"/>
    <mergeCell ref="E36:F36"/>
    <mergeCell ref="B37:C37"/>
    <mergeCell ref="E37:F37"/>
    <mergeCell ref="B38:C38"/>
    <mergeCell ref="E38:F38"/>
    <mergeCell ref="B145:C145"/>
    <mergeCell ref="B146:C146"/>
    <mergeCell ref="B147:C147"/>
    <mergeCell ref="B148:D148"/>
    <mergeCell ref="H145:I145"/>
    <mergeCell ref="H146:I146"/>
    <mergeCell ref="H147:I147"/>
    <mergeCell ref="B114:E114"/>
    <mergeCell ref="B113:E113"/>
    <mergeCell ref="B130:C130"/>
    <mergeCell ref="B131:C131"/>
    <mergeCell ref="B116:E116"/>
    <mergeCell ref="B132:C132"/>
    <mergeCell ref="G116:H116"/>
    <mergeCell ref="C117:I117"/>
    <mergeCell ref="C118:I118"/>
    <mergeCell ref="C119:I119"/>
    <mergeCell ref="B125:C125"/>
    <mergeCell ref="H125:I125"/>
    <mergeCell ref="G126:I132"/>
    <mergeCell ref="B126:C126"/>
    <mergeCell ref="B127:C127"/>
    <mergeCell ref="B128:C128"/>
    <mergeCell ref="B129:C129"/>
    <mergeCell ref="C240:I240"/>
    <mergeCell ref="G163:I163"/>
    <mergeCell ref="B164:E164"/>
    <mergeCell ref="G164:I164"/>
    <mergeCell ref="B165:E165"/>
    <mergeCell ref="G165:I165"/>
    <mergeCell ref="B157:E157"/>
    <mergeCell ref="G157:I157"/>
    <mergeCell ref="B158:E158"/>
    <mergeCell ref="G158:I158"/>
    <mergeCell ref="B159:E159"/>
    <mergeCell ref="G159:I159"/>
    <mergeCell ref="B160:E160"/>
    <mergeCell ref="G160:I160"/>
    <mergeCell ref="B161:E161"/>
    <mergeCell ref="G161:I161"/>
    <mergeCell ref="B185:I185"/>
    <mergeCell ref="B186:I186"/>
    <mergeCell ref="B187:I187"/>
    <mergeCell ref="C194:I194"/>
    <mergeCell ref="C195:I195"/>
    <mergeCell ref="C196:I196"/>
    <mergeCell ref="C197:I197"/>
    <mergeCell ref="C198:I198"/>
    <mergeCell ref="C199:I199"/>
    <mergeCell ref="C215:I215"/>
    <mergeCell ref="C216:I216"/>
    <mergeCell ref="C200:I200"/>
    <mergeCell ref="C201:I201"/>
    <mergeCell ref="C202:I202"/>
    <mergeCell ref="C203:I203"/>
    <mergeCell ref="C204:I204"/>
    <mergeCell ref="C207:I207"/>
    <mergeCell ref="C209:I209"/>
    <mergeCell ref="C210:I210"/>
    <mergeCell ref="C211:I211"/>
    <mergeCell ref="C212:I212"/>
    <mergeCell ref="C213:I213"/>
    <mergeCell ref="C214:I214"/>
    <mergeCell ref="H266:I266"/>
    <mergeCell ref="B267:G267"/>
    <mergeCell ref="H267:I267"/>
    <mergeCell ref="C244:I244"/>
    <mergeCell ref="C245:I245"/>
    <mergeCell ref="C217:I217"/>
    <mergeCell ref="B219:C219"/>
    <mergeCell ref="C220:I220"/>
    <mergeCell ref="C260:D260"/>
    <mergeCell ref="C261:D261"/>
    <mergeCell ref="C246:I246"/>
    <mergeCell ref="C247:I247"/>
    <mergeCell ref="C248:I248"/>
    <mergeCell ref="C243:I243"/>
    <mergeCell ref="C249:I249"/>
    <mergeCell ref="B242:I242"/>
    <mergeCell ref="D251:F251"/>
    <mergeCell ref="C254:I254"/>
    <mergeCell ref="C255:I255"/>
    <mergeCell ref="C256:I256"/>
    <mergeCell ref="A263:I263"/>
    <mergeCell ref="C237:I237"/>
    <mergeCell ref="C259:D259"/>
    <mergeCell ref="C222:I222"/>
    <mergeCell ref="B110:E110"/>
    <mergeCell ref="B268:G268"/>
    <mergeCell ref="H268:I268"/>
    <mergeCell ref="B269:G269"/>
    <mergeCell ref="H269:I269"/>
    <mergeCell ref="B139:C139"/>
    <mergeCell ref="B140:C140"/>
    <mergeCell ref="B141:C141"/>
    <mergeCell ref="B265:G265"/>
    <mergeCell ref="H265:I265"/>
    <mergeCell ref="B266:G266"/>
    <mergeCell ref="B144:C144"/>
    <mergeCell ref="C176:I176"/>
    <mergeCell ref="C171:I171"/>
    <mergeCell ref="C172:I172"/>
    <mergeCell ref="B166:E166"/>
    <mergeCell ref="G166:I166"/>
    <mergeCell ref="B167:E167"/>
    <mergeCell ref="B143:C143"/>
    <mergeCell ref="B142:C142"/>
    <mergeCell ref="G167:I167"/>
    <mergeCell ref="C239:I239"/>
    <mergeCell ref="C193:I193"/>
    <mergeCell ref="C236:I236"/>
    <mergeCell ref="B133:C133"/>
    <mergeCell ref="B134:C134"/>
    <mergeCell ref="B135:C135"/>
    <mergeCell ref="B136:C136"/>
    <mergeCell ref="B137:C137"/>
    <mergeCell ref="B138:C138"/>
    <mergeCell ref="C190:I190"/>
    <mergeCell ref="C191:I191"/>
    <mergeCell ref="C192:I192"/>
    <mergeCell ref="C189:I189"/>
    <mergeCell ref="C177:I177"/>
    <mergeCell ref="C178:I178"/>
    <mergeCell ref="C179:I179"/>
    <mergeCell ref="C180:I180"/>
    <mergeCell ref="B183:I183"/>
    <mergeCell ref="B184:I184"/>
    <mergeCell ref="B162:E162"/>
    <mergeCell ref="G162:I162"/>
    <mergeCell ref="B168:E168"/>
    <mergeCell ref="C170:I170"/>
    <mergeCell ref="B163:E163"/>
    <mergeCell ref="C150:I150"/>
    <mergeCell ref="C151:I151"/>
    <mergeCell ref="C152:I152"/>
    <mergeCell ref="C238:I238"/>
    <mergeCell ref="C233:I233"/>
    <mergeCell ref="C234:I234"/>
    <mergeCell ref="C221:I221"/>
    <mergeCell ref="C208:I208"/>
    <mergeCell ref="C235:I235"/>
    <mergeCell ref="C227:I227"/>
    <mergeCell ref="C228:I228"/>
    <mergeCell ref="C232:I232"/>
    <mergeCell ref="C224:I224"/>
    <mergeCell ref="C226:I226"/>
    <mergeCell ref="C225:I225"/>
    <mergeCell ref="B231:I231"/>
    <mergeCell ref="C223:I223"/>
  </mergeCells>
  <dataValidations count="1">
    <dataValidation type="list" allowBlank="1" showInputMessage="1" showErrorMessage="1" promptTitle="=prod_mkk" sqref="B22:C28">
      <formula1>prod_mkk</formula1>
    </dataValidation>
  </dataValidations>
  <pageMargins left="0.6" right="0.39" top="0.27" bottom="0.37" header="0.16" footer="0.19"/>
  <pageSetup paperSize="9" scale="70" fitToWidth="0" fitToHeight="0" orientation="portrait" r:id="rId1"/>
  <headerFooter>
    <oddFooter>&amp;RTemplate &amp;"-,Italic"small size&amp;"-,Regular" 2017 v.3 - Page &amp;P of &amp;N</oddFooter>
  </headerFooter>
  <rowBreaks count="2" manualBreakCount="2">
    <brk id="97" max="8" man="1"/>
    <brk id="154" max="8" man="1"/>
  </rowBreaks>
  <ignoredErrors>
    <ignoredError sqref="G133:G147" unlockedFormula="1"/>
  </ignoredErrors>
  <drawing r:id="rId2"/>
  <legacyDrawing r:id="rId3"/>
  <controls>
    <mc:AlternateContent xmlns:mc="http://schemas.openxmlformats.org/markup-compatibility/2006">
      <mc:Choice Requires="x14">
        <control shapeId="29753" r:id="rId4" name="Auto_fit">
          <controlPr defaultSize="0" autoLine="0" r:id="rId5">
            <anchor moveWithCells="1">
              <from>
                <xdr:col>26</xdr:col>
                <xdr:colOff>123825</xdr:colOff>
                <xdr:row>263</xdr:row>
                <xdr:rowOff>152400</xdr:rowOff>
              </from>
              <to>
                <xdr:col>29</xdr:col>
                <xdr:colOff>114300</xdr:colOff>
                <xdr:row>265</xdr:row>
                <xdr:rowOff>95250</xdr:rowOff>
              </to>
            </anchor>
          </controlPr>
        </control>
      </mc:Choice>
      <mc:Fallback>
        <control shapeId="29753" r:id="rId4" name="Auto_fit"/>
      </mc:Fallback>
    </mc:AlternateContent>
    <mc:AlternateContent xmlns:mc="http://schemas.openxmlformats.org/markup-compatibility/2006">
      <mc:Choice Requires="x14">
        <control shapeId="29752" r:id="rId6" name="Hide_button">
          <controlPr defaultSize="0" autoLine="0" r:id="rId7">
            <anchor moveWithCells="1">
              <from>
                <xdr:col>26</xdr:col>
                <xdr:colOff>142875</xdr:colOff>
                <xdr:row>265</xdr:row>
                <xdr:rowOff>190500</xdr:rowOff>
              </from>
              <to>
                <xdr:col>29</xdr:col>
                <xdr:colOff>133350</xdr:colOff>
                <xdr:row>265</xdr:row>
                <xdr:rowOff>514350</xdr:rowOff>
              </to>
            </anchor>
          </controlPr>
        </control>
      </mc:Choice>
      <mc:Fallback>
        <control shapeId="29752" r:id="rId6" name="Hide_button"/>
      </mc:Fallback>
    </mc:AlternateContent>
  </control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1"/>
  <dimension ref="A2:N96"/>
  <sheetViews>
    <sheetView showGridLines="0" showZeros="0" topLeftCell="A19" zoomScale="80" zoomScaleNormal="80" zoomScaleSheetLayoutView="55" workbookViewId="0">
      <selection activeCell="C39" sqref="C39"/>
    </sheetView>
  </sheetViews>
  <sheetFormatPr defaultRowHeight="12.75" x14ac:dyDescent="0.2"/>
  <cols>
    <col min="1" max="1" width="19.42578125" style="332" customWidth="1"/>
    <col min="2" max="2" width="23" style="333" customWidth="1"/>
    <col min="3" max="3" width="23.7109375" style="333" customWidth="1"/>
    <col min="4" max="9" width="23" style="333" customWidth="1"/>
    <col min="10" max="12" width="22.7109375" style="333" customWidth="1"/>
    <col min="13" max="16384" width="9.140625" style="333"/>
  </cols>
  <sheetData>
    <row r="2" spans="1:10" ht="40.5" customHeight="1" x14ac:dyDescent="0.35">
      <c r="A2" s="2146" t="s">
        <v>195</v>
      </c>
      <c r="B2" s="2146"/>
      <c r="C2" s="2146"/>
      <c r="D2" s="2146"/>
      <c r="E2" s="2146"/>
      <c r="F2" s="2146"/>
      <c r="G2" s="2146"/>
      <c r="H2" s="2146"/>
      <c r="I2" s="2146"/>
      <c r="J2" s="10"/>
    </row>
    <row r="3" spans="1:10" x14ac:dyDescent="0.2">
      <c r="A3" s="34"/>
      <c r="B3" s="10"/>
      <c r="C3" s="10"/>
      <c r="D3" s="10"/>
      <c r="E3" s="10"/>
      <c r="F3" s="10"/>
      <c r="G3" s="10"/>
      <c r="H3" s="10"/>
      <c r="I3" s="10"/>
      <c r="J3" s="10"/>
    </row>
    <row r="4" spans="1:10" x14ac:dyDescent="0.2">
      <c r="A4" s="10" t="s">
        <v>85</v>
      </c>
      <c r="B4" s="2154" t="str">
        <f>MKK!G10</f>
        <v xml:space="preserve">OH NJEN LIENG </v>
      </c>
      <c r="C4" s="2154"/>
      <c r="D4" s="10"/>
      <c r="E4" s="10"/>
      <c r="F4" s="10"/>
      <c r="G4" s="10"/>
      <c r="H4" s="10"/>
      <c r="I4" s="10"/>
      <c r="J4" s="10"/>
    </row>
    <row r="5" spans="1:10" x14ac:dyDescent="0.2">
      <c r="A5" s="50" t="s">
        <v>326</v>
      </c>
      <c r="B5" s="2154">
        <f>MKK!B10</f>
        <v>0</v>
      </c>
      <c r="C5" s="2154"/>
      <c r="D5" s="10"/>
      <c r="E5" s="10"/>
      <c r="F5" s="10"/>
      <c r="G5" s="10"/>
      <c r="H5" s="10"/>
      <c r="I5" s="10"/>
      <c r="J5" s="10"/>
    </row>
    <row r="6" spans="1:10" x14ac:dyDescent="0.2">
      <c r="A6" s="10" t="s">
        <v>84</v>
      </c>
      <c r="B6" s="2154" t="str">
        <f>MKK!B11</f>
        <v>0008C00010251</v>
      </c>
      <c r="C6" s="2154"/>
      <c r="D6" s="10"/>
      <c r="E6" s="10"/>
      <c r="F6" s="10"/>
      <c r="G6" s="10"/>
      <c r="H6" s="10"/>
      <c r="I6" s="10"/>
      <c r="J6" s="10"/>
    </row>
    <row r="7" spans="1:10" x14ac:dyDescent="0.2">
      <c r="A7" s="34"/>
      <c r="B7" s="10"/>
      <c r="C7" s="10"/>
      <c r="D7" s="10"/>
      <c r="E7" s="10"/>
      <c r="F7" s="10"/>
      <c r="G7" s="10"/>
      <c r="H7" s="10"/>
      <c r="I7" s="10"/>
      <c r="J7" s="10"/>
    </row>
    <row r="8" spans="1:10" s="334" customFormat="1" ht="15.75" customHeight="1" x14ac:dyDescent="0.25">
      <c r="A8" s="2166" t="s">
        <v>183</v>
      </c>
      <c r="B8" s="2166"/>
      <c r="C8" s="2166"/>
      <c r="D8" s="2166"/>
      <c r="E8" s="2166"/>
      <c r="F8" s="2166"/>
      <c r="G8" s="2166"/>
      <c r="H8" s="2166"/>
      <c r="I8" s="2166"/>
      <c r="J8" s="2166"/>
    </row>
    <row r="9" spans="1:10" s="334" customFormat="1" ht="5.0999999999999996" customHeight="1" x14ac:dyDescent="0.25">
      <c r="A9" s="59"/>
      <c r="B9" s="21"/>
      <c r="C9" s="21"/>
      <c r="D9" s="21"/>
      <c r="E9" s="21"/>
      <c r="F9" s="21"/>
      <c r="G9" s="21"/>
      <c r="H9" s="21"/>
      <c r="I9" s="21"/>
      <c r="J9" s="21"/>
    </row>
    <row r="10" spans="1:10" s="334" customFormat="1" ht="15" customHeight="1" x14ac:dyDescent="0.25">
      <c r="A10" s="2167"/>
      <c r="B10" s="2168"/>
      <c r="C10" s="2155" t="s">
        <v>164</v>
      </c>
      <c r="D10" s="2155"/>
      <c r="E10" s="2155"/>
      <c r="F10" s="2155" t="s">
        <v>172</v>
      </c>
      <c r="G10" s="2155"/>
      <c r="H10" s="2155"/>
      <c r="I10" s="21"/>
      <c r="J10" s="21"/>
    </row>
    <row r="11" spans="1:10" s="334" customFormat="1" ht="15" x14ac:dyDescent="0.25">
      <c r="A11" s="1928" t="s">
        <v>165</v>
      </c>
      <c r="B11" s="1928"/>
      <c r="C11" s="1380" t="s">
        <v>947</v>
      </c>
      <c r="D11" s="1380"/>
      <c r="E11" s="1380"/>
      <c r="F11" s="1380" t="s">
        <v>2361</v>
      </c>
      <c r="G11" s="1380"/>
      <c r="H11" s="1380"/>
      <c r="I11" s="21"/>
      <c r="J11" s="702" t="str">
        <f>VLOOKUP(C11,'Mapping SIDLBU'!$A$3:$C$34,3,FALSE)</f>
        <v>SID907</v>
      </c>
    </row>
    <row r="12" spans="1:10" s="334" customFormat="1" ht="15" x14ac:dyDescent="0.25">
      <c r="A12" s="1928" t="s">
        <v>166</v>
      </c>
      <c r="B12" s="1928"/>
      <c r="C12" s="1380" t="s">
        <v>6127</v>
      </c>
      <c r="D12" s="1380"/>
      <c r="E12" s="1380"/>
      <c r="F12" s="2156"/>
      <c r="G12" s="2156"/>
      <c r="H12" s="2156"/>
      <c r="I12" s="21"/>
      <c r="J12" s="21"/>
    </row>
    <row r="13" spans="1:10" s="334" customFormat="1" ht="15" x14ac:dyDescent="0.25">
      <c r="A13" s="1928" t="s">
        <v>167</v>
      </c>
      <c r="B13" s="1928"/>
      <c r="C13" s="1380" t="s">
        <v>1212</v>
      </c>
      <c r="D13" s="1380"/>
      <c r="E13" s="1380"/>
      <c r="F13" s="2157" t="s">
        <v>8242</v>
      </c>
      <c r="G13" s="2157"/>
      <c r="H13" s="2157"/>
      <c r="I13" s="21"/>
      <c r="J13" s="21"/>
    </row>
    <row r="14" spans="1:10" s="334" customFormat="1" ht="15" x14ac:dyDescent="0.25">
      <c r="A14" s="1928" t="s">
        <v>168</v>
      </c>
      <c r="B14" s="1928"/>
      <c r="C14" s="2157" t="str">
        <f>IF('Informasi Debitur'!D26="Debitur_Perorangan","0199 - Lainnya - Perorangan","")</f>
        <v>0199 - Lainnya - Perorangan</v>
      </c>
      <c r="D14" s="2157"/>
      <c r="E14" s="2157"/>
      <c r="F14" s="2157" t="s">
        <v>2417</v>
      </c>
      <c r="G14" s="2157"/>
      <c r="H14" s="2157"/>
      <c r="I14" s="21"/>
      <c r="J14" s="21"/>
    </row>
    <row r="15" spans="1:10" s="334" customFormat="1" ht="15" x14ac:dyDescent="0.25">
      <c r="A15" s="1928" t="s">
        <v>169</v>
      </c>
      <c r="B15" s="1928"/>
      <c r="C15" s="2156"/>
      <c r="D15" s="2156"/>
      <c r="E15" s="2156"/>
      <c r="F15" s="2173" t="str">
        <f>IF('Analisa Lap Keu'!G68&lt;&gt;"",IF('Analisa Lap Keu'!G68&lt;=300,'Mapping SIDLBU'!$E$15,IF('Analisa Lap Keu'!G68&lt;=2500,'Mapping SIDLBU'!$E$16,IF('Analisa Lap Keu'!G68&lt;=50000,'Mapping SIDLBU'!$E$17,'Mapping SIDLBU'!$E$18))),"")</f>
        <v>90 - Debitur UMKM - UMKM Lainnya - Menengah</v>
      </c>
      <c r="G15" s="2173"/>
      <c r="H15" s="2173"/>
      <c r="I15" s="21"/>
      <c r="J15" s="21"/>
    </row>
    <row r="16" spans="1:10" s="334" customFormat="1" ht="15" x14ac:dyDescent="0.25">
      <c r="A16" s="1928" t="s">
        <v>170</v>
      </c>
      <c r="B16" s="1928"/>
      <c r="C16" s="2156"/>
      <c r="D16" s="2156"/>
      <c r="E16" s="2156"/>
      <c r="F16" s="2175" t="s">
        <v>2392</v>
      </c>
      <c r="G16" s="2175"/>
      <c r="H16" s="2175"/>
      <c r="I16" s="21"/>
      <c r="J16" s="21"/>
    </row>
    <row r="17" spans="1:14" s="334" customFormat="1" ht="15" x14ac:dyDescent="0.25">
      <c r="A17" s="326" t="s">
        <v>3731</v>
      </c>
      <c r="B17" s="21"/>
      <c r="C17" s="21"/>
      <c r="D17" s="21"/>
      <c r="E17" s="21"/>
      <c r="F17" s="21"/>
      <c r="G17" s="21"/>
      <c r="H17" s="21"/>
      <c r="I17" s="21"/>
      <c r="J17" s="21"/>
    </row>
    <row r="18" spans="1:14" s="334" customFormat="1" ht="5.0999999999999996" customHeight="1" x14ac:dyDescent="0.25">
      <c r="A18" s="59"/>
      <c r="B18" s="21"/>
      <c r="C18" s="21"/>
      <c r="D18" s="21"/>
      <c r="E18" s="21"/>
      <c r="F18" s="21"/>
      <c r="G18" s="21"/>
      <c r="H18" s="21"/>
      <c r="I18" s="21"/>
      <c r="J18" s="21"/>
    </row>
    <row r="19" spans="1:14" s="334" customFormat="1" ht="15" customHeight="1" x14ac:dyDescent="0.25">
      <c r="A19" s="2166" t="s">
        <v>4212</v>
      </c>
      <c r="B19" s="2166"/>
      <c r="C19" s="2166"/>
      <c r="D19" s="2166"/>
      <c r="E19" s="2166"/>
      <c r="F19" s="2166"/>
      <c r="G19" s="2166"/>
      <c r="H19" s="2166"/>
      <c r="I19" s="2166"/>
      <c r="J19" s="2166"/>
    </row>
    <row r="20" spans="1:14" s="334" customFormat="1" ht="15" x14ac:dyDescent="0.25">
      <c r="A20" s="113" t="s">
        <v>502</v>
      </c>
      <c r="B20" s="2177" t="str">
        <f>'Informasi Debitur'!C88</f>
        <v>Perseroan Terbatas (PT/PERSEROAN)</v>
      </c>
      <c r="C20" s="2177"/>
      <c r="D20" s="21"/>
      <c r="E20" s="323"/>
      <c r="F20" s="64"/>
      <c r="G20" s="64"/>
      <c r="H20" s="64"/>
      <c r="I20" s="64"/>
      <c r="J20" s="64"/>
      <c r="K20" s="333"/>
      <c r="L20" s="333"/>
      <c r="M20" s="333"/>
      <c r="N20" s="333"/>
    </row>
    <row r="21" spans="1:14" s="334" customFormat="1" ht="15" x14ac:dyDescent="0.25">
      <c r="A21" s="10" t="s">
        <v>223</v>
      </c>
      <c r="B21" s="2151">
        <f>'Informasi Debitur'!C89</f>
        <v>74</v>
      </c>
      <c r="C21" s="2151"/>
      <c r="D21" s="314" t="s">
        <v>224</v>
      </c>
      <c r="E21" s="2176">
        <f>'Informasi Debitur'!C90</f>
        <v>42648</v>
      </c>
      <c r="F21" s="2176"/>
      <c r="G21" s="10"/>
      <c r="H21" s="10"/>
      <c r="I21" s="10"/>
      <c r="J21" s="10"/>
      <c r="K21" s="333"/>
      <c r="L21" s="333"/>
      <c r="M21" s="333"/>
      <c r="N21" s="333"/>
    </row>
    <row r="22" spans="1:14" s="334" customFormat="1" ht="15" x14ac:dyDescent="0.25">
      <c r="A22" s="10" t="s">
        <v>220</v>
      </c>
      <c r="B22" s="2151" t="str">
        <f>'Informasi Debitur'!C92</f>
        <v>030942833732000</v>
      </c>
      <c r="C22" s="2151"/>
      <c r="D22" s="314" t="s">
        <v>235</v>
      </c>
      <c r="E22" s="2174" t="str">
        <f>'Informasi Debitur'!G92</f>
        <v>PT BARITO INTI PERKASA</v>
      </c>
      <c r="F22" s="2174"/>
      <c r="G22" s="21"/>
      <c r="H22" s="21"/>
      <c r="I22" s="324"/>
      <c r="J22" s="10"/>
      <c r="K22" s="333"/>
      <c r="L22" s="333"/>
      <c r="M22" s="333"/>
      <c r="N22" s="333"/>
    </row>
    <row r="23" spans="1:14" s="334" customFormat="1" ht="15" x14ac:dyDescent="0.25">
      <c r="A23" s="10" t="s">
        <v>237</v>
      </c>
      <c r="B23" s="2151" t="str">
        <f>'Informasi Debitur'!C93</f>
        <v>510/6/DPMPTSP/PM/2017</v>
      </c>
      <c r="C23" s="2151"/>
      <c r="D23" s="314" t="s">
        <v>235</v>
      </c>
      <c r="E23" s="2151" t="str">
        <f>'Informasi Debitur'!G93</f>
        <v>PT BARITO INTI PERKASA</v>
      </c>
      <c r="F23" s="2151"/>
      <c r="G23" s="314" t="s">
        <v>279</v>
      </c>
      <c r="H23" s="2152">
        <f>'Informasi Debitur'!K93</f>
        <v>2018</v>
      </c>
      <c r="I23" s="2152"/>
      <c r="J23" s="325"/>
      <c r="N23" s="333"/>
    </row>
    <row r="24" spans="1:14" s="334" customFormat="1" ht="15" x14ac:dyDescent="0.25">
      <c r="A24" s="10" t="s">
        <v>236</v>
      </c>
      <c r="B24" s="2178">
        <f>'Informasi Debitur'!C94</f>
        <v>160112900332</v>
      </c>
      <c r="C24" s="2178"/>
      <c r="D24" s="314" t="s">
        <v>235</v>
      </c>
      <c r="E24" s="2151" t="str">
        <f>'Informasi Debitur'!G94</f>
        <v>PT BARITO INTI PERKASA</v>
      </c>
      <c r="F24" s="2151"/>
      <c r="G24" s="314" t="s">
        <v>279</v>
      </c>
      <c r="H24" s="2153">
        <f>'Informasi Debitur'!K94</f>
        <v>2018</v>
      </c>
      <c r="I24" s="2153"/>
      <c r="J24" s="325"/>
      <c r="N24" s="333"/>
    </row>
    <row r="25" spans="1:14" s="334" customFormat="1" ht="5.0999999999999996" customHeight="1" x14ac:dyDescent="0.25">
      <c r="A25" s="10"/>
      <c r="B25" s="10"/>
      <c r="C25" s="321"/>
      <c r="D25" s="321"/>
      <c r="E25" s="321"/>
      <c r="F25" s="10"/>
      <c r="G25" s="322"/>
      <c r="H25" s="322"/>
      <c r="I25" s="322"/>
      <c r="J25" s="10"/>
      <c r="K25" s="335"/>
      <c r="L25" s="335"/>
      <c r="M25" s="335"/>
      <c r="N25" s="333"/>
    </row>
    <row r="26" spans="1:14" s="334" customFormat="1" ht="15.75" x14ac:dyDescent="0.25">
      <c r="A26" s="2166" t="s">
        <v>182</v>
      </c>
      <c r="B26" s="2166"/>
      <c r="C26" s="2166"/>
      <c r="D26" s="2166"/>
      <c r="E26" s="2166"/>
      <c r="F26" s="2166"/>
      <c r="G26" s="2166"/>
      <c r="H26" s="2166"/>
      <c r="I26" s="2166"/>
      <c r="J26" s="2166"/>
    </row>
    <row r="27" spans="1:14" s="334" customFormat="1" ht="15" x14ac:dyDescent="0.25">
      <c r="A27" s="60"/>
      <c r="B27" s="55"/>
      <c r="C27" s="55"/>
      <c r="D27" s="55"/>
      <c r="E27" s="55"/>
      <c r="F27" s="55"/>
      <c r="G27" s="55"/>
      <c r="H27" s="55"/>
      <c r="I27" s="55"/>
      <c r="J27" s="702" t="str">
        <f>J28&amp;"_2"</f>
        <v>AUTOMOTIVE_2</v>
      </c>
    </row>
    <row r="28" spans="1:14" s="334" customFormat="1" ht="15" x14ac:dyDescent="0.25">
      <c r="A28" s="223"/>
      <c r="B28" s="2147" t="s">
        <v>191</v>
      </c>
      <c r="C28" s="2147"/>
      <c r="D28" s="2147" t="s">
        <v>192</v>
      </c>
      <c r="E28" s="2147"/>
      <c r="F28" s="2147" t="s">
        <v>193</v>
      </c>
      <c r="G28" s="2147"/>
      <c r="H28" s="2147" t="s">
        <v>194</v>
      </c>
      <c r="I28" s="2147"/>
      <c r="J28" s="407" t="str">
        <f>VLOOKUP('Informasi Debitur'!D32,'Tabel Map Industry'!C2:E465,3,0)</f>
        <v>AUTOMOTIVE</v>
      </c>
    </row>
    <row r="29" spans="1:14" s="334" customFormat="1" ht="15" x14ac:dyDescent="0.25">
      <c r="A29" s="223"/>
      <c r="B29" s="327" t="s">
        <v>164</v>
      </c>
      <c r="C29" s="328" t="s">
        <v>171</v>
      </c>
      <c r="D29" s="327" t="s">
        <v>164</v>
      </c>
      <c r="E29" s="328" t="s">
        <v>171</v>
      </c>
      <c r="F29" s="327" t="s">
        <v>164</v>
      </c>
      <c r="G29" s="328" t="s">
        <v>171</v>
      </c>
      <c r="H29" s="327" t="s">
        <v>164</v>
      </c>
      <c r="I29" s="328" t="s">
        <v>171</v>
      </c>
      <c r="J29" s="436"/>
    </row>
    <row r="30" spans="1:14" s="334" customFormat="1" ht="12.75" customHeight="1" x14ac:dyDescent="0.25">
      <c r="A30" s="224" t="s">
        <v>2402</v>
      </c>
      <c r="B30" s="2149" t="str">
        <f>MKK!A34</f>
        <v>PRK</v>
      </c>
      <c r="C30" s="2150"/>
      <c r="D30" s="2149">
        <f>MKK!A35</f>
        <v>0</v>
      </c>
      <c r="E30" s="2150"/>
      <c r="F30" s="2149">
        <f>MKK!A36</f>
        <v>0</v>
      </c>
      <c r="G30" s="2150"/>
      <c r="H30" s="2149">
        <f>MKK!A37</f>
        <v>0</v>
      </c>
      <c r="I30" s="2150"/>
      <c r="J30" s="435"/>
    </row>
    <row r="31" spans="1:14" s="334" customFormat="1" ht="12.75" customHeight="1" x14ac:dyDescent="0.25">
      <c r="A31" s="224" t="s">
        <v>784</v>
      </c>
      <c r="B31" s="2148"/>
      <c r="C31" s="2148"/>
      <c r="D31" s="2148"/>
      <c r="E31" s="2148"/>
      <c r="F31" s="2148"/>
      <c r="G31" s="2148"/>
      <c r="H31" s="2148"/>
      <c r="I31" s="2148"/>
      <c r="J31" s="21"/>
    </row>
    <row r="32" spans="1:14" s="334" customFormat="1" ht="38.25" x14ac:dyDescent="0.25">
      <c r="A32" s="224" t="s">
        <v>190</v>
      </c>
      <c r="B32" s="225"/>
      <c r="C32" s="703" t="s">
        <v>2404</v>
      </c>
      <c r="D32" s="225"/>
      <c r="E32" s="703" t="str">
        <f>C32</f>
        <v>05 - Dengan perjanjian kredit - Kredit yang diberikan</v>
      </c>
      <c r="F32" s="225"/>
      <c r="G32" s="703" t="str">
        <f>C32</f>
        <v>05 - Dengan perjanjian kredit - Kredit yang diberikan</v>
      </c>
      <c r="H32" s="225"/>
      <c r="I32" s="703" t="str">
        <f>C32</f>
        <v>05 - Dengan perjanjian kredit - Kredit yang diberikan</v>
      </c>
      <c r="J32" s="21"/>
    </row>
    <row r="33" spans="1:10" s="334" customFormat="1" ht="12.75" customHeight="1" x14ac:dyDescent="0.25">
      <c r="A33" s="224" t="s">
        <v>2998</v>
      </c>
      <c r="B33" s="225"/>
      <c r="C33" s="703" t="s">
        <v>7748</v>
      </c>
      <c r="D33" s="225"/>
      <c r="E33" s="703" t="str">
        <f>C33</f>
        <v>0605 - untuk kredit lainnya</v>
      </c>
      <c r="F33" s="225"/>
      <c r="G33" s="703" t="str">
        <f>C33</f>
        <v>0605 - untuk kredit lainnya</v>
      </c>
      <c r="H33" s="225"/>
      <c r="I33" s="703" t="str">
        <f>C33</f>
        <v>0605 - untuk kredit lainnya</v>
      </c>
      <c r="J33" s="21"/>
    </row>
    <row r="34" spans="1:10" s="334" customFormat="1" ht="25.5" customHeight="1" x14ac:dyDescent="0.25">
      <c r="A34" s="224" t="s">
        <v>184</v>
      </c>
      <c r="B34" s="791" t="s">
        <v>797</v>
      </c>
      <c r="C34" s="791" t="str">
        <f>VLOOKUP(B34,'Mapping SIDLBU'!$G$2:$H$4,2,FALSE)</f>
        <v>9 - Lainnya</v>
      </c>
      <c r="D34" s="791" t="str">
        <f>$B$34</f>
        <v>79 - Lainnya</v>
      </c>
      <c r="E34" s="791" t="str">
        <f>VLOOKUP(D34,'Mapping SIDLBU'!$G$2:$H$4,2,FALSE)</f>
        <v>9 - Lainnya</v>
      </c>
      <c r="F34" s="791" t="str">
        <f>$B$34</f>
        <v>79 - Lainnya</v>
      </c>
      <c r="G34" s="791" t="str">
        <f>VLOOKUP(F34,'Mapping SIDLBU'!$G$2:$H$4,2,FALSE)</f>
        <v>9 - Lainnya</v>
      </c>
      <c r="H34" s="791" t="str">
        <f>$B$34</f>
        <v>79 - Lainnya</v>
      </c>
      <c r="I34" s="791" t="str">
        <f>VLOOKUP(H34,'Mapping SIDLBU'!$G$2:$H$4,2,FALSE)</f>
        <v>9 - Lainnya</v>
      </c>
      <c r="J34" s="21"/>
    </row>
    <row r="35" spans="1:10" s="334" customFormat="1" ht="12.75" customHeight="1" x14ac:dyDescent="0.25">
      <c r="A35" s="224" t="s">
        <v>188</v>
      </c>
      <c r="B35" s="791" t="str">
        <f>F15</f>
        <v>90 - Debitur UMKM - UMKM Lainnya - Menengah</v>
      </c>
      <c r="C35" s="792"/>
      <c r="D35" s="791" t="str">
        <f>$B$35</f>
        <v>90 - Debitur UMKM - UMKM Lainnya - Menengah</v>
      </c>
      <c r="E35" s="792"/>
      <c r="F35" s="791" t="str">
        <f>$B$35</f>
        <v>90 - Debitur UMKM - UMKM Lainnya - Menengah</v>
      </c>
      <c r="G35" s="792"/>
      <c r="H35" s="791" t="str">
        <f>$B$35</f>
        <v>90 - Debitur UMKM - UMKM Lainnya - Menengah</v>
      </c>
      <c r="I35" s="792"/>
      <c r="J35" s="219"/>
    </row>
    <row r="36" spans="1:10" s="334" customFormat="1" ht="12.75" customHeight="1" x14ac:dyDescent="0.25">
      <c r="A36" s="224" t="s">
        <v>187</v>
      </c>
      <c r="B36" s="227" t="s">
        <v>1232</v>
      </c>
      <c r="C36" s="791" t="str">
        <f>IFERROR(VLOOKUP(B36,'Mapping SIDLBU'!$E$22:$F$23,2,FALSE),"")</f>
        <v>1 - Modal Kerja</v>
      </c>
      <c r="D36" s="227" t="str">
        <f>$B$36</f>
        <v>39 - Kredit modal kerja lainnya</v>
      </c>
      <c r="E36" s="791" t="str">
        <f>IFERROR(VLOOKUP(D36,'Mapping SIDLBU'!$E$22:$F$23,2,FALSE),"")</f>
        <v>1 - Modal Kerja</v>
      </c>
      <c r="F36" s="227" t="str">
        <f>$B$36</f>
        <v>39 - Kredit modal kerja lainnya</v>
      </c>
      <c r="G36" s="791" t="str">
        <f>IFERROR(VLOOKUP(F36,'Mapping SIDLBU'!$E$22:$F$23,2,FALSE),"")</f>
        <v>1 - Modal Kerja</v>
      </c>
      <c r="H36" s="227" t="str">
        <f>$B$36</f>
        <v>39 - Kredit modal kerja lainnya</v>
      </c>
      <c r="I36" s="791" t="str">
        <f>IFERROR(VLOOKUP(H36,'Mapping SIDLBU'!$E$22:$F$23,2,FALSE),"")</f>
        <v>1 - Modal Kerja</v>
      </c>
      <c r="J36" s="220"/>
    </row>
    <row r="37" spans="1:10" s="334" customFormat="1" ht="12.75" customHeight="1" x14ac:dyDescent="0.25">
      <c r="A37" s="224" t="s">
        <v>185</v>
      </c>
      <c r="B37" s="791" t="s">
        <v>2417</v>
      </c>
      <c r="C37" s="226" t="s">
        <v>2417</v>
      </c>
      <c r="D37" s="791" t="str">
        <f>$B$37</f>
        <v>9 - Lainnya</v>
      </c>
      <c r="E37" s="226" t="str">
        <f>$C$37</f>
        <v>9 - Lainnya</v>
      </c>
      <c r="F37" s="791" t="str">
        <f>$B$37</f>
        <v>9 - Lainnya</v>
      </c>
      <c r="G37" s="226" t="str">
        <f>$C$37</f>
        <v>9 - Lainnya</v>
      </c>
      <c r="H37" s="791" t="str">
        <f>$B$37</f>
        <v>9 - Lainnya</v>
      </c>
      <c r="I37" s="226" t="str">
        <f>$C$37</f>
        <v>9 - Lainnya</v>
      </c>
      <c r="J37" s="220"/>
    </row>
    <row r="38" spans="1:10" s="334" customFormat="1" ht="68.25" customHeight="1" x14ac:dyDescent="0.25">
      <c r="A38" s="406" t="s">
        <v>189</v>
      </c>
      <c r="B38" s="793" t="str">
        <f>IF(ISNA(VLOOKUP(C38,'Tabel Map Industry'!$D$2:$H$464,5,0))=TRUE,"",VLOOKUP(C38,'Tabel Map Industry'!$D$2:$H$464,5,0))</f>
        <v>Industri - Lainnya - 3990</v>
      </c>
      <c r="C38" s="791" t="str">
        <f>'Sandi BI Existing Debitur'!G646</f>
        <v>Industri Karoseri Kendaraan Bermotor Roda Empat Atau Lebih - 342000</v>
      </c>
      <c r="D38" s="793" t="str">
        <f>IF(ISNA(VLOOKUP(E38,'Tabel Map Industry'!$D$2:$H$464,5,0))=TRUE,"",VLOOKUP(E38,'Tabel Map Industry'!$D$2:$H$464,5,0))</f>
        <v>Perdagangan Eceran - 6500</v>
      </c>
      <c r="E38" s="791" t="s">
        <v>5615</v>
      </c>
      <c r="F38" s="793" t="str">
        <f>IF(ISNA(VLOOKUP(G38,'Tabel Map Industry'!$D$2:$H$464,5,0))=TRUE,"",VLOOKUP(G38,'Tabel Map Industry'!$D$2:$H$464,5,0))</f>
        <v>Perdagangan Eceran - 6500</v>
      </c>
      <c r="G38" s="791" t="s">
        <v>5615</v>
      </c>
      <c r="H38" s="793" t="str">
        <f>IF(ISNA(VLOOKUP(I38,'Tabel Map Industry'!$D$2:$H$464,5,0))=TRUE,"",VLOOKUP(I38,'Tabel Map Industry'!$D$2:$H$464,5,0))</f>
        <v>Perdagangan Eceran - 6500</v>
      </c>
      <c r="I38" s="791" t="s">
        <v>5615</v>
      </c>
      <c r="J38" s="219"/>
    </row>
    <row r="39" spans="1:10" s="334" customFormat="1" ht="12.75" customHeight="1" x14ac:dyDescent="0.25">
      <c r="A39" s="224" t="s">
        <v>186</v>
      </c>
      <c r="B39" s="791" t="s">
        <v>1549</v>
      </c>
      <c r="C39" s="791" t="s">
        <v>2609</v>
      </c>
      <c r="D39" s="791" t="str">
        <f>$B$39</f>
        <v>5192 - Banjarbaru, Kota.</v>
      </c>
      <c r="E39" s="791" t="str">
        <f>$C$39</f>
        <v>5192 - Kota Banjarbaru</v>
      </c>
      <c r="F39" s="791" t="str">
        <f>$B$39</f>
        <v>5192 - Banjarbaru, Kota.</v>
      </c>
      <c r="G39" s="791" t="str">
        <f>$C$39</f>
        <v>5192 - Kota Banjarbaru</v>
      </c>
      <c r="H39" s="791" t="str">
        <f>$B$39</f>
        <v>5192 - Banjarbaru, Kota.</v>
      </c>
      <c r="I39" s="791" t="str">
        <f>$C$39</f>
        <v>5192 - Kota Banjarbaru</v>
      </c>
      <c r="J39" s="219"/>
    </row>
    <row r="40" spans="1:10" s="334" customFormat="1" ht="12.75" customHeight="1" x14ac:dyDescent="0.25">
      <c r="A40" s="224" t="s">
        <v>802</v>
      </c>
      <c r="B40" s="2169" t="s">
        <v>1844</v>
      </c>
      <c r="C40" s="2170"/>
      <c r="D40" s="2169" t="s">
        <v>1844</v>
      </c>
      <c r="E40" s="2170"/>
      <c r="F40" s="2169" t="s">
        <v>1844</v>
      </c>
      <c r="G40" s="2170"/>
      <c r="H40" s="2169" t="s">
        <v>1844</v>
      </c>
      <c r="I40" s="2170"/>
      <c r="J40" s="219"/>
    </row>
    <row r="41" spans="1:10" s="334" customFormat="1" ht="12.75" customHeight="1" x14ac:dyDescent="0.25">
      <c r="A41" s="224" t="s">
        <v>803</v>
      </c>
      <c r="B41" s="2171" t="s">
        <v>249</v>
      </c>
      <c r="C41" s="2172"/>
      <c r="D41" s="2171" t="str">
        <f>$B$41</f>
        <v>1 - Lancar</v>
      </c>
      <c r="E41" s="2172"/>
      <c r="F41" s="2171" t="str">
        <f>$B$41</f>
        <v>1 - Lancar</v>
      </c>
      <c r="G41" s="2172"/>
      <c r="H41" s="2171" t="str">
        <f>$B$41</f>
        <v>1 - Lancar</v>
      </c>
      <c r="I41" s="2172"/>
      <c r="J41" s="219"/>
    </row>
    <row r="42" spans="1:10" s="334" customFormat="1" ht="25.5" x14ac:dyDescent="0.25">
      <c r="A42" s="224" t="s">
        <v>2403</v>
      </c>
      <c r="B42" s="225"/>
      <c r="C42" s="703" t="s">
        <v>2422</v>
      </c>
      <c r="D42" s="225"/>
      <c r="E42" s="703" t="s">
        <v>2422</v>
      </c>
      <c r="F42" s="225"/>
      <c r="G42" s="703" t="s">
        <v>2422</v>
      </c>
      <c r="H42" s="225"/>
      <c r="I42" s="703" t="s">
        <v>2422</v>
      </c>
      <c r="J42" s="21"/>
    </row>
    <row r="43" spans="1:10" hidden="1" x14ac:dyDescent="0.2">
      <c r="A43" s="34"/>
      <c r="B43" s="10"/>
      <c r="C43" s="10"/>
      <c r="D43" s="10"/>
      <c r="E43" s="10"/>
      <c r="F43" s="10"/>
      <c r="G43" s="10"/>
      <c r="H43" s="10"/>
      <c r="I43" s="10"/>
      <c r="J43" s="10"/>
    </row>
    <row r="44" spans="1:10" x14ac:dyDescent="0.2">
      <c r="A44" s="34"/>
      <c r="B44" s="10"/>
      <c r="C44" s="10"/>
      <c r="D44" s="10"/>
      <c r="E44" s="10"/>
      <c r="F44" s="10"/>
      <c r="G44" s="10"/>
      <c r="H44" s="10"/>
      <c r="I44" s="10"/>
      <c r="J44" s="10"/>
    </row>
    <row r="45" spans="1:10" ht="15" x14ac:dyDescent="0.25">
      <c r="A45" s="223"/>
      <c r="B45" s="2147" t="s">
        <v>2891</v>
      </c>
      <c r="C45" s="2147"/>
      <c r="D45" s="2147" t="s">
        <v>2892</v>
      </c>
      <c r="E45" s="2147"/>
      <c r="F45" s="2147" t="s">
        <v>2893</v>
      </c>
      <c r="G45" s="2147"/>
      <c r="H45" s="10"/>
      <c r="I45" s="10"/>
      <c r="J45" s="10"/>
    </row>
    <row r="46" spans="1:10" ht="15" x14ac:dyDescent="0.25">
      <c r="A46" s="223"/>
      <c r="B46" s="327" t="s">
        <v>164</v>
      </c>
      <c r="C46" s="328" t="s">
        <v>171</v>
      </c>
      <c r="D46" s="327" t="s">
        <v>164</v>
      </c>
      <c r="E46" s="328" t="s">
        <v>171</v>
      </c>
      <c r="F46" s="327" t="s">
        <v>164</v>
      </c>
      <c r="G46" s="328" t="s">
        <v>171</v>
      </c>
      <c r="H46" s="10"/>
      <c r="I46" s="10"/>
      <c r="J46" s="10"/>
    </row>
    <row r="47" spans="1:10" ht="12.75" customHeight="1" x14ac:dyDescent="0.2">
      <c r="A47" s="224" t="s">
        <v>2402</v>
      </c>
      <c r="B47" s="2149">
        <f>MKK!A38</f>
        <v>0</v>
      </c>
      <c r="C47" s="2150"/>
      <c r="D47" s="2149">
        <f>MKK!A39</f>
        <v>0</v>
      </c>
      <c r="E47" s="2150"/>
      <c r="F47" s="2149">
        <f>MKK!A40</f>
        <v>0</v>
      </c>
      <c r="G47" s="2150"/>
      <c r="H47" s="10"/>
      <c r="I47" s="405"/>
      <c r="J47" s="10"/>
    </row>
    <row r="48" spans="1:10" ht="12.75" customHeight="1" x14ac:dyDescent="0.2">
      <c r="A48" s="224" t="s">
        <v>784</v>
      </c>
      <c r="B48" s="2148"/>
      <c r="C48" s="2148"/>
      <c r="D48" s="2148"/>
      <c r="E48" s="2148"/>
      <c r="F48" s="2148"/>
      <c r="G48" s="2148"/>
      <c r="H48" s="10"/>
      <c r="I48" s="10"/>
      <c r="J48" s="10"/>
    </row>
    <row r="49" spans="1:12" ht="38.25" x14ac:dyDescent="0.2">
      <c r="A49" s="224" t="s">
        <v>190</v>
      </c>
      <c r="B49" s="225"/>
      <c r="C49" s="703" t="str">
        <f>C32</f>
        <v>05 - Dengan perjanjian kredit - Kredit yang diberikan</v>
      </c>
      <c r="D49" s="225"/>
      <c r="E49" s="703" t="str">
        <f>C32</f>
        <v>05 - Dengan perjanjian kredit - Kredit yang diberikan</v>
      </c>
      <c r="F49" s="225"/>
      <c r="G49" s="703" t="str">
        <f>C32</f>
        <v>05 - Dengan perjanjian kredit - Kredit yang diberikan</v>
      </c>
      <c r="H49" s="10"/>
      <c r="I49" s="10"/>
      <c r="J49" s="10"/>
    </row>
    <row r="50" spans="1:12" ht="12.75" customHeight="1" x14ac:dyDescent="0.2">
      <c r="A50" s="224" t="s">
        <v>2998</v>
      </c>
      <c r="B50" s="225"/>
      <c r="C50" s="703" t="str">
        <f>C33</f>
        <v>0605 - untuk kredit lainnya</v>
      </c>
      <c r="D50" s="225"/>
      <c r="E50" s="703" t="str">
        <f>C33</f>
        <v>0605 - untuk kredit lainnya</v>
      </c>
      <c r="F50" s="225"/>
      <c r="G50" s="703" t="str">
        <f>C33</f>
        <v>0605 - untuk kredit lainnya</v>
      </c>
      <c r="H50" s="10"/>
      <c r="I50" s="10"/>
      <c r="J50" s="10"/>
    </row>
    <row r="51" spans="1:12" ht="25.5" customHeight="1" x14ac:dyDescent="0.2">
      <c r="A51" s="224" t="s">
        <v>184</v>
      </c>
      <c r="B51" s="791" t="str">
        <f>$B$34</f>
        <v>79 - Lainnya</v>
      </c>
      <c r="C51" s="791" t="str">
        <f>VLOOKUP(B51,'Mapping SIDLBU'!$G$2:$H$4,2,FALSE)</f>
        <v>9 - Lainnya</v>
      </c>
      <c r="D51" s="791" t="str">
        <f>$B$34</f>
        <v>79 - Lainnya</v>
      </c>
      <c r="E51" s="791" t="str">
        <f>VLOOKUP(D51,'Mapping SIDLBU'!$G$2:$H$4,2,FALSE)</f>
        <v>9 - Lainnya</v>
      </c>
      <c r="F51" s="791" t="str">
        <f>$B$34</f>
        <v>79 - Lainnya</v>
      </c>
      <c r="G51" s="791" t="str">
        <f>VLOOKUP(F51,'Mapping SIDLBU'!$G$2:$H$4,2,FALSE)</f>
        <v>9 - Lainnya</v>
      </c>
      <c r="H51" s="10"/>
      <c r="I51" s="10"/>
      <c r="J51" s="10"/>
    </row>
    <row r="52" spans="1:12" ht="12.75" customHeight="1" x14ac:dyDescent="0.2">
      <c r="A52" s="224" t="s">
        <v>188</v>
      </c>
      <c r="B52" s="791" t="str">
        <f>$B$35</f>
        <v>90 - Debitur UMKM - UMKM Lainnya - Menengah</v>
      </c>
      <c r="C52" s="792"/>
      <c r="D52" s="791" t="str">
        <f>$B$35</f>
        <v>90 - Debitur UMKM - UMKM Lainnya - Menengah</v>
      </c>
      <c r="E52" s="792"/>
      <c r="F52" s="791" t="str">
        <f>$B$35</f>
        <v>90 - Debitur UMKM - UMKM Lainnya - Menengah</v>
      </c>
      <c r="G52" s="792"/>
      <c r="H52" s="10"/>
      <c r="I52" s="10"/>
      <c r="J52" s="10"/>
    </row>
    <row r="53" spans="1:12" ht="12.75" customHeight="1" x14ac:dyDescent="0.2">
      <c r="A53" s="224" t="s">
        <v>187</v>
      </c>
      <c r="B53" s="227" t="str">
        <f>$B$36</f>
        <v>39 - Kredit modal kerja lainnya</v>
      </c>
      <c r="C53" s="791" t="str">
        <f>IFERROR(VLOOKUP(B53,'Mapping SIDLBU'!$E$22:$F$23,2,FALSE),"")</f>
        <v>1 - Modal Kerja</v>
      </c>
      <c r="D53" s="227" t="str">
        <f>$B$36</f>
        <v>39 - Kredit modal kerja lainnya</v>
      </c>
      <c r="E53" s="791" t="str">
        <f>IFERROR(VLOOKUP(D53,'Mapping SIDLBU'!$E$22:$F$23,2,FALSE),"")</f>
        <v>1 - Modal Kerja</v>
      </c>
      <c r="F53" s="227" t="str">
        <f>$B$36</f>
        <v>39 - Kredit modal kerja lainnya</v>
      </c>
      <c r="G53" s="791" t="str">
        <f>IFERROR(VLOOKUP(F53,'Mapping SIDLBU'!$E$22:$F$23,2,FALSE),"")</f>
        <v>1 - Modal Kerja</v>
      </c>
      <c r="H53" s="10"/>
      <c r="I53" s="10"/>
      <c r="J53" s="10"/>
    </row>
    <row r="54" spans="1:12" ht="12.75" customHeight="1" x14ac:dyDescent="0.2">
      <c r="A54" s="224" t="s">
        <v>185</v>
      </c>
      <c r="B54" s="791" t="str">
        <f>$B$37</f>
        <v>9 - Lainnya</v>
      </c>
      <c r="C54" s="226" t="str">
        <f>$C$37</f>
        <v>9 - Lainnya</v>
      </c>
      <c r="D54" s="791" t="str">
        <f>$B$37</f>
        <v>9 - Lainnya</v>
      </c>
      <c r="E54" s="226" t="str">
        <f>$C$37</f>
        <v>9 - Lainnya</v>
      </c>
      <c r="F54" s="791" t="str">
        <f>$B$37</f>
        <v>9 - Lainnya</v>
      </c>
      <c r="G54" s="226" t="str">
        <f>$C$37</f>
        <v>9 - Lainnya</v>
      </c>
      <c r="H54" s="10"/>
      <c r="I54" s="10"/>
      <c r="J54" s="10"/>
    </row>
    <row r="55" spans="1:12" ht="51" customHeight="1" x14ac:dyDescent="0.2">
      <c r="A55" s="406" t="s">
        <v>189</v>
      </c>
      <c r="B55" s="793" t="str">
        <f>IF(ISNA(VLOOKUP(C55,'Tabel Map Industry'!$D$2:$H$464,5,0))=TRUE,"",VLOOKUP(C55,'Tabel Map Industry'!$D$2:$H$464,5,0))</f>
        <v>Perdagangan Eceran - 6500</v>
      </c>
      <c r="C55" s="791" t="s">
        <v>5615</v>
      </c>
      <c r="D55" s="793" t="str">
        <f>IF(ISNA(VLOOKUP(E55,'Tabel Map Industry'!$D$2:$H$464,5,0))=TRUE,"",VLOOKUP(E55,'Tabel Map Industry'!$D$2:$H$464,5,0))</f>
        <v>Perdagangan Eceran - 6500</v>
      </c>
      <c r="E55" s="791" t="s">
        <v>5615</v>
      </c>
      <c r="F55" s="793" t="str">
        <f>IF(ISNA(VLOOKUP(G55,'Tabel Map Industry'!$D$2:$H$464,5,0))=TRUE,"",VLOOKUP(G55,'Tabel Map Industry'!$D$2:$H$464,5,0))</f>
        <v>Perdagangan Eceran - 6500</v>
      </c>
      <c r="G55" s="791" t="s">
        <v>5615</v>
      </c>
      <c r="H55" s="10"/>
      <c r="I55" s="10"/>
      <c r="J55" s="10"/>
    </row>
    <row r="56" spans="1:12" ht="12.75" customHeight="1" x14ac:dyDescent="0.2">
      <c r="A56" s="224" t="s">
        <v>186</v>
      </c>
      <c r="B56" s="791" t="str">
        <f>$B$39</f>
        <v>5192 - Banjarbaru, Kota.</v>
      </c>
      <c r="C56" s="791" t="str">
        <f>$C$39</f>
        <v>5192 - Kota Banjarbaru</v>
      </c>
      <c r="D56" s="791" t="str">
        <f>$B$39</f>
        <v>5192 - Banjarbaru, Kota.</v>
      </c>
      <c r="E56" s="791" t="str">
        <f>$C$39</f>
        <v>5192 - Kota Banjarbaru</v>
      </c>
      <c r="F56" s="791" t="str">
        <f>$B$39</f>
        <v>5192 - Banjarbaru, Kota.</v>
      </c>
      <c r="G56" s="791" t="str">
        <f>$C$39</f>
        <v>5192 - Kota Banjarbaru</v>
      </c>
      <c r="H56" s="10"/>
      <c r="I56" s="10"/>
      <c r="J56" s="10"/>
    </row>
    <row r="57" spans="1:12" ht="12.75" customHeight="1" x14ac:dyDescent="0.2">
      <c r="A57" s="224" t="s">
        <v>802</v>
      </c>
      <c r="B57" s="2169" t="s">
        <v>1844</v>
      </c>
      <c r="C57" s="2170"/>
      <c r="D57" s="2169" t="s">
        <v>1844</v>
      </c>
      <c r="E57" s="2170"/>
      <c r="F57" s="2169" t="s">
        <v>1844</v>
      </c>
      <c r="G57" s="2170"/>
      <c r="H57" s="10"/>
      <c r="I57" s="10"/>
      <c r="J57" s="10"/>
    </row>
    <row r="58" spans="1:12" ht="12.75" customHeight="1" x14ac:dyDescent="0.2">
      <c r="A58" s="224" t="s">
        <v>803</v>
      </c>
      <c r="B58" s="2171" t="str">
        <f>$B$41</f>
        <v>1 - Lancar</v>
      </c>
      <c r="C58" s="2172"/>
      <c r="D58" s="2171" t="str">
        <f>$B$41</f>
        <v>1 - Lancar</v>
      </c>
      <c r="E58" s="2172"/>
      <c r="F58" s="2171" t="str">
        <f>$B$41</f>
        <v>1 - Lancar</v>
      </c>
      <c r="G58" s="2172"/>
      <c r="H58" s="10"/>
      <c r="I58" s="10"/>
      <c r="J58" s="10"/>
    </row>
    <row r="59" spans="1:12" ht="25.5" x14ac:dyDescent="0.2">
      <c r="A59" s="224" t="s">
        <v>2403</v>
      </c>
      <c r="B59" s="225"/>
      <c r="C59" s="703" t="s">
        <v>2422</v>
      </c>
      <c r="D59" s="225"/>
      <c r="E59" s="703" t="s">
        <v>2422</v>
      </c>
      <c r="F59" s="225"/>
      <c r="G59" s="703" t="s">
        <v>2422</v>
      </c>
      <c r="H59" s="10"/>
      <c r="I59" s="10"/>
      <c r="J59" s="10"/>
    </row>
    <row r="60" spans="1:12" x14ac:dyDescent="0.2">
      <c r="A60" s="34"/>
      <c r="B60" s="10"/>
      <c r="C60" s="10"/>
      <c r="D60" s="10"/>
      <c r="E60" s="10"/>
      <c r="F60" s="10"/>
      <c r="G60" s="10"/>
      <c r="H60" s="10"/>
      <c r="I60" s="10"/>
      <c r="J60" s="10"/>
    </row>
    <row r="61" spans="1:12" ht="15.75" customHeight="1" x14ac:dyDescent="0.25">
      <c r="A61" s="2166" t="s">
        <v>3732</v>
      </c>
      <c r="B61" s="2166"/>
      <c r="C61" s="2166"/>
      <c r="D61" s="2166"/>
      <c r="E61" s="2166"/>
      <c r="F61" s="2166"/>
      <c r="G61" s="2166"/>
      <c r="H61" s="2166"/>
      <c r="I61" s="2166"/>
      <c r="J61" s="2166"/>
    </row>
    <row r="62" spans="1:12" x14ac:dyDescent="0.2">
      <c r="A62" s="34"/>
      <c r="B62" s="10"/>
      <c r="C62" s="10"/>
      <c r="D62" s="10"/>
      <c r="E62" s="10"/>
      <c r="F62" s="10"/>
      <c r="G62" s="10"/>
      <c r="H62" s="10"/>
      <c r="I62" s="10"/>
      <c r="J62" s="10"/>
    </row>
    <row r="63" spans="1:12" ht="25.5" x14ac:dyDescent="0.2">
      <c r="A63" s="312" t="s">
        <v>12</v>
      </c>
      <c r="B63" s="312" t="s">
        <v>255</v>
      </c>
      <c r="C63" s="312" t="s">
        <v>218</v>
      </c>
      <c r="D63" s="1451" t="s">
        <v>1</v>
      </c>
      <c r="E63" s="1452"/>
      <c r="F63" s="318" t="s">
        <v>3675</v>
      </c>
      <c r="G63" s="312" t="s">
        <v>33</v>
      </c>
      <c r="H63" s="312" t="s">
        <v>220</v>
      </c>
      <c r="I63" s="318" t="s">
        <v>2919</v>
      </c>
      <c r="J63" s="329" t="s">
        <v>219</v>
      </c>
      <c r="L63" s="336"/>
    </row>
    <row r="64" spans="1:12" x14ac:dyDescent="0.2">
      <c r="A64" s="313" t="str">
        <f>'Informasi Debitur'!A122</f>
        <v>Oh Njen Lieng</v>
      </c>
      <c r="B64" s="313" t="str">
        <f>'Informasi Debitur'!B122</f>
        <v>KTP</v>
      </c>
      <c r="C64" s="313" t="str">
        <f>'Informasi Debitur'!C122</f>
        <v>6372041509560001</v>
      </c>
      <c r="D64" s="1396" t="str">
        <f>'Informasi Debitur'!F122</f>
        <v>Jl A.Yani km 19 RT 009, RW 005</v>
      </c>
      <c r="E64" s="1912"/>
      <c r="F64" s="317" t="str">
        <f>'Informasi Debitur'!H122</f>
        <v>Banjarbaru, Kota. - 5192</v>
      </c>
      <c r="G64" s="320" t="str">
        <f>'Informasi Debitur'!J122</f>
        <v>02 - Direktur (Pemilik)</v>
      </c>
      <c r="H64" s="313" t="str">
        <f>'Informasi Debitur'!K122</f>
        <v>093115764411000</v>
      </c>
      <c r="I64" s="319">
        <f>'Informasi Debitur'!L122</f>
        <v>61</v>
      </c>
      <c r="J64" s="330">
        <f>'Informasi Debitur'!E122</f>
        <v>0.5</v>
      </c>
      <c r="L64" s="337"/>
    </row>
    <row r="65" spans="1:12" x14ac:dyDescent="0.2">
      <c r="A65" s="313" t="str">
        <f>'Informasi Debitur'!A123</f>
        <v>Andy Susanto</v>
      </c>
      <c r="B65" s="313" t="str">
        <f>'Informasi Debitur'!B123</f>
        <v>KTP</v>
      </c>
      <c r="C65" s="313" t="str">
        <f>'Informasi Debitur'!C123</f>
        <v>3373040206610002</v>
      </c>
      <c r="D65" s="1396" t="str">
        <f>'Informasi Debitur'!F123</f>
        <v>Jl Imam Bonjol no 70, RT 11, RW 08</v>
      </c>
      <c r="E65" s="1912"/>
      <c r="F65" s="317" t="str">
        <f>'Informasi Debitur'!H123</f>
        <v>Salatiga, Kota. - 0992</v>
      </c>
      <c r="G65" s="320" t="str">
        <f>'Informasi Debitur'!J123</f>
        <v>04 -  Komisaris (Pemilik)</v>
      </c>
      <c r="H65" s="313">
        <f>'Informasi Debitur'!K123</f>
        <v>0</v>
      </c>
      <c r="I65" s="319">
        <f>'Informasi Debitur'!L123</f>
        <v>45</v>
      </c>
      <c r="J65" s="330">
        <f>'Informasi Debitur'!E123</f>
        <v>0.5</v>
      </c>
      <c r="L65" s="337"/>
    </row>
    <row r="66" spans="1:12" x14ac:dyDescent="0.2">
      <c r="A66" s="313">
        <f>'Informasi Debitur'!A124</f>
        <v>0</v>
      </c>
      <c r="B66" s="313">
        <f>'Informasi Debitur'!B124</f>
        <v>0</v>
      </c>
      <c r="C66" s="313">
        <f>'Informasi Debitur'!C124</f>
        <v>0</v>
      </c>
      <c r="D66" s="1396">
        <f>'Informasi Debitur'!F124</f>
        <v>0</v>
      </c>
      <c r="E66" s="1912"/>
      <c r="F66" s="317">
        <f>'Informasi Debitur'!H124</f>
        <v>0</v>
      </c>
      <c r="G66" s="320">
        <f>'Informasi Debitur'!J124</f>
        <v>0</v>
      </c>
      <c r="H66" s="313">
        <f>'Informasi Debitur'!K124</f>
        <v>0</v>
      </c>
      <c r="I66" s="319">
        <f>'Informasi Debitur'!L124</f>
        <v>0</v>
      </c>
      <c r="J66" s="330">
        <f>'Informasi Debitur'!E124</f>
        <v>0</v>
      </c>
      <c r="L66" s="337"/>
    </row>
    <row r="67" spans="1:12" x14ac:dyDescent="0.2">
      <c r="A67" s="313">
        <f>'Informasi Debitur'!A125</f>
        <v>0</v>
      </c>
      <c r="B67" s="313">
        <f>'Informasi Debitur'!B125</f>
        <v>0</v>
      </c>
      <c r="C67" s="313">
        <f>'Informasi Debitur'!C125</f>
        <v>0</v>
      </c>
      <c r="D67" s="1396">
        <f>'Informasi Debitur'!F125</f>
        <v>0</v>
      </c>
      <c r="E67" s="1912"/>
      <c r="F67" s="317">
        <f>'Informasi Debitur'!H125</f>
        <v>0</v>
      </c>
      <c r="G67" s="320">
        <f>'Informasi Debitur'!J125</f>
        <v>0</v>
      </c>
      <c r="H67" s="313">
        <f>'Informasi Debitur'!K125</f>
        <v>0</v>
      </c>
      <c r="I67" s="319">
        <f>'Informasi Debitur'!L125</f>
        <v>0</v>
      </c>
      <c r="J67" s="330">
        <f>'Informasi Debitur'!E125</f>
        <v>0</v>
      </c>
      <c r="L67" s="337"/>
    </row>
    <row r="68" spans="1:12" x14ac:dyDescent="0.2">
      <c r="A68" s="313">
        <f>'Informasi Debitur'!A126</f>
        <v>0</v>
      </c>
      <c r="B68" s="313">
        <f>'Informasi Debitur'!B126</f>
        <v>0</v>
      </c>
      <c r="C68" s="313">
        <f>'Informasi Debitur'!C126</f>
        <v>0</v>
      </c>
      <c r="D68" s="1396">
        <f>'Informasi Debitur'!F126</f>
        <v>0</v>
      </c>
      <c r="E68" s="1912"/>
      <c r="F68" s="317">
        <f>'Informasi Debitur'!H126</f>
        <v>0</v>
      </c>
      <c r="G68" s="320">
        <f>'Informasi Debitur'!J126</f>
        <v>0</v>
      </c>
      <c r="H68" s="313">
        <f>'Informasi Debitur'!K126</f>
        <v>0</v>
      </c>
      <c r="I68" s="319">
        <f>'Informasi Debitur'!L126</f>
        <v>0</v>
      </c>
      <c r="J68" s="330">
        <f>'Informasi Debitur'!E126</f>
        <v>0</v>
      </c>
      <c r="L68" s="337"/>
    </row>
    <row r="69" spans="1:12" x14ac:dyDescent="0.2">
      <c r="A69" s="313">
        <f>'Informasi Debitur'!A127</f>
        <v>0</v>
      </c>
      <c r="B69" s="313">
        <f>'Informasi Debitur'!B127</f>
        <v>0</v>
      </c>
      <c r="C69" s="313">
        <f>'Informasi Debitur'!C127</f>
        <v>0</v>
      </c>
      <c r="D69" s="1396">
        <f>'Informasi Debitur'!F127</f>
        <v>0</v>
      </c>
      <c r="E69" s="1912"/>
      <c r="F69" s="317">
        <f>'Informasi Debitur'!H127</f>
        <v>0</v>
      </c>
      <c r="G69" s="320">
        <f>'Informasi Debitur'!J127</f>
        <v>0</v>
      </c>
      <c r="H69" s="313">
        <f>'Informasi Debitur'!K127</f>
        <v>0</v>
      </c>
      <c r="I69" s="319">
        <f>'Informasi Debitur'!L127</f>
        <v>0</v>
      </c>
      <c r="J69" s="330">
        <f>'Informasi Debitur'!E127</f>
        <v>0</v>
      </c>
      <c r="L69" s="337"/>
    </row>
    <row r="70" spans="1:12" x14ac:dyDescent="0.2">
      <c r="A70" s="313">
        <f>'Informasi Debitur'!A128</f>
        <v>0</v>
      </c>
      <c r="B70" s="313">
        <f>'Informasi Debitur'!B128</f>
        <v>0</v>
      </c>
      <c r="C70" s="313">
        <f>'Informasi Debitur'!C128</f>
        <v>0</v>
      </c>
      <c r="D70" s="1396">
        <f>'Informasi Debitur'!F128</f>
        <v>0</v>
      </c>
      <c r="E70" s="1912"/>
      <c r="F70" s="317">
        <f>'Informasi Debitur'!H128</f>
        <v>0</v>
      </c>
      <c r="G70" s="320">
        <f>'Informasi Debitur'!J128</f>
        <v>0</v>
      </c>
      <c r="H70" s="313">
        <f>'Informasi Debitur'!K128</f>
        <v>0</v>
      </c>
      <c r="I70" s="319">
        <f>'Informasi Debitur'!L128</f>
        <v>0</v>
      </c>
      <c r="J70" s="330">
        <f>'Informasi Debitur'!E128</f>
        <v>0</v>
      </c>
      <c r="L70" s="337"/>
    </row>
    <row r="71" spans="1:12" x14ac:dyDescent="0.2">
      <c r="A71" s="313">
        <f>'Informasi Debitur'!A129</f>
        <v>0</v>
      </c>
      <c r="B71" s="313">
        <f>'Informasi Debitur'!B129</f>
        <v>0</v>
      </c>
      <c r="C71" s="313">
        <f>'Informasi Debitur'!C129</f>
        <v>0</v>
      </c>
      <c r="D71" s="1396">
        <f>'Informasi Debitur'!F129</f>
        <v>0</v>
      </c>
      <c r="E71" s="1912"/>
      <c r="F71" s="317">
        <f>'Informasi Debitur'!H129</f>
        <v>0</v>
      </c>
      <c r="G71" s="320">
        <f>'Informasi Debitur'!J129</f>
        <v>0</v>
      </c>
      <c r="H71" s="313">
        <f>'Informasi Debitur'!K129</f>
        <v>0</v>
      </c>
      <c r="I71" s="319">
        <f>'Informasi Debitur'!L129</f>
        <v>0</v>
      </c>
      <c r="J71" s="330">
        <f>'Informasi Debitur'!E129</f>
        <v>0</v>
      </c>
      <c r="L71" s="337"/>
    </row>
    <row r="72" spans="1:12" x14ac:dyDescent="0.2">
      <c r="A72" s="313">
        <f>'Informasi Debitur'!A130</f>
        <v>0</v>
      </c>
      <c r="B72" s="313">
        <f>'Informasi Debitur'!B130</f>
        <v>0</v>
      </c>
      <c r="C72" s="313">
        <f>'Informasi Debitur'!C130</f>
        <v>0</v>
      </c>
      <c r="D72" s="1396">
        <f>'Informasi Debitur'!F130</f>
        <v>0</v>
      </c>
      <c r="E72" s="1912"/>
      <c r="F72" s="317">
        <f>'Informasi Debitur'!H130</f>
        <v>0</v>
      </c>
      <c r="G72" s="320">
        <f>'Informasi Debitur'!J130</f>
        <v>0</v>
      </c>
      <c r="H72" s="313">
        <f>'Informasi Debitur'!K130</f>
        <v>0</v>
      </c>
      <c r="I72" s="319">
        <f>'Informasi Debitur'!L130</f>
        <v>0</v>
      </c>
      <c r="J72" s="330">
        <f>'Informasi Debitur'!E130</f>
        <v>0</v>
      </c>
      <c r="L72" s="337"/>
    </row>
    <row r="73" spans="1:12" x14ac:dyDescent="0.2">
      <c r="A73" s="313">
        <f>'Informasi Debitur'!A131</f>
        <v>0</v>
      </c>
      <c r="B73" s="313">
        <f>'Informasi Debitur'!B131</f>
        <v>0</v>
      </c>
      <c r="C73" s="313">
        <f>'Informasi Debitur'!C131</f>
        <v>0</v>
      </c>
      <c r="D73" s="1396">
        <f>'Informasi Debitur'!F131</f>
        <v>0</v>
      </c>
      <c r="E73" s="1912"/>
      <c r="F73" s="317">
        <f>'Informasi Debitur'!H131</f>
        <v>0</v>
      </c>
      <c r="G73" s="320">
        <f>'Informasi Debitur'!J131</f>
        <v>0</v>
      </c>
      <c r="H73" s="313">
        <f>'Informasi Debitur'!K131</f>
        <v>0</v>
      </c>
      <c r="I73" s="319">
        <f>'Informasi Debitur'!L131</f>
        <v>0</v>
      </c>
      <c r="J73" s="330">
        <f>'Informasi Debitur'!E131</f>
        <v>0</v>
      </c>
      <c r="L73" s="337"/>
    </row>
    <row r="74" spans="1:12" x14ac:dyDescent="0.2">
      <c r="A74" s="313">
        <f>'Informasi Debitur'!A132</f>
        <v>0</v>
      </c>
      <c r="B74" s="313">
        <f>'Informasi Debitur'!B132</f>
        <v>0</v>
      </c>
      <c r="C74" s="313">
        <f>'Informasi Debitur'!C132</f>
        <v>0</v>
      </c>
      <c r="D74" s="1396">
        <f>'Informasi Debitur'!F132</f>
        <v>0</v>
      </c>
      <c r="E74" s="1912"/>
      <c r="F74" s="317">
        <f>'Informasi Debitur'!H132</f>
        <v>0</v>
      </c>
      <c r="G74" s="320">
        <f>'Informasi Debitur'!J132</f>
        <v>0</v>
      </c>
      <c r="H74" s="313">
        <f>'Informasi Debitur'!K132</f>
        <v>0</v>
      </c>
      <c r="I74" s="319">
        <f>'Informasi Debitur'!L132</f>
        <v>0</v>
      </c>
      <c r="J74" s="330">
        <f>'Informasi Debitur'!E132</f>
        <v>0</v>
      </c>
      <c r="L74" s="337"/>
    </row>
    <row r="75" spans="1:12" x14ac:dyDescent="0.2">
      <c r="A75" s="34"/>
      <c r="B75" s="10"/>
      <c r="C75" s="10"/>
      <c r="D75" s="10"/>
      <c r="E75" s="10"/>
      <c r="F75" s="10"/>
      <c r="G75" s="10"/>
      <c r="H75" s="10"/>
      <c r="I75" s="10"/>
      <c r="J75" s="10"/>
    </row>
    <row r="76" spans="1:12" s="334" customFormat="1" ht="15.75" customHeight="1" x14ac:dyDescent="0.25">
      <c r="A76" s="2166" t="s">
        <v>173</v>
      </c>
      <c r="B76" s="2166"/>
      <c r="C76" s="2166"/>
      <c r="D76" s="2166"/>
      <c r="E76" s="2166"/>
      <c r="F76" s="2166"/>
      <c r="G76" s="2166"/>
      <c r="H76" s="2166"/>
      <c r="I76" s="2166"/>
      <c r="J76" s="2166"/>
    </row>
    <row r="77" spans="1:12" s="334" customFormat="1" ht="15" x14ac:dyDescent="0.25">
      <c r="A77" s="59"/>
      <c r="B77" s="21"/>
      <c r="C77" s="21"/>
      <c r="D77" s="21"/>
      <c r="E77" s="21"/>
      <c r="F77" s="21"/>
      <c r="G77" s="21"/>
      <c r="H77" s="21"/>
      <c r="I77" s="21"/>
      <c r="J77" s="21"/>
    </row>
    <row r="78" spans="1:12" s="334" customFormat="1" ht="15" x14ac:dyDescent="0.25">
      <c r="A78" s="59" t="s">
        <v>174</v>
      </c>
      <c r="B78" s="901">
        <f>'Analisa Lap Keu'!G9</f>
        <v>43452</v>
      </c>
      <c r="C78" t="s">
        <v>7969</v>
      </c>
      <c r="D78" s="21"/>
      <c r="E78" s="21"/>
      <c r="F78" s="21"/>
      <c r="G78" s="21"/>
      <c r="H78" s="21"/>
      <c r="I78" s="21"/>
      <c r="J78" s="21"/>
    </row>
    <row r="79" spans="1:12" s="334" customFormat="1" ht="15" x14ac:dyDescent="0.25">
      <c r="A79" s="59" t="s">
        <v>175</v>
      </c>
      <c r="B79" s="129"/>
      <c r="C79" s="21"/>
      <c r="D79" s="21"/>
      <c r="E79" s="21"/>
      <c r="F79" s="21"/>
      <c r="G79" s="21"/>
      <c r="H79" s="21"/>
      <c r="I79" s="21"/>
      <c r="J79" s="21"/>
    </row>
    <row r="80" spans="1:12" s="334" customFormat="1" ht="15" x14ac:dyDescent="0.25">
      <c r="A80" s="59"/>
      <c r="B80" s="21"/>
      <c r="C80" s="21"/>
      <c r="D80" s="31" t="s">
        <v>181</v>
      </c>
      <c r="E80" s="21"/>
      <c r="F80" s="21"/>
      <c r="G80" s="21"/>
      <c r="H80" s="21"/>
      <c r="I80" s="21"/>
      <c r="J80" s="21"/>
    </row>
    <row r="81" spans="1:10" s="334" customFormat="1" ht="5.0999999999999996" customHeight="1" x14ac:dyDescent="0.25">
      <c r="A81" s="62"/>
      <c r="B81" s="57"/>
      <c r="C81" s="57"/>
      <c r="D81" s="56"/>
      <c r="E81" s="21"/>
      <c r="F81" s="21"/>
      <c r="G81" s="21"/>
      <c r="H81" s="21"/>
      <c r="I81" s="21"/>
      <c r="J81" s="21"/>
    </row>
    <row r="82" spans="1:10" s="334" customFormat="1" ht="15" x14ac:dyDescent="0.25">
      <c r="A82" s="2160" t="s">
        <v>804</v>
      </c>
      <c r="B82" s="2161"/>
      <c r="C82" s="2162">
        <f>'Analisa Lap Keu'!I178</f>
        <v>7539.7389990000011</v>
      </c>
      <c r="D82" s="2163"/>
      <c r="E82" s="21"/>
      <c r="F82" s="21"/>
      <c r="G82" s="21"/>
      <c r="H82" s="21"/>
      <c r="I82" s="21"/>
      <c r="J82" s="21"/>
    </row>
    <row r="83" spans="1:10" s="334" customFormat="1" ht="15" x14ac:dyDescent="0.25">
      <c r="A83" s="2160" t="s">
        <v>176</v>
      </c>
      <c r="B83" s="2161"/>
      <c r="C83" s="2164">
        <f>'Analisa Lap Keu'!I179</f>
        <v>5356.4000000000005</v>
      </c>
      <c r="D83" s="2165"/>
      <c r="E83" s="21"/>
      <c r="F83" s="21"/>
      <c r="G83" s="21"/>
      <c r="H83" s="21"/>
      <c r="I83" s="21"/>
      <c r="J83" s="21"/>
    </row>
    <row r="84" spans="1:10" s="334" customFormat="1" ht="15" x14ac:dyDescent="0.25">
      <c r="A84" s="2160" t="s">
        <v>805</v>
      </c>
      <c r="B84" s="2161"/>
      <c r="C84" s="2164">
        <f>'Analisa Lap Keu'!I180</f>
        <v>1624.04</v>
      </c>
      <c r="D84" s="2165"/>
      <c r="E84" s="21"/>
      <c r="F84" s="21"/>
      <c r="G84" s="21"/>
      <c r="H84" s="21"/>
      <c r="I84" s="21"/>
      <c r="J84" s="21"/>
    </row>
    <row r="85" spans="1:10" s="334" customFormat="1" ht="15" x14ac:dyDescent="0.25">
      <c r="A85" s="2160" t="s">
        <v>177</v>
      </c>
      <c r="B85" s="2161"/>
      <c r="C85" s="2164">
        <f>'Analisa Lap Keu'!I181</f>
        <v>331.96</v>
      </c>
      <c r="D85" s="2165"/>
      <c r="E85" s="21"/>
      <c r="F85" s="21"/>
      <c r="G85" s="21"/>
      <c r="H85" s="21"/>
      <c r="I85" s="21"/>
      <c r="J85" s="21"/>
    </row>
    <row r="86" spans="1:10" s="334" customFormat="1" ht="15" x14ac:dyDescent="0.25">
      <c r="A86" s="2160" t="s">
        <v>178</v>
      </c>
      <c r="B86" s="2161"/>
      <c r="C86" s="2164">
        <f>'Analisa Lap Keu'!I182</f>
        <v>1292.08</v>
      </c>
      <c r="D86" s="2165"/>
      <c r="E86" s="21"/>
      <c r="F86" s="21"/>
      <c r="G86" s="21"/>
      <c r="H86" s="21"/>
      <c r="I86" s="21"/>
      <c r="J86" s="21"/>
    </row>
    <row r="87" spans="1:10" s="334" customFormat="1" ht="15" x14ac:dyDescent="0.25">
      <c r="A87" s="2160" t="s">
        <v>308</v>
      </c>
      <c r="B87" s="2161"/>
      <c r="C87" s="2164">
        <f>'Analisa Lap Keu'!I183</f>
        <v>5915.2779490000012</v>
      </c>
      <c r="D87" s="2165"/>
      <c r="E87" s="21"/>
      <c r="F87" s="21"/>
      <c r="G87" s="21"/>
      <c r="H87" s="21"/>
      <c r="I87" s="21"/>
      <c r="J87" s="21"/>
    </row>
    <row r="88" spans="1:10" s="334" customFormat="1" ht="15" x14ac:dyDescent="0.25">
      <c r="A88" s="2160" t="s">
        <v>806</v>
      </c>
      <c r="B88" s="2161"/>
      <c r="C88" s="2164">
        <f>'Analisa Lap Keu'!I184</f>
        <v>18762.97</v>
      </c>
      <c r="D88" s="2165"/>
      <c r="E88" s="21"/>
      <c r="F88" s="21"/>
      <c r="G88" s="21"/>
      <c r="H88" s="21"/>
      <c r="I88" s="21"/>
      <c r="J88" s="21"/>
    </row>
    <row r="89" spans="1:10" s="334" customFormat="1" ht="15" x14ac:dyDescent="0.25">
      <c r="A89" s="2160" t="s">
        <v>7750</v>
      </c>
      <c r="B89" s="2161"/>
      <c r="C89" s="2164">
        <f>'Analisa Lap Keu'!I185</f>
        <v>5628.8950000000004</v>
      </c>
      <c r="D89" s="2165"/>
      <c r="E89" s="21"/>
      <c r="F89" s="21"/>
      <c r="G89" s="21"/>
      <c r="H89" s="21"/>
      <c r="I89" s="21"/>
      <c r="J89" s="21"/>
    </row>
    <row r="90" spans="1:10" s="334" customFormat="1" ht="15" x14ac:dyDescent="0.25">
      <c r="A90" s="2160" t="s">
        <v>179</v>
      </c>
      <c r="B90" s="2161"/>
      <c r="C90" s="2162">
        <f>'Analisa Lap Keu'!I186</f>
        <v>1441.51</v>
      </c>
      <c r="D90" s="2163"/>
      <c r="E90" s="21"/>
      <c r="F90" s="21"/>
      <c r="G90" s="21"/>
      <c r="H90" s="21"/>
      <c r="I90" s="21"/>
      <c r="J90" s="21"/>
    </row>
    <row r="91" spans="1:10" s="334" customFormat="1" ht="15" x14ac:dyDescent="0.25">
      <c r="A91" s="2160" t="s">
        <v>180</v>
      </c>
      <c r="B91" s="2161"/>
      <c r="C91" s="2162">
        <f>'Analisa Lap Keu'!I187</f>
        <v>0</v>
      </c>
      <c r="D91" s="2163"/>
      <c r="E91" s="21"/>
      <c r="F91" s="21"/>
      <c r="G91" s="21"/>
      <c r="H91" s="21"/>
      <c r="I91" s="21"/>
      <c r="J91" s="21"/>
    </row>
    <row r="92" spans="1:10" s="334" customFormat="1" ht="15" x14ac:dyDescent="0.25">
      <c r="A92" s="2160" t="s">
        <v>783</v>
      </c>
      <c r="B92" s="2161"/>
      <c r="C92" s="2162">
        <f>'Analisa Lap Keu'!I188</f>
        <v>0</v>
      </c>
      <c r="D92" s="2163"/>
      <c r="E92" s="21"/>
      <c r="F92" s="21"/>
      <c r="G92" s="21"/>
      <c r="H92" s="21"/>
      <c r="I92" s="21"/>
      <c r="J92" s="21"/>
    </row>
    <row r="93" spans="1:10" s="334" customFormat="1" ht="15" x14ac:dyDescent="0.25">
      <c r="A93" s="2160" t="s">
        <v>7749</v>
      </c>
      <c r="B93" s="2161"/>
      <c r="C93" s="2162">
        <f>'Analisa Lap Keu'!I189</f>
        <v>4606.34</v>
      </c>
      <c r="D93" s="2163"/>
      <c r="E93" s="21"/>
      <c r="F93" s="21"/>
      <c r="G93" s="21"/>
      <c r="H93" s="21"/>
      <c r="I93" s="21"/>
      <c r="J93" s="21"/>
    </row>
    <row r="94" spans="1:10" s="334" customFormat="1" ht="15" x14ac:dyDescent="0.25">
      <c r="A94" s="2160" t="s">
        <v>807</v>
      </c>
      <c r="B94" s="2161"/>
      <c r="C94" s="2162">
        <f>'Analisa Lap Keu'!I190</f>
        <v>3634.4879490000003</v>
      </c>
      <c r="D94" s="2163"/>
      <c r="E94" s="21"/>
      <c r="F94" s="21"/>
      <c r="G94" s="21"/>
      <c r="H94" s="21"/>
      <c r="I94" s="21"/>
      <c r="J94" s="21"/>
    </row>
    <row r="95" spans="1:10" s="334" customFormat="1" ht="15" customHeight="1" x14ac:dyDescent="0.25">
      <c r="A95" s="2158"/>
      <c r="B95" s="2159"/>
      <c r="C95" s="58"/>
      <c r="D95" s="54"/>
      <c r="E95" s="21"/>
      <c r="F95" s="21"/>
      <c r="G95" s="21"/>
      <c r="H95" s="21"/>
      <c r="I95" s="21"/>
      <c r="J95" s="21"/>
    </row>
    <row r="96" spans="1:10" s="334" customFormat="1" ht="15" x14ac:dyDescent="0.25">
      <c r="A96" s="59"/>
      <c r="B96" s="21"/>
      <c r="C96" s="21"/>
      <c r="D96" s="21"/>
      <c r="E96" s="21"/>
      <c r="F96" s="21"/>
      <c r="G96" s="21"/>
      <c r="H96" s="21"/>
      <c r="I96" s="21"/>
      <c r="J96" s="21"/>
    </row>
  </sheetData>
  <sheetProtection password="CCA9" sheet="1" formatRows="0" selectLockedCells="1"/>
  <mergeCells count="115">
    <mergeCell ref="A93:B93"/>
    <mergeCell ref="C93:D93"/>
    <mergeCell ref="D41:E41"/>
    <mergeCell ref="B24:C24"/>
    <mergeCell ref="D40:E40"/>
    <mergeCell ref="B41:C41"/>
    <mergeCell ref="D31:E31"/>
    <mergeCell ref="B40:C40"/>
    <mergeCell ref="C92:D92"/>
    <mergeCell ref="B48:C48"/>
    <mergeCell ref="A91:B91"/>
    <mergeCell ref="C86:D86"/>
    <mergeCell ref="D63:E63"/>
    <mergeCell ref="D65:E65"/>
    <mergeCell ref="A85:B85"/>
    <mergeCell ref="A89:B89"/>
    <mergeCell ref="C89:D89"/>
    <mergeCell ref="D74:E74"/>
    <mergeCell ref="C82:D82"/>
    <mergeCell ref="A61:J61"/>
    <mergeCell ref="C84:D84"/>
    <mergeCell ref="A84:B84"/>
    <mergeCell ref="A12:B12"/>
    <mergeCell ref="F58:G58"/>
    <mergeCell ref="F15:H15"/>
    <mergeCell ref="B22:C22"/>
    <mergeCell ref="B21:C21"/>
    <mergeCell ref="E22:F22"/>
    <mergeCell ref="B47:C47"/>
    <mergeCell ref="A26:J26"/>
    <mergeCell ref="B23:C23"/>
    <mergeCell ref="D48:E48"/>
    <mergeCell ref="F16:H16"/>
    <mergeCell ref="E23:F23"/>
    <mergeCell ref="E21:F21"/>
    <mergeCell ref="B20:C20"/>
    <mergeCell ref="F57:G57"/>
    <mergeCell ref="F48:G48"/>
    <mergeCell ref="H41:I41"/>
    <mergeCell ref="H40:I40"/>
    <mergeCell ref="F47:G47"/>
    <mergeCell ref="B57:C57"/>
    <mergeCell ref="A16:B16"/>
    <mergeCell ref="A8:J8"/>
    <mergeCell ref="A10:B10"/>
    <mergeCell ref="F11:H11"/>
    <mergeCell ref="C14:E14"/>
    <mergeCell ref="F45:G45"/>
    <mergeCell ref="F31:G31"/>
    <mergeCell ref="B30:C30"/>
    <mergeCell ref="D30:E30"/>
    <mergeCell ref="A83:B83"/>
    <mergeCell ref="D64:E64"/>
    <mergeCell ref="F40:G40"/>
    <mergeCell ref="F41:G41"/>
    <mergeCell ref="D45:E45"/>
    <mergeCell ref="D57:E57"/>
    <mergeCell ref="B45:C45"/>
    <mergeCell ref="B58:C58"/>
    <mergeCell ref="D58:E58"/>
    <mergeCell ref="D47:E47"/>
    <mergeCell ref="F10:H10"/>
    <mergeCell ref="A11:B11"/>
    <mergeCell ref="A19:J19"/>
    <mergeCell ref="F14:H14"/>
    <mergeCell ref="C13:E13"/>
    <mergeCell ref="A13:B13"/>
    <mergeCell ref="A95:B95"/>
    <mergeCell ref="A94:B94"/>
    <mergeCell ref="C94:D94"/>
    <mergeCell ref="C88:D88"/>
    <mergeCell ref="C90:D90"/>
    <mergeCell ref="A92:B92"/>
    <mergeCell ref="C91:D91"/>
    <mergeCell ref="D66:E66"/>
    <mergeCell ref="A88:B88"/>
    <mergeCell ref="C85:D85"/>
    <mergeCell ref="D68:E68"/>
    <mergeCell ref="D69:E69"/>
    <mergeCell ref="D67:E67"/>
    <mergeCell ref="C83:D83"/>
    <mergeCell ref="A82:B82"/>
    <mergeCell ref="D72:E72"/>
    <mergeCell ref="A76:J76"/>
    <mergeCell ref="D70:E70"/>
    <mergeCell ref="D73:E73"/>
    <mergeCell ref="A90:B90"/>
    <mergeCell ref="A86:B86"/>
    <mergeCell ref="A87:B87"/>
    <mergeCell ref="C87:D87"/>
    <mergeCell ref="D71:E71"/>
    <mergeCell ref="A2:I2"/>
    <mergeCell ref="B28:C28"/>
    <mergeCell ref="D28:E28"/>
    <mergeCell ref="F28:G28"/>
    <mergeCell ref="H28:I28"/>
    <mergeCell ref="B31:C31"/>
    <mergeCell ref="H31:I31"/>
    <mergeCell ref="A15:B15"/>
    <mergeCell ref="F30:G30"/>
    <mergeCell ref="E24:F24"/>
    <mergeCell ref="H23:I23"/>
    <mergeCell ref="H24:I24"/>
    <mergeCell ref="H30:I30"/>
    <mergeCell ref="B4:C4"/>
    <mergeCell ref="B5:C5"/>
    <mergeCell ref="B6:C6"/>
    <mergeCell ref="A14:B14"/>
    <mergeCell ref="C11:E11"/>
    <mergeCell ref="C10:E10"/>
    <mergeCell ref="C15:E15"/>
    <mergeCell ref="F13:H13"/>
    <mergeCell ref="C12:E12"/>
    <mergeCell ref="C16:E16"/>
    <mergeCell ref="F12:H12"/>
  </mergeCells>
  <conditionalFormatting sqref="B32:C42">
    <cfRule type="expression" dxfId="62" priority="14" stopIfTrue="1">
      <formula>LEFT($B$30,1)&lt;&gt;"P"</formula>
    </cfRule>
  </conditionalFormatting>
  <conditionalFormatting sqref="D32:E42">
    <cfRule type="expression" dxfId="61" priority="13" stopIfTrue="1">
      <formula>LEFT($D$30,1)&lt;&gt;"P"</formula>
    </cfRule>
  </conditionalFormatting>
  <conditionalFormatting sqref="F32:G42">
    <cfRule type="expression" dxfId="60" priority="12" stopIfTrue="1">
      <formula>LEFT($F$30,1)&lt;&gt;"P"</formula>
    </cfRule>
  </conditionalFormatting>
  <conditionalFormatting sqref="H32:I42">
    <cfRule type="expression" dxfId="59" priority="11" stopIfTrue="1">
      <formula>LEFT($H$30,1)&lt;&gt;"P"</formula>
    </cfRule>
  </conditionalFormatting>
  <conditionalFormatting sqref="D38">
    <cfRule type="expression" dxfId="58" priority="10" stopIfTrue="1">
      <formula>LEFT($D$30,1)&lt;&gt;"P"</formula>
    </cfRule>
  </conditionalFormatting>
  <conditionalFormatting sqref="F38">
    <cfRule type="expression" dxfId="57" priority="9" stopIfTrue="1">
      <formula>LEFT($F$30,1)&lt;&gt;"P"</formula>
    </cfRule>
  </conditionalFormatting>
  <conditionalFormatting sqref="H38">
    <cfRule type="expression" dxfId="56" priority="8" stopIfTrue="1">
      <formula>LEFT($H$30,1)&lt;&gt;"P"</formula>
    </cfRule>
  </conditionalFormatting>
  <conditionalFormatting sqref="B38">
    <cfRule type="expression" dxfId="55" priority="7" stopIfTrue="1">
      <formula>LEFT($B$30,1)&lt;&gt;"P"</formula>
    </cfRule>
  </conditionalFormatting>
  <conditionalFormatting sqref="B49:C59">
    <cfRule type="expression" dxfId="54" priority="6" stopIfTrue="1">
      <formula>LEFT($B$47,1)&lt;&gt;"P"</formula>
    </cfRule>
  </conditionalFormatting>
  <conditionalFormatting sqref="D49:E59">
    <cfRule type="expression" dxfId="53" priority="5" stopIfTrue="1">
      <formula>LEFT($D$47,1)&lt;&gt;"P"</formula>
    </cfRule>
  </conditionalFormatting>
  <conditionalFormatting sqref="F49:G59">
    <cfRule type="expression" dxfId="52" priority="4" stopIfTrue="1">
      <formula>LEFT($F$47,1)&lt;&gt;"P"</formula>
    </cfRule>
  </conditionalFormatting>
  <conditionalFormatting sqref="B55">
    <cfRule type="expression" dxfId="51" priority="3" stopIfTrue="1">
      <formula>LEFT($B$47,1)&lt;&gt;"P"</formula>
    </cfRule>
  </conditionalFormatting>
  <conditionalFormatting sqref="D55">
    <cfRule type="expression" dxfId="50" priority="2" stopIfTrue="1">
      <formula>LEFT($D$47,1)&lt;&gt;"P"</formula>
    </cfRule>
  </conditionalFormatting>
  <conditionalFormatting sqref="F55">
    <cfRule type="expression" dxfId="49" priority="1" stopIfTrue="1">
      <formula>LEFT($F$47,1)&lt;&gt;"P"</formula>
    </cfRule>
  </conditionalFormatting>
  <dataValidations count="30">
    <dataValidation type="list" allowBlank="1" showInputMessage="1" showErrorMessage="1" sqref="B79">
      <formula1>"Ya,Tidak"</formula1>
    </dataValidation>
    <dataValidation type="list" allowBlank="1" showInputMessage="1" showErrorMessage="1" sqref="F13">
      <formula1>"1 - Terkait dengan Bank,2 - Tidak Terkait dengan Bank"</formula1>
    </dataValidation>
    <dataValidation type="list" allowBlank="1" showInputMessage="1" sqref="G64:G74">
      <formula1>pejabat2</formula1>
    </dataValidation>
    <dataValidation type="list" allowBlank="1" showInputMessage="1" showErrorMessage="1" sqref="F64:F74">
      <formula1>Dati</formula1>
    </dataValidation>
    <dataValidation type="list" allowBlank="1" showInputMessage="1" showErrorMessage="1" sqref="F51 D51 F34 H34 B51">
      <formula1>Sifatkredit_SID</formula1>
    </dataValidation>
    <dataValidation type="list" allowBlank="1" showInputMessage="1" showErrorMessage="1" sqref="B37 D37 F37 H37 B54 D54 F54">
      <formula1>"1 - Ekspor,9 - Lainnya"</formula1>
    </dataValidation>
    <dataValidation type="list" allowBlank="1" showInputMessage="1" showErrorMessage="1" sqref="B39">
      <formula1>lokasi_SID</formula1>
    </dataValidation>
    <dataValidation type="list" allowBlank="1" showInputMessage="1" showErrorMessage="1" sqref="D40 D57 F40 H40 F57 B57 B40">
      <formula1>valuta_SID</formula1>
    </dataValidation>
    <dataValidation type="list" allowBlank="1" showInputMessage="1" showErrorMessage="1" sqref="B41 F58:G58 D58:E58 B58:C58 H41:I41 F41:G41 D41:E41">
      <formula1>kolektabilitas</formula1>
    </dataValidation>
    <dataValidation type="list" allowBlank="1" showInputMessage="1" showErrorMessage="1" sqref="G49 I32 E49 C32:G32 C49">
      <formula1>jenkre_LBU</formula1>
    </dataValidation>
    <dataValidation type="list" allowBlank="1" showInputMessage="1" showErrorMessage="1" sqref="C34 E51 C51 I34 G34 E34 G51">
      <formula1>sifkre_lbu</formula1>
    </dataValidation>
    <dataValidation type="list" allowBlank="1" showInputMessage="1" showErrorMessage="1" sqref="C42 I42 G59 E59 G42 E42 C59">
      <formula1>katpeng_lbu</formula1>
    </dataValidation>
    <dataValidation type="list" allowBlank="1" showInputMessage="1" showErrorMessage="1" sqref="C39">
      <formula1>lokasi_lbu</formula1>
    </dataValidation>
    <dataValidation allowBlank="1" showInputMessage="1" showErrorMessage="1" prompt="Untuk PRK, pada kolom LOID masukkan &quot;external account number&quot;" sqref="B31:I31 B48:G48"/>
    <dataValidation type="list" allowBlank="1" showInputMessage="1" showErrorMessage="1" sqref="C33 I33 G50 E50 G33 E33 C50">
      <formula1>"0600 - untuk kredit sindikasi ,0605 - untuk kredit lainnya"</formula1>
    </dataValidation>
    <dataValidation type="list" allowBlank="1" showInputMessage="1" showErrorMessage="1" sqref="C11:E11">
      <formula1>SID</formula1>
    </dataValidation>
    <dataValidation type="list" allowBlank="1" showInputMessage="1" showErrorMessage="1" sqref="F15:H15 F52 D35 F35 H35 B52 D52">
      <formula1>Cat_deb</formula1>
    </dataValidation>
    <dataValidation type="list" allowBlank="1" showInputMessage="1" showErrorMessage="1" sqref="C13:E13">
      <formula1>Rel_debbank</formula1>
    </dataValidation>
    <dataValidation type="list" allowBlank="1" showInputMessage="1" showErrorMessage="1" sqref="C14:E14">
      <formula1>Stat_Deb</formula1>
    </dataValidation>
    <dataValidation type="list" allowBlank="1" showInputMessage="1" showErrorMessage="1" sqref="D34 B34">
      <formula1>sifatkre_SID</formula1>
    </dataValidation>
    <dataValidation type="list" allowBlank="1" showInputMessage="1" showErrorMessage="1" sqref="B36 D36 F36 H36 B53 D53 F53">
      <formula1>"39 - Kredit modal kerja lainnya, 79 - Investasi - Kredit Investasi Lainnya"</formula1>
    </dataValidation>
    <dataValidation type="list" allowBlank="1" showInputMessage="1" showErrorMessage="1" sqref="C37 E37 G37 I37 C54 E54 G54">
      <formula1>"1 - Ekspor,2 - Impor,9 - Lainnya"</formula1>
    </dataValidation>
    <dataValidation type="list" allowBlank="1" showInputMessage="1" showErrorMessage="1" sqref="F14:H14">
      <formula1>"1 - Perusahaan Induk,2 - Perusahaan Anak,9 - Lainnya"</formula1>
    </dataValidation>
    <dataValidation type="list" allowBlank="1" showInputMessage="1" sqref="B35">
      <formula1>Cat_deb</formula1>
    </dataValidation>
    <dataValidation type="list" allowBlank="1" showInputMessage="1" sqref="C36">
      <formula1>"1 - Modal Kerja,2 - Investasi"</formula1>
    </dataValidation>
    <dataValidation type="list" allowBlank="1" showInputMessage="1" showErrorMessage="1" sqref="D39 F39 H39 B56 D56 F56">
      <formula1>lokasi_SID</formula1>
    </dataValidation>
    <dataValidation type="list" allowBlank="1" showInputMessage="1" showErrorMessage="1" sqref="E39 G39 I39 C56 E56 G56">
      <formula1>lokasi_lbu</formula1>
    </dataValidation>
    <dataValidation type="list" allowBlank="1" showInputMessage="1" showErrorMessage="1" sqref="E36 G36 I36 C53 E53 G53">
      <formula1>"1 - Modal Kerja,2 - Investasi"</formula1>
    </dataValidation>
    <dataValidation type="list" allowBlank="1" showInputMessage="1" showErrorMessage="1" sqref="C12:E12">
      <formula1>INDIRECT($J$27)</formula1>
    </dataValidation>
    <dataValidation type="list" allowBlank="1" showInputMessage="1" showErrorMessage="1" sqref="F11:H11">
      <formula1>INDIRECT($J$11)</formula1>
    </dataValidation>
  </dataValidations>
  <pageMargins left="0.47244094488188998" right="0.196850393700787" top="0.35433070866141703" bottom="0.31496062992126" header="0.31496062992126" footer="0.31496062992126"/>
  <pageSetup paperSize="9" scale="58" orientation="landscape" r:id="rId1"/>
  <headerFooter>
    <oddFooter>&amp;RTemplate &amp;"-,Italic"small size&amp;"-,Regular" 2017 v.3 - Page &amp;P of &amp;N</oddFooter>
  </headerFooter>
  <rowBreaks count="1" manualBreakCount="1">
    <brk id="59" max="9" man="1"/>
  </rowBreaks>
  <drawing r:id="rId2"/>
  <legacyDrawing r:id="rId3"/>
  <controls>
    <mc:AlternateContent xmlns:mc="http://schemas.openxmlformats.org/markup-compatibility/2006">
      <mc:Choice Requires="x14">
        <control shapeId="60512" r:id="rId4" name="ComboBox7">
          <controlPr defaultSize="0" autoLine="0" linkedCell="G55" listFillRange="FOOD" r:id="rId5">
            <anchor moveWithCells="1">
              <from>
                <xdr:col>6</xdr:col>
                <xdr:colOff>1390650</xdr:colOff>
                <xdr:row>54</xdr:row>
                <xdr:rowOff>114300</xdr:rowOff>
              </from>
              <to>
                <xdr:col>7</xdr:col>
                <xdr:colOff>19050</xdr:colOff>
                <xdr:row>54</xdr:row>
                <xdr:rowOff>276225</xdr:rowOff>
              </to>
            </anchor>
          </controlPr>
        </control>
      </mc:Choice>
      <mc:Fallback>
        <control shapeId="60512" r:id="rId4" name="ComboBox7"/>
      </mc:Fallback>
    </mc:AlternateContent>
    <mc:AlternateContent xmlns:mc="http://schemas.openxmlformats.org/markup-compatibility/2006">
      <mc:Choice Requires="x14">
        <control shapeId="60511" r:id="rId6" name="ComboBox6">
          <controlPr defaultSize="0" autoLine="0" linkedCell="E55" listFillRange="FOOD" r:id="rId7">
            <anchor moveWithCells="1">
              <from>
                <xdr:col>4</xdr:col>
                <xdr:colOff>1381125</xdr:colOff>
                <xdr:row>54</xdr:row>
                <xdr:rowOff>114300</xdr:rowOff>
              </from>
              <to>
                <xdr:col>5</xdr:col>
                <xdr:colOff>9525</xdr:colOff>
                <xdr:row>54</xdr:row>
                <xdr:rowOff>276225</xdr:rowOff>
              </to>
            </anchor>
          </controlPr>
        </control>
      </mc:Choice>
      <mc:Fallback>
        <control shapeId="60511" r:id="rId6" name="ComboBox6"/>
      </mc:Fallback>
    </mc:AlternateContent>
    <mc:AlternateContent xmlns:mc="http://schemas.openxmlformats.org/markup-compatibility/2006">
      <mc:Choice Requires="x14">
        <control shapeId="60510" r:id="rId8" name="ComboBox5">
          <controlPr defaultSize="0" autoLine="0" linkedCell="C55" listFillRange="FOOD" r:id="rId9">
            <anchor moveWithCells="1">
              <from>
                <xdr:col>2</xdr:col>
                <xdr:colOff>1428750</xdr:colOff>
                <xdr:row>54</xdr:row>
                <xdr:rowOff>114300</xdr:rowOff>
              </from>
              <to>
                <xdr:col>3</xdr:col>
                <xdr:colOff>9525</xdr:colOff>
                <xdr:row>54</xdr:row>
                <xdr:rowOff>276225</xdr:rowOff>
              </to>
            </anchor>
          </controlPr>
        </control>
      </mc:Choice>
      <mc:Fallback>
        <control shapeId="60510" r:id="rId8" name="ComboBox5"/>
      </mc:Fallback>
    </mc:AlternateContent>
    <mc:AlternateContent xmlns:mc="http://schemas.openxmlformats.org/markup-compatibility/2006">
      <mc:Choice Requires="x14">
        <control shapeId="60509" r:id="rId10" name="ComboBox4">
          <controlPr defaultSize="0" autoLine="0" linkedCell="I38" listFillRange="FOOD" r:id="rId11">
            <anchor moveWithCells="1">
              <from>
                <xdr:col>8</xdr:col>
                <xdr:colOff>1400175</xdr:colOff>
                <xdr:row>37</xdr:row>
                <xdr:rowOff>76200</xdr:rowOff>
              </from>
              <to>
                <xdr:col>9</xdr:col>
                <xdr:colOff>19050</xdr:colOff>
                <xdr:row>37</xdr:row>
                <xdr:rowOff>238125</xdr:rowOff>
              </to>
            </anchor>
          </controlPr>
        </control>
      </mc:Choice>
      <mc:Fallback>
        <control shapeId="60509" r:id="rId10" name="ComboBox4"/>
      </mc:Fallback>
    </mc:AlternateContent>
    <mc:AlternateContent xmlns:mc="http://schemas.openxmlformats.org/markup-compatibility/2006">
      <mc:Choice Requires="x14">
        <control shapeId="60508" r:id="rId12" name="ComboBox3">
          <controlPr defaultSize="0" autoLine="0" linkedCell="G38" listFillRange="FOOD" r:id="rId13">
            <anchor moveWithCells="1">
              <from>
                <xdr:col>6</xdr:col>
                <xdr:colOff>1381125</xdr:colOff>
                <xdr:row>37</xdr:row>
                <xdr:rowOff>66675</xdr:rowOff>
              </from>
              <to>
                <xdr:col>7</xdr:col>
                <xdr:colOff>9525</xdr:colOff>
                <xdr:row>37</xdr:row>
                <xdr:rowOff>228600</xdr:rowOff>
              </to>
            </anchor>
          </controlPr>
        </control>
      </mc:Choice>
      <mc:Fallback>
        <control shapeId="60508" r:id="rId12" name="ComboBox3"/>
      </mc:Fallback>
    </mc:AlternateContent>
    <mc:AlternateContent xmlns:mc="http://schemas.openxmlformats.org/markup-compatibility/2006">
      <mc:Choice Requires="x14">
        <control shapeId="60507" r:id="rId14" name="ComboBox2">
          <controlPr defaultSize="0" autoLine="0" linkedCell="E38" listFillRange="FOOD" r:id="rId15">
            <anchor moveWithCells="1">
              <from>
                <xdr:col>4</xdr:col>
                <xdr:colOff>1390650</xdr:colOff>
                <xdr:row>37</xdr:row>
                <xdr:rowOff>76200</xdr:rowOff>
              </from>
              <to>
                <xdr:col>5</xdr:col>
                <xdr:colOff>9525</xdr:colOff>
                <xdr:row>37</xdr:row>
                <xdr:rowOff>238125</xdr:rowOff>
              </to>
            </anchor>
          </controlPr>
        </control>
      </mc:Choice>
      <mc:Fallback>
        <control shapeId="60507" r:id="rId14" name="ComboBox2"/>
      </mc:Fallback>
    </mc:AlternateContent>
    <mc:AlternateContent xmlns:mc="http://schemas.openxmlformats.org/markup-compatibility/2006">
      <mc:Choice Requires="x14">
        <control shapeId="60506" r:id="rId16" name="ComboBox1">
          <controlPr defaultSize="0" autoLine="0" linkedCell="C38" listFillRange="FOOD" r:id="rId17">
            <anchor moveWithCells="1">
              <from>
                <xdr:col>2</xdr:col>
                <xdr:colOff>1428750</xdr:colOff>
                <xdr:row>37</xdr:row>
                <xdr:rowOff>76200</xdr:rowOff>
              </from>
              <to>
                <xdr:col>3</xdr:col>
                <xdr:colOff>9525</xdr:colOff>
                <xdr:row>37</xdr:row>
                <xdr:rowOff>238125</xdr:rowOff>
              </to>
            </anchor>
          </controlPr>
        </control>
      </mc:Choice>
      <mc:Fallback>
        <control shapeId="60506" r:id="rId16" name="ComboBox1"/>
      </mc:Fallback>
    </mc:AlternateContent>
  </control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filterMode="1"/>
  <dimension ref="A1:H958"/>
  <sheetViews>
    <sheetView showGridLines="0" topLeftCell="B325" zoomScale="80" zoomScaleNormal="80" workbookViewId="0">
      <selection activeCell="C646" sqref="C646"/>
    </sheetView>
  </sheetViews>
  <sheetFormatPr defaultRowHeight="15" x14ac:dyDescent="0.25"/>
  <cols>
    <col min="1" max="1" width="12.28515625" hidden="1" customWidth="1"/>
    <col min="2" max="2" width="15.7109375" style="8" customWidth="1"/>
    <col min="3" max="3" width="57.5703125" style="8" customWidth="1"/>
    <col min="4" max="4" width="19" style="412" customWidth="1"/>
    <col min="5" max="5" width="48.5703125" style="8" customWidth="1"/>
    <col min="6" max="6" width="30.140625" style="8" customWidth="1"/>
    <col min="7" max="7" width="38.28515625" customWidth="1"/>
    <col min="8" max="8" width="38.5703125" customWidth="1"/>
  </cols>
  <sheetData>
    <row r="1" spans="1:8" x14ac:dyDescent="0.25">
      <c r="E1" s="544" t="s">
        <v>7691</v>
      </c>
      <c r="F1" s="545"/>
      <c r="G1" s="561"/>
      <c r="H1" s="561"/>
    </row>
    <row r="2" spans="1:8" x14ac:dyDescent="0.25">
      <c r="B2" s="560" t="s">
        <v>729</v>
      </c>
      <c r="C2" s="546"/>
      <c r="E2" s="651" t="s">
        <v>7692</v>
      </c>
      <c r="F2" s="652"/>
      <c r="G2" s="653"/>
      <c r="H2" s="653"/>
    </row>
    <row r="3" spans="1:8" x14ac:dyDescent="0.25">
      <c r="A3" s="542"/>
      <c r="B3" s="529"/>
      <c r="C3" s="543"/>
      <c r="E3" s="544" t="s">
        <v>7624</v>
      </c>
      <c r="F3" s="545"/>
      <c r="G3" s="561"/>
      <c r="H3" s="561"/>
    </row>
    <row r="4" spans="1:8" x14ac:dyDescent="0.25">
      <c r="A4" s="542"/>
      <c r="B4" s="529"/>
      <c r="C4" s="543"/>
      <c r="E4" s="651" t="s">
        <v>7693</v>
      </c>
      <c r="F4" s="652"/>
      <c r="G4" s="653"/>
      <c r="H4" s="653"/>
    </row>
    <row r="5" spans="1:8" x14ac:dyDescent="0.25">
      <c r="A5" s="542"/>
      <c r="B5" s="529"/>
      <c r="C5" s="543"/>
      <c r="E5" s="544" t="s">
        <v>7694</v>
      </c>
      <c r="F5" s="545"/>
      <c r="G5" s="561"/>
      <c r="H5" s="561"/>
    </row>
    <row r="6" spans="1:8" x14ac:dyDescent="0.25">
      <c r="E6" s="651" t="s">
        <v>7629</v>
      </c>
      <c r="F6" s="652"/>
      <c r="G6" s="653"/>
      <c r="H6" s="653"/>
    </row>
    <row r="7" spans="1:8" ht="23.25" customHeight="1" x14ac:dyDescent="0.25">
      <c r="A7" s="413" t="s">
        <v>7171</v>
      </c>
      <c r="B7" s="414" t="s">
        <v>7172</v>
      </c>
      <c r="C7" s="414" t="s">
        <v>729</v>
      </c>
      <c r="D7" s="415" t="s">
        <v>7173</v>
      </c>
      <c r="E7" s="416" t="s">
        <v>7174</v>
      </c>
      <c r="F7" s="416" t="s">
        <v>7175</v>
      </c>
      <c r="G7" s="416" t="s">
        <v>7627</v>
      </c>
      <c r="H7" s="416" t="s">
        <v>7628</v>
      </c>
    </row>
    <row r="8" spans="1:8" ht="30" hidden="1" customHeight="1" x14ac:dyDescent="0.25">
      <c r="A8" s="417" t="s">
        <v>6324</v>
      </c>
      <c r="B8" s="423" t="s">
        <v>6403</v>
      </c>
      <c r="C8" s="423" t="s">
        <v>6404</v>
      </c>
      <c r="D8" s="424" t="s">
        <v>4841</v>
      </c>
      <c r="E8" s="425" t="str">
        <f>VLOOKUP($D8,'Tabel Map Industry'!$A$2:$H$464,2,0)</f>
        <v xml:space="preserve">Industri Pakan Ternak </v>
      </c>
      <c r="F8" s="426" t="str">
        <f>VLOOKUP($D8,'Tabel Map Industry'!$A$2:$H$464,3,0)</f>
        <v>ANIMALS, FISHERIES AND FARMING</v>
      </c>
      <c r="G8" s="426" t="str">
        <f>VLOOKUP($D8,'Tabel Map Industry'!$A$2:$H$464,4,0)</f>
        <v>Industri Pakan Ternak  - 153300</v>
      </c>
      <c r="H8" s="426" t="str">
        <f>VLOOKUP($D8,'Tabel Map Industry'!$A$2:$H$464,8,0)</f>
        <v>Industri - Makanan Ternak dan Ikan - 3200</v>
      </c>
    </row>
    <row r="9" spans="1:8" ht="75" hidden="1" customHeight="1" x14ac:dyDescent="0.25">
      <c r="A9" s="422" t="s">
        <v>6327</v>
      </c>
      <c r="B9" s="418" t="s">
        <v>6484</v>
      </c>
      <c r="C9" s="418" t="s">
        <v>6485</v>
      </c>
      <c r="D9" s="419" t="s">
        <v>4846</v>
      </c>
      <c r="E9" s="420" t="str">
        <f>VLOOKUP($D9,'Tabel Map Industry'!$A$2:$H$464,2,0)</f>
        <v>Pembibitan dan Budidaya Unggas</v>
      </c>
      <c r="F9" s="421" t="str">
        <f>VLOOKUP($D9,'Tabel Map Industry'!$A$2:$H$464,3,0)</f>
        <v>ANIMALS, FISHERIES AND FARMING</v>
      </c>
      <c r="G9" s="421" t="str">
        <f>VLOOKUP($D9,'Tabel Map Industry'!$A$2:$H$464,4,0)</f>
        <v>Pembibitan dan Budidaya Unggas - 012291</v>
      </c>
      <c r="H9" s="421" t="str">
        <f>VLOOKUP($D9,'Tabel Map Industry'!$A$2:$H$464,8,0)</f>
        <v>Peternakan Unggas - 1171</v>
      </c>
    </row>
    <row r="10" spans="1:8" ht="75" hidden="1" customHeight="1" x14ac:dyDescent="0.25">
      <c r="A10" s="417" t="s">
        <v>6330</v>
      </c>
      <c r="B10" s="423" t="s">
        <v>6500</v>
      </c>
      <c r="C10" s="423" t="s">
        <v>6501</v>
      </c>
      <c r="D10" s="424" t="s">
        <v>4841</v>
      </c>
      <c r="E10" s="425" t="str">
        <f>VLOOKUP($D10,'Tabel Map Industry'!$A$2:$H$464,2,0)</f>
        <v xml:space="preserve">Industri Pakan Ternak </v>
      </c>
      <c r="F10" s="426" t="str">
        <f>VLOOKUP($D10,'Tabel Map Industry'!$A$2:$H$464,3,0)</f>
        <v>ANIMALS, FISHERIES AND FARMING</v>
      </c>
      <c r="G10" s="426" t="str">
        <f>VLOOKUP($D10,'Tabel Map Industry'!$A$2:$H$464,4,0)</f>
        <v>Industri Pakan Ternak  - 153300</v>
      </c>
      <c r="H10" s="426" t="str">
        <f>VLOOKUP($D10,'Tabel Map Industry'!$A$2:$H$464,8,0)</f>
        <v>Industri - Makanan Ternak dan Ikan - 3200</v>
      </c>
    </row>
    <row r="11" spans="1:8" ht="75" hidden="1" customHeight="1" x14ac:dyDescent="0.25">
      <c r="A11" s="422" t="s">
        <v>6330</v>
      </c>
      <c r="B11" s="418" t="s">
        <v>6557</v>
      </c>
      <c r="C11" s="418" t="s">
        <v>6558</v>
      </c>
      <c r="D11" s="419" t="s">
        <v>4841</v>
      </c>
      <c r="E11" s="420" t="str">
        <f>VLOOKUP($D11,'Tabel Map Industry'!$A$2:$H$464,2,0)</f>
        <v xml:space="preserve">Industri Pakan Ternak </v>
      </c>
      <c r="F11" s="421" t="str">
        <f>VLOOKUP($D11,'Tabel Map Industry'!$A$2:$H$464,3,0)</f>
        <v>ANIMALS, FISHERIES AND FARMING</v>
      </c>
      <c r="G11" s="421" t="str">
        <f>VLOOKUP($D11,'Tabel Map Industry'!$A$2:$H$464,4,0)</f>
        <v>Industri Pakan Ternak  - 153300</v>
      </c>
      <c r="H11" s="421" t="str">
        <f>VLOOKUP($D11,'Tabel Map Industry'!$A$2:$H$464,8,0)</f>
        <v>Industri - Makanan Ternak dan Ikan - 3200</v>
      </c>
    </row>
    <row r="12" spans="1:8" ht="75" hidden="1" customHeight="1" x14ac:dyDescent="0.25">
      <c r="A12" s="417" t="s">
        <v>6330</v>
      </c>
      <c r="B12" s="423" t="s">
        <v>6738</v>
      </c>
      <c r="C12" s="423" t="s">
        <v>6738</v>
      </c>
      <c r="D12" s="424" t="s">
        <v>4850</v>
      </c>
      <c r="E12" s="425" t="str">
        <f>VLOOKUP($D12,'Tabel Map Industry'!$A$2:$H$464,2,0)</f>
        <v>Perdagangan Besar Dalam Negeri Binatang Hidup</v>
      </c>
      <c r="F12" s="426" t="str">
        <f>VLOOKUP($D12,'Tabel Map Industry'!$A$2:$H$464,3,0)</f>
        <v>ANIMALS, FISHERIES AND FARMING</v>
      </c>
      <c r="G12" s="426" t="str">
        <f>VLOOKUP($D12,'Tabel Map Industry'!$A$2:$H$464,4,0)</f>
        <v>Perdagangan Besar Dalam Negeri Binatang Hidup - 512120</v>
      </c>
      <c r="H12" s="426" t="str">
        <f>VLOOKUP($D12,'Tabel Map Industry'!$A$2:$H$464,8,0)</f>
        <v>Pembelian &amp; Pengumpulan Brg. Dagangan Dlm.Neg. : Hewan hidup &amp; Hasilnya - 6325</v>
      </c>
    </row>
    <row r="13" spans="1:8" ht="75" hidden="1" customHeight="1" x14ac:dyDescent="0.25">
      <c r="A13" s="422" t="s">
        <v>6330</v>
      </c>
      <c r="B13" s="418" t="s">
        <v>6879</v>
      </c>
      <c r="C13" s="418" t="s">
        <v>6880</v>
      </c>
      <c r="D13" s="419" t="s">
        <v>4846</v>
      </c>
      <c r="E13" s="420" t="str">
        <f>VLOOKUP($D13,'Tabel Map Industry'!$A$2:$H$464,2,0)</f>
        <v>Pembibitan dan Budidaya Unggas</v>
      </c>
      <c r="F13" s="421" t="str">
        <f>VLOOKUP($D13,'Tabel Map Industry'!$A$2:$H$464,3,0)</f>
        <v>ANIMALS, FISHERIES AND FARMING</v>
      </c>
      <c r="G13" s="421" t="str">
        <f>VLOOKUP($D13,'Tabel Map Industry'!$A$2:$H$464,4,0)</f>
        <v>Pembibitan dan Budidaya Unggas - 012291</v>
      </c>
      <c r="H13" s="421" t="str">
        <f>VLOOKUP($D13,'Tabel Map Industry'!$A$2:$H$464,8,0)</f>
        <v>Peternakan Unggas - 1171</v>
      </c>
    </row>
    <row r="14" spans="1:8" ht="75" hidden="1" customHeight="1" x14ac:dyDescent="0.25">
      <c r="A14" s="417" t="s">
        <v>6330</v>
      </c>
      <c r="B14" s="423" t="s">
        <v>6908</v>
      </c>
      <c r="C14" s="423" t="s">
        <v>6909</v>
      </c>
      <c r="D14" s="424" t="s">
        <v>4841</v>
      </c>
      <c r="E14" s="425" t="str">
        <f>VLOOKUP($D14,'Tabel Map Industry'!$A$2:$H$464,2,0)</f>
        <v xml:space="preserve">Industri Pakan Ternak </v>
      </c>
      <c r="F14" s="426" t="str">
        <f>VLOOKUP($D14,'Tabel Map Industry'!$A$2:$H$464,3,0)</f>
        <v>ANIMALS, FISHERIES AND FARMING</v>
      </c>
      <c r="G14" s="426" t="str">
        <f>VLOOKUP($D14,'Tabel Map Industry'!$A$2:$H$464,4,0)</f>
        <v>Industri Pakan Ternak  - 153300</v>
      </c>
      <c r="H14" s="426" t="str">
        <f>VLOOKUP($D14,'Tabel Map Industry'!$A$2:$H$464,8,0)</f>
        <v>Industri - Makanan Ternak dan Ikan - 3200</v>
      </c>
    </row>
    <row r="15" spans="1:8" ht="75" hidden="1" customHeight="1" x14ac:dyDescent="0.25">
      <c r="A15" s="422" t="s">
        <v>6324</v>
      </c>
      <c r="B15" s="418" t="s">
        <v>6974</v>
      </c>
      <c r="C15" s="418" t="s">
        <v>6975</v>
      </c>
      <c r="D15" s="419" t="s">
        <v>4874</v>
      </c>
      <c r="E15" s="420" t="str">
        <f>VLOOKUP($D15,'Tabel Map Industry'!$A$2:$H$464,2,0)</f>
        <v>Perdagangan Ekspor Udang Olahan</v>
      </c>
      <c r="F15" s="421" t="str">
        <f>VLOOKUP($D15,'Tabel Map Industry'!$A$2:$H$464,3,0)</f>
        <v>ANIMALS, FISHERIES AND FARMING</v>
      </c>
      <c r="G15" s="421" t="str">
        <f>VLOOKUP($D15,'Tabel Map Industry'!$A$2:$H$464,4,0)</f>
        <v>Perdagangan Ekspor Udang Olahan - 532201</v>
      </c>
      <c r="H15" s="421" t="str">
        <f>VLOOKUP($D15,'Tabel Map Industry'!$A$2:$H$464,8,0)</f>
        <v>Ekspor Barang Jadi Udang - 6165</v>
      </c>
    </row>
    <row r="16" spans="1:8" ht="75" hidden="1" customHeight="1" x14ac:dyDescent="0.25">
      <c r="A16" s="417" t="s">
        <v>6327</v>
      </c>
      <c r="B16" s="423" t="s">
        <v>7038</v>
      </c>
      <c r="C16" s="423" t="s">
        <v>7038</v>
      </c>
      <c r="D16" s="424" t="s">
        <v>4873</v>
      </c>
      <c r="E16" s="425" t="str">
        <f>VLOOKUP($D16,'Tabel Map Industry'!$A$2:$H$464,2,0)</f>
        <v>Perdagangan Ekspor Hasil Perikanan</v>
      </c>
      <c r="F16" s="426" t="str">
        <f>VLOOKUP($D16,'Tabel Map Industry'!$A$2:$H$464,3,0)</f>
        <v>ANIMALS, FISHERIES AND FARMING</v>
      </c>
      <c r="G16" s="426" t="str">
        <f>VLOOKUP($D16,'Tabel Map Industry'!$A$2:$H$464,4,0)</f>
        <v>Perdagangan Ekspor Hasil Perikanan - 532130</v>
      </c>
      <c r="H16" s="426" t="str">
        <f>VLOOKUP($D16,'Tabel Map Industry'!$A$2:$H$464,8,0)</f>
        <v>Ekspor Bahan Baku Hasil Tanaman Pangan &amp; Perkebunan - 6115</v>
      </c>
    </row>
    <row r="17" spans="1:8" ht="75" hidden="1" customHeight="1" x14ac:dyDescent="0.25">
      <c r="A17" s="422" t="s">
        <v>6330</v>
      </c>
      <c r="B17" s="418" t="s">
        <v>6581</v>
      </c>
      <c r="C17" s="418" t="s">
        <v>7053</v>
      </c>
      <c r="D17" s="419" t="s">
        <v>4841</v>
      </c>
      <c r="E17" s="420" t="str">
        <f>VLOOKUP($D17,'Tabel Map Industry'!$A$2:$H$464,2,0)</f>
        <v xml:space="preserve">Industri Pakan Ternak </v>
      </c>
      <c r="F17" s="421" t="str">
        <f>VLOOKUP($D17,'Tabel Map Industry'!$A$2:$H$464,3,0)</f>
        <v>ANIMALS, FISHERIES AND FARMING</v>
      </c>
      <c r="G17" s="421" t="str">
        <f>VLOOKUP($D17,'Tabel Map Industry'!$A$2:$H$464,4,0)</f>
        <v>Industri Pakan Ternak  - 153300</v>
      </c>
      <c r="H17" s="421" t="str">
        <f>VLOOKUP($D17,'Tabel Map Industry'!$A$2:$H$464,8,0)</f>
        <v>Industri - Makanan Ternak dan Ikan - 3200</v>
      </c>
    </row>
    <row r="18" spans="1:8" ht="75" hidden="1" customHeight="1" x14ac:dyDescent="0.25">
      <c r="A18" s="417" t="s">
        <v>6324</v>
      </c>
      <c r="B18" s="423" t="s">
        <v>7085</v>
      </c>
      <c r="C18" s="423" t="s">
        <v>7086</v>
      </c>
      <c r="D18" s="424" t="s">
        <v>4841</v>
      </c>
      <c r="E18" s="425" t="str">
        <f>VLOOKUP($D18,'Tabel Map Industry'!$A$2:$H$464,2,0)</f>
        <v xml:space="preserve">Industri Pakan Ternak </v>
      </c>
      <c r="F18" s="426" t="str">
        <f>VLOOKUP($D18,'Tabel Map Industry'!$A$2:$H$464,3,0)</f>
        <v>ANIMALS, FISHERIES AND FARMING</v>
      </c>
      <c r="G18" s="426" t="str">
        <f>VLOOKUP($D18,'Tabel Map Industry'!$A$2:$H$464,4,0)</f>
        <v>Industri Pakan Ternak  - 153300</v>
      </c>
      <c r="H18" s="426" t="str">
        <f>VLOOKUP($D18,'Tabel Map Industry'!$A$2:$H$464,8,0)</f>
        <v>Industri - Makanan Ternak dan Ikan - 3200</v>
      </c>
    </row>
    <row r="19" spans="1:8" ht="75" hidden="1" customHeight="1" x14ac:dyDescent="0.25">
      <c r="A19" s="422" t="s">
        <v>6327</v>
      </c>
      <c r="B19" s="418" t="str">
        <f>PROPER(F19)</f>
        <v>Animals, Fisheries And Farming</v>
      </c>
      <c r="C19" s="418" t="str">
        <f>E19</f>
        <v xml:space="preserve">Industri Pakan Ternak </v>
      </c>
      <c r="D19" s="419" t="s">
        <v>4841</v>
      </c>
      <c r="E19" s="420" t="str">
        <f>VLOOKUP($D19,'Tabel Map Industry'!$A$2:$H$464,2,0)</f>
        <v xml:space="preserve">Industri Pakan Ternak </v>
      </c>
      <c r="F19" s="421" t="str">
        <f>VLOOKUP($D19,'Tabel Map Industry'!$A$2:$H$464,3,0)</f>
        <v>ANIMALS, FISHERIES AND FARMING</v>
      </c>
      <c r="G19" s="421" t="str">
        <f>VLOOKUP($D19,'Tabel Map Industry'!$A$2:$H$464,4,0)</f>
        <v>Industri Pakan Ternak  - 153300</v>
      </c>
      <c r="H19" s="421" t="str">
        <f>VLOOKUP($D19,'Tabel Map Industry'!$A$2:$H$464,8,0)</f>
        <v>Industri - Makanan Ternak dan Ikan - 3200</v>
      </c>
    </row>
    <row r="20" spans="1:8" ht="75" hidden="1" customHeight="1" x14ac:dyDescent="0.25">
      <c r="A20" s="417" t="s">
        <v>6324</v>
      </c>
      <c r="B20" s="423" t="str">
        <f>PROPER(F20)</f>
        <v>Animals, Fisheries And Farming</v>
      </c>
      <c r="C20" s="423" t="str">
        <f>E20</f>
        <v>Pembibitan dan Budidaya Unggas</v>
      </c>
      <c r="D20" s="424" t="s">
        <v>4846</v>
      </c>
      <c r="E20" s="425" t="str">
        <f>VLOOKUP($D20,'Tabel Map Industry'!$A$2:$H$464,2,0)</f>
        <v>Pembibitan dan Budidaya Unggas</v>
      </c>
      <c r="F20" s="426" t="str">
        <f>VLOOKUP($D20,'Tabel Map Industry'!$A$2:$H$464,3,0)</f>
        <v>ANIMALS, FISHERIES AND FARMING</v>
      </c>
      <c r="G20" s="426" t="str">
        <f>VLOOKUP($D20,'Tabel Map Industry'!$A$2:$H$464,4,0)</f>
        <v>Pembibitan dan Budidaya Unggas - 012291</v>
      </c>
      <c r="H20" s="426" t="str">
        <f>VLOOKUP($D20,'Tabel Map Industry'!$A$2:$H$464,8,0)</f>
        <v>Peternakan Unggas - 1171</v>
      </c>
    </row>
    <row r="21" spans="1:8" ht="75" hidden="1" customHeight="1" x14ac:dyDescent="0.25">
      <c r="A21" s="422" t="s">
        <v>6330</v>
      </c>
      <c r="B21" s="418" t="str">
        <f>PROPER(F21)</f>
        <v>Animals, Fisheries And Farming</v>
      </c>
      <c r="C21" s="418" t="str">
        <f>E21</f>
        <v>Perdagangan Besar Dalam Negeri Binatang Hidup</v>
      </c>
      <c r="D21" s="419" t="s">
        <v>4850</v>
      </c>
      <c r="E21" s="420" t="str">
        <f>VLOOKUP($D21,'Tabel Map Industry'!$A$2:$H$464,2,0)</f>
        <v>Perdagangan Besar Dalam Negeri Binatang Hidup</v>
      </c>
      <c r="F21" s="421" t="str">
        <f>VLOOKUP($D21,'Tabel Map Industry'!$A$2:$H$464,3,0)</f>
        <v>ANIMALS, FISHERIES AND FARMING</v>
      </c>
      <c r="G21" s="421" t="str">
        <f>VLOOKUP($D21,'Tabel Map Industry'!$A$2:$H$464,4,0)</f>
        <v>Perdagangan Besar Dalam Negeri Binatang Hidup - 512120</v>
      </c>
      <c r="H21" s="421" t="str">
        <f>VLOOKUP($D21,'Tabel Map Industry'!$A$2:$H$464,8,0)</f>
        <v>Pembelian &amp; Pengumpulan Brg. Dagangan Dlm.Neg. : Hewan hidup &amp; Hasilnya - 6325</v>
      </c>
    </row>
    <row r="22" spans="1:8" ht="75" hidden="1" customHeight="1" x14ac:dyDescent="0.25">
      <c r="A22" s="417" t="s">
        <v>6327</v>
      </c>
      <c r="B22" s="423" t="str">
        <f>PROPER(F22)</f>
        <v>Animals, Fisheries And Farming</v>
      </c>
      <c r="C22" s="423" t="str">
        <f>E22</f>
        <v>Perdagangan Ekspor Hasil Perikanan</v>
      </c>
      <c r="D22" s="424" t="s">
        <v>4873</v>
      </c>
      <c r="E22" s="425" t="str">
        <f>VLOOKUP($D22,'Tabel Map Industry'!$A$2:$H$464,2,0)</f>
        <v>Perdagangan Ekspor Hasil Perikanan</v>
      </c>
      <c r="F22" s="426" t="str">
        <f>VLOOKUP($D22,'Tabel Map Industry'!$A$2:$H$464,3,0)</f>
        <v>ANIMALS, FISHERIES AND FARMING</v>
      </c>
      <c r="G22" s="426" t="str">
        <f>VLOOKUP($D22,'Tabel Map Industry'!$A$2:$H$464,4,0)</f>
        <v>Perdagangan Ekspor Hasil Perikanan - 532130</v>
      </c>
      <c r="H22" s="426" t="str">
        <f>VLOOKUP($D22,'Tabel Map Industry'!$A$2:$H$464,8,0)</f>
        <v>Ekspor Bahan Baku Hasil Tanaman Pangan &amp; Perkebunan - 6115</v>
      </c>
    </row>
    <row r="23" spans="1:8" ht="75" hidden="1" customHeight="1" x14ac:dyDescent="0.25">
      <c r="A23" s="422" t="s">
        <v>6330</v>
      </c>
      <c r="B23" s="418" t="str">
        <f>PROPER(F23)</f>
        <v>Animals, Fisheries And Farming</v>
      </c>
      <c r="C23" s="418" t="str">
        <f>E23</f>
        <v>Perdagangan Ekspor Udang Olahan</v>
      </c>
      <c r="D23" s="419" t="s">
        <v>4874</v>
      </c>
      <c r="E23" s="420" t="str">
        <f>VLOOKUP($D23,'Tabel Map Industry'!$A$2:$H$464,2,0)</f>
        <v>Perdagangan Ekspor Udang Olahan</v>
      </c>
      <c r="F23" s="421" t="str">
        <f>VLOOKUP($D23,'Tabel Map Industry'!$A$2:$H$464,3,0)</f>
        <v>ANIMALS, FISHERIES AND FARMING</v>
      </c>
      <c r="G23" s="421" t="str">
        <f>VLOOKUP($D23,'Tabel Map Industry'!$A$2:$H$464,4,0)</f>
        <v>Perdagangan Ekspor Udang Olahan - 532201</v>
      </c>
      <c r="H23" s="421" t="str">
        <f>VLOOKUP($D23,'Tabel Map Industry'!$A$2:$H$464,8,0)</f>
        <v>Ekspor Barang Jadi Udang - 6165</v>
      </c>
    </row>
    <row r="24" spans="1:8" ht="75" customHeight="1" x14ac:dyDescent="0.25">
      <c r="A24" s="417" t="s">
        <v>6330</v>
      </c>
      <c r="B24" s="423" t="s">
        <v>6345</v>
      </c>
      <c r="C24" s="423" t="s">
        <v>6346</v>
      </c>
      <c r="D24" s="424" t="s">
        <v>4903</v>
      </c>
      <c r="E24" s="425" t="str">
        <f>VLOOKUP($D24,'Tabel Map Industry'!$A$2:$H$464,2,0)</f>
        <v xml:space="preserve">Penjualan Suku Cadang dan Aksesoris Mobil </v>
      </c>
      <c r="F24" s="426" t="str">
        <f>VLOOKUP($D24,'Tabel Map Industry'!$A$2:$H$464,3,0)</f>
        <v>AUTOMOTIVE &amp; COMPONENT</v>
      </c>
      <c r="G24" s="426" t="str">
        <f>VLOOKUP($D24,'Tabel Map Industry'!$A$2:$H$464,4,0)</f>
        <v>Penjualan Suku Cadang dan Aksesoris Mobil  - 502000</v>
      </c>
      <c r="H24" s="426" t="str">
        <f>VLOOKUP($D24,'Tabel Map Industry'!$A$2:$H$464,8,0)</f>
        <v>Impor Bukan dlm.rangka Bantuan Luar Negeri - Suku Cadang Kend.Bermotor - 6231</v>
      </c>
    </row>
    <row r="25" spans="1:8" ht="75" customHeight="1" x14ac:dyDescent="0.25">
      <c r="A25" s="422" t="s">
        <v>6330</v>
      </c>
      <c r="B25" s="418" t="s">
        <v>6361</v>
      </c>
      <c r="C25" s="418" t="s">
        <v>6362</v>
      </c>
      <c r="D25" s="419" t="s">
        <v>4902</v>
      </c>
      <c r="E25" s="420" t="str">
        <f>VLOOKUP($D25,'Tabel Map Industry'!$A$2:$H$464,2,0)</f>
        <v>Penjualan Mobil</v>
      </c>
      <c r="F25" s="421" t="str">
        <f>VLOOKUP($D25,'Tabel Map Industry'!$A$2:$H$464,3,0)</f>
        <v>AUTOMOTIVE &amp; COMPONENT</v>
      </c>
      <c r="G25" s="421" t="str">
        <f>VLOOKUP($D25,'Tabel Map Industry'!$A$2:$H$464,4,0)</f>
        <v>Penjualan Mobil - 501000</v>
      </c>
      <c r="H25" s="421" t="str">
        <f>VLOOKUP($D25,'Tabel Map Industry'!$A$2:$H$464,8,0)</f>
        <v>Perdagangan Eceran - 6500</v>
      </c>
    </row>
    <row r="26" spans="1:8" ht="75" customHeight="1" x14ac:dyDescent="0.25">
      <c r="A26" s="417" t="s">
        <v>6330</v>
      </c>
      <c r="B26" s="423" t="s">
        <v>6411</v>
      </c>
      <c r="C26" s="423" t="s">
        <v>6412</v>
      </c>
      <c r="D26" s="424" t="s">
        <v>4904</v>
      </c>
      <c r="E26" s="425" t="str">
        <f>VLOOKUP($D26,'Tabel Map Industry'!$A$2:$H$464,2,0)</f>
        <v>Penjualan Sepeda Motor</v>
      </c>
      <c r="F26" s="426" t="str">
        <f>VLOOKUP($D26,'Tabel Map Industry'!$A$2:$H$464,3,0)</f>
        <v>AUTOMOTIVE &amp; COMPONENT</v>
      </c>
      <c r="G26" s="426" t="str">
        <f>VLOOKUP($D26,'Tabel Map Industry'!$A$2:$H$464,4,0)</f>
        <v>Penjualan Sepeda Motor - 503001</v>
      </c>
      <c r="H26" s="426" t="str">
        <f>VLOOKUP($D26,'Tabel Map Industry'!$A$2:$H$464,8,0)</f>
        <v>Perdagangan Eceran - 6500</v>
      </c>
    </row>
    <row r="27" spans="1:8" ht="75" customHeight="1" x14ac:dyDescent="0.25">
      <c r="A27" s="422" t="s">
        <v>6330</v>
      </c>
      <c r="B27" s="418" t="s">
        <v>6411</v>
      </c>
      <c r="C27" s="418" t="s">
        <v>6413</v>
      </c>
      <c r="D27" s="419" t="s">
        <v>4904</v>
      </c>
      <c r="E27" s="420" t="str">
        <f>VLOOKUP($D27,'Tabel Map Industry'!$A$2:$H$464,2,0)</f>
        <v>Penjualan Sepeda Motor</v>
      </c>
      <c r="F27" s="421" t="str">
        <f>VLOOKUP($D27,'Tabel Map Industry'!$A$2:$H$464,3,0)</f>
        <v>AUTOMOTIVE &amp; COMPONENT</v>
      </c>
      <c r="G27" s="421" t="str">
        <f>VLOOKUP($D27,'Tabel Map Industry'!$A$2:$H$464,4,0)</f>
        <v>Penjualan Sepeda Motor - 503001</v>
      </c>
      <c r="H27" s="421" t="str">
        <f>VLOOKUP($D27,'Tabel Map Industry'!$A$2:$H$464,8,0)</f>
        <v>Perdagangan Eceran - 6500</v>
      </c>
    </row>
    <row r="28" spans="1:8" ht="75" customHeight="1" x14ac:dyDescent="0.25">
      <c r="A28" s="417" t="s">
        <v>6330</v>
      </c>
      <c r="B28" s="423" t="s">
        <v>6540</v>
      </c>
      <c r="C28" s="423" t="s">
        <v>6541</v>
      </c>
      <c r="D28" s="424" t="s">
        <v>4903</v>
      </c>
      <c r="E28" s="425" t="str">
        <f>VLOOKUP($D28,'Tabel Map Industry'!$A$2:$H$464,2,0)</f>
        <v xml:space="preserve">Penjualan Suku Cadang dan Aksesoris Mobil </v>
      </c>
      <c r="F28" s="426" t="str">
        <f>VLOOKUP($D28,'Tabel Map Industry'!$A$2:$H$464,3,0)</f>
        <v>AUTOMOTIVE &amp; COMPONENT</v>
      </c>
      <c r="G28" s="426" t="str">
        <f>VLOOKUP($D28,'Tabel Map Industry'!$A$2:$H$464,4,0)</f>
        <v>Penjualan Suku Cadang dan Aksesoris Mobil  - 502000</v>
      </c>
      <c r="H28" s="426" t="str">
        <f>VLOOKUP($D28,'Tabel Map Industry'!$A$2:$H$464,8,0)</f>
        <v>Impor Bukan dlm.rangka Bantuan Luar Negeri - Suku Cadang Kend.Bermotor - 6231</v>
      </c>
    </row>
    <row r="29" spans="1:8" ht="75" customHeight="1" x14ac:dyDescent="0.25">
      <c r="A29" s="422" t="s">
        <v>6330</v>
      </c>
      <c r="B29" s="418" t="s">
        <v>6553</v>
      </c>
      <c r="C29" s="418" t="s">
        <v>6554</v>
      </c>
      <c r="D29" s="419" t="s">
        <v>4902</v>
      </c>
      <c r="E29" s="420" t="str">
        <f>VLOOKUP($D29,'Tabel Map Industry'!$A$2:$H$464,2,0)</f>
        <v>Penjualan Mobil</v>
      </c>
      <c r="F29" s="421" t="str">
        <f>VLOOKUP($D29,'Tabel Map Industry'!$A$2:$H$464,3,0)</f>
        <v>AUTOMOTIVE &amp; COMPONENT</v>
      </c>
      <c r="G29" s="421" t="str">
        <f>VLOOKUP($D29,'Tabel Map Industry'!$A$2:$H$464,4,0)</f>
        <v>Penjualan Mobil - 501000</v>
      </c>
      <c r="H29" s="421" t="str">
        <f>VLOOKUP($D29,'Tabel Map Industry'!$A$2:$H$464,8,0)</f>
        <v>Perdagangan Eceran - 6500</v>
      </c>
    </row>
    <row r="30" spans="1:8" ht="75" customHeight="1" x14ac:dyDescent="0.25">
      <c r="A30" s="417" t="s">
        <v>6330</v>
      </c>
      <c r="B30" s="423" t="s">
        <v>6564</v>
      </c>
      <c r="C30" s="423" t="s">
        <v>6565</v>
      </c>
      <c r="D30" s="424" t="s">
        <v>4903</v>
      </c>
      <c r="E30" s="425" t="str">
        <f>VLOOKUP($D30,'Tabel Map Industry'!$A$2:$H$464,2,0)</f>
        <v xml:space="preserve">Penjualan Suku Cadang dan Aksesoris Mobil </v>
      </c>
      <c r="F30" s="426" t="str">
        <f>VLOOKUP($D30,'Tabel Map Industry'!$A$2:$H$464,3,0)</f>
        <v>AUTOMOTIVE &amp; COMPONENT</v>
      </c>
      <c r="G30" s="426" t="str">
        <f>VLOOKUP($D30,'Tabel Map Industry'!$A$2:$H$464,4,0)</f>
        <v>Penjualan Suku Cadang dan Aksesoris Mobil  - 502000</v>
      </c>
      <c r="H30" s="426" t="str">
        <f>VLOOKUP($D30,'Tabel Map Industry'!$A$2:$H$464,8,0)</f>
        <v>Impor Bukan dlm.rangka Bantuan Luar Negeri - Suku Cadang Kend.Bermotor - 6231</v>
      </c>
    </row>
    <row r="31" spans="1:8" ht="75" customHeight="1" x14ac:dyDescent="0.25">
      <c r="A31" s="422" t="s">
        <v>6330</v>
      </c>
      <c r="B31" s="418" t="s">
        <v>6589</v>
      </c>
      <c r="C31" s="418" t="s">
        <v>6590</v>
      </c>
      <c r="D31" s="419" t="s">
        <v>4905</v>
      </c>
      <c r="E31" s="420" t="str">
        <f>VLOOKUP($D31,'Tabel Map Industry'!$A$2:$H$464,2,0)</f>
        <v>Penjualan Suku Cadang dan Aksesoris Sepeda Motor</v>
      </c>
      <c r="F31" s="421" t="str">
        <f>VLOOKUP($D31,'Tabel Map Industry'!$A$2:$H$464,3,0)</f>
        <v>AUTOMOTIVE &amp; COMPONENT</v>
      </c>
      <c r="G31" s="421" t="str">
        <f>VLOOKUP($D31,'Tabel Map Industry'!$A$2:$H$464,4,0)</f>
        <v>Penjualan Suku Cadang dan Aksesoris Sepeda Motor - 503002</v>
      </c>
      <c r="H31" s="421" t="str">
        <f>VLOOKUP($D31,'Tabel Map Industry'!$A$2:$H$464,8,0)</f>
        <v>Impor Bukan dlm.rangka Bantuan Luar Negeri - Suku Cadang Kend.Bermotor - 6231</v>
      </c>
    </row>
    <row r="32" spans="1:8" ht="75" customHeight="1" x14ac:dyDescent="0.25">
      <c r="A32" s="417" t="s">
        <v>6330</v>
      </c>
      <c r="B32" s="423" t="s">
        <v>6577</v>
      </c>
      <c r="C32" s="423" t="s">
        <v>6611</v>
      </c>
      <c r="D32" s="424" t="s">
        <v>4902</v>
      </c>
      <c r="E32" s="425" t="str">
        <f>VLOOKUP($D32,'Tabel Map Industry'!$A$2:$H$464,2,0)</f>
        <v>Penjualan Mobil</v>
      </c>
      <c r="F32" s="426" t="str">
        <f>VLOOKUP($D32,'Tabel Map Industry'!$A$2:$H$464,3,0)</f>
        <v>AUTOMOTIVE &amp; COMPONENT</v>
      </c>
      <c r="G32" s="426" t="str">
        <f>VLOOKUP($D32,'Tabel Map Industry'!$A$2:$H$464,4,0)</f>
        <v>Penjualan Mobil - 501000</v>
      </c>
      <c r="H32" s="426" t="str">
        <f>VLOOKUP($D32,'Tabel Map Industry'!$A$2:$H$464,8,0)</f>
        <v>Perdagangan Eceran - 6500</v>
      </c>
    </row>
    <row r="33" spans="1:8" ht="75" customHeight="1" x14ac:dyDescent="0.25">
      <c r="A33" s="422" t="s">
        <v>6330</v>
      </c>
      <c r="B33" s="418" t="s">
        <v>6591</v>
      </c>
      <c r="C33" s="418" t="s">
        <v>6613</v>
      </c>
      <c r="D33" s="419" t="s">
        <v>4905</v>
      </c>
      <c r="E33" s="420" t="str">
        <f>VLOOKUP($D33,'Tabel Map Industry'!$A$2:$H$464,2,0)</f>
        <v>Penjualan Suku Cadang dan Aksesoris Sepeda Motor</v>
      </c>
      <c r="F33" s="421" t="str">
        <f>VLOOKUP($D33,'Tabel Map Industry'!$A$2:$H$464,3,0)</f>
        <v>AUTOMOTIVE &amp; COMPONENT</v>
      </c>
      <c r="G33" s="421" t="str">
        <f>VLOOKUP($D33,'Tabel Map Industry'!$A$2:$H$464,4,0)</f>
        <v>Penjualan Suku Cadang dan Aksesoris Sepeda Motor - 503002</v>
      </c>
      <c r="H33" s="421" t="str">
        <f>VLOOKUP($D33,'Tabel Map Industry'!$A$2:$H$464,8,0)</f>
        <v>Impor Bukan dlm.rangka Bantuan Luar Negeri - Suku Cadang Kend.Bermotor - 6231</v>
      </c>
    </row>
    <row r="34" spans="1:8" ht="75" customHeight="1" x14ac:dyDescent="0.25">
      <c r="A34" s="417" t="s">
        <v>6330</v>
      </c>
      <c r="B34" s="423" t="s">
        <v>6703</v>
      </c>
      <c r="C34" s="423" t="s">
        <v>6704</v>
      </c>
      <c r="D34" s="424" t="s">
        <v>4905</v>
      </c>
      <c r="E34" s="425" t="str">
        <f>VLOOKUP($D34,'Tabel Map Industry'!$A$2:$H$464,2,0)</f>
        <v>Penjualan Suku Cadang dan Aksesoris Sepeda Motor</v>
      </c>
      <c r="F34" s="426" t="str">
        <f>VLOOKUP($D34,'Tabel Map Industry'!$A$2:$H$464,3,0)</f>
        <v>AUTOMOTIVE &amp; COMPONENT</v>
      </c>
      <c r="G34" s="426" t="str">
        <f>VLOOKUP($D34,'Tabel Map Industry'!$A$2:$H$464,4,0)</f>
        <v>Penjualan Suku Cadang dan Aksesoris Sepeda Motor - 503002</v>
      </c>
      <c r="H34" s="426" t="str">
        <f>VLOOKUP($D34,'Tabel Map Industry'!$A$2:$H$464,8,0)</f>
        <v>Impor Bukan dlm.rangka Bantuan Luar Negeri - Suku Cadang Kend.Bermotor - 6231</v>
      </c>
    </row>
    <row r="35" spans="1:8" ht="75" customHeight="1" x14ac:dyDescent="0.25">
      <c r="A35" s="422" t="s">
        <v>6330</v>
      </c>
      <c r="B35" s="418" t="s">
        <v>6705</v>
      </c>
      <c r="C35" s="418" t="s">
        <v>6706</v>
      </c>
      <c r="D35" s="419" t="s">
        <v>4900</v>
      </c>
      <c r="E35" s="420" t="str">
        <f>VLOOKUP($D35,'Tabel Map Industry'!$A$2:$H$464,2,0)</f>
        <v>Industri Perlengkapan dan Komponen Kendaraan Bermotor Roda Empat Atau Lebih</v>
      </c>
      <c r="F35" s="421" t="str">
        <f>VLOOKUP($D35,'Tabel Map Industry'!$A$2:$H$464,3,0)</f>
        <v>AUTOMOTIVE &amp; COMPONENT</v>
      </c>
      <c r="G35" s="421" t="str">
        <f>VLOOKUP($D35,'Tabel Map Industry'!$A$2:$H$464,4,0)</f>
        <v>Industri Perlengkapan dan Komponen Kendaraan Bermotor Roda Empat Atau Lebih - 343000</v>
      </c>
      <c r="H35" s="421" t="str">
        <f>VLOOKUP($D35,'Tabel Map Industry'!$A$2:$H$464,8,0)</f>
        <v>Industri - Lainnya - 3990</v>
      </c>
    </row>
    <row r="36" spans="1:8" ht="75" customHeight="1" x14ac:dyDescent="0.25">
      <c r="A36" s="417" t="s">
        <v>6330</v>
      </c>
      <c r="B36" s="423" t="s">
        <v>6713</v>
      </c>
      <c r="C36" s="423" t="s">
        <v>6714</v>
      </c>
      <c r="D36" s="424" t="s">
        <v>4905</v>
      </c>
      <c r="E36" s="425" t="str">
        <f>VLOOKUP($D36,'Tabel Map Industry'!$A$2:$H$464,2,0)</f>
        <v>Penjualan Suku Cadang dan Aksesoris Sepeda Motor</v>
      </c>
      <c r="F36" s="426" t="str">
        <f>VLOOKUP($D36,'Tabel Map Industry'!$A$2:$H$464,3,0)</f>
        <v>AUTOMOTIVE &amp; COMPONENT</v>
      </c>
      <c r="G36" s="426" t="str">
        <f>VLOOKUP($D36,'Tabel Map Industry'!$A$2:$H$464,4,0)</f>
        <v>Penjualan Suku Cadang dan Aksesoris Sepeda Motor - 503002</v>
      </c>
      <c r="H36" s="426" t="str">
        <f>VLOOKUP($D36,'Tabel Map Industry'!$A$2:$H$464,8,0)</f>
        <v>Impor Bukan dlm.rangka Bantuan Luar Negeri - Suku Cadang Kend.Bermotor - 6231</v>
      </c>
    </row>
    <row r="37" spans="1:8" ht="75" customHeight="1" x14ac:dyDescent="0.25">
      <c r="A37" s="422" t="s">
        <v>6330</v>
      </c>
      <c r="B37" s="418" t="s">
        <v>6728</v>
      </c>
      <c r="C37" s="418" t="s">
        <v>6729</v>
      </c>
      <c r="D37" s="419" t="s">
        <v>4904</v>
      </c>
      <c r="E37" s="420" t="str">
        <f>VLOOKUP($D37,'Tabel Map Industry'!$A$2:$H$464,2,0)</f>
        <v>Penjualan Sepeda Motor</v>
      </c>
      <c r="F37" s="421" t="str">
        <f>VLOOKUP($D37,'Tabel Map Industry'!$A$2:$H$464,3,0)</f>
        <v>AUTOMOTIVE &amp; COMPONENT</v>
      </c>
      <c r="G37" s="421" t="str">
        <f>VLOOKUP($D37,'Tabel Map Industry'!$A$2:$H$464,4,0)</f>
        <v>Penjualan Sepeda Motor - 503001</v>
      </c>
      <c r="H37" s="421" t="str">
        <f>VLOOKUP($D37,'Tabel Map Industry'!$A$2:$H$464,8,0)</f>
        <v>Perdagangan Eceran - 6500</v>
      </c>
    </row>
    <row r="38" spans="1:8" ht="75" customHeight="1" x14ac:dyDescent="0.25">
      <c r="A38" s="417" t="s">
        <v>6327</v>
      </c>
      <c r="B38" s="423" t="s">
        <v>6736</v>
      </c>
      <c r="C38" s="423" t="s">
        <v>6737</v>
      </c>
      <c r="D38" s="424" t="s">
        <v>4905</v>
      </c>
      <c r="E38" s="425" t="str">
        <f>VLOOKUP($D38,'Tabel Map Industry'!$A$2:$H$464,2,0)</f>
        <v>Penjualan Suku Cadang dan Aksesoris Sepeda Motor</v>
      </c>
      <c r="F38" s="426" t="str">
        <f>VLOOKUP($D38,'Tabel Map Industry'!$A$2:$H$464,3,0)</f>
        <v>AUTOMOTIVE &amp; COMPONENT</v>
      </c>
      <c r="G38" s="426" t="str">
        <f>VLOOKUP($D38,'Tabel Map Industry'!$A$2:$H$464,4,0)</f>
        <v>Penjualan Suku Cadang dan Aksesoris Sepeda Motor - 503002</v>
      </c>
      <c r="H38" s="426" t="str">
        <f>VLOOKUP($D38,'Tabel Map Industry'!$A$2:$H$464,8,0)</f>
        <v>Impor Bukan dlm.rangka Bantuan Luar Negeri - Suku Cadang Kend.Bermotor - 6231</v>
      </c>
    </row>
    <row r="39" spans="1:8" ht="75" customHeight="1" x14ac:dyDescent="0.25">
      <c r="A39" s="422" t="s">
        <v>6330</v>
      </c>
      <c r="B39" s="418" t="s">
        <v>6767</v>
      </c>
      <c r="C39" s="418" t="s">
        <v>6768</v>
      </c>
      <c r="D39" s="419" t="s">
        <v>4903</v>
      </c>
      <c r="E39" s="420" t="str">
        <f>VLOOKUP($D39,'Tabel Map Industry'!$A$2:$H$464,2,0)</f>
        <v xml:space="preserve">Penjualan Suku Cadang dan Aksesoris Mobil </v>
      </c>
      <c r="F39" s="421" t="str">
        <f>VLOOKUP($D39,'Tabel Map Industry'!$A$2:$H$464,3,0)</f>
        <v>AUTOMOTIVE &amp; COMPONENT</v>
      </c>
      <c r="G39" s="421" t="str">
        <f>VLOOKUP($D39,'Tabel Map Industry'!$A$2:$H$464,4,0)</f>
        <v>Penjualan Suku Cadang dan Aksesoris Mobil  - 502000</v>
      </c>
      <c r="H39" s="421" t="str">
        <f>VLOOKUP($D39,'Tabel Map Industry'!$A$2:$H$464,8,0)</f>
        <v>Impor Bukan dlm.rangka Bantuan Luar Negeri - Suku Cadang Kend.Bermotor - 6231</v>
      </c>
    </row>
    <row r="40" spans="1:8" ht="75" customHeight="1" x14ac:dyDescent="0.25">
      <c r="A40" s="417" t="s">
        <v>6330</v>
      </c>
      <c r="B40" s="423" t="s">
        <v>6775</v>
      </c>
      <c r="C40" s="423" t="s">
        <v>6776</v>
      </c>
      <c r="D40" s="424" t="s">
        <v>4903</v>
      </c>
      <c r="E40" s="425" t="str">
        <f>VLOOKUP($D40,'Tabel Map Industry'!$A$2:$H$464,2,0)</f>
        <v xml:space="preserve">Penjualan Suku Cadang dan Aksesoris Mobil </v>
      </c>
      <c r="F40" s="426" t="str">
        <f>VLOOKUP($D40,'Tabel Map Industry'!$A$2:$H$464,3,0)</f>
        <v>AUTOMOTIVE &amp; COMPONENT</v>
      </c>
      <c r="G40" s="426" t="str">
        <f>VLOOKUP($D40,'Tabel Map Industry'!$A$2:$H$464,4,0)</f>
        <v>Penjualan Suku Cadang dan Aksesoris Mobil  - 502000</v>
      </c>
      <c r="H40" s="426" t="str">
        <f>VLOOKUP($D40,'Tabel Map Industry'!$A$2:$H$464,8,0)</f>
        <v>Impor Bukan dlm.rangka Bantuan Luar Negeri - Suku Cadang Kend.Bermotor - 6231</v>
      </c>
    </row>
    <row r="41" spans="1:8" ht="75" customHeight="1" x14ac:dyDescent="0.25">
      <c r="A41" s="422" t="s">
        <v>6330</v>
      </c>
      <c r="B41" s="418" t="s">
        <v>6783</v>
      </c>
      <c r="C41" s="418" t="s">
        <v>6784</v>
      </c>
      <c r="D41" s="419" t="s">
        <v>4905</v>
      </c>
      <c r="E41" s="420" t="str">
        <f>VLOOKUP($D41,'Tabel Map Industry'!$A$2:$H$464,2,0)</f>
        <v>Penjualan Suku Cadang dan Aksesoris Sepeda Motor</v>
      </c>
      <c r="F41" s="421" t="str">
        <f>VLOOKUP($D41,'Tabel Map Industry'!$A$2:$H$464,3,0)</f>
        <v>AUTOMOTIVE &amp; COMPONENT</v>
      </c>
      <c r="G41" s="421" t="str">
        <f>VLOOKUP($D41,'Tabel Map Industry'!$A$2:$H$464,4,0)</f>
        <v>Penjualan Suku Cadang dan Aksesoris Sepeda Motor - 503002</v>
      </c>
      <c r="H41" s="421" t="str">
        <f>VLOOKUP($D41,'Tabel Map Industry'!$A$2:$H$464,8,0)</f>
        <v>Impor Bukan dlm.rangka Bantuan Luar Negeri - Suku Cadang Kend.Bermotor - 6231</v>
      </c>
    </row>
    <row r="42" spans="1:8" ht="75" customHeight="1" x14ac:dyDescent="0.25">
      <c r="A42" s="417" t="s">
        <v>6330</v>
      </c>
      <c r="B42" s="423" t="s">
        <v>6798</v>
      </c>
      <c r="C42" s="423" t="s">
        <v>6799</v>
      </c>
      <c r="D42" s="424" t="s">
        <v>4902</v>
      </c>
      <c r="E42" s="425" t="str">
        <f>VLOOKUP($D42,'Tabel Map Industry'!$A$2:$H$464,2,0)</f>
        <v>Penjualan Mobil</v>
      </c>
      <c r="F42" s="426" t="str">
        <f>VLOOKUP($D42,'Tabel Map Industry'!$A$2:$H$464,3,0)</f>
        <v>AUTOMOTIVE &amp; COMPONENT</v>
      </c>
      <c r="G42" s="426" t="str">
        <f>VLOOKUP($D42,'Tabel Map Industry'!$A$2:$H$464,4,0)</f>
        <v>Penjualan Mobil - 501000</v>
      </c>
      <c r="H42" s="426" t="str">
        <f>VLOOKUP($D42,'Tabel Map Industry'!$A$2:$H$464,8,0)</f>
        <v>Perdagangan Eceran - 6500</v>
      </c>
    </row>
    <row r="43" spans="1:8" ht="75" customHeight="1" x14ac:dyDescent="0.25">
      <c r="A43" s="422" t="s">
        <v>6330</v>
      </c>
      <c r="B43" s="418" t="s">
        <v>6811</v>
      </c>
      <c r="C43" s="418" t="s">
        <v>6812</v>
      </c>
      <c r="D43" s="419" t="s">
        <v>4902</v>
      </c>
      <c r="E43" s="420" t="str">
        <f>VLOOKUP($D43,'Tabel Map Industry'!$A$2:$H$464,2,0)</f>
        <v>Penjualan Mobil</v>
      </c>
      <c r="F43" s="421" t="str">
        <f>VLOOKUP($D43,'Tabel Map Industry'!$A$2:$H$464,3,0)</f>
        <v>AUTOMOTIVE &amp; COMPONENT</v>
      </c>
      <c r="G43" s="421" t="str">
        <f>VLOOKUP($D43,'Tabel Map Industry'!$A$2:$H$464,4,0)</f>
        <v>Penjualan Mobil - 501000</v>
      </c>
      <c r="H43" s="421" t="str">
        <f>VLOOKUP($D43,'Tabel Map Industry'!$A$2:$H$464,8,0)</f>
        <v>Perdagangan Eceran - 6500</v>
      </c>
    </row>
    <row r="44" spans="1:8" ht="75" customHeight="1" x14ac:dyDescent="0.25">
      <c r="A44" s="417" t="s">
        <v>6330</v>
      </c>
      <c r="B44" s="423" t="s">
        <v>6839</v>
      </c>
      <c r="C44" s="423" t="s">
        <v>6840</v>
      </c>
      <c r="D44" s="424" t="s">
        <v>4905</v>
      </c>
      <c r="E44" s="425" t="str">
        <f>VLOOKUP($D44,'Tabel Map Industry'!$A$2:$H$464,2,0)</f>
        <v>Penjualan Suku Cadang dan Aksesoris Sepeda Motor</v>
      </c>
      <c r="F44" s="426" t="str">
        <f>VLOOKUP($D44,'Tabel Map Industry'!$A$2:$H$464,3,0)</f>
        <v>AUTOMOTIVE &amp; COMPONENT</v>
      </c>
      <c r="G44" s="426" t="str">
        <f>VLOOKUP($D44,'Tabel Map Industry'!$A$2:$H$464,4,0)</f>
        <v>Penjualan Suku Cadang dan Aksesoris Sepeda Motor - 503002</v>
      </c>
      <c r="H44" s="426" t="str">
        <f>VLOOKUP($D44,'Tabel Map Industry'!$A$2:$H$464,8,0)</f>
        <v>Impor Bukan dlm.rangka Bantuan Luar Negeri - Suku Cadang Kend.Bermotor - 6231</v>
      </c>
    </row>
    <row r="45" spans="1:8" ht="75" customHeight="1" x14ac:dyDescent="0.25">
      <c r="A45" s="422" t="s">
        <v>6324</v>
      </c>
      <c r="B45" s="418" t="s">
        <v>6844</v>
      </c>
      <c r="C45" s="418" t="s">
        <v>6845</v>
      </c>
      <c r="D45" s="419" t="s">
        <v>4900</v>
      </c>
      <c r="E45" s="420" t="str">
        <f>VLOOKUP($D45,'Tabel Map Industry'!$A$2:$H$464,2,0)</f>
        <v>Industri Perlengkapan dan Komponen Kendaraan Bermotor Roda Empat Atau Lebih</v>
      </c>
      <c r="F45" s="421" t="str">
        <f>VLOOKUP($D45,'Tabel Map Industry'!$A$2:$H$464,3,0)</f>
        <v>AUTOMOTIVE &amp; COMPONENT</v>
      </c>
      <c r="G45" s="421" t="str">
        <f>VLOOKUP($D45,'Tabel Map Industry'!$A$2:$H$464,4,0)</f>
        <v>Industri Perlengkapan dan Komponen Kendaraan Bermotor Roda Empat Atau Lebih - 343000</v>
      </c>
      <c r="H45" s="421" t="str">
        <f>VLOOKUP($D45,'Tabel Map Industry'!$A$2:$H$464,8,0)</f>
        <v>Industri - Lainnya - 3990</v>
      </c>
    </row>
    <row r="46" spans="1:8" ht="75" customHeight="1" x14ac:dyDescent="0.25">
      <c r="A46" s="417" t="s">
        <v>6330</v>
      </c>
      <c r="B46" s="423" t="s">
        <v>6867</v>
      </c>
      <c r="C46" s="423" t="s">
        <v>6868</v>
      </c>
      <c r="D46" s="424" t="s">
        <v>4905</v>
      </c>
      <c r="E46" s="425" t="str">
        <f>VLOOKUP($D46,'Tabel Map Industry'!$A$2:$H$464,2,0)</f>
        <v>Penjualan Suku Cadang dan Aksesoris Sepeda Motor</v>
      </c>
      <c r="F46" s="426" t="str">
        <f>VLOOKUP($D46,'Tabel Map Industry'!$A$2:$H$464,3,0)</f>
        <v>AUTOMOTIVE &amp; COMPONENT</v>
      </c>
      <c r="G46" s="426" t="str">
        <f>VLOOKUP($D46,'Tabel Map Industry'!$A$2:$H$464,4,0)</f>
        <v>Penjualan Suku Cadang dan Aksesoris Sepeda Motor - 503002</v>
      </c>
      <c r="H46" s="426" t="str">
        <f>VLOOKUP($D46,'Tabel Map Industry'!$A$2:$H$464,8,0)</f>
        <v>Impor Bukan dlm.rangka Bantuan Luar Negeri - Suku Cadang Kend.Bermotor - 6231</v>
      </c>
    </row>
    <row r="47" spans="1:8" ht="75" customHeight="1" x14ac:dyDescent="0.25">
      <c r="A47" s="422" t="s">
        <v>6330</v>
      </c>
      <c r="B47" s="418" t="s">
        <v>6883</v>
      </c>
      <c r="C47" s="418" t="s">
        <v>6884</v>
      </c>
      <c r="D47" s="419" t="s">
        <v>4903</v>
      </c>
      <c r="E47" s="420" t="str">
        <f>VLOOKUP($D47,'Tabel Map Industry'!$A$2:$H$464,2,0)</f>
        <v xml:space="preserve">Penjualan Suku Cadang dan Aksesoris Mobil </v>
      </c>
      <c r="F47" s="421" t="str">
        <f>VLOOKUP($D47,'Tabel Map Industry'!$A$2:$H$464,3,0)</f>
        <v>AUTOMOTIVE &amp; COMPONENT</v>
      </c>
      <c r="G47" s="421" t="str">
        <f>VLOOKUP($D47,'Tabel Map Industry'!$A$2:$H$464,4,0)</f>
        <v>Penjualan Suku Cadang dan Aksesoris Mobil  - 502000</v>
      </c>
      <c r="H47" s="421" t="str">
        <f>VLOOKUP($D47,'Tabel Map Industry'!$A$2:$H$464,8,0)</f>
        <v>Impor Bukan dlm.rangka Bantuan Luar Negeri - Suku Cadang Kend.Bermotor - 6231</v>
      </c>
    </row>
    <row r="48" spans="1:8" ht="75" customHeight="1" x14ac:dyDescent="0.25">
      <c r="A48" s="417" t="s">
        <v>6330</v>
      </c>
      <c r="B48" s="423" t="s">
        <v>6435</v>
      </c>
      <c r="C48" s="423" t="s">
        <v>6914</v>
      </c>
      <c r="D48" s="424" t="s">
        <v>4903</v>
      </c>
      <c r="E48" s="425" t="str">
        <f>VLOOKUP($D48,'Tabel Map Industry'!$A$2:$H$464,2,0)</f>
        <v xml:space="preserve">Penjualan Suku Cadang dan Aksesoris Mobil </v>
      </c>
      <c r="F48" s="426" t="str">
        <f>VLOOKUP($D48,'Tabel Map Industry'!$A$2:$H$464,3,0)</f>
        <v>AUTOMOTIVE &amp; COMPONENT</v>
      </c>
      <c r="G48" s="426" t="str">
        <f>VLOOKUP($D48,'Tabel Map Industry'!$A$2:$H$464,4,0)</f>
        <v>Penjualan Suku Cadang dan Aksesoris Mobil  - 502000</v>
      </c>
      <c r="H48" s="426" t="str">
        <f>VLOOKUP($D48,'Tabel Map Industry'!$A$2:$H$464,8,0)</f>
        <v>Impor Bukan dlm.rangka Bantuan Luar Negeri - Suku Cadang Kend.Bermotor - 6231</v>
      </c>
    </row>
    <row r="49" spans="1:8" ht="75" customHeight="1" x14ac:dyDescent="0.25">
      <c r="A49" s="422" t="s">
        <v>6330</v>
      </c>
      <c r="B49" s="418" t="s">
        <v>6917</v>
      </c>
      <c r="C49" s="418" t="s">
        <v>6918</v>
      </c>
      <c r="D49" s="419" t="s">
        <v>4905</v>
      </c>
      <c r="E49" s="420" t="str">
        <f>VLOOKUP($D49,'Tabel Map Industry'!$A$2:$H$464,2,0)</f>
        <v>Penjualan Suku Cadang dan Aksesoris Sepeda Motor</v>
      </c>
      <c r="F49" s="421" t="str">
        <f>VLOOKUP($D49,'Tabel Map Industry'!$A$2:$H$464,3,0)</f>
        <v>AUTOMOTIVE &amp; COMPONENT</v>
      </c>
      <c r="G49" s="421" t="str">
        <f>VLOOKUP($D49,'Tabel Map Industry'!$A$2:$H$464,4,0)</f>
        <v>Penjualan Suku Cadang dan Aksesoris Sepeda Motor - 503002</v>
      </c>
      <c r="H49" s="421" t="str">
        <f>VLOOKUP($D49,'Tabel Map Industry'!$A$2:$H$464,8,0)</f>
        <v>Impor Bukan dlm.rangka Bantuan Luar Negeri - Suku Cadang Kend.Bermotor - 6231</v>
      </c>
    </row>
    <row r="50" spans="1:8" ht="75" customHeight="1" x14ac:dyDescent="0.25">
      <c r="A50" s="417" t="s">
        <v>6330</v>
      </c>
      <c r="B50" s="423" t="s">
        <v>6945</v>
      </c>
      <c r="C50" s="423" t="s">
        <v>6946</v>
      </c>
      <c r="D50" s="424" t="s">
        <v>4903</v>
      </c>
      <c r="E50" s="425" t="str">
        <f>VLOOKUP($D50,'Tabel Map Industry'!$A$2:$H$464,2,0)</f>
        <v xml:space="preserve">Penjualan Suku Cadang dan Aksesoris Mobil </v>
      </c>
      <c r="F50" s="426" t="str">
        <f>VLOOKUP($D50,'Tabel Map Industry'!$A$2:$H$464,3,0)</f>
        <v>AUTOMOTIVE &amp; COMPONENT</v>
      </c>
      <c r="G50" s="426" t="str">
        <f>VLOOKUP($D50,'Tabel Map Industry'!$A$2:$H$464,4,0)</f>
        <v>Penjualan Suku Cadang dan Aksesoris Mobil  - 502000</v>
      </c>
      <c r="H50" s="426" t="str">
        <f>VLOOKUP($D50,'Tabel Map Industry'!$A$2:$H$464,8,0)</f>
        <v>Impor Bukan dlm.rangka Bantuan Luar Negeri - Suku Cadang Kend.Bermotor - 6231</v>
      </c>
    </row>
    <row r="51" spans="1:8" ht="75" customHeight="1" x14ac:dyDescent="0.25">
      <c r="A51" s="422" t="s">
        <v>6330</v>
      </c>
      <c r="B51" s="418" t="s">
        <v>6953</v>
      </c>
      <c r="C51" s="418" t="s">
        <v>6954</v>
      </c>
      <c r="D51" s="419" t="s">
        <v>4900</v>
      </c>
      <c r="E51" s="420" t="str">
        <f>VLOOKUP($D51,'Tabel Map Industry'!$A$2:$H$464,2,0)</f>
        <v>Industri Perlengkapan dan Komponen Kendaraan Bermotor Roda Empat Atau Lebih</v>
      </c>
      <c r="F51" s="421" t="str">
        <f>VLOOKUP($D51,'Tabel Map Industry'!$A$2:$H$464,3,0)</f>
        <v>AUTOMOTIVE &amp; COMPONENT</v>
      </c>
      <c r="G51" s="421" t="str">
        <f>VLOOKUP($D51,'Tabel Map Industry'!$A$2:$H$464,4,0)</f>
        <v>Industri Perlengkapan dan Komponen Kendaraan Bermotor Roda Empat Atau Lebih - 343000</v>
      </c>
      <c r="H51" s="421" t="str">
        <f>VLOOKUP($D51,'Tabel Map Industry'!$A$2:$H$464,8,0)</f>
        <v>Industri - Lainnya - 3990</v>
      </c>
    </row>
    <row r="52" spans="1:8" ht="75" customHeight="1" x14ac:dyDescent="0.25">
      <c r="A52" s="417" t="s">
        <v>6324</v>
      </c>
      <c r="B52" s="423" t="s">
        <v>6982</v>
      </c>
      <c r="C52" s="423" t="s">
        <v>6983</v>
      </c>
      <c r="D52" s="424" t="s">
        <v>4903</v>
      </c>
      <c r="E52" s="425" t="str">
        <f>VLOOKUP($D52,'Tabel Map Industry'!$A$2:$H$464,2,0)</f>
        <v xml:space="preserve">Penjualan Suku Cadang dan Aksesoris Mobil </v>
      </c>
      <c r="F52" s="426" t="str">
        <f>VLOOKUP($D52,'Tabel Map Industry'!$A$2:$H$464,3,0)</f>
        <v>AUTOMOTIVE &amp; COMPONENT</v>
      </c>
      <c r="G52" s="426" t="str">
        <f>VLOOKUP($D52,'Tabel Map Industry'!$A$2:$H$464,4,0)</f>
        <v>Penjualan Suku Cadang dan Aksesoris Mobil  - 502000</v>
      </c>
      <c r="H52" s="426" t="str">
        <f>VLOOKUP($D52,'Tabel Map Industry'!$A$2:$H$464,8,0)</f>
        <v>Impor Bukan dlm.rangka Bantuan Luar Negeri - Suku Cadang Kend.Bermotor - 6231</v>
      </c>
    </row>
    <row r="53" spans="1:8" ht="75" customHeight="1" x14ac:dyDescent="0.25">
      <c r="A53" s="422" t="s">
        <v>6330</v>
      </c>
      <c r="B53" s="418" t="s">
        <v>7025</v>
      </c>
      <c r="C53" s="418" t="s">
        <v>7026</v>
      </c>
      <c r="D53" s="419" t="s">
        <v>4903</v>
      </c>
      <c r="E53" s="420" t="str">
        <f>VLOOKUP($D53,'Tabel Map Industry'!$A$2:$H$464,2,0)</f>
        <v xml:space="preserve">Penjualan Suku Cadang dan Aksesoris Mobil </v>
      </c>
      <c r="F53" s="421" t="str">
        <f>VLOOKUP($D53,'Tabel Map Industry'!$A$2:$H$464,3,0)</f>
        <v>AUTOMOTIVE &amp; COMPONENT</v>
      </c>
      <c r="G53" s="421" t="str">
        <f>VLOOKUP($D53,'Tabel Map Industry'!$A$2:$H$464,4,0)</f>
        <v>Penjualan Suku Cadang dan Aksesoris Mobil  - 502000</v>
      </c>
      <c r="H53" s="421" t="str">
        <f>VLOOKUP($D53,'Tabel Map Industry'!$A$2:$H$464,8,0)</f>
        <v>Impor Bukan dlm.rangka Bantuan Luar Negeri - Suku Cadang Kend.Bermotor - 6231</v>
      </c>
    </row>
    <row r="54" spans="1:8" ht="75" customHeight="1" x14ac:dyDescent="0.25">
      <c r="A54" s="417" t="s">
        <v>6330</v>
      </c>
      <c r="B54" s="423" t="s">
        <v>6581</v>
      </c>
      <c r="C54" s="423" t="s">
        <v>7060</v>
      </c>
      <c r="D54" s="424" t="s">
        <v>4902</v>
      </c>
      <c r="E54" s="425" t="str">
        <f>VLOOKUP($D54,'Tabel Map Industry'!$A$2:$H$464,2,0)</f>
        <v>Penjualan Mobil</v>
      </c>
      <c r="F54" s="426" t="str">
        <f>VLOOKUP($D54,'Tabel Map Industry'!$A$2:$H$464,3,0)</f>
        <v>AUTOMOTIVE &amp; COMPONENT</v>
      </c>
      <c r="G54" s="426" t="str">
        <f>VLOOKUP($D54,'Tabel Map Industry'!$A$2:$H$464,4,0)</f>
        <v>Penjualan Mobil - 501000</v>
      </c>
      <c r="H54" s="426" t="str">
        <f>VLOOKUP($D54,'Tabel Map Industry'!$A$2:$H$464,8,0)</f>
        <v>Perdagangan Eceran - 6500</v>
      </c>
    </row>
    <row r="55" spans="1:8" ht="75" customHeight="1" x14ac:dyDescent="0.25">
      <c r="A55" s="422" t="s">
        <v>6330</v>
      </c>
      <c r="B55" s="418" t="s">
        <v>6883</v>
      </c>
      <c r="C55" s="418" t="s">
        <v>7063</v>
      </c>
      <c r="D55" s="419" t="s">
        <v>4905</v>
      </c>
      <c r="E55" s="420" t="str">
        <f>VLOOKUP($D55,'Tabel Map Industry'!$A$2:$H$464,2,0)</f>
        <v>Penjualan Suku Cadang dan Aksesoris Sepeda Motor</v>
      </c>
      <c r="F55" s="421" t="str">
        <f>VLOOKUP($D55,'Tabel Map Industry'!$A$2:$H$464,3,0)</f>
        <v>AUTOMOTIVE &amp; COMPONENT</v>
      </c>
      <c r="G55" s="421" t="str">
        <f>VLOOKUP($D55,'Tabel Map Industry'!$A$2:$H$464,4,0)</f>
        <v>Penjualan Suku Cadang dan Aksesoris Sepeda Motor - 503002</v>
      </c>
      <c r="H55" s="421" t="str">
        <f>VLOOKUP($D55,'Tabel Map Industry'!$A$2:$H$464,8,0)</f>
        <v>Impor Bukan dlm.rangka Bantuan Luar Negeri - Suku Cadang Kend.Bermotor - 6231</v>
      </c>
    </row>
    <row r="56" spans="1:8" ht="75" customHeight="1" x14ac:dyDescent="0.25">
      <c r="A56" s="417" t="s">
        <v>6330</v>
      </c>
      <c r="B56" s="423" t="s">
        <v>7070</v>
      </c>
      <c r="C56" s="423" t="s">
        <v>7071</v>
      </c>
      <c r="D56" s="424" t="s">
        <v>4903</v>
      </c>
      <c r="E56" s="425" t="str">
        <f>VLOOKUP($D56,'Tabel Map Industry'!$A$2:$H$464,2,0)</f>
        <v xml:space="preserve">Penjualan Suku Cadang dan Aksesoris Mobil </v>
      </c>
      <c r="F56" s="426" t="str">
        <f>VLOOKUP($D56,'Tabel Map Industry'!$A$2:$H$464,3,0)</f>
        <v>AUTOMOTIVE &amp; COMPONENT</v>
      </c>
      <c r="G56" s="426" t="str">
        <f>VLOOKUP($D56,'Tabel Map Industry'!$A$2:$H$464,4,0)</f>
        <v>Penjualan Suku Cadang dan Aksesoris Mobil  - 502000</v>
      </c>
      <c r="H56" s="426" t="str">
        <f>VLOOKUP($D56,'Tabel Map Industry'!$A$2:$H$464,8,0)</f>
        <v>Impor Bukan dlm.rangka Bantuan Luar Negeri - Suku Cadang Kend.Bermotor - 6231</v>
      </c>
    </row>
    <row r="57" spans="1:8" ht="75" customHeight="1" x14ac:dyDescent="0.25">
      <c r="A57" s="422" t="s">
        <v>6330</v>
      </c>
      <c r="B57" s="418" t="s">
        <v>6435</v>
      </c>
      <c r="C57" s="418" t="s">
        <v>7072</v>
      </c>
      <c r="D57" s="419" t="s">
        <v>4903</v>
      </c>
      <c r="E57" s="420" t="str">
        <f>VLOOKUP($D57,'Tabel Map Industry'!$A$2:$H$464,2,0)</f>
        <v xml:space="preserve">Penjualan Suku Cadang dan Aksesoris Mobil </v>
      </c>
      <c r="F57" s="421" t="str">
        <f>VLOOKUP($D57,'Tabel Map Industry'!$A$2:$H$464,3,0)</f>
        <v>AUTOMOTIVE &amp; COMPONENT</v>
      </c>
      <c r="G57" s="421" t="str">
        <f>VLOOKUP($D57,'Tabel Map Industry'!$A$2:$H$464,4,0)</f>
        <v>Penjualan Suku Cadang dan Aksesoris Mobil  - 502000</v>
      </c>
      <c r="H57" s="421" t="str">
        <f>VLOOKUP($D57,'Tabel Map Industry'!$A$2:$H$464,8,0)</f>
        <v>Impor Bukan dlm.rangka Bantuan Luar Negeri - Suku Cadang Kend.Bermotor - 6231</v>
      </c>
    </row>
    <row r="58" spans="1:8" ht="75" customHeight="1" x14ac:dyDescent="0.25">
      <c r="A58" s="417" t="s">
        <v>6330</v>
      </c>
      <c r="B58" s="423" t="s">
        <v>7074</v>
      </c>
      <c r="C58" s="423" t="s">
        <v>7075</v>
      </c>
      <c r="D58" s="424" t="s">
        <v>4903</v>
      </c>
      <c r="E58" s="425" t="str">
        <f>VLOOKUP($D58,'Tabel Map Industry'!$A$2:$H$464,2,0)</f>
        <v xml:space="preserve">Penjualan Suku Cadang dan Aksesoris Mobil </v>
      </c>
      <c r="F58" s="426" t="str">
        <f>VLOOKUP($D58,'Tabel Map Industry'!$A$2:$H$464,3,0)</f>
        <v>AUTOMOTIVE &amp; COMPONENT</v>
      </c>
      <c r="G58" s="426" t="str">
        <f>VLOOKUP($D58,'Tabel Map Industry'!$A$2:$H$464,4,0)</f>
        <v>Penjualan Suku Cadang dan Aksesoris Mobil  - 502000</v>
      </c>
      <c r="H58" s="426" t="str">
        <f>VLOOKUP($D58,'Tabel Map Industry'!$A$2:$H$464,8,0)</f>
        <v>Impor Bukan dlm.rangka Bantuan Luar Negeri - Suku Cadang Kend.Bermotor - 6231</v>
      </c>
    </row>
    <row r="59" spans="1:8" ht="75" customHeight="1" x14ac:dyDescent="0.25">
      <c r="A59" s="422" t="s">
        <v>6327</v>
      </c>
      <c r="B59" s="418" t="s">
        <v>7108</v>
      </c>
      <c r="C59" s="418" t="s">
        <v>7109</v>
      </c>
      <c r="D59" s="419" t="s">
        <v>4904</v>
      </c>
      <c r="E59" s="420" t="str">
        <f>VLOOKUP($D59,'Tabel Map Industry'!$A$2:$H$464,2,0)</f>
        <v>Penjualan Sepeda Motor</v>
      </c>
      <c r="F59" s="421" t="str">
        <f>VLOOKUP($D59,'Tabel Map Industry'!$A$2:$H$464,3,0)</f>
        <v>AUTOMOTIVE &amp; COMPONENT</v>
      </c>
      <c r="G59" s="421" t="str">
        <f>VLOOKUP($D59,'Tabel Map Industry'!$A$2:$H$464,4,0)</f>
        <v>Penjualan Sepeda Motor - 503001</v>
      </c>
      <c r="H59" s="421" t="str">
        <f>VLOOKUP($D59,'Tabel Map Industry'!$A$2:$H$464,8,0)</f>
        <v>Perdagangan Eceran - 6500</v>
      </c>
    </row>
    <row r="60" spans="1:8" ht="75" customHeight="1" x14ac:dyDescent="0.25">
      <c r="A60" s="417" t="s">
        <v>6330</v>
      </c>
      <c r="B60" s="423" t="s">
        <v>6330</v>
      </c>
      <c r="C60" s="423" t="s">
        <v>7145</v>
      </c>
      <c r="D60" s="424" t="s">
        <v>4902</v>
      </c>
      <c r="E60" s="425" t="str">
        <f>VLOOKUP($D60,'Tabel Map Industry'!$A$2:$H$464,2,0)</f>
        <v>Penjualan Mobil</v>
      </c>
      <c r="F60" s="426" t="str">
        <f>VLOOKUP($D60,'Tabel Map Industry'!$A$2:$H$464,3,0)</f>
        <v>AUTOMOTIVE &amp; COMPONENT</v>
      </c>
      <c r="G60" s="426" t="str">
        <f>VLOOKUP($D60,'Tabel Map Industry'!$A$2:$H$464,4,0)</f>
        <v>Penjualan Mobil - 501000</v>
      </c>
      <c r="H60" s="426" t="str">
        <f>VLOOKUP($D60,'Tabel Map Industry'!$A$2:$H$464,8,0)</f>
        <v>Perdagangan Eceran - 6500</v>
      </c>
    </row>
    <row r="61" spans="1:8" ht="75" customHeight="1" x14ac:dyDescent="0.25">
      <c r="A61" s="422" t="s">
        <v>6327</v>
      </c>
      <c r="B61" s="418" t="str">
        <f>PROPER(F61)</f>
        <v>Automotive &amp; Component</v>
      </c>
      <c r="C61" s="418" t="str">
        <f>E61</f>
        <v>Industri Perlengkapan dan Komponen Kendaraan Bermotor Roda Empat Atau Lebih</v>
      </c>
      <c r="D61" s="419" t="s">
        <v>4900</v>
      </c>
      <c r="E61" s="420" t="str">
        <f>VLOOKUP($D61,'Tabel Map Industry'!$A$2:$H$464,2,0)</f>
        <v>Industri Perlengkapan dan Komponen Kendaraan Bermotor Roda Empat Atau Lebih</v>
      </c>
      <c r="F61" s="421" t="str">
        <f>VLOOKUP($D61,'Tabel Map Industry'!$A$2:$H$464,3,0)</f>
        <v>AUTOMOTIVE &amp; COMPONENT</v>
      </c>
      <c r="G61" s="421" t="str">
        <f>VLOOKUP($D61,'Tabel Map Industry'!$A$2:$H$464,4,0)</f>
        <v>Industri Perlengkapan dan Komponen Kendaraan Bermotor Roda Empat Atau Lebih - 343000</v>
      </c>
      <c r="H61" s="421" t="str">
        <f>VLOOKUP($D61,'Tabel Map Industry'!$A$2:$H$464,8,0)</f>
        <v>Industri - Lainnya - 3990</v>
      </c>
    </row>
    <row r="62" spans="1:8" ht="75" customHeight="1" x14ac:dyDescent="0.25">
      <c r="A62" s="417" t="s">
        <v>6324</v>
      </c>
      <c r="B62" s="423" t="str">
        <f>PROPER(F62)</f>
        <v>Automotive &amp; Component</v>
      </c>
      <c r="C62" s="423" t="str">
        <f>E62</f>
        <v>Penjualan Mobil</v>
      </c>
      <c r="D62" s="424" t="s">
        <v>4902</v>
      </c>
      <c r="E62" s="425" t="str">
        <f>VLOOKUP($D62,'Tabel Map Industry'!$A$2:$H$464,2,0)</f>
        <v>Penjualan Mobil</v>
      </c>
      <c r="F62" s="426" t="str">
        <f>VLOOKUP($D62,'Tabel Map Industry'!$A$2:$H$464,3,0)</f>
        <v>AUTOMOTIVE &amp; COMPONENT</v>
      </c>
      <c r="G62" s="426" t="str">
        <f>VLOOKUP($D62,'Tabel Map Industry'!$A$2:$H$464,4,0)</f>
        <v>Penjualan Mobil - 501000</v>
      </c>
      <c r="H62" s="426" t="str">
        <f>VLOOKUP($D62,'Tabel Map Industry'!$A$2:$H$464,8,0)</f>
        <v>Perdagangan Eceran - 6500</v>
      </c>
    </row>
    <row r="63" spans="1:8" ht="75" customHeight="1" x14ac:dyDescent="0.25">
      <c r="A63" s="422" t="s">
        <v>6330</v>
      </c>
      <c r="B63" s="418" t="str">
        <f>PROPER(F63)</f>
        <v>Automotive &amp; Component</v>
      </c>
      <c r="C63" s="418" t="str">
        <f>E63</f>
        <v xml:space="preserve">Penjualan Suku Cadang dan Aksesoris Mobil </v>
      </c>
      <c r="D63" s="419" t="s">
        <v>4903</v>
      </c>
      <c r="E63" s="420" t="str">
        <f>VLOOKUP($D63,'Tabel Map Industry'!$A$2:$H$464,2,0)</f>
        <v xml:space="preserve">Penjualan Suku Cadang dan Aksesoris Mobil </v>
      </c>
      <c r="F63" s="421" t="str">
        <f>VLOOKUP($D63,'Tabel Map Industry'!$A$2:$H$464,3,0)</f>
        <v>AUTOMOTIVE &amp; COMPONENT</v>
      </c>
      <c r="G63" s="421" t="str">
        <f>VLOOKUP($D63,'Tabel Map Industry'!$A$2:$H$464,4,0)</f>
        <v>Penjualan Suku Cadang dan Aksesoris Mobil  - 502000</v>
      </c>
      <c r="H63" s="421" t="str">
        <f>VLOOKUP($D63,'Tabel Map Industry'!$A$2:$H$464,8,0)</f>
        <v>Impor Bukan dlm.rangka Bantuan Luar Negeri - Suku Cadang Kend.Bermotor - 6231</v>
      </c>
    </row>
    <row r="64" spans="1:8" ht="75" customHeight="1" x14ac:dyDescent="0.25">
      <c r="A64" s="417" t="s">
        <v>6327</v>
      </c>
      <c r="B64" s="423" t="str">
        <f>PROPER(F64)</f>
        <v>Automotive &amp; Component</v>
      </c>
      <c r="C64" s="423" t="str">
        <f>E64</f>
        <v>Penjualan Sepeda Motor</v>
      </c>
      <c r="D64" s="424" t="s">
        <v>4904</v>
      </c>
      <c r="E64" s="425" t="str">
        <f>VLOOKUP($D64,'Tabel Map Industry'!$A$2:$H$464,2,0)</f>
        <v>Penjualan Sepeda Motor</v>
      </c>
      <c r="F64" s="426" t="str">
        <f>VLOOKUP($D64,'Tabel Map Industry'!$A$2:$H$464,3,0)</f>
        <v>AUTOMOTIVE &amp; COMPONENT</v>
      </c>
      <c r="G64" s="426" t="str">
        <f>VLOOKUP($D64,'Tabel Map Industry'!$A$2:$H$464,4,0)</f>
        <v>Penjualan Sepeda Motor - 503001</v>
      </c>
      <c r="H64" s="426" t="str">
        <f>VLOOKUP($D64,'Tabel Map Industry'!$A$2:$H$464,8,0)</f>
        <v>Perdagangan Eceran - 6500</v>
      </c>
    </row>
    <row r="65" spans="1:8" ht="75" customHeight="1" x14ac:dyDescent="0.25">
      <c r="A65" s="422" t="s">
        <v>6327</v>
      </c>
      <c r="B65" s="418" t="str">
        <f>PROPER(F65)</f>
        <v>Automotive &amp; Component</v>
      </c>
      <c r="C65" s="418" t="str">
        <f>E65</f>
        <v>Penjualan Suku Cadang dan Aksesoris Sepeda Motor</v>
      </c>
      <c r="D65" s="419" t="s">
        <v>4905</v>
      </c>
      <c r="E65" s="420" t="str">
        <f>VLOOKUP($D65,'Tabel Map Industry'!$A$2:$H$464,2,0)</f>
        <v>Penjualan Suku Cadang dan Aksesoris Sepeda Motor</v>
      </c>
      <c r="F65" s="421" t="str">
        <f>VLOOKUP($D65,'Tabel Map Industry'!$A$2:$H$464,3,0)</f>
        <v>AUTOMOTIVE &amp; COMPONENT</v>
      </c>
      <c r="G65" s="421" t="str">
        <f>VLOOKUP($D65,'Tabel Map Industry'!$A$2:$H$464,4,0)</f>
        <v>Penjualan Suku Cadang dan Aksesoris Sepeda Motor - 503002</v>
      </c>
      <c r="H65" s="421" t="str">
        <f>VLOOKUP($D65,'Tabel Map Industry'!$A$2:$H$464,8,0)</f>
        <v>Impor Bukan dlm.rangka Bantuan Luar Negeri - Suku Cadang Kend.Bermotor - 6231</v>
      </c>
    </row>
    <row r="66" spans="1:8" ht="75" hidden="1" customHeight="1" x14ac:dyDescent="0.25">
      <c r="A66" s="417" t="s">
        <v>6330</v>
      </c>
      <c r="B66" s="423" t="s">
        <v>6358</v>
      </c>
      <c r="C66" s="423" t="s">
        <v>6358</v>
      </c>
      <c r="D66" s="424" t="s">
        <v>5076</v>
      </c>
      <c r="E66" s="425" t="str">
        <f>VLOOKUP($D66,'Tabel Map Industry'!$A$2:$H$464,2,0)</f>
        <v xml:space="preserve">Perdagangan Eceran Bahan Konstruksi </v>
      </c>
      <c r="F66" s="426" t="str">
        <f>VLOOKUP($D66,'Tabel Map Industry'!$A$2:$H$464,3,0)</f>
        <v>BUILDING MATERIAL</v>
      </c>
      <c r="G66" s="426" t="str">
        <f>VLOOKUP($D66,'Tabel Map Industry'!$A$2:$H$464,4,0)</f>
        <v>Perdagangan Eceran Bahan Konstruksi  - 523400</v>
      </c>
      <c r="H66" s="426" t="str">
        <f>VLOOKUP($D66,'Tabel Map Industry'!$A$2:$H$464,8,0)</f>
        <v>Perdagangan Eceran - 6500</v>
      </c>
    </row>
    <row r="67" spans="1:8" ht="75" hidden="1" customHeight="1" x14ac:dyDescent="0.25">
      <c r="A67" s="422" t="s">
        <v>6330</v>
      </c>
      <c r="B67" s="418" t="s">
        <v>6365</v>
      </c>
      <c r="C67" s="418" t="s">
        <v>6366</v>
      </c>
      <c r="D67" s="419" t="s">
        <v>5076</v>
      </c>
      <c r="E67" s="420" t="str">
        <f>VLOOKUP($D67,'Tabel Map Industry'!$A$2:$H$464,2,0)</f>
        <v xml:space="preserve">Perdagangan Eceran Bahan Konstruksi </v>
      </c>
      <c r="F67" s="421" t="str">
        <f>VLOOKUP($D67,'Tabel Map Industry'!$A$2:$H$464,3,0)</f>
        <v>BUILDING MATERIAL</v>
      </c>
      <c r="G67" s="421" t="str">
        <f>VLOOKUP($D67,'Tabel Map Industry'!$A$2:$H$464,4,0)</f>
        <v>Perdagangan Eceran Bahan Konstruksi  - 523400</v>
      </c>
      <c r="H67" s="421" t="str">
        <f>VLOOKUP($D67,'Tabel Map Industry'!$A$2:$H$464,8,0)</f>
        <v>Perdagangan Eceran - 6500</v>
      </c>
    </row>
    <row r="68" spans="1:8" ht="75" hidden="1" customHeight="1" x14ac:dyDescent="0.25">
      <c r="A68" s="417" t="s">
        <v>6330</v>
      </c>
      <c r="B68" s="423" t="s">
        <v>6330</v>
      </c>
      <c r="C68" s="423" t="s">
        <v>6373</v>
      </c>
      <c r="D68" s="424" t="s">
        <v>5076</v>
      </c>
      <c r="E68" s="425" t="str">
        <f>VLOOKUP($D68,'Tabel Map Industry'!$A$2:$H$464,2,0)</f>
        <v xml:space="preserve">Perdagangan Eceran Bahan Konstruksi </v>
      </c>
      <c r="F68" s="426" t="str">
        <f>VLOOKUP($D68,'Tabel Map Industry'!$A$2:$H$464,3,0)</f>
        <v>BUILDING MATERIAL</v>
      </c>
      <c r="G68" s="426" t="str">
        <f>VLOOKUP($D68,'Tabel Map Industry'!$A$2:$H$464,4,0)</f>
        <v>Perdagangan Eceran Bahan Konstruksi  - 523400</v>
      </c>
      <c r="H68" s="426" t="str">
        <f>VLOOKUP($D68,'Tabel Map Industry'!$A$2:$H$464,8,0)</f>
        <v>Perdagangan Eceran - 6500</v>
      </c>
    </row>
    <row r="69" spans="1:8" ht="75" hidden="1" customHeight="1" x14ac:dyDescent="0.25">
      <c r="A69" s="422" t="s">
        <v>6327</v>
      </c>
      <c r="B69" s="418" t="s">
        <v>6479</v>
      </c>
      <c r="C69" s="418" t="s">
        <v>6480</v>
      </c>
      <c r="D69" s="419" t="s">
        <v>5076</v>
      </c>
      <c r="E69" s="420" t="str">
        <f>VLOOKUP($D69,'Tabel Map Industry'!$A$2:$H$464,2,0)</f>
        <v xml:space="preserve">Perdagangan Eceran Bahan Konstruksi </v>
      </c>
      <c r="F69" s="421" t="str">
        <f>VLOOKUP($D69,'Tabel Map Industry'!$A$2:$H$464,3,0)</f>
        <v>BUILDING MATERIAL</v>
      </c>
      <c r="G69" s="421" t="str">
        <f>VLOOKUP($D69,'Tabel Map Industry'!$A$2:$H$464,4,0)</f>
        <v>Perdagangan Eceran Bahan Konstruksi  - 523400</v>
      </c>
      <c r="H69" s="421" t="str">
        <f>VLOOKUP($D69,'Tabel Map Industry'!$A$2:$H$464,8,0)</f>
        <v>Perdagangan Eceran - 6500</v>
      </c>
    </row>
    <row r="70" spans="1:8" ht="75" hidden="1" customHeight="1" x14ac:dyDescent="0.25">
      <c r="A70" s="417" t="s">
        <v>6330</v>
      </c>
      <c r="B70" s="423" t="s">
        <v>6483</v>
      </c>
      <c r="C70" s="423" t="s">
        <v>6483</v>
      </c>
      <c r="D70" s="424" t="s">
        <v>5076</v>
      </c>
      <c r="E70" s="425" t="str">
        <f>VLOOKUP($D70,'Tabel Map Industry'!$A$2:$H$464,2,0)</f>
        <v xml:space="preserve">Perdagangan Eceran Bahan Konstruksi </v>
      </c>
      <c r="F70" s="426" t="str">
        <f>VLOOKUP($D70,'Tabel Map Industry'!$A$2:$H$464,3,0)</f>
        <v>BUILDING MATERIAL</v>
      </c>
      <c r="G70" s="426" t="str">
        <f>VLOOKUP($D70,'Tabel Map Industry'!$A$2:$H$464,4,0)</f>
        <v>Perdagangan Eceran Bahan Konstruksi  - 523400</v>
      </c>
      <c r="H70" s="426" t="str">
        <f>VLOOKUP($D70,'Tabel Map Industry'!$A$2:$H$464,8,0)</f>
        <v>Perdagangan Eceran - 6500</v>
      </c>
    </row>
    <row r="71" spans="1:8" ht="75" hidden="1" customHeight="1" x14ac:dyDescent="0.25">
      <c r="A71" s="422" t="s">
        <v>6330</v>
      </c>
      <c r="B71" s="418" t="s">
        <v>6330</v>
      </c>
      <c r="C71" s="418" t="s">
        <v>6494</v>
      </c>
      <c r="D71" s="419" t="s">
        <v>5076</v>
      </c>
      <c r="E71" s="420" t="str">
        <f>VLOOKUP($D71,'Tabel Map Industry'!$A$2:$H$464,2,0)</f>
        <v xml:space="preserve">Perdagangan Eceran Bahan Konstruksi </v>
      </c>
      <c r="F71" s="421" t="str">
        <f>VLOOKUP($D71,'Tabel Map Industry'!$A$2:$H$464,3,0)</f>
        <v>BUILDING MATERIAL</v>
      </c>
      <c r="G71" s="421" t="str">
        <f>VLOOKUP($D71,'Tabel Map Industry'!$A$2:$H$464,4,0)</f>
        <v>Perdagangan Eceran Bahan Konstruksi  - 523400</v>
      </c>
      <c r="H71" s="421" t="str">
        <f>VLOOKUP($D71,'Tabel Map Industry'!$A$2:$H$464,8,0)</f>
        <v>Perdagangan Eceran - 6500</v>
      </c>
    </row>
    <row r="72" spans="1:8" ht="75" hidden="1" customHeight="1" x14ac:dyDescent="0.25">
      <c r="A72" s="417" t="s">
        <v>6327</v>
      </c>
      <c r="B72" s="423" t="s">
        <v>6502</v>
      </c>
      <c r="C72" s="423" t="s">
        <v>6503</v>
      </c>
      <c r="D72" s="424" t="s">
        <v>5076</v>
      </c>
      <c r="E72" s="425" t="str">
        <f>VLOOKUP($D72,'Tabel Map Industry'!$A$2:$H$464,2,0)</f>
        <v xml:space="preserve">Perdagangan Eceran Bahan Konstruksi </v>
      </c>
      <c r="F72" s="426" t="str">
        <f>VLOOKUP($D72,'Tabel Map Industry'!$A$2:$H$464,3,0)</f>
        <v>BUILDING MATERIAL</v>
      </c>
      <c r="G72" s="426" t="str">
        <f>VLOOKUP($D72,'Tabel Map Industry'!$A$2:$H$464,4,0)</f>
        <v>Perdagangan Eceran Bahan Konstruksi  - 523400</v>
      </c>
      <c r="H72" s="426" t="str">
        <f>VLOOKUP($D72,'Tabel Map Industry'!$A$2:$H$464,8,0)</f>
        <v>Perdagangan Eceran - 6500</v>
      </c>
    </row>
    <row r="73" spans="1:8" ht="75" hidden="1" customHeight="1" x14ac:dyDescent="0.25">
      <c r="A73" s="422" t="s">
        <v>6324</v>
      </c>
      <c r="B73" s="418" t="s">
        <v>6508</v>
      </c>
      <c r="C73" s="418" t="s">
        <v>6509</v>
      </c>
      <c r="D73" s="419" t="s">
        <v>5076</v>
      </c>
      <c r="E73" s="420" t="str">
        <f>VLOOKUP($D73,'Tabel Map Industry'!$A$2:$H$464,2,0)</f>
        <v xml:space="preserve">Perdagangan Eceran Bahan Konstruksi </v>
      </c>
      <c r="F73" s="421" t="str">
        <f>VLOOKUP($D73,'Tabel Map Industry'!$A$2:$H$464,3,0)</f>
        <v>BUILDING MATERIAL</v>
      </c>
      <c r="G73" s="421" t="str">
        <f>VLOOKUP($D73,'Tabel Map Industry'!$A$2:$H$464,4,0)</f>
        <v>Perdagangan Eceran Bahan Konstruksi  - 523400</v>
      </c>
      <c r="H73" s="421" t="str">
        <f>VLOOKUP($D73,'Tabel Map Industry'!$A$2:$H$464,8,0)</f>
        <v>Perdagangan Eceran - 6500</v>
      </c>
    </row>
    <row r="74" spans="1:8" ht="75" hidden="1" customHeight="1" x14ac:dyDescent="0.25">
      <c r="A74" s="417" t="s">
        <v>6330</v>
      </c>
      <c r="B74" s="423" t="s">
        <v>6330</v>
      </c>
      <c r="C74" s="423" t="s">
        <v>6510</v>
      </c>
      <c r="D74" s="424" t="s">
        <v>5076</v>
      </c>
      <c r="E74" s="425" t="str">
        <f>VLOOKUP($D74,'Tabel Map Industry'!$A$2:$H$464,2,0)</f>
        <v xml:space="preserve">Perdagangan Eceran Bahan Konstruksi </v>
      </c>
      <c r="F74" s="426" t="str">
        <f>VLOOKUP($D74,'Tabel Map Industry'!$A$2:$H$464,3,0)</f>
        <v>BUILDING MATERIAL</v>
      </c>
      <c r="G74" s="426" t="str">
        <f>VLOOKUP($D74,'Tabel Map Industry'!$A$2:$H$464,4,0)</f>
        <v>Perdagangan Eceran Bahan Konstruksi  - 523400</v>
      </c>
      <c r="H74" s="426" t="str">
        <f>VLOOKUP($D74,'Tabel Map Industry'!$A$2:$H$464,8,0)</f>
        <v>Perdagangan Eceran - 6500</v>
      </c>
    </row>
    <row r="75" spans="1:8" ht="75" hidden="1" customHeight="1" x14ac:dyDescent="0.25">
      <c r="A75" s="422" t="s">
        <v>6330</v>
      </c>
      <c r="B75" s="418" t="s">
        <v>6367</v>
      </c>
      <c r="C75" s="418" t="s">
        <v>6531</v>
      </c>
      <c r="D75" s="419" t="s">
        <v>5076</v>
      </c>
      <c r="E75" s="420" t="str">
        <f>VLOOKUP($D75,'Tabel Map Industry'!$A$2:$H$464,2,0)</f>
        <v xml:space="preserve">Perdagangan Eceran Bahan Konstruksi </v>
      </c>
      <c r="F75" s="421" t="str">
        <f>VLOOKUP($D75,'Tabel Map Industry'!$A$2:$H$464,3,0)</f>
        <v>BUILDING MATERIAL</v>
      </c>
      <c r="G75" s="421" t="str">
        <f>VLOOKUP($D75,'Tabel Map Industry'!$A$2:$H$464,4,0)</f>
        <v>Perdagangan Eceran Bahan Konstruksi  - 523400</v>
      </c>
      <c r="H75" s="421" t="str">
        <f>VLOOKUP($D75,'Tabel Map Industry'!$A$2:$H$464,8,0)</f>
        <v>Perdagangan Eceran - 6500</v>
      </c>
    </row>
    <row r="76" spans="1:8" ht="75" hidden="1" customHeight="1" x14ac:dyDescent="0.25">
      <c r="A76" s="417" t="s">
        <v>6330</v>
      </c>
      <c r="B76" s="423" t="s">
        <v>6534</v>
      </c>
      <c r="C76" s="423" t="s">
        <v>6535</v>
      </c>
      <c r="D76" s="424" t="s">
        <v>5076</v>
      </c>
      <c r="E76" s="425" t="str">
        <f>VLOOKUP($D76,'Tabel Map Industry'!$A$2:$H$464,2,0)</f>
        <v xml:space="preserve">Perdagangan Eceran Bahan Konstruksi </v>
      </c>
      <c r="F76" s="426" t="str">
        <f>VLOOKUP($D76,'Tabel Map Industry'!$A$2:$H$464,3,0)</f>
        <v>BUILDING MATERIAL</v>
      </c>
      <c r="G76" s="426" t="str">
        <f>VLOOKUP($D76,'Tabel Map Industry'!$A$2:$H$464,4,0)</f>
        <v>Perdagangan Eceran Bahan Konstruksi  - 523400</v>
      </c>
      <c r="H76" s="426" t="str">
        <f>VLOOKUP($D76,'Tabel Map Industry'!$A$2:$H$464,8,0)</f>
        <v>Perdagangan Eceran - 6500</v>
      </c>
    </row>
    <row r="77" spans="1:8" ht="75" hidden="1" customHeight="1" x14ac:dyDescent="0.25">
      <c r="A77" s="422" t="s">
        <v>6330</v>
      </c>
      <c r="B77" s="418" t="s">
        <v>6538</v>
      </c>
      <c r="C77" s="418" t="s">
        <v>6539</v>
      </c>
      <c r="D77" s="419" t="s">
        <v>5076</v>
      </c>
      <c r="E77" s="420" t="str">
        <f>VLOOKUP($D77,'Tabel Map Industry'!$A$2:$H$464,2,0)</f>
        <v xml:space="preserve">Perdagangan Eceran Bahan Konstruksi </v>
      </c>
      <c r="F77" s="421" t="str">
        <f>VLOOKUP($D77,'Tabel Map Industry'!$A$2:$H$464,3,0)</f>
        <v>BUILDING MATERIAL</v>
      </c>
      <c r="G77" s="421" t="str">
        <f>VLOOKUP($D77,'Tabel Map Industry'!$A$2:$H$464,4,0)</f>
        <v>Perdagangan Eceran Bahan Konstruksi  - 523400</v>
      </c>
      <c r="H77" s="421" t="str">
        <f>VLOOKUP($D77,'Tabel Map Industry'!$A$2:$H$464,8,0)</f>
        <v>Perdagangan Eceran - 6500</v>
      </c>
    </row>
    <row r="78" spans="1:8" ht="75" hidden="1" customHeight="1" x14ac:dyDescent="0.25">
      <c r="A78" s="417" t="s">
        <v>6324</v>
      </c>
      <c r="B78" s="423" t="s">
        <v>6548</v>
      </c>
      <c r="C78" s="423" t="s">
        <v>6549</v>
      </c>
      <c r="D78" s="424" t="s">
        <v>5076</v>
      </c>
      <c r="E78" s="425" t="str">
        <f>VLOOKUP($D78,'Tabel Map Industry'!$A$2:$H$464,2,0)</f>
        <v xml:space="preserve">Perdagangan Eceran Bahan Konstruksi </v>
      </c>
      <c r="F78" s="426" t="str">
        <f>VLOOKUP($D78,'Tabel Map Industry'!$A$2:$H$464,3,0)</f>
        <v>BUILDING MATERIAL</v>
      </c>
      <c r="G78" s="426" t="str">
        <f>VLOOKUP($D78,'Tabel Map Industry'!$A$2:$H$464,4,0)</f>
        <v>Perdagangan Eceran Bahan Konstruksi  - 523400</v>
      </c>
      <c r="H78" s="426" t="str">
        <f>VLOOKUP($D78,'Tabel Map Industry'!$A$2:$H$464,8,0)</f>
        <v>Perdagangan Eceran - 6500</v>
      </c>
    </row>
    <row r="79" spans="1:8" ht="75" hidden="1" customHeight="1" x14ac:dyDescent="0.25">
      <c r="A79" s="422" t="s">
        <v>6330</v>
      </c>
      <c r="B79" s="418" t="s">
        <v>6330</v>
      </c>
      <c r="C79" s="418" t="s">
        <v>6561</v>
      </c>
      <c r="D79" s="419" t="s">
        <v>5076</v>
      </c>
      <c r="E79" s="420" t="str">
        <f>VLOOKUP($D79,'Tabel Map Industry'!$A$2:$H$464,2,0)</f>
        <v xml:space="preserve">Perdagangan Eceran Bahan Konstruksi </v>
      </c>
      <c r="F79" s="421" t="str">
        <f>VLOOKUP($D79,'Tabel Map Industry'!$A$2:$H$464,3,0)</f>
        <v>BUILDING MATERIAL</v>
      </c>
      <c r="G79" s="421" t="str">
        <f>VLOOKUP($D79,'Tabel Map Industry'!$A$2:$H$464,4,0)</f>
        <v>Perdagangan Eceran Bahan Konstruksi  - 523400</v>
      </c>
      <c r="H79" s="421" t="str">
        <f>VLOOKUP($D79,'Tabel Map Industry'!$A$2:$H$464,8,0)</f>
        <v>Perdagangan Eceran - 6500</v>
      </c>
    </row>
    <row r="80" spans="1:8" ht="75" hidden="1" customHeight="1" x14ac:dyDescent="0.25">
      <c r="A80" s="417" t="s">
        <v>6330</v>
      </c>
      <c r="B80" s="423" t="s">
        <v>6581</v>
      </c>
      <c r="C80" s="423" t="s">
        <v>6582</v>
      </c>
      <c r="D80" s="424" t="s">
        <v>5071</v>
      </c>
      <c r="E80" s="425" t="str">
        <f>VLOOKUP($D80,'Tabel Map Industry'!$A$2:$H$464,2,0)</f>
        <v>Perdagangan Dalam Negeri Semen</v>
      </c>
      <c r="F80" s="426" t="str">
        <f>VLOOKUP($D80,'Tabel Map Industry'!$A$2:$H$464,3,0)</f>
        <v>BUILDING MATERIAL</v>
      </c>
      <c r="G80" s="426" t="str">
        <f>VLOOKUP($D80,'Tabel Map Industry'!$A$2:$H$464,4,0)</f>
        <v>Perdagangan Dalam Negeri Semen - 514301</v>
      </c>
      <c r="H80" s="426" t="str">
        <f>VLOOKUP($D80,'Tabel Map Industry'!$A$2:$H$464,8,0)</f>
        <v>Distribusi Semen - 6411</v>
      </c>
    </row>
    <row r="81" spans="1:8" ht="75" hidden="1" customHeight="1" x14ac:dyDescent="0.25">
      <c r="A81" s="422" t="s">
        <v>6330</v>
      </c>
      <c r="B81" s="418" t="s">
        <v>6599</v>
      </c>
      <c r="C81" s="418" t="s">
        <v>6502</v>
      </c>
      <c r="D81" s="419" t="s">
        <v>5076</v>
      </c>
      <c r="E81" s="420" t="str">
        <f>VLOOKUP($D81,'Tabel Map Industry'!$A$2:$H$464,2,0)</f>
        <v xml:space="preserve">Perdagangan Eceran Bahan Konstruksi </v>
      </c>
      <c r="F81" s="421" t="str">
        <f>VLOOKUP($D81,'Tabel Map Industry'!$A$2:$H$464,3,0)</f>
        <v>BUILDING MATERIAL</v>
      </c>
      <c r="G81" s="421" t="str">
        <f>VLOOKUP($D81,'Tabel Map Industry'!$A$2:$H$464,4,0)</f>
        <v>Perdagangan Eceran Bahan Konstruksi  - 523400</v>
      </c>
      <c r="H81" s="421" t="str">
        <f>VLOOKUP($D81,'Tabel Map Industry'!$A$2:$H$464,8,0)</f>
        <v>Perdagangan Eceran - 6500</v>
      </c>
    </row>
    <row r="82" spans="1:8" ht="75" hidden="1" customHeight="1" x14ac:dyDescent="0.25">
      <c r="A82" s="417" t="s">
        <v>6324</v>
      </c>
      <c r="B82" s="423" t="s">
        <v>6601</v>
      </c>
      <c r="C82" s="423" t="s">
        <v>6602</v>
      </c>
      <c r="D82" s="424" t="s">
        <v>5076</v>
      </c>
      <c r="E82" s="425" t="str">
        <f>VLOOKUP($D82,'Tabel Map Industry'!$A$2:$H$464,2,0)</f>
        <v xml:space="preserve">Perdagangan Eceran Bahan Konstruksi </v>
      </c>
      <c r="F82" s="426" t="str">
        <f>VLOOKUP($D82,'Tabel Map Industry'!$A$2:$H$464,3,0)</f>
        <v>BUILDING MATERIAL</v>
      </c>
      <c r="G82" s="426" t="str">
        <f>VLOOKUP($D82,'Tabel Map Industry'!$A$2:$H$464,4,0)</f>
        <v>Perdagangan Eceran Bahan Konstruksi  - 523400</v>
      </c>
      <c r="H82" s="426" t="str">
        <f>VLOOKUP($D82,'Tabel Map Industry'!$A$2:$H$464,8,0)</f>
        <v>Perdagangan Eceran - 6500</v>
      </c>
    </row>
    <row r="83" spans="1:8" ht="75" hidden="1" customHeight="1" x14ac:dyDescent="0.25">
      <c r="A83" s="422" t="s">
        <v>6330</v>
      </c>
      <c r="B83" s="418" t="s">
        <v>6502</v>
      </c>
      <c r="C83" s="418" t="s">
        <v>6603</v>
      </c>
      <c r="D83" s="419" t="s">
        <v>5076</v>
      </c>
      <c r="E83" s="420" t="str">
        <f>VLOOKUP($D83,'Tabel Map Industry'!$A$2:$H$464,2,0)</f>
        <v xml:space="preserve">Perdagangan Eceran Bahan Konstruksi </v>
      </c>
      <c r="F83" s="421" t="str">
        <f>VLOOKUP($D83,'Tabel Map Industry'!$A$2:$H$464,3,0)</f>
        <v>BUILDING MATERIAL</v>
      </c>
      <c r="G83" s="421" t="str">
        <f>VLOOKUP($D83,'Tabel Map Industry'!$A$2:$H$464,4,0)</f>
        <v>Perdagangan Eceran Bahan Konstruksi  - 523400</v>
      </c>
      <c r="H83" s="421" t="str">
        <f>VLOOKUP($D83,'Tabel Map Industry'!$A$2:$H$464,8,0)</f>
        <v>Perdagangan Eceran - 6500</v>
      </c>
    </row>
    <row r="84" spans="1:8" ht="75" hidden="1" customHeight="1" x14ac:dyDescent="0.25">
      <c r="A84" s="417" t="s">
        <v>6330</v>
      </c>
      <c r="B84" s="423" t="s">
        <v>6581</v>
      </c>
      <c r="C84" s="423" t="s">
        <v>6609</v>
      </c>
      <c r="D84" s="424" t="s">
        <v>5076</v>
      </c>
      <c r="E84" s="425" t="str">
        <f>VLOOKUP($D84,'Tabel Map Industry'!$A$2:$H$464,2,0)</f>
        <v xml:space="preserve">Perdagangan Eceran Bahan Konstruksi </v>
      </c>
      <c r="F84" s="426" t="str">
        <f>VLOOKUP($D84,'Tabel Map Industry'!$A$2:$H$464,3,0)</f>
        <v>BUILDING MATERIAL</v>
      </c>
      <c r="G84" s="426" t="str">
        <f>VLOOKUP($D84,'Tabel Map Industry'!$A$2:$H$464,4,0)</f>
        <v>Perdagangan Eceran Bahan Konstruksi  - 523400</v>
      </c>
      <c r="H84" s="426" t="str">
        <f>VLOOKUP($D84,'Tabel Map Industry'!$A$2:$H$464,8,0)</f>
        <v>Perdagangan Eceran - 6500</v>
      </c>
    </row>
    <row r="85" spans="1:8" ht="75" hidden="1" customHeight="1" x14ac:dyDescent="0.25">
      <c r="A85" s="422" t="s">
        <v>6330</v>
      </c>
      <c r="B85" s="418" t="s">
        <v>6617</v>
      </c>
      <c r="C85" s="418" t="s">
        <v>6618</v>
      </c>
      <c r="D85" s="419" t="s">
        <v>5076</v>
      </c>
      <c r="E85" s="420" t="str">
        <f>VLOOKUP($D85,'Tabel Map Industry'!$A$2:$H$464,2,0)</f>
        <v xml:space="preserve">Perdagangan Eceran Bahan Konstruksi </v>
      </c>
      <c r="F85" s="421" t="str">
        <f>VLOOKUP($D85,'Tabel Map Industry'!$A$2:$H$464,3,0)</f>
        <v>BUILDING MATERIAL</v>
      </c>
      <c r="G85" s="421" t="str">
        <f>VLOOKUP($D85,'Tabel Map Industry'!$A$2:$H$464,4,0)</f>
        <v>Perdagangan Eceran Bahan Konstruksi  - 523400</v>
      </c>
      <c r="H85" s="421" t="str">
        <f>VLOOKUP($D85,'Tabel Map Industry'!$A$2:$H$464,8,0)</f>
        <v>Perdagangan Eceran - 6500</v>
      </c>
    </row>
    <row r="86" spans="1:8" ht="75" hidden="1" customHeight="1" x14ac:dyDescent="0.25">
      <c r="A86" s="417" t="s">
        <v>6324</v>
      </c>
      <c r="B86" s="423" t="s">
        <v>6622</v>
      </c>
      <c r="C86" s="423" t="s">
        <v>6622</v>
      </c>
      <c r="D86" s="424" t="s">
        <v>5076</v>
      </c>
      <c r="E86" s="425" t="str">
        <f>VLOOKUP($D86,'Tabel Map Industry'!$A$2:$H$464,2,0)</f>
        <v xml:space="preserve">Perdagangan Eceran Bahan Konstruksi </v>
      </c>
      <c r="F86" s="426" t="str">
        <f>VLOOKUP($D86,'Tabel Map Industry'!$A$2:$H$464,3,0)</f>
        <v>BUILDING MATERIAL</v>
      </c>
      <c r="G86" s="426" t="str">
        <f>VLOOKUP($D86,'Tabel Map Industry'!$A$2:$H$464,4,0)</f>
        <v>Perdagangan Eceran Bahan Konstruksi  - 523400</v>
      </c>
      <c r="H86" s="426" t="str">
        <f>VLOOKUP($D86,'Tabel Map Industry'!$A$2:$H$464,8,0)</f>
        <v>Perdagangan Eceran - 6500</v>
      </c>
    </row>
    <row r="87" spans="1:8" ht="75" hidden="1" customHeight="1" x14ac:dyDescent="0.25">
      <c r="A87" s="422" t="s">
        <v>6324</v>
      </c>
      <c r="B87" s="418" t="s">
        <v>6630</v>
      </c>
      <c r="C87" s="418" t="s">
        <v>6631</v>
      </c>
      <c r="D87" s="419" t="s">
        <v>5076</v>
      </c>
      <c r="E87" s="420" t="str">
        <f>VLOOKUP($D87,'Tabel Map Industry'!$A$2:$H$464,2,0)</f>
        <v xml:space="preserve">Perdagangan Eceran Bahan Konstruksi </v>
      </c>
      <c r="F87" s="421" t="str">
        <f>VLOOKUP($D87,'Tabel Map Industry'!$A$2:$H$464,3,0)</f>
        <v>BUILDING MATERIAL</v>
      </c>
      <c r="G87" s="421" t="str">
        <f>VLOOKUP($D87,'Tabel Map Industry'!$A$2:$H$464,4,0)</f>
        <v>Perdagangan Eceran Bahan Konstruksi  - 523400</v>
      </c>
      <c r="H87" s="421" t="str">
        <f>VLOOKUP($D87,'Tabel Map Industry'!$A$2:$H$464,8,0)</f>
        <v>Perdagangan Eceran - 6500</v>
      </c>
    </row>
    <row r="88" spans="1:8" ht="75" hidden="1" customHeight="1" x14ac:dyDescent="0.25">
      <c r="A88" s="417" t="s">
        <v>6330</v>
      </c>
      <c r="B88" s="423" t="s">
        <v>6581</v>
      </c>
      <c r="C88" s="423" t="s">
        <v>6609</v>
      </c>
      <c r="D88" s="424" t="s">
        <v>5076</v>
      </c>
      <c r="E88" s="425" t="str">
        <f>VLOOKUP($D88,'Tabel Map Industry'!$A$2:$H$464,2,0)</f>
        <v xml:space="preserve">Perdagangan Eceran Bahan Konstruksi </v>
      </c>
      <c r="F88" s="426" t="str">
        <f>VLOOKUP($D88,'Tabel Map Industry'!$A$2:$H$464,3,0)</f>
        <v>BUILDING MATERIAL</v>
      </c>
      <c r="G88" s="426" t="str">
        <f>VLOOKUP($D88,'Tabel Map Industry'!$A$2:$H$464,4,0)</f>
        <v>Perdagangan Eceran Bahan Konstruksi  - 523400</v>
      </c>
      <c r="H88" s="426" t="str">
        <f>VLOOKUP($D88,'Tabel Map Industry'!$A$2:$H$464,8,0)</f>
        <v>Perdagangan Eceran - 6500</v>
      </c>
    </row>
    <row r="89" spans="1:8" ht="75" hidden="1" customHeight="1" x14ac:dyDescent="0.25">
      <c r="A89" s="422" t="s">
        <v>6324</v>
      </c>
      <c r="B89" s="418" t="s">
        <v>6633</v>
      </c>
      <c r="C89" s="418" t="s">
        <v>6634</v>
      </c>
      <c r="D89" s="419" t="s">
        <v>5070</v>
      </c>
      <c r="E89" s="420" t="str">
        <f>VLOOKUP($D89,'Tabel Map Industry'!$A$2:$H$464,2,0)</f>
        <v xml:space="preserve">Industri Semen, Kapur dan Gips, Serta Barang-barang dari Semen, dan Kapur </v>
      </c>
      <c r="F89" s="421" t="str">
        <f>VLOOKUP($D89,'Tabel Map Industry'!$A$2:$H$464,3,0)</f>
        <v>BUILDING MATERIAL</v>
      </c>
      <c r="G89" s="421" t="str">
        <f>VLOOKUP($D89,'Tabel Map Industry'!$A$2:$H$464,4,0)</f>
        <v>Industri Semen, Kapur dan Gips, Serta Barang-barang dari Semen, dan Kapur  - 264000</v>
      </c>
      <c r="H89" s="421" t="str">
        <f>VLOOKUP($D89,'Tabel Map Industry'!$A$2:$H$464,8,0)</f>
        <v>Industri Pengolahan Hasil Tambang Bukan Logam, selain Hasil Minyak Bumi &amp; Batu Bara - Semen - 3710</v>
      </c>
    </row>
    <row r="90" spans="1:8" ht="75" hidden="1" customHeight="1" x14ac:dyDescent="0.25">
      <c r="A90" s="417" t="s">
        <v>6330</v>
      </c>
      <c r="B90" s="423" t="s">
        <v>6609</v>
      </c>
      <c r="C90" s="423" t="s">
        <v>6642</v>
      </c>
      <c r="D90" s="424" t="s">
        <v>5076</v>
      </c>
      <c r="E90" s="425" t="str">
        <f>VLOOKUP($D90,'Tabel Map Industry'!$A$2:$H$464,2,0)</f>
        <v xml:space="preserve">Perdagangan Eceran Bahan Konstruksi </v>
      </c>
      <c r="F90" s="426" t="str">
        <f>VLOOKUP($D90,'Tabel Map Industry'!$A$2:$H$464,3,0)</f>
        <v>BUILDING MATERIAL</v>
      </c>
      <c r="G90" s="426" t="str">
        <f>VLOOKUP($D90,'Tabel Map Industry'!$A$2:$H$464,4,0)</f>
        <v>Perdagangan Eceran Bahan Konstruksi  - 523400</v>
      </c>
      <c r="H90" s="426" t="str">
        <f>VLOOKUP($D90,'Tabel Map Industry'!$A$2:$H$464,8,0)</f>
        <v>Perdagangan Eceran - 6500</v>
      </c>
    </row>
    <row r="91" spans="1:8" ht="75" hidden="1" customHeight="1" x14ac:dyDescent="0.25">
      <c r="A91" s="422" t="s">
        <v>6330</v>
      </c>
      <c r="B91" s="418" t="s">
        <v>6581</v>
      </c>
      <c r="C91" s="418" t="s">
        <v>6617</v>
      </c>
      <c r="D91" s="419" t="s">
        <v>5076</v>
      </c>
      <c r="E91" s="420" t="str">
        <f>VLOOKUP($D91,'Tabel Map Industry'!$A$2:$H$464,2,0)</f>
        <v xml:space="preserve">Perdagangan Eceran Bahan Konstruksi </v>
      </c>
      <c r="F91" s="421" t="str">
        <f>VLOOKUP($D91,'Tabel Map Industry'!$A$2:$H$464,3,0)</f>
        <v>BUILDING MATERIAL</v>
      </c>
      <c r="G91" s="421" t="str">
        <f>VLOOKUP($D91,'Tabel Map Industry'!$A$2:$H$464,4,0)</f>
        <v>Perdagangan Eceran Bahan Konstruksi  - 523400</v>
      </c>
      <c r="H91" s="421" t="str">
        <f>VLOOKUP($D91,'Tabel Map Industry'!$A$2:$H$464,8,0)</f>
        <v>Perdagangan Eceran - 6500</v>
      </c>
    </row>
    <row r="92" spans="1:8" ht="75" hidden="1" customHeight="1" x14ac:dyDescent="0.25">
      <c r="A92" s="417" t="s">
        <v>6324</v>
      </c>
      <c r="B92" s="423" t="s">
        <v>6651</v>
      </c>
      <c r="C92" s="423" t="s">
        <v>6652</v>
      </c>
      <c r="D92" s="424" t="s">
        <v>5071</v>
      </c>
      <c r="E92" s="425" t="str">
        <f>VLOOKUP($D92,'Tabel Map Industry'!$A$2:$H$464,2,0)</f>
        <v>Perdagangan Dalam Negeri Semen</v>
      </c>
      <c r="F92" s="426" t="str">
        <f>VLOOKUP($D92,'Tabel Map Industry'!$A$2:$H$464,3,0)</f>
        <v>BUILDING MATERIAL</v>
      </c>
      <c r="G92" s="426" t="str">
        <f>VLOOKUP($D92,'Tabel Map Industry'!$A$2:$H$464,4,0)</f>
        <v>Perdagangan Dalam Negeri Semen - 514301</v>
      </c>
      <c r="H92" s="426" t="str">
        <f>VLOOKUP($D92,'Tabel Map Industry'!$A$2:$H$464,8,0)</f>
        <v>Distribusi Semen - 6411</v>
      </c>
    </row>
    <row r="93" spans="1:8" ht="75" hidden="1" customHeight="1" x14ac:dyDescent="0.25">
      <c r="A93" s="422" t="s">
        <v>6330</v>
      </c>
      <c r="B93" s="418" t="s">
        <v>6581</v>
      </c>
      <c r="C93" s="418" t="s">
        <v>6668</v>
      </c>
      <c r="D93" s="419" t="s">
        <v>5076</v>
      </c>
      <c r="E93" s="420" t="str">
        <f>VLOOKUP($D93,'Tabel Map Industry'!$A$2:$H$464,2,0)</f>
        <v xml:space="preserve">Perdagangan Eceran Bahan Konstruksi </v>
      </c>
      <c r="F93" s="421" t="str">
        <f>VLOOKUP($D93,'Tabel Map Industry'!$A$2:$H$464,3,0)</f>
        <v>BUILDING MATERIAL</v>
      </c>
      <c r="G93" s="421" t="str">
        <f>VLOOKUP($D93,'Tabel Map Industry'!$A$2:$H$464,4,0)</f>
        <v>Perdagangan Eceran Bahan Konstruksi  - 523400</v>
      </c>
      <c r="H93" s="421" t="str">
        <f>VLOOKUP($D93,'Tabel Map Industry'!$A$2:$H$464,8,0)</f>
        <v>Perdagangan Eceran - 6500</v>
      </c>
    </row>
    <row r="94" spans="1:8" ht="75" hidden="1" customHeight="1" x14ac:dyDescent="0.25">
      <c r="A94" s="417" t="s">
        <v>6330</v>
      </c>
      <c r="B94" s="423" t="s">
        <v>6674</v>
      </c>
      <c r="C94" s="423" t="s">
        <v>6675</v>
      </c>
      <c r="D94" s="424" t="s">
        <v>5076</v>
      </c>
      <c r="E94" s="425" t="str">
        <f>VLOOKUP($D94,'Tabel Map Industry'!$A$2:$H$464,2,0)</f>
        <v xml:space="preserve">Perdagangan Eceran Bahan Konstruksi </v>
      </c>
      <c r="F94" s="426" t="str">
        <f>VLOOKUP($D94,'Tabel Map Industry'!$A$2:$H$464,3,0)</f>
        <v>BUILDING MATERIAL</v>
      </c>
      <c r="G94" s="426" t="str">
        <f>VLOOKUP($D94,'Tabel Map Industry'!$A$2:$H$464,4,0)</f>
        <v>Perdagangan Eceran Bahan Konstruksi  - 523400</v>
      </c>
      <c r="H94" s="426" t="str">
        <f>VLOOKUP($D94,'Tabel Map Industry'!$A$2:$H$464,8,0)</f>
        <v>Perdagangan Eceran - 6500</v>
      </c>
    </row>
    <row r="95" spans="1:8" ht="75" hidden="1" customHeight="1" x14ac:dyDescent="0.25">
      <c r="A95" s="422" t="s">
        <v>6330</v>
      </c>
      <c r="B95" s="418" t="s">
        <v>6502</v>
      </c>
      <c r="C95" s="418" t="s">
        <v>6679</v>
      </c>
      <c r="D95" s="419" t="s">
        <v>5076</v>
      </c>
      <c r="E95" s="420" t="str">
        <f>VLOOKUP($D95,'Tabel Map Industry'!$A$2:$H$464,2,0)</f>
        <v xml:space="preserve">Perdagangan Eceran Bahan Konstruksi </v>
      </c>
      <c r="F95" s="421" t="str">
        <f>VLOOKUP($D95,'Tabel Map Industry'!$A$2:$H$464,3,0)</f>
        <v>BUILDING MATERIAL</v>
      </c>
      <c r="G95" s="421" t="str">
        <f>VLOOKUP($D95,'Tabel Map Industry'!$A$2:$H$464,4,0)</f>
        <v>Perdagangan Eceran Bahan Konstruksi  - 523400</v>
      </c>
      <c r="H95" s="421" t="str">
        <f>VLOOKUP($D95,'Tabel Map Industry'!$A$2:$H$464,8,0)</f>
        <v>Perdagangan Eceran - 6500</v>
      </c>
    </row>
    <row r="96" spans="1:8" ht="75" hidden="1" customHeight="1" x14ac:dyDescent="0.25">
      <c r="A96" s="417" t="s">
        <v>6327</v>
      </c>
      <c r="B96" s="423" t="s">
        <v>6581</v>
      </c>
      <c r="C96" s="423" t="s">
        <v>6609</v>
      </c>
      <c r="D96" s="424" t="s">
        <v>5076</v>
      </c>
      <c r="E96" s="425" t="str">
        <f>VLOOKUP($D96,'Tabel Map Industry'!$A$2:$H$464,2,0)</f>
        <v xml:space="preserve">Perdagangan Eceran Bahan Konstruksi </v>
      </c>
      <c r="F96" s="426" t="str">
        <f>VLOOKUP($D96,'Tabel Map Industry'!$A$2:$H$464,3,0)</f>
        <v>BUILDING MATERIAL</v>
      </c>
      <c r="G96" s="426" t="str">
        <f>VLOOKUP($D96,'Tabel Map Industry'!$A$2:$H$464,4,0)</f>
        <v>Perdagangan Eceran Bahan Konstruksi  - 523400</v>
      </c>
      <c r="H96" s="426" t="str">
        <f>VLOOKUP($D96,'Tabel Map Industry'!$A$2:$H$464,8,0)</f>
        <v>Perdagangan Eceran - 6500</v>
      </c>
    </row>
    <row r="97" spans="1:8" ht="75" hidden="1" customHeight="1" x14ac:dyDescent="0.25">
      <c r="A97" s="422" t="s">
        <v>6327</v>
      </c>
      <c r="B97" s="418" t="s">
        <v>6581</v>
      </c>
      <c r="C97" s="418" t="s">
        <v>6682</v>
      </c>
      <c r="D97" s="419" t="s">
        <v>5076</v>
      </c>
      <c r="E97" s="420" t="str">
        <f>VLOOKUP($D97,'Tabel Map Industry'!$A$2:$H$464,2,0)</f>
        <v xml:space="preserve">Perdagangan Eceran Bahan Konstruksi </v>
      </c>
      <c r="F97" s="421" t="str">
        <f>VLOOKUP($D97,'Tabel Map Industry'!$A$2:$H$464,3,0)</f>
        <v>BUILDING MATERIAL</v>
      </c>
      <c r="G97" s="421" t="str">
        <f>VLOOKUP($D97,'Tabel Map Industry'!$A$2:$H$464,4,0)</f>
        <v>Perdagangan Eceran Bahan Konstruksi  - 523400</v>
      </c>
      <c r="H97" s="421" t="str">
        <f>VLOOKUP($D97,'Tabel Map Industry'!$A$2:$H$464,8,0)</f>
        <v>Perdagangan Eceran - 6500</v>
      </c>
    </row>
    <row r="98" spans="1:8" ht="75" hidden="1" customHeight="1" x14ac:dyDescent="0.25">
      <c r="A98" s="417" t="s">
        <v>6330</v>
      </c>
      <c r="B98" s="423" t="s">
        <v>6581</v>
      </c>
      <c r="C98" s="423" t="s">
        <v>6687</v>
      </c>
      <c r="D98" s="424" t="s">
        <v>5076</v>
      </c>
      <c r="E98" s="425" t="str">
        <f>VLOOKUP($D98,'Tabel Map Industry'!$A$2:$H$464,2,0)</f>
        <v xml:space="preserve">Perdagangan Eceran Bahan Konstruksi </v>
      </c>
      <c r="F98" s="426" t="str">
        <f>VLOOKUP($D98,'Tabel Map Industry'!$A$2:$H$464,3,0)</f>
        <v>BUILDING MATERIAL</v>
      </c>
      <c r="G98" s="426" t="str">
        <f>VLOOKUP($D98,'Tabel Map Industry'!$A$2:$H$464,4,0)</f>
        <v>Perdagangan Eceran Bahan Konstruksi  - 523400</v>
      </c>
      <c r="H98" s="426" t="str">
        <f>VLOOKUP($D98,'Tabel Map Industry'!$A$2:$H$464,8,0)</f>
        <v>Perdagangan Eceran - 6500</v>
      </c>
    </row>
    <row r="99" spans="1:8" ht="75" hidden="1" customHeight="1" x14ac:dyDescent="0.25">
      <c r="A99" s="422" t="s">
        <v>6330</v>
      </c>
      <c r="B99" s="418" t="s">
        <v>6691</v>
      </c>
      <c r="C99" s="418" t="s">
        <v>6692</v>
      </c>
      <c r="D99" s="419" t="s">
        <v>5076</v>
      </c>
      <c r="E99" s="420" t="str">
        <f>VLOOKUP($D99,'Tabel Map Industry'!$A$2:$H$464,2,0)</f>
        <v xml:space="preserve">Perdagangan Eceran Bahan Konstruksi </v>
      </c>
      <c r="F99" s="421" t="str">
        <f>VLOOKUP($D99,'Tabel Map Industry'!$A$2:$H$464,3,0)</f>
        <v>BUILDING MATERIAL</v>
      </c>
      <c r="G99" s="421" t="str">
        <f>VLOOKUP($D99,'Tabel Map Industry'!$A$2:$H$464,4,0)</f>
        <v>Perdagangan Eceran Bahan Konstruksi  - 523400</v>
      </c>
      <c r="H99" s="421" t="str">
        <f>VLOOKUP($D99,'Tabel Map Industry'!$A$2:$H$464,8,0)</f>
        <v>Perdagangan Eceran - 6500</v>
      </c>
    </row>
    <row r="100" spans="1:8" ht="75" hidden="1" customHeight="1" x14ac:dyDescent="0.25">
      <c r="A100" s="417" t="s">
        <v>6330</v>
      </c>
      <c r="B100" s="423" t="s">
        <v>6695</v>
      </c>
      <c r="C100" s="423" t="s">
        <v>6696</v>
      </c>
      <c r="D100" s="424" t="s">
        <v>5076</v>
      </c>
      <c r="E100" s="425" t="str">
        <f>VLOOKUP($D100,'Tabel Map Industry'!$A$2:$H$464,2,0)</f>
        <v xml:space="preserve">Perdagangan Eceran Bahan Konstruksi </v>
      </c>
      <c r="F100" s="426" t="str">
        <f>VLOOKUP($D100,'Tabel Map Industry'!$A$2:$H$464,3,0)</f>
        <v>BUILDING MATERIAL</v>
      </c>
      <c r="G100" s="426" t="str">
        <f>VLOOKUP($D100,'Tabel Map Industry'!$A$2:$H$464,4,0)</f>
        <v>Perdagangan Eceran Bahan Konstruksi  - 523400</v>
      </c>
      <c r="H100" s="426" t="str">
        <f>VLOOKUP($D100,'Tabel Map Industry'!$A$2:$H$464,8,0)</f>
        <v>Perdagangan Eceran - 6500</v>
      </c>
    </row>
    <row r="101" spans="1:8" ht="75" hidden="1" customHeight="1" x14ac:dyDescent="0.25">
      <c r="A101" s="422" t="s">
        <v>6330</v>
      </c>
      <c r="B101" s="418" t="s">
        <v>6699</v>
      </c>
      <c r="C101" s="418" t="s">
        <v>6700</v>
      </c>
      <c r="D101" s="419" t="s">
        <v>5076</v>
      </c>
      <c r="E101" s="420" t="str">
        <f>VLOOKUP($D101,'Tabel Map Industry'!$A$2:$H$464,2,0)</f>
        <v xml:space="preserve">Perdagangan Eceran Bahan Konstruksi </v>
      </c>
      <c r="F101" s="421" t="str">
        <f>VLOOKUP($D101,'Tabel Map Industry'!$A$2:$H$464,3,0)</f>
        <v>BUILDING MATERIAL</v>
      </c>
      <c r="G101" s="421" t="str">
        <f>VLOOKUP($D101,'Tabel Map Industry'!$A$2:$H$464,4,0)</f>
        <v>Perdagangan Eceran Bahan Konstruksi  - 523400</v>
      </c>
      <c r="H101" s="421" t="str">
        <f>VLOOKUP($D101,'Tabel Map Industry'!$A$2:$H$464,8,0)</f>
        <v>Perdagangan Eceran - 6500</v>
      </c>
    </row>
    <row r="102" spans="1:8" ht="75" hidden="1" customHeight="1" x14ac:dyDescent="0.25">
      <c r="A102" s="417" t="s">
        <v>6330</v>
      </c>
      <c r="B102" s="423" t="s">
        <v>6581</v>
      </c>
      <c r="C102" s="423" t="s">
        <v>6732</v>
      </c>
      <c r="D102" s="424" t="s">
        <v>5076</v>
      </c>
      <c r="E102" s="425" t="str">
        <f>VLOOKUP($D102,'Tabel Map Industry'!$A$2:$H$464,2,0)</f>
        <v xml:space="preserve">Perdagangan Eceran Bahan Konstruksi </v>
      </c>
      <c r="F102" s="426" t="str">
        <f>VLOOKUP($D102,'Tabel Map Industry'!$A$2:$H$464,3,0)</f>
        <v>BUILDING MATERIAL</v>
      </c>
      <c r="G102" s="426" t="str">
        <f>VLOOKUP($D102,'Tabel Map Industry'!$A$2:$H$464,4,0)</f>
        <v>Perdagangan Eceran Bahan Konstruksi  - 523400</v>
      </c>
      <c r="H102" s="426" t="str">
        <f>VLOOKUP($D102,'Tabel Map Industry'!$A$2:$H$464,8,0)</f>
        <v>Perdagangan Eceran - 6500</v>
      </c>
    </row>
    <row r="103" spans="1:8" ht="75" hidden="1" customHeight="1" x14ac:dyDescent="0.25">
      <c r="A103" s="422" t="s">
        <v>6330</v>
      </c>
      <c r="B103" s="418" t="s">
        <v>6740</v>
      </c>
      <c r="C103" s="418" t="s">
        <v>6741</v>
      </c>
      <c r="D103" s="419" t="s">
        <v>5076</v>
      </c>
      <c r="E103" s="420" t="str">
        <f>VLOOKUP($D103,'Tabel Map Industry'!$A$2:$H$464,2,0)</f>
        <v xml:space="preserve">Perdagangan Eceran Bahan Konstruksi </v>
      </c>
      <c r="F103" s="421" t="str">
        <f>VLOOKUP($D103,'Tabel Map Industry'!$A$2:$H$464,3,0)</f>
        <v>BUILDING MATERIAL</v>
      </c>
      <c r="G103" s="421" t="str">
        <f>VLOOKUP($D103,'Tabel Map Industry'!$A$2:$H$464,4,0)</f>
        <v>Perdagangan Eceran Bahan Konstruksi  - 523400</v>
      </c>
      <c r="H103" s="421" t="str">
        <f>VLOOKUP($D103,'Tabel Map Industry'!$A$2:$H$464,8,0)</f>
        <v>Perdagangan Eceran - 6500</v>
      </c>
    </row>
    <row r="104" spans="1:8" ht="75" hidden="1" customHeight="1" x14ac:dyDescent="0.25">
      <c r="A104" s="417" t="s">
        <v>6330</v>
      </c>
      <c r="B104" s="423" t="s">
        <v>6742</v>
      </c>
      <c r="C104" s="423" t="s">
        <v>6743</v>
      </c>
      <c r="D104" s="424" t="s">
        <v>5076</v>
      </c>
      <c r="E104" s="425" t="str">
        <f>VLOOKUP($D104,'Tabel Map Industry'!$A$2:$H$464,2,0)</f>
        <v xml:space="preserve">Perdagangan Eceran Bahan Konstruksi </v>
      </c>
      <c r="F104" s="426" t="str">
        <f>VLOOKUP($D104,'Tabel Map Industry'!$A$2:$H$464,3,0)</f>
        <v>BUILDING MATERIAL</v>
      </c>
      <c r="G104" s="426" t="str">
        <f>VLOOKUP($D104,'Tabel Map Industry'!$A$2:$H$464,4,0)</f>
        <v>Perdagangan Eceran Bahan Konstruksi  - 523400</v>
      </c>
      <c r="H104" s="426" t="str">
        <f>VLOOKUP($D104,'Tabel Map Industry'!$A$2:$H$464,8,0)</f>
        <v>Perdagangan Eceran - 6500</v>
      </c>
    </row>
    <row r="105" spans="1:8" ht="75" hidden="1" customHeight="1" x14ac:dyDescent="0.25">
      <c r="A105" s="422" t="s">
        <v>6327</v>
      </c>
      <c r="B105" s="418" t="s">
        <v>6365</v>
      </c>
      <c r="C105" s="418" t="s">
        <v>6762</v>
      </c>
      <c r="D105" s="419" t="s">
        <v>5076</v>
      </c>
      <c r="E105" s="420" t="str">
        <f>VLOOKUP($D105,'Tabel Map Industry'!$A$2:$H$464,2,0)</f>
        <v xml:space="preserve">Perdagangan Eceran Bahan Konstruksi </v>
      </c>
      <c r="F105" s="421" t="str">
        <f>VLOOKUP($D105,'Tabel Map Industry'!$A$2:$H$464,3,0)</f>
        <v>BUILDING MATERIAL</v>
      </c>
      <c r="G105" s="421" t="str">
        <f>VLOOKUP($D105,'Tabel Map Industry'!$A$2:$H$464,4,0)</f>
        <v>Perdagangan Eceran Bahan Konstruksi  - 523400</v>
      </c>
      <c r="H105" s="421" t="str">
        <f>VLOOKUP($D105,'Tabel Map Industry'!$A$2:$H$464,8,0)</f>
        <v>Perdagangan Eceran - 6500</v>
      </c>
    </row>
    <row r="106" spans="1:8" ht="75" hidden="1" customHeight="1" x14ac:dyDescent="0.25">
      <c r="A106" s="417" t="s">
        <v>6330</v>
      </c>
      <c r="B106" s="423" t="s">
        <v>6802</v>
      </c>
      <c r="C106" s="423" t="s">
        <v>6802</v>
      </c>
      <c r="D106" s="424" t="s">
        <v>5076</v>
      </c>
      <c r="E106" s="425" t="str">
        <f>VLOOKUP($D106,'Tabel Map Industry'!$A$2:$H$464,2,0)</f>
        <v xml:space="preserve">Perdagangan Eceran Bahan Konstruksi </v>
      </c>
      <c r="F106" s="426" t="str">
        <f>VLOOKUP($D106,'Tabel Map Industry'!$A$2:$H$464,3,0)</f>
        <v>BUILDING MATERIAL</v>
      </c>
      <c r="G106" s="426" t="str">
        <f>VLOOKUP($D106,'Tabel Map Industry'!$A$2:$H$464,4,0)</f>
        <v>Perdagangan Eceran Bahan Konstruksi  - 523400</v>
      </c>
      <c r="H106" s="426" t="str">
        <f>VLOOKUP($D106,'Tabel Map Industry'!$A$2:$H$464,8,0)</f>
        <v>Perdagangan Eceran - 6500</v>
      </c>
    </row>
    <row r="107" spans="1:8" ht="75" hidden="1" customHeight="1" x14ac:dyDescent="0.25">
      <c r="A107" s="422" t="s">
        <v>6330</v>
      </c>
      <c r="B107" s="418" t="s">
        <v>6835</v>
      </c>
      <c r="C107" s="418" t="s">
        <v>6836</v>
      </c>
      <c r="D107" s="419" t="s">
        <v>5076</v>
      </c>
      <c r="E107" s="420" t="str">
        <f>VLOOKUP($D107,'Tabel Map Industry'!$A$2:$H$464,2,0)</f>
        <v xml:space="preserve">Perdagangan Eceran Bahan Konstruksi </v>
      </c>
      <c r="F107" s="421" t="str">
        <f>VLOOKUP($D107,'Tabel Map Industry'!$A$2:$H$464,3,0)</f>
        <v>BUILDING MATERIAL</v>
      </c>
      <c r="G107" s="421" t="str">
        <f>VLOOKUP($D107,'Tabel Map Industry'!$A$2:$H$464,4,0)</f>
        <v>Perdagangan Eceran Bahan Konstruksi  - 523400</v>
      </c>
      <c r="H107" s="421" t="str">
        <f>VLOOKUP($D107,'Tabel Map Industry'!$A$2:$H$464,8,0)</f>
        <v>Perdagangan Eceran - 6500</v>
      </c>
    </row>
    <row r="108" spans="1:8" ht="75" hidden="1" customHeight="1" x14ac:dyDescent="0.25">
      <c r="A108" s="417" t="s">
        <v>6330</v>
      </c>
      <c r="B108" s="423" t="s">
        <v>6849</v>
      </c>
      <c r="C108" s="423" t="s">
        <v>6850</v>
      </c>
      <c r="D108" s="424" t="s">
        <v>5076</v>
      </c>
      <c r="E108" s="425" t="str">
        <f>VLOOKUP($D108,'Tabel Map Industry'!$A$2:$H$464,2,0)</f>
        <v xml:space="preserve">Perdagangan Eceran Bahan Konstruksi </v>
      </c>
      <c r="F108" s="426" t="str">
        <f>VLOOKUP($D108,'Tabel Map Industry'!$A$2:$H$464,3,0)</f>
        <v>BUILDING MATERIAL</v>
      </c>
      <c r="G108" s="426" t="str">
        <f>VLOOKUP($D108,'Tabel Map Industry'!$A$2:$H$464,4,0)</f>
        <v>Perdagangan Eceran Bahan Konstruksi  - 523400</v>
      </c>
      <c r="H108" s="426" t="str">
        <f>VLOOKUP($D108,'Tabel Map Industry'!$A$2:$H$464,8,0)</f>
        <v>Perdagangan Eceran - 6500</v>
      </c>
    </row>
    <row r="109" spans="1:8" ht="75" hidden="1" customHeight="1" x14ac:dyDescent="0.25">
      <c r="A109" s="422" t="s">
        <v>6330</v>
      </c>
      <c r="B109" s="418" t="s">
        <v>6502</v>
      </c>
      <c r="C109" s="418" t="s">
        <v>6502</v>
      </c>
      <c r="D109" s="419" t="s">
        <v>5076</v>
      </c>
      <c r="E109" s="420" t="str">
        <f>VLOOKUP($D109,'Tabel Map Industry'!$A$2:$H$464,2,0)</f>
        <v xml:space="preserve">Perdagangan Eceran Bahan Konstruksi </v>
      </c>
      <c r="F109" s="421" t="str">
        <f>VLOOKUP($D109,'Tabel Map Industry'!$A$2:$H$464,3,0)</f>
        <v>BUILDING MATERIAL</v>
      </c>
      <c r="G109" s="421" t="str">
        <f>VLOOKUP($D109,'Tabel Map Industry'!$A$2:$H$464,4,0)</f>
        <v>Perdagangan Eceran Bahan Konstruksi  - 523400</v>
      </c>
      <c r="H109" s="421" t="str">
        <f>VLOOKUP($D109,'Tabel Map Industry'!$A$2:$H$464,8,0)</f>
        <v>Perdagangan Eceran - 6500</v>
      </c>
    </row>
    <row r="110" spans="1:8" ht="75" hidden="1" customHeight="1" x14ac:dyDescent="0.25">
      <c r="A110" s="417" t="s">
        <v>6324</v>
      </c>
      <c r="B110" s="423" t="s">
        <v>6873</v>
      </c>
      <c r="C110" s="423" t="s">
        <v>6874</v>
      </c>
      <c r="D110" s="424" t="s">
        <v>5076</v>
      </c>
      <c r="E110" s="425" t="str">
        <f>VLOOKUP($D110,'Tabel Map Industry'!$A$2:$H$464,2,0)</f>
        <v xml:space="preserve">Perdagangan Eceran Bahan Konstruksi </v>
      </c>
      <c r="F110" s="426" t="str">
        <f>VLOOKUP($D110,'Tabel Map Industry'!$A$2:$H$464,3,0)</f>
        <v>BUILDING MATERIAL</v>
      </c>
      <c r="G110" s="426" t="str">
        <f>VLOOKUP($D110,'Tabel Map Industry'!$A$2:$H$464,4,0)</f>
        <v>Perdagangan Eceran Bahan Konstruksi  - 523400</v>
      </c>
      <c r="H110" s="426" t="str">
        <f>VLOOKUP($D110,'Tabel Map Industry'!$A$2:$H$464,8,0)</f>
        <v>Perdagangan Eceran - 6500</v>
      </c>
    </row>
    <row r="111" spans="1:8" ht="75" hidden="1" customHeight="1" x14ac:dyDescent="0.25">
      <c r="A111" s="422" t="s">
        <v>6327</v>
      </c>
      <c r="B111" s="418" t="s">
        <v>6887</v>
      </c>
      <c r="C111" s="418" t="s">
        <v>6888</v>
      </c>
      <c r="D111" s="419" t="s">
        <v>5076</v>
      </c>
      <c r="E111" s="420" t="str">
        <f>VLOOKUP($D111,'Tabel Map Industry'!$A$2:$H$464,2,0)</f>
        <v xml:space="preserve">Perdagangan Eceran Bahan Konstruksi </v>
      </c>
      <c r="F111" s="421" t="str">
        <f>VLOOKUP($D111,'Tabel Map Industry'!$A$2:$H$464,3,0)</f>
        <v>BUILDING MATERIAL</v>
      </c>
      <c r="G111" s="421" t="str">
        <f>VLOOKUP($D111,'Tabel Map Industry'!$A$2:$H$464,4,0)</f>
        <v>Perdagangan Eceran Bahan Konstruksi  - 523400</v>
      </c>
      <c r="H111" s="421" t="str">
        <f>VLOOKUP($D111,'Tabel Map Industry'!$A$2:$H$464,8,0)</f>
        <v>Perdagangan Eceran - 6500</v>
      </c>
    </row>
    <row r="112" spans="1:8" ht="75" hidden="1" customHeight="1" x14ac:dyDescent="0.25">
      <c r="A112" s="417" t="s">
        <v>6330</v>
      </c>
      <c r="B112" s="423" t="s">
        <v>6889</v>
      </c>
      <c r="C112" s="423" t="s">
        <v>6890</v>
      </c>
      <c r="D112" s="424" t="s">
        <v>5071</v>
      </c>
      <c r="E112" s="425" t="str">
        <f>VLOOKUP($D112,'Tabel Map Industry'!$A$2:$H$464,2,0)</f>
        <v>Perdagangan Dalam Negeri Semen</v>
      </c>
      <c r="F112" s="426" t="str">
        <f>VLOOKUP($D112,'Tabel Map Industry'!$A$2:$H$464,3,0)</f>
        <v>BUILDING MATERIAL</v>
      </c>
      <c r="G112" s="426" t="str">
        <f>VLOOKUP($D112,'Tabel Map Industry'!$A$2:$H$464,4,0)</f>
        <v>Perdagangan Dalam Negeri Semen - 514301</v>
      </c>
      <c r="H112" s="426" t="str">
        <f>VLOOKUP($D112,'Tabel Map Industry'!$A$2:$H$464,8,0)</f>
        <v>Distribusi Semen - 6411</v>
      </c>
    </row>
    <row r="113" spans="1:8" ht="75" hidden="1" customHeight="1" x14ac:dyDescent="0.25">
      <c r="A113" s="422" t="s">
        <v>6330</v>
      </c>
      <c r="B113" s="418" t="s">
        <v>6912</v>
      </c>
      <c r="C113" s="418" t="s">
        <v>6913</v>
      </c>
      <c r="D113" s="419" t="s">
        <v>5076</v>
      </c>
      <c r="E113" s="420" t="str">
        <f>VLOOKUP($D113,'Tabel Map Industry'!$A$2:$H$464,2,0)</f>
        <v xml:space="preserve">Perdagangan Eceran Bahan Konstruksi </v>
      </c>
      <c r="F113" s="421" t="str">
        <f>VLOOKUP($D113,'Tabel Map Industry'!$A$2:$H$464,3,0)</f>
        <v>BUILDING MATERIAL</v>
      </c>
      <c r="G113" s="421" t="str">
        <f>VLOOKUP($D113,'Tabel Map Industry'!$A$2:$H$464,4,0)</f>
        <v>Perdagangan Eceran Bahan Konstruksi  - 523400</v>
      </c>
      <c r="H113" s="421" t="str">
        <f>VLOOKUP($D113,'Tabel Map Industry'!$A$2:$H$464,8,0)</f>
        <v>Perdagangan Eceran - 6500</v>
      </c>
    </row>
    <row r="114" spans="1:8" ht="75" hidden="1" customHeight="1" x14ac:dyDescent="0.25">
      <c r="A114" s="417" t="s">
        <v>6330</v>
      </c>
      <c r="B114" s="423" t="s">
        <v>6699</v>
      </c>
      <c r="C114" s="423" t="s">
        <v>6920</v>
      </c>
      <c r="D114" s="424" t="s">
        <v>5076</v>
      </c>
      <c r="E114" s="425" t="str">
        <f>VLOOKUP($D114,'Tabel Map Industry'!$A$2:$H$464,2,0)</f>
        <v xml:space="preserve">Perdagangan Eceran Bahan Konstruksi </v>
      </c>
      <c r="F114" s="426" t="str">
        <f>VLOOKUP($D114,'Tabel Map Industry'!$A$2:$H$464,3,0)</f>
        <v>BUILDING MATERIAL</v>
      </c>
      <c r="G114" s="426" t="str">
        <f>VLOOKUP($D114,'Tabel Map Industry'!$A$2:$H$464,4,0)</f>
        <v>Perdagangan Eceran Bahan Konstruksi  - 523400</v>
      </c>
      <c r="H114" s="426" t="str">
        <f>VLOOKUP($D114,'Tabel Map Industry'!$A$2:$H$464,8,0)</f>
        <v>Perdagangan Eceran - 6500</v>
      </c>
    </row>
    <row r="115" spans="1:8" ht="75" hidden="1" customHeight="1" x14ac:dyDescent="0.25">
      <c r="A115" s="422" t="s">
        <v>6330</v>
      </c>
      <c r="B115" s="418" t="s">
        <v>6599</v>
      </c>
      <c r="C115" s="418" t="s">
        <v>6923</v>
      </c>
      <c r="D115" s="419" t="s">
        <v>5076</v>
      </c>
      <c r="E115" s="420" t="str">
        <f>VLOOKUP($D115,'Tabel Map Industry'!$A$2:$H$464,2,0)</f>
        <v xml:space="preserve">Perdagangan Eceran Bahan Konstruksi </v>
      </c>
      <c r="F115" s="421" t="str">
        <f>VLOOKUP($D115,'Tabel Map Industry'!$A$2:$H$464,3,0)</f>
        <v>BUILDING MATERIAL</v>
      </c>
      <c r="G115" s="421" t="str">
        <f>VLOOKUP($D115,'Tabel Map Industry'!$A$2:$H$464,4,0)</f>
        <v>Perdagangan Eceran Bahan Konstruksi  - 523400</v>
      </c>
      <c r="H115" s="421" t="str">
        <f>VLOOKUP($D115,'Tabel Map Industry'!$A$2:$H$464,8,0)</f>
        <v>Perdagangan Eceran - 6500</v>
      </c>
    </row>
    <row r="116" spans="1:8" ht="75" hidden="1" customHeight="1" x14ac:dyDescent="0.25">
      <c r="A116" s="417" t="s">
        <v>6330</v>
      </c>
      <c r="B116" s="423" t="s">
        <v>6609</v>
      </c>
      <c r="C116" s="423" t="s">
        <v>6927</v>
      </c>
      <c r="D116" s="424" t="s">
        <v>5076</v>
      </c>
      <c r="E116" s="425" t="str">
        <f>VLOOKUP($D116,'Tabel Map Industry'!$A$2:$H$464,2,0)</f>
        <v xml:space="preserve">Perdagangan Eceran Bahan Konstruksi </v>
      </c>
      <c r="F116" s="426" t="str">
        <f>VLOOKUP($D116,'Tabel Map Industry'!$A$2:$H$464,3,0)</f>
        <v>BUILDING MATERIAL</v>
      </c>
      <c r="G116" s="426" t="str">
        <f>VLOOKUP($D116,'Tabel Map Industry'!$A$2:$H$464,4,0)</f>
        <v>Perdagangan Eceran Bahan Konstruksi  - 523400</v>
      </c>
      <c r="H116" s="426" t="str">
        <f>VLOOKUP($D116,'Tabel Map Industry'!$A$2:$H$464,8,0)</f>
        <v>Perdagangan Eceran - 6500</v>
      </c>
    </row>
    <row r="117" spans="1:8" ht="75" hidden="1" customHeight="1" x14ac:dyDescent="0.25">
      <c r="A117" s="422" t="s">
        <v>6330</v>
      </c>
      <c r="B117" s="418" t="s">
        <v>6989</v>
      </c>
      <c r="C117" s="418" t="s">
        <v>6990</v>
      </c>
      <c r="D117" s="419" t="s">
        <v>5076</v>
      </c>
      <c r="E117" s="420" t="str">
        <f>VLOOKUP($D117,'Tabel Map Industry'!$A$2:$H$464,2,0)</f>
        <v xml:space="preserve">Perdagangan Eceran Bahan Konstruksi </v>
      </c>
      <c r="F117" s="421" t="str">
        <f>VLOOKUP($D117,'Tabel Map Industry'!$A$2:$H$464,3,0)</f>
        <v>BUILDING MATERIAL</v>
      </c>
      <c r="G117" s="421" t="str">
        <f>VLOOKUP($D117,'Tabel Map Industry'!$A$2:$H$464,4,0)</f>
        <v>Perdagangan Eceran Bahan Konstruksi  - 523400</v>
      </c>
      <c r="H117" s="421" t="str">
        <f>VLOOKUP($D117,'Tabel Map Industry'!$A$2:$H$464,8,0)</f>
        <v>Perdagangan Eceran - 6500</v>
      </c>
    </row>
    <row r="118" spans="1:8" ht="75" hidden="1" customHeight="1" x14ac:dyDescent="0.25">
      <c r="A118" s="417" t="s">
        <v>6330</v>
      </c>
      <c r="B118" s="423" t="s">
        <v>6365</v>
      </c>
      <c r="C118" s="423" t="s">
        <v>6365</v>
      </c>
      <c r="D118" s="424" t="s">
        <v>5076</v>
      </c>
      <c r="E118" s="425" t="str">
        <f>VLOOKUP($D118,'Tabel Map Industry'!$A$2:$H$464,2,0)</f>
        <v xml:space="preserve">Perdagangan Eceran Bahan Konstruksi </v>
      </c>
      <c r="F118" s="426" t="str">
        <f>VLOOKUP($D118,'Tabel Map Industry'!$A$2:$H$464,3,0)</f>
        <v>BUILDING MATERIAL</v>
      </c>
      <c r="G118" s="426" t="str">
        <f>VLOOKUP($D118,'Tabel Map Industry'!$A$2:$H$464,4,0)</f>
        <v>Perdagangan Eceran Bahan Konstruksi  - 523400</v>
      </c>
      <c r="H118" s="426" t="str">
        <f>VLOOKUP($D118,'Tabel Map Industry'!$A$2:$H$464,8,0)</f>
        <v>Perdagangan Eceran - 6500</v>
      </c>
    </row>
    <row r="119" spans="1:8" ht="75" hidden="1" customHeight="1" x14ac:dyDescent="0.25">
      <c r="A119" s="422" t="s">
        <v>6330</v>
      </c>
      <c r="B119" s="418" t="s">
        <v>6548</v>
      </c>
      <c r="C119" s="418" t="s">
        <v>6548</v>
      </c>
      <c r="D119" s="419" t="s">
        <v>5076</v>
      </c>
      <c r="E119" s="420" t="str">
        <f>VLOOKUP($D119,'Tabel Map Industry'!$A$2:$H$464,2,0)</f>
        <v xml:space="preserve">Perdagangan Eceran Bahan Konstruksi </v>
      </c>
      <c r="F119" s="421" t="str">
        <f>VLOOKUP($D119,'Tabel Map Industry'!$A$2:$H$464,3,0)</f>
        <v>BUILDING MATERIAL</v>
      </c>
      <c r="G119" s="421" t="str">
        <f>VLOOKUP($D119,'Tabel Map Industry'!$A$2:$H$464,4,0)</f>
        <v>Perdagangan Eceran Bahan Konstruksi  - 523400</v>
      </c>
      <c r="H119" s="421" t="str">
        <f>VLOOKUP($D119,'Tabel Map Industry'!$A$2:$H$464,8,0)</f>
        <v>Perdagangan Eceran - 6500</v>
      </c>
    </row>
    <row r="120" spans="1:8" ht="75" hidden="1" customHeight="1" x14ac:dyDescent="0.25">
      <c r="A120" s="417" t="s">
        <v>6330</v>
      </c>
      <c r="B120" s="423" t="s">
        <v>6548</v>
      </c>
      <c r="C120" s="423" t="s">
        <v>6548</v>
      </c>
      <c r="D120" s="424" t="s">
        <v>5076</v>
      </c>
      <c r="E120" s="425" t="str">
        <f>VLOOKUP($D120,'Tabel Map Industry'!$A$2:$H$464,2,0)</f>
        <v xml:space="preserve">Perdagangan Eceran Bahan Konstruksi </v>
      </c>
      <c r="F120" s="426" t="str">
        <f>VLOOKUP($D120,'Tabel Map Industry'!$A$2:$H$464,3,0)</f>
        <v>BUILDING MATERIAL</v>
      </c>
      <c r="G120" s="426" t="str">
        <f>VLOOKUP($D120,'Tabel Map Industry'!$A$2:$H$464,4,0)</f>
        <v>Perdagangan Eceran Bahan Konstruksi  - 523400</v>
      </c>
      <c r="H120" s="426" t="str">
        <f>VLOOKUP($D120,'Tabel Map Industry'!$A$2:$H$464,8,0)</f>
        <v>Perdagangan Eceran - 6500</v>
      </c>
    </row>
    <row r="121" spans="1:8" ht="75" hidden="1" customHeight="1" x14ac:dyDescent="0.25">
      <c r="A121" s="422" t="s">
        <v>6330</v>
      </c>
      <c r="B121" s="418" t="s">
        <v>6609</v>
      </c>
      <c r="C121" s="418" t="s">
        <v>6609</v>
      </c>
      <c r="D121" s="419" t="s">
        <v>5076</v>
      </c>
      <c r="E121" s="420" t="str">
        <f>VLOOKUP($D121,'Tabel Map Industry'!$A$2:$H$464,2,0)</f>
        <v xml:space="preserve">Perdagangan Eceran Bahan Konstruksi </v>
      </c>
      <c r="F121" s="421" t="str">
        <f>VLOOKUP($D121,'Tabel Map Industry'!$A$2:$H$464,3,0)</f>
        <v>BUILDING MATERIAL</v>
      </c>
      <c r="G121" s="421" t="str">
        <f>VLOOKUP($D121,'Tabel Map Industry'!$A$2:$H$464,4,0)</f>
        <v>Perdagangan Eceran Bahan Konstruksi  - 523400</v>
      </c>
      <c r="H121" s="421" t="str">
        <f>VLOOKUP($D121,'Tabel Map Industry'!$A$2:$H$464,8,0)</f>
        <v>Perdagangan Eceran - 6500</v>
      </c>
    </row>
    <row r="122" spans="1:8" ht="75" hidden="1" customHeight="1" x14ac:dyDescent="0.25">
      <c r="A122" s="417" t="s">
        <v>6330</v>
      </c>
      <c r="B122" s="423" t="s">
        <v>6365</v>
      </c>
      <c r="C122" s="423" t="s">
        <v>7042</v>
      </c>
      <c r="D122" s="424" t="s">
        <v>5076</v>
      </c>
      <c r="E122" s="425" t="str">
        <f>VLOOKUP($D122,'Tabel Map Industry'!$A$2:$H$464,2,0)</f>
        <v xml:space="preserve">Perdagangan Eceran Bahan Konstruksi </v>
      </c>
      <c r="F122" s="426" t="str">
        <f>VLOOKUP($D122,'Tabel Map Industry'!$A$2:$H$464,3,0)</f>
        <v>BUILDING MATERIAL</v>
      </c>
      <c r="G122" s="426" t="str">
        <f>VLOOKUP($D122,'Tabel Map Industry'!$A$2:$H$464,4,0)</f>
        <v>Perdagangan Eceran Bahan Konstruksi  - 523400</v>
      </c>
      <c r="H122" s="426" t="str">
        <f>VLOOKUP($D122,'Tabel Map Industry'!$A$2:$H$464,8,0)</f>
        <v>Perdagangan Eceran - 6500</v>
      </c>
    </row>
    <row r="123" spans="1:8" ht="75" hidden="1" customHeight="1" x14ac:dyDescent="0.25">
      <c r="A123" s="422" t="s">
        <v>6330</v>
      </c>
      <c r="B123" s="418" t="s">
        <v>7048</v>
      </c>
      <c r="C123" s="418" t="s">
        <v>7049</v>
      </c>
      <c r="D123" s="419" t="s">
        <v>5076</v>
      </c>
      <c r="E123" s="420" t="str">
        <f>VLOOKUP($D123,'Tabel Map Industry'!$A$2:$H$464,2,0)</f>
        <v xml:space="preserve">Perdagangan Eceran Bahan Konstruksi </v>
      </c>
      <c r="F123" s="421" t="str">
        <f>VLOOKUP($D123,'Tabel Map Industry'!$A$2:$H$464,3,0)</f>
        <v>BUILDING MATERIAL</v>
      </c>
      <c r="G123" s="421" t="str">
        <f>VLOOKUP($D123,'Tabel Map Industry'!$A$2:$H$464,4,0)</f>
        <v>Perdagangan Eceran Bahan Konstruksi  - 523400</v>
      </c>
      <c r="H123" s="421" t="str">
        <f>VLOOKUP($D123,'Tabel Map Industry'!$A$2:$H$464,8,0)</f>
        <v>Perdagangan Eceran - 6500</v>
      </c>
    </row>
    <row r="124" spans="1:8" ht="75" hidden="1" customHeight="1" x14ac:dyDescent="0.25">
      <c r="A124" s="417" t="s">
        <v>6330</v>
      </c>
      <c r="B124" s="423" t="s">
        <v>4661</v>
      </c>
      <c r="C124" s="423" t="s">
        <v>7051</v>
      </c>
      <c r="D124" s="424" t="s">
        <v>5076</v>
      </c>
      <c r="E124" s="425" t="str">
        <f>VLOOKUP($D124,'Tabel Map Industry'!$A$2:$H$464,2,0)</f>
        <v xml:space="preserve">Perdagangan Eceran Bahan Konstruksi </v>
      </c>
      <c r="F124" s="426" t="str">
        <f>VLOOKUP($D124,'Tabel Map Industry'!$A$2:$H$464,3,0)</f>
        <v>BUILDING MATERIAL</v>
      </c>
      <c r="G124" s="426" t="str">
        <f>VLOOKUP($D124,'Tabel Map Industry'!$A$2:$H$464,4,0)</f>
        <v>Perdagangan Eceran Bahan Konstruksi  - 523400</v>
      </c>
      <c r="H124" s="426" t="str">
        <f>VLOOKUP($D124,'Tabel Map Industry'!$A$2:$H$464,8,0)</f>
        <v>Perdagangan Eceran - 6500</v>
      </c>
    </row>
    <row r="125" spans="1:8" ht="75" hidden="1" customHeight="1" x14ac:dyDescent="0.25">
      <c r="A125" s="422" t="s">
        <v>6330</v>
      </c>
      <c r="B125" s="418" t="s">
        <v>7064</v>
      </c>
      <c r="C125" s="418" t="s">
        <v>7065</v>
      </c>
      <c r="D125" s="419" t="s">
        <v>5076</v>
      </c>
      <c r="E125" s="420" t="str">
        <f>VLOOKUP($D125,'Tabel Map Industry'!$A$2:$H$464,2,0)</f>
        <v xml:space="preserve">Perdagangan Eceran Bahan Konstruksi </v>
      </c>
      <c r="F125" s="421" t="str">
        <f>VLOOKUP($D125,'Tabel Map Industry'!$A$2:$H$464,3,0)</f>
        <v>BUILDING MATERIAL</v>
      </c>
      <c r="G125" s="421" t="str">
        <f>VLOOKUP($D125,'Tabel Map Industry'!$A$2:$H$464,4,0)</f>
        <v>Perdagangan Eceran Bahan Konstruksi  - 523400</v>
      </c>
      <c r="H125" s="421" t="str">
        <f>VLOOKUP($D125,'Tabel Map Industry'!$A$2:$H$464,8,0)</f>
        <v>Perdagangan Eceran - 6500</v>
      </c>
    </row>
    <row r="126" spans="1:8" ht="75" hidden="1" customHeight="1" x14ac:dyDescent="0.25">
      <c r="A126" s="417" t="s">
        <v>6330</v>
      </c>
      <c r="B126" s="423" t="s">
        <v>7076</v>
      </c>
      <c r="C126" s="423" t="s">
        <v>7077</v>
      </c>
      <c r="D126" s="424" t="s">
        <v>5076</v>
      </c>
      <c r="E126" s="425" t="str">
        <f>VLOOKUP($D126,'Tabel Map Industry'!$A$2:$H$464,2,0)</f>
        <v xml:space="preserve">Perdagangan Eceran Bahan Konstruksi </v>
      </c>
      <c r="F126" s="426" t="str">
        <f>VLOOKUP($D126,'Tabel Map Industry'!$A$2:$H$464,3,0)</f>
        <v>BUILDING MATERIAL</v>
      </c>
      <c r="G126" s="426" t="str">
        <f>VLOOKUP($D126,'Tabel Map Industry'!$A$2:$H$464,4,0)</f>
        <v>Perdagangan Eceran Bahan Konstruksi  - 523400</v>
      </c>
      <c r="H126" s="426" t="str">
        <f>VLOOKUP($D126,'Tabel Map Industry'!$A$2:$H$464,8,0)</f>
        <v>Perdagangan Eceran - 6500</v>
      </c>
    </row>
    <row r="127" spans="1:8" ht="75" hidden="1" customHeight="1" x14ac:dyDescent="0.25">
      <c r="A127" s="422" t="s">
        <v>6330</v>
      </c>
      <c r="B127" s="418" t="s">
        <v>6609</v>
      </c>
      <c r="C127" s="418" t="s">
        <v>7078</v>
      </c>
      <c r="D127" s="419" t="s">
        <v>5076</v>
      </c>
      <c r="E127" s="420" t="str">
        <f>VLOOKUP($D127,'Tabel Map Industry'!$A$2:$H$464,2,0)</f>
        <v xml:space="preserve">Perdagangan Eceran Bahan Konstruksi </v>
      </c>
      <c r="F127" s="421" t="str">
        <f>VLOOKUP($D127,'Tabel Map Industry'!$A$2:$H$464,3,0)</f>
        <v>BUILDING MATERIAL</v>
      </c>
      <c r="G127" s="421" t="str">
        <f>VLOOKUP($D127,'Tabel Map Industry'!$A$2:$H$464,4,0)</f>
        <v>Perdagangan Eceran Bahan Konstruksi  - 523400</v>
      </c>
      <c r="H127" s="421" t="str">
        <f>VLOOKUP($D127,'Tabel Map Industry'!$A$2:$H$464,8,0)</f>
        <v>Perdagangan Eceran - 6500</v>
      </c>
    </row>
    <row r="128" spans="1:8" ht="75" hidden="1" customHeight="1" x14ac:dyDescent="0.25">
      <c r="A128" s="417" t="s">
        <v>6330</v>
      </c>
      <c r="B128" s="423" t="s">
        <v>7083</v>
      </c>
      <c r="C128" s="423" t="s">
        <v>7084</v>
      </c>
      <c r="D128" s="424" t="s">
        <v>5076</v>
      </c>
      <c r="E128" s="425" t="str">
        <f>VLOOKUP($D128,'Tabel Map Industry'!$A$2:$H$464,2,0)</f>
        <v xml:space="preserve">Perdagangan Eceran Bahan Konstruksi </v>
      </c>
      <c r="F128" s="426" t="str">
        <f>VLOOKUP($D128,'Tabel Map Industry'!$A$2:$H$464,3,0)</f>
        <v>BUILDING MATERIAL</v>
      </c>
      <c r="G128" s="426" t="str">
        <f>VLOOKUP($D128,'Tabel Map Industry'!$A$2:$H$464,4,0)</f>
        <v>Perdagangan Eceran Bahan Konstruksi  - 523400</v>
      </c>
      <c r="H128" s="426" t="str">
        <f>VLOOKUP($D128,'Tabel Map Industry'!$A$2:$H$464,8,0)</f>
        <v>Perdagangan Eceran - 6500</v>
      </c>
    </row>
    <row r="129" spans="1:8" ht="75" hidden="1" customHeight="1" x14ac:dyDescent="0.25">
      <c r="A129" s="422" t="s">
        <v>6330</v>
      </c>
      <c r="B129" s="418" t="s">
        <v>6609</v>
      </c>
      <c r="C129" s="418" t="s">
        <v>7087</v>
      </c>
      <c r="D129" s="419" t="s">
        <v>5076</v>
      </c>
      <c r="E129" s="420" t="str">
        <f>VLOOKUP($D129,'Tabel Map Industry'!$A$2:$H$464,2,0)</f>
        <v xml:space="preserve">Perdagangan Eceran Bahan Konstruksi </v>
      </c>
      <c r="F129" s="421" t="str">
        <f>VLOOKUP($D129,'Tabel Map Industry'!$A$2:$H$464,3,0)</f>
        <v>BUILDING MATERIAL</v>
      </c>
      <c r="G129" s="421" t="str">
        <f>VLOOKUP($D129,'Tabel Map Industry'!$A$2:$H$464,4,0)</f>
        <v>Perdagangan Eceran Bahan Konstruksi  - 523400</v>
      </c>
      <c r="H129" s="421" t="str">
        <f>VLOOKUP($D129,'Tabel Map Industry'!$A$2:$H$464,8,0)</f>
        <v>Perdagangan Eceran - 6500</v>
      </c>
    </row>
    <row r="130" spans="1:8" ht="75" hidden="1" customHeight="1" x14ac:dyDescent="0.25">
      <c r="A130" s="417" t="s">
        <v>6327</v>
      </c>
      <c r="B130" s="423" t="s">
        <v>6609</v>
      </c>
      <c r="C130" s="423" t="s">
        <v>7088</v>
      </c>
      <c r="D130" s="424" t="s">
        <v>5076</v>
      </c>
      <c r="E130" s="425" t="str">
        <f>VLOOKUP($D130,'Tabel Map Industry'!$A$2:$H$464,2,0)</f>
        <v xml:space="preserve">Perdagangan Eceran Bahan Konstruksi </v>
      </c>
      <c r="F130" s="426" t="str">
        <f>VLOOKUP($D130,'Tabel Map Industry'!$A$2:$H$464,3,0)</f>
        <v>BUILDING MATERIAL</v>
      </c>
      <c r="G130" s="426" t="str">
        <f>VLOOKUP($D130,'Tabel Map Industry'!$A$2:$H$464,4,0)</f>
        <v>Perdagangan Eceran Bahan Konstruksi  - 523400</v>
      </c>
      <c r="H130" s="426" t="str">
        <f>VLOOKUP($D130,'Tabel Map Industry'!$A$2:$H$464,8,0)</f>
        <v>Perdagangan Eceran - 6500</v>
      </c>
    </row>
    <row r="131" spans="1:8" ht="75" hidden="1" customHeight="1" x14ac:dyDescent="0.25">
      <c r="A131" s="422" t="s">
        <v>6330</v>
      </c>
      <c r="B131" s="418" t="s">
        <v>7089</v>
      </c>
      <c r="C131" s="418" t="s">
        <v>7090</v>
      </c>
      <c r="D131" s="419" t="s">
        <v>5076</v>
      </c>
      <c r="E131" s="420" t="str">
        <f>VLOOKUP($D131,'Tabel Map Industry'!$A$2:$H$464,2,0)</f>
        <v xml:space="preserve">Perdagangan Eceran Bahan Konstruksi </v>
      </c>
      <c r="F131" s="421" t="str">
        <f>VLOOKUP($D131,'Tabel Map Industry'!$A$2:$H$464,3,0)</f>
        <v>BUILDING MATERIAL</v>
      </c>
      <c r="G131" s="421" t="str">
        <f>VLOOKUP($D131,'Tabel Map Industry'!$A$2:$H$464,4,0)</f>
        <v>Perdagangan Eceran Bahan Konstruksi  - 523400</v>
      </c>
      <c r="H131" s="421" t="str">
        <f>VLOOKUP($D131,'Tabel Map Industry'!$A$2:$H$464,8,0)</f>
        <v>Perdagangan Eceran - 6500</v>
      </c>
    </row>
    <row r="132" spans="1:8" ht="75" hidden="1" customHeight="1" x14ac:dyDescent="0.25">
      <c r="A132" s="417" t="s">
        <v>6330</v>
      </c>
      <c r="B132" s="423" t="s">
        <v>7091</v>
      </c>
      <c r="C132" s="423" t="s">
        <v>7092</v>
      </c>
      <c r="D132" s="424" t="s">
        <v>5076</v>
      </c>
      <c r="E132" s="425" t="str">
        <f>VLOOKUP($D132,'Tabel Map Industry'!$A$2:$H$464,2,0)</f>
        <v xml:space="preserve">Perdagangan Eceran Bahan Konstruksi </v>
      </c>
      <c r="F132" s="426" t="str">
        <f>VLOOKUP($D132,'Tabel Map Industry'!$A$2:$H$464,3,0)</f>
        <v>BUILDING MATERIAL</v>
      </c>
      <c r="G132" s="426" t="str">
        <f>VLOOKUP($D132,'Tabel Map Industry'!$A$2:$H$464,4,0)</f>
        <v>Perdagangan Eceran Bahan Konstruksi  - 523400</v>
      </c>
      <c r="H132" s="426" t="str">
        <f>VLOOKUP($D132,'Tabel Map Industry'!$A$2:$H$464,8,0)</f>
        <v>Perdagangan Eceran - 6500</v>
      </c>
    </row>
    <row r="133" spans="1:8" ht="75" hidden="1" customHeight="1" x14ac:dyDescent="0.25">
      <c r="A133" s="422" t="s">
        <v>6330</v>
      </c>
      <c r="B133" s="418" t="s">
        <v>7076</v>
      </c>
      <c r="C133" s="418" t="s">
        <v>7095</v>
      </c>
      <c r="D133" s="419" t="s">
        <v>5076</v>
      </c>
      <c r="E133" s="420" t="str">
        <f>VLOOKUP($D133,'Tabel Map Industry'!$A$2:$H$464,2,0)</f>
        <v xml:space="preserve">Perdagangan Eceran Bahan Konstruksi </v>
      </c>
      <c r="F133" s="421" t="str">
        <f>VLOOKUP($D133,'Tabel Map Industry'!$A$2:$H$464,3,0)</f>
        <v>BUILDING MATERIAL</v>
      </c>
      <c r="G133" s="421" t="str">
        <f>VLOOKUP($D133,'Tabel Map Industry'!$A$2:$H$464,4,0)</f>
        <v>Perdagangan Eceran Bahan Konstruksi  - 523400</v>
      </c>
      <c r="H133" s="421" t="str">
        <f>VLOOKUP($D133,'Tabel Map Industry'!$A$2:$H$464,8,0)</f>
        <v>Perdagangan Eceran - 6500</v>
      </c>
    </row>
    <row r="134" spans="1:8" ht="75" hidden="1" customHeight="1" x14ac:dyDescent="0.25">
      <c r="A134" s="417" t="s">
        <v>6330</v>
      </c>
      <c r="B134" s="423" t="s">
        <v>6502</v>
      </c>
      <c r="C134" s="423" t="s">
        <v>7114</v>
      </c>
      <c r="D134" s="424" t="s">
        <v>5076</v>
      </c>
      <c r="E134" s="425" t="str">
        <f>VLOOKUP($D134,'Tabel Map Industry'!$A$2:$H$464,2,0)</f>
        <v xml:space="preserve">Perdagangan Eceran Bahan Konstruksi </v>
      </c>
      <c r="F134" s="426" t="str">
        <f>VLOOKUP($D134,'Tabel Map Industry'!$A$2:$H$464,3,0)</f>
        <v>BUILDING MATERIAL</v>
      </c>
      <c r="G134" s="426" t="str">
        <f>VLOOKUP($D134,'Tabel Map Industry'!$A$2:$H$464,4,0)</f>
        <v>Perdagangan Eceran Bahan Konstruksi  - 523400</v>
      </c>
      <c r="H134" s="426" t="str">
        <f>VLOOKUP($D134,'Tabel Map Industry'!$A$2:$H$464,8,0)</f>
        <v>Perdagangan Eceran - 6500</v>
      </c>
    </row>
    <row r="135" spans="1:8" ht="75" hidden="1" customHeight="1" x14ac:dyDescent="0.25">
      <c r="A135" s="422" t="s">
        <v>6330</v>
      </c>
      <c r="B135" s="418" t="s">
        <v>7115</v>
      </c>
      <c r="C135" s="418" t="s">
        <v>7116</v>
      </c>
      <c r="D135" s="419" t="s">
        <v>5076</v>
      </c>
      <c r="E135" s="420" t="str">
        <f>VLOOKUP($D135,'Tabel Map Industry'!$A$2:$H$464,2,0)</f>
        <v xml:space="preserve">Perdagangan Eceran Bahan Konstruksi </v>
      </c>
      <c r="F135" s="421" t="str">
        <f>VLOOKUP($D135,'Tabel Map Industry'!$A$2:$H$464,3,0)</f>
        <v>BUILDING MATERIAL</v>
      </c>
      <c r="G135" s="421" t="str">
        <f>VLOOKUP($D135,'Tabel Map Industry'!$A$2:$H$464,4,0)</f>
        <v>Perdagangan Eceran Bahan Konstruksi  - 523400</v>
      </c>
      <c r="H135" s="421" t="str">
        <f>VLOOKUP($D135,'Tabel Map Industry'!$A$2:$H$464,8,0)</f>
        <v>Perdagangan Eceran - 6500</v>
      </c>
    </row>
    <row r="136" spans="1:8" ht="75" hidden="1" customHeight="1" x14ac:dyDescent="0.25">
      <c r="A136" s="417" t="s">
        <v>6327</v>
      </c>
      <c r="B136" s="423" t="s">
        <v>6701</v>
      </c>
      <c r="C136" s="423" t="s">
        <v>7122</v>
      </c>
      <c r="D136" s="424" t="s">
        <v>5076</v>
      </c>
      <c r="E136" s="425" t="str">
        <f>VLOOKUP($D136,'Tabel Map Industry'!$A$2:$H$464,2,0)</f>
        <v xml:space="preserve">Perdagangan Eceran Bahan Konstruksi </v>
      </c>
      <c r="F136" s="426" t="str">
        <f>VLOOKUP($D136,'Tabel Map Industry'!$A$2:$H$464,3,0)</f>
        <v>BUILDING MATERIAL</v>
      </c>
      <c r="G136" s="426" t="str">
        <f>VLOOKUP($D136,'Tabel Map Industry'!$A$2:$H$464,4,0)</f>
        <v>Perdagangan Eceran Bahan Konstruksi  - 523400</v>
      </c>
      <c r="H136" s="426" t="str">
        <f>VLOOKUP($D136,'Tabel Map Industry'!$A$2:$H$464,8,0)</f>
        <v>Perdagangan Eceran - 6500</v>
      </c>
    </row>
    <row r="137" spans="1:8" ht="75" hidden="1" customHeight="1" x14ac:dyDescent="0.25">
      <c r="A137" s="422" t="s">
        <v>6330</v>
      </c>
      <c r="B137" s="418" t="s">
        <v>6365</v>
      </c>
      <c r="C137" s="418" t="s">
        <v>7134</v>
      </c>
      <c r="D137" s="419" t="s">
        <v>5076</v>
      </c>
      <c r="E137" s="420" t="str">
        <f>VLOOKUP($D137,'Tabel Map Industry'!$A$2:$H$464,2,0)</f>
        <v xml:space="preserve">Perdagangan Eceran Bahan Konstruksi </v>
      </c>
      <c r="F137" s="421" t="str">
        <f>VLOOKUP($D137,'Tabel Map Industry'!$A$2:$H$464,3,0)</f>
        <v>BUILDING MATERIAL</v>
      </c>
      <c r="G137" s="421" t="str">
        <f>VLOOKUP($D137,'Tabel Map Industry'!$A$2:$H$464,4,0)</f>
        <v>Perdagangan Eceran Bahan Konstruksi  - 523400</v>
      </c>
      <c r="H137" s="421" t="str">
        <f>VLOOKUP($D137,'Tabel Map Industry'!$A$2:$H$464,8,0)</f>
        <v>Perdagangan Eceran - 6500</v>
      </c>
    </row>
    <row r="138" spans="1:8" ht="75" hidden="1" customHeight="1" x14ac:dyDescent="0.25">
      <c r="A138" s="417" t="s">
        <v>6330</v>
      </c>
      <c r="B138" s="423" t="s">
        <v>7139</v>
      </c>
      <c r="C138" s="423" t="s">
        <v>7140</v>
      </c>
      <c r="D138" s="424" t="s">
        <v>5076</v>
      </c>
      <c r="E138" s="425" t="str">
        <f>VLOOKUP($D138,'Tabel Map Industry'!$A$2:$H$464,2,0)</f>
        <v xml:space="preserve">Perdagangan Eceran Bahan Konstruksi </v>
      </c>
      <c r="F138" s="426" t="str">
        <f>VLOOKUP($D138,'Tabel Map Industry'!$A$2:$H$464,3,0)</f>
        <v>BUILDING MATERIAL</v>
      </c>
      <c r="G138" s="426" t="str">
        <f>VLOOKUP($D138,'Tabel Map Industry'!$A$2:$H$464,4,0)</f>
        <v>Perdagangan Eceran Bahan Konstruksi  - 523400</v>
      </c>
      <c r="H138" s="426" t="str">
        <f>VLOOKUP($D138,'Tabel Map Industry'!$A$2:$H$464,8,0)</f>
        <v>Perdagangan Eceran - 6500</v>
      </c>
    </row>
    <row r="139" spans="1:8" ht="75" hidden="1" customHeight="1" x14ac:dyDescent="0.25">
      <c r="A139" s="422" t="s">
        <v>6330</v>
      </c>
      <c r="B139" s="418" t="s">
        <v>6502</v>
      </c>
      <c r="C139" s="418" t="s">
        <v>7142</v>
      </c>
      <c r="D139" s="419" t="s">
        <v>5076</v>
      </c>
      <c r="E139" s="420" t="str">
        <f>VLOOKUP($D139,'Tabel Map Industry'!$A$2:$H$464,2,0)</f>
        <v xml:space="preserve">Perdagangan Eceran Bahan Konstruksi </v>
      </c>
      <c r="F139" s="421" t="str">
        <f>VLOOKUP($D139,'Tabel Map Industry'!$A$2:$H$464,3,0)</f>
        <v>BUILDING MATERIAL</v>
      </c>
      <c r="G139" s="421" t="str">
        <f>VLOOKUP($D139,'Tabel Map Industry'!$A$2:$H$464,4,0)</f>
        <v>Perdagangan Eceran Bahan Konstruksi  - 523400</v>
      </c>
      <c r="H139" s="421" t="str">
        <f>VLOOKUP($D139,'Tabel Map Industry'!$A$2:$H$464,8,0)</f>
        <v>Perdagangan Eceran - 6500</v>
      </c>
    </row>
    <row r="140" spans="1:8" ht="75" hidden="1" customHeight="1" x14ac:dyDescent="0.25">
      <c r="A140" s="417" t="s">
        <v>6330</v>
      </c>
      <c r="B140" s="423" t="s">
        <v>7152</v>
      </c>
      <c r="C140" s="423" t="s">
        <v>7153</v>
      </c>
      <c r="D140" s="424" t="s">
        <v>5071</v>
      </c>
      <c r="E140" s="425" t="str">
        <f>VLOOKUP($D140,'Tabel Map Industry'!$A$2:$H$464,2,0)</f>
        <v>Perdagangan Dalam Negeri Semen</v>
      </c>
      <c r="F140" s="426" t="str">
        <f>VLOOKUP($D140,'Tabel Map Industry'!$A$2:$H$464,3,0)</f>
        <v>BUILDING MATERIAL</v>
      </c>
      <c r="G140" s="426" t="str">
        <f>VLOOKUP($D140,'Tabel Map Industry'!$A$2:$H$464,4,0)</f>
        <v>Perdagangan Dalam Negeri Semen - 514301</v>
      </c>
      <c r="H140" s="426" t="str">
        <f>VLOOKUP($D140,'Tabel Map Industry'!$A$2:$H$464,8,0)</f>
        <v>Distribusi Semen - 6411</v>
      </c>
    </row>
    <row r="141" spans="1:8" ht="75" hidden="1" customHeight="1" x14ac:dyDescent="0.25">
      <c r="A141" s="422" t="s">
        <v>6330</v>
      </c>
      <c r="B141" s="418" t="str">
        <f>PROPER(F141)</f>
        <v>Building Material</v>
      </c>
      <c r="C141" s="418" t="str">
        <f>E141</f>
        <v xml:space="preserve">Perdagangan Eceran Bahan Konstruksi </v>
      </c>
      <c r="D141" s="419" t="s">
        <v>5076</v>
      </c>
      <c r="E141" s="420" t="str">
        <f>VLOOKUP($D141,'Tabel Map Industry'!$A$2:$H$464,2,0)</f>
        <v xml:space="preserve">Perdagangan Eceran Bahan Konstruksi </v>
      </c>
      <c r="F141" s="421" t="str">
        <f>VLOOKUP($D141,'Tabel Map Industry'!$A$2:$H$464,3,0)</f>
        <v>BUILDING MATERIAL</v>
      </c>
      <c r="G141" s="421" t="str">
        <f>VLOOKUP($D141,'Tabel Map Industry'!$A$2:$H$464,4,0)</f>
        <v>Perdagangan Eceran Bahan Konstruksi  - 523400</v>
      </c>
      <c r="H141" s="421" t="str">
        <f>VLOOKUP($D141,'Tabel Map Industry'!$A$2:$H$464,8,0)</f>
        <v>Perdagangan Eceran - 6500</v>
      </c>
    </row>
    <row r="142" spans="1:8" ht="75" hidden="1" customHeight="1" x14ac:dyDescent="0.25">
      <c r="A142" s="417" t="s">
        <v>6330</v>
      </c>
      <c r="B142" s="423" t="str">
        <f>PROPER(F142)</f>
        <v>Building Material</v>
      </c>
      <c r="C142" s="423" t="str">
        <f>E142</f>
        <v>Perdagangan Dalam Negeri Semen</v>
      </c>
      <c r="D142" s="424" t="s">
        <v>5071</v>
      </c>
      <c r="E142" s="425" t="str">
        <f>VLOOKUP($D142,'Tabel Map Industry'!$A$2:$H$464,2,0)</f>
        <v>Perdagangan Dalam Negeri Semen</v>
      </c>
      <c r="F142" s="426" t="str">
        <f>VLOOKUP($D142,'Tabel Map Industry'!$A$2:$H$464,3,0)</f>
        <v>BUILDING MATERIAL</v>
      </c>
      <c r="G142" s="426" t="str">
        <f>VLOOKUP($D142,'Tabel Map Industry'!$A$2:$H$464,4,0)</f>
        <v>Perdagangan Dalam Negeri Semen - 514301</v>
      </c>
      <c r="H142" s="426" t="str">
        <f>VLOOKUP($D142,'Tabel Map Industry'!$A$2:$H$464,8,0)</f>
        <v>Distribusi Semen - 6411</v>
      </c>
    </row>
    <row r="143" spans="1:8" ht="75" hidden="1" customHeight="1" x14ac:dyDescent="0.25">
      <c r="A143" s="422" t="s">
        <v>6327</v>
      </c>
      <c r="B143" s="418" t="s">
        <v>6617</v>
      </c>
      <c r="C143" s="418" t="s">
        <v>6643</v>
      </c>
      <c r="D143" s="419" t="s">
        <v>5076</v>
      </c>
      <c r="E143" s="420" t="str">
        <f>VLOOKUP($D143,'Tabel Map Industry'!$A$2:$H$464,2,0)</f>
        <v xml:space="preserve">Perdagangan Eceran Bahan Konstruksi </v>
      </c>
      <c r="F143" s="421" t="str">
        <f>VLOOKUP($D143,'Tabel Map Industry'!$A$2:$H$464,3,0)</f>
        <v>BUILDING MATERIAL</v>
      </c>
      <c r="G143" s="421" t="str">
        <f>VLOOKUP($D143,'Tabel Map Industry'!$A$2:$H$464,4,0)</f>
        <v>Perdagangan Eceran Bahan Konstruksi  - 523400</v>
      </c>
      <c r="H143" s="421" t="str">
        <f>VLOOKUP($D143,'Tabel Map Industry'!$A$2:$H$464,8,0)</f>
        <v>Perdagangan Eceran - 6500</v>
      </c>
    </row>
    <row r="144" spans="1:8" ht="75" hidden="1" customHeight="1" x14ac:dyDescent="0.25">
      <c r="A144" s="417" t="s">
        <v>6330</v>
      </c>
      <c r="B144" s="423" t="s">
        <v>6657</v>
      </c>
      <c r="C144" s="423" t="s">
        <v>6658</v>
      </c>
      <c r="D144" s="424" t="s">
        <v>5076</v>
      </c>
      <c r="E144" s="425" t="str">
        <f>VLOOKUP($D144,'Tabel Map Industry'!$A$2:$H$464,2,0)</f>
        <v xml:space="preserve">Perdagangan Eceran Bahan Konstruksi </v>
      </c>
      <c r="F144" s="426" t="str">
        <f>VLOOKUP($D144,'Tabel Map Industry'!$A$2:$H$464,3,0)</f>
        <v>BUILDING MATERIAL</v>
      </c>
      <c r="G144" s="426" t="str">
        <f>VLOOKUP($D144,'Tabel Map Industry'!$A$2:$H$464,4,0)</f>
        <v>Perdagangan Eceran Bahan Konstruksi  - 523400</v>
      </c>
      <c r="H144" s="426" t="str">
        <f>VLOOKUP($D144,'Tabel Map Industry'!$A$2:$H$464,8,0)</f>
        <v>Perdagangan Eceran - 6500</v>
      </c>
    </row>
    <row r="145" spans="1:8" ht="75" hidden="1" customHeight="1" x14ac:dyDescent="0.25">
      <c r="A145" s="422" t="s">
        <v>6330</v>
      </c>
      <c r="B145" s="418" t="s">
        <v>6581</v>
      </c>
      <c r="C145" s="418" t="s">
        <v>6669</v>
      </c>
      <c r="D145" s="419" t="s">
        <v>5076</v>
      </c>
      <c r="E145" s="420" t="str">
        <f>VLOOKUP($D145,'Tabel Map Industry'!$A$2:$H$464,2,0)</f>
        <v xml:space="preserve">Perdagangan Eceran Bahan Konstruksi </v>
      </c>
      <c r="F145" s="421" t="str">
        <f>VLOOKUP($D145,'Tabel Map Industry'!$A$2:$H$464,3,0)</f>
        <v>BUILDING MATERIAL</v>
      </c>
      <c r="G145" s="421" t="str">
        <f>VLOOKUP($D145,'Tabel Map Industry'!$A$2:$H$464,4,0)</f>
        <v>Perdagangan Eceran Bahan Konstruksi  - 523400</v>
      </c>
      <c r="H145" s="421" t="str">
        <f>VLOOKUP($D145,'Tabel Map Industry'!$A$2:$H$464,8,0)</f>
        <v>Perdagangan Eceran - 6500</v>
      </c>
    </row>
    <row r="146" spans="1:8" ht="75" hidden="1" customHeight="1" x14ac:dyDescent="0.25">
      <c r="A146" s="417" t="s">
        <v>6330</v>
      </c>
      <c r="B146" s="423" t="s">
        <v>6331</v>
      </c>
      <c r="C146" s="423" t="s">
        <v>6332</v>
      </c>
      <c r="D146" s="424" t="s">
        <v>4918</v>
      </c>
      <c r="E146" s="425" t="str">
        <f>VLOOKUP($D146,'Tabel Map Industry'!$A$2:$H$464,2,0)</f>
        <v xml:space="preserve">Perdagangan Eceran Bahan Kimia, Farmasi, Kosmetik, dan Alat Laboratorium </v>
      </c>
      <c r="F146" s="426" t="str">
        <f>VLOOKUP($D146,'Tabel Map Industry'!$A$2:$H$464,3,0)</f>
        <v>CHEMICAL &amp; PHARMACEUTICAL</v>
      </c>
      <c r="G146" s="426" t="str">
        <f>VLOOKUP($D146,'Tabel Map Industry'!$A$2:$H$464,4,0)</f>
        <v>Perdagangan Eceran Bahan Kimia, Farmasi, Kosmetik, dan Alat Laboratorium  - 523100</v>
      </c>
      <c r="H146" s="426" t="str">
        <f>VLOOKUP($D146,'Tabel Map Industry'!$A$2:$H$464,8,0)</f>
        <v>Perdagangan Eceran - 6500</v>
      </c>
    </row>
    <row r="147" spans="1:8" ht="75" hidden="1" customHeight="1" x14ac:dyDescent="0.25">
      <c r="A147" s="422" t="s">
        <v>6330</v>
      </c>
      <c r="B147" s="418" t="s">
        <v>6359</v>
      </c>
      <c r="C147" s="418" t="s">
        <v>6360</v>
      </c>
      <c r="D147" s="419" t="s">
        <v>4918</v>
      </c>
      <c r="E147" s="420" t="str">
        <f>VLOOKUP($D147,'Tabel Map Industry'!$A$2:$H$464,2,0)</f>
        <v xml:space="preserve">Perdagangan Eceran Bahan Kimia, Farmasi, Kosmetik, dan Alat Laboratorium </v>
      </c>
      <c r="F147" s="421" t="str">
        <f>VLOOKUP($D147,'Tabel Map Industry'!$A$2:$H$464,3,0)</f>
        <v>CHEMICAL &amp; PHARMACEUTICAL</v>
      </c>
      <c r="G147" s="421" t="str">
        <f>VLOOKUP($D147,'Tabel Map Industry'!$A$2:$H$464,4,0)</f>
        <v>Perdagangan Eceran Bahan Kimia, Farmasi, Kosmetik, dan Alat Laboratorium  - 523100</v>
      </c>
      <c r="H147" s="421" t="str">
        <f>VLOOKUP($D147,'Tabel Map Industry'!$A$2:$H$464,8,0)</f>
        <v>Perdagangan Eceran - 6500</v>
      </c>
    </row>
    <row r="148" spans="1:8" ht="75" hidden="1" customHeight="1" x14ac:dyDescent="0.25">
      <c r="A148" s="417" t="s">
        <v>6327</v>
      </c>
      <c r="B148" s="423" t="s">
        <v>6407</v>
      </c>
      <c r="C148" s="423" t="s">
        <v>6408</v>
      </c>
      <c r="D148" s="424" t="s">
        <v>4918</v>
      </c>
      <c r="E148" s="425" t="str">
        <f>VLOOKUP($D148,'Tabel Map Industry'!$A$2:$H$464,2,0)</f>
        <v xml:space="preserve">Perdagangan Eceran Bahan Kimia, Farmasi, Kosmetik, dan Alat Laboratorium </v>
      </c>
      <c r="F148" s="426" t="str">
        <f>VLOOKUP($D148,'Tabel Map Industry'!$A$2:$H$464,3,0)</f>
        <v>CHEMICAL &amp; PHARMACEUTICAL</v>
      </c>
      <c r="G148" s="426" t="str">
        <f>VLOOKUP($D148,'Tabel Map Industry'!$A$2:$H$464,4,0)</f>
        <v>Perdagangan Eceran Bahan Kimia, Farmasi, Kosmetik, dan Alat Laboratorium  - 523100</v>
      </c>
      <c r="H148" s="426" t="str">
        <f>VLOOKUP($D148,'Tabel Map Industry'!$A$2:$H$464,8,0)</f>
        <v>Perdagangan Eceran - 6500</v>
      </c>
    </row>
    <row r="149" spans="1:8" ht="75" hidden="1" customHeight="1" x14ac:dyDescent="0.25">
      <c r="A149" s="422" t="s">
        <v>6330</v>
      </c>
      <c r="B149" s="418" t="s">
        <v>6429</v>
      </c>
      <c r="C149" s="418" t="s">
        <v>6430</v>
      </c>
      <c r="D149" s="419" t="s">
        <v>4918</v>
      </c>
      <c r="E149" s="420" t="str">
        <f>VLOOKUP($D149,'Tabel Map Industry'!$A$2:$H$464,2,0)</f>
        <v xml:space="preserve">Perdagangan Eceran Bahan Kimia, Farmasi, Kosmetik, dan Alat Laboratorium </v>
      </c>
      <c r="F149" s="421" t="str">
        <f>VLOOKUP($D149,'Tabel Map Industry'!$A$2:$H$464,3,0)</f>
        <v>CHEMICAL &amp; PHARMACEUTICAL</v>
      </c>
      <c r="G149" s="421" t="str">
        <f>VLOOKUP($D149,'Tabel Map Industry'!$A$2:$H$464,4,0)</f>
        <v>Perdagangan Eceran Bahan Kimia, Farmasi, Kosmetik, dan Alat Laboratorium  - 523100</v>
      </c>
      <c r="H149" s="421" t="str">
        <f>VLOOKUP($D149,'Tabel Map Industry'!$A$2:$H$464,8,0)</f>
        <v>Perdagangan Eceran - 6500</v>
      </c>
    </row>
    <row r="150" spans="1:8" ht="75" hidden="1" customHeight="1" x14ac:dyDescent="0.25">
      <c r="A150" s="417" t="s">
        <v>6330</v>
      </c>
      <c r="B150" s="423" t="s">
        <v>6489</v>
      </c>
      <c r="C150" s="423" t="s">
        <v>6490</v>
      </c>
      <c r="D150" s="424" t="s">
        <v>4911</v>
      </c>
      <c r="E150" s="425" t="str">
        <f>VLOOKUP($D150,'Tabel Map Industry'!$A$2:$H$464,2,0)</f>
        <v xml:space="preserve">Industri Cat, Pernis dan Lak </v>
      </c>
      <c r="F150" s="426" t="str">
        <f>VLOOKUP($D150,'Tabel Map Industry'!$A$2:$H$464,3,0)</f>
        <v>CHEMICAL &amp; PHARMACEUTICAL</v>
      </c>
      <c r="G150" s="426" t="str">
        <f>VLOOKUP($D150,'Tabel Map Industry'!$A$2:$H$464,4,0)</f>
        <v>Industri Cat, Pernis dan Lak  - 242200</v>
      </c>
      <c r="H150" s="426" t="str">
        <f>VLOOKUP($D150,'Tabel Map Industry'!$A$2:$H$464,8,0)</f>
        <v>Industri - Lainnya - 3990</v>
      </c>
    </row>
    <row r="151" spans="1:8" ht="75" hidden="1" customHeight="1" x14ac:dyDescent="0.25">
      <c r="A151" s="422" t="s">
        <v>6327</v>
      </c>
      <c r="B151" s="418" t="s">
        <v>503</v>
      </c>
      <c r="C151" s="418" t="s">
        <v>6519</v>
      </c>
      <c r="D151" s="419" t="s">
        <v>4920</v>
      </c>
      <c r="E151" s="420" t="str">
        <f>VLOOKUP($D151,'Tabel Map Industry'!$A$2:$H$464,2,0)</f>
        <v>Perdagangan Dalam Negeri Pupuk dan Obat Hama</v>
      </c>
      <c r="F151" s="421" t="str">
        <f>VLOOKUP($D151,'Tabel Map Industry'!$A$2:$H$464,3,0)</f>
        <v>CHEMICAL &amp; PHARMACEUTICAL</v>
      </c>
      <c r="G151" s="421" t="str">
        <f>VLOOKUP($D151,'Tabel Map Industry'!$A$2:$H$464,4,0)</f>
        <v>Perdagangan Dalam Negeri Pupuk dan Obat Hama - 514901</v>
      </c>
      <c r="H151" s="421" t="str">
        <f>VLOOKUP($D151,'Tabel Map Industry'!$A$2:$H$464,8,0)</f>
        <v>Distribusi Pupuk/Obat Hama - 6412</v>
      </c>
    </row>
    <row r="152" spans="1:8" ht="75" hidden="1" customHeight="1" x14ac:dyDescent="0.25">
      <c r="A152" s="417" t="s">
        <v>6330</v>
      </c>
      <c r="B152" s="423" t="s">
        <v>6546</v>
      </c>
      <c r="C152" s="423" t="s">
        <v>6547</v>
      </c>
      <c r="D152" s="424" t="s">
        <v>4920</v>
      </c>
      <c r="E152" s="425" t="str">
        <f>VLOOKUP($D152,'Tabel Map Industry'!$A$2:$H$464,2,0)</f>
        <v>Perdagangan Dalam Negeri Pupuk dan Obat Hama</v>
      </c>
      <c r="F152" s="426" t="str">
        <f>VLOOKUP($D152,'Tabel Map Industry'!$A$2:$H$464,3,0)</f>
        <v>CHEMICAL &amp; PHARMACEUTICAL</v>
      </c>
      <c r="G152" s="426" t="str">
        <f>VLOOKUP($D152,'Tabel Map Industry'!$A$2:$H$464,4,0)</f>
        <v>Perdagangan Dalam Negeri Pupuk dan Obat Hama - 514901</v>
      </c>
      <c r="H152" s="426" t="str">
        <f>VLOOKUP($D152,'Tabel Map Industry'!$A$2:$H$464,8,0)</f>
        <v>Distribusi Pupuk/Obat Hama - 6412</v>
      </c>
    </row>
    <row r="153" spans="1:8" ht="75" hidden="1" customHeight="1" x14ac:dyDescent="0.25">
      <c r="A153" s="422" t="s">
        <v>6330</v>
      </c>
      <c r="B153" s="418" t="s">
        <v>6330</v>
      </c>
      <c r="C153" s="418" t="s">
        <v>6550</v>
      </c>
      <c r="D153" s="419" t="s">
        <v>4920</v>
      </c>
      <c r="E153" s="420" t="str">
        <f>VLOOKUP($D153,'Tabel Map Industry'!$A$2:$H$464,2,0)</f>
        <v>Perdagangan Dalam Negeri Pupuk dan Obat Hama</v>
      </c>
      <c r="F153" s="421" t="str">
        <f>VLOOKUP($D153,'Tabel Map Industry'!$A$2:$H$464,3,0)</f>
        <v>CHEMICAL &amp; PHARMACEUTICAL</v>
      </c>
      <c r="G153" s="421" t="str">
        <f>VLOOKUP($D153,'Tabel Map Industry'!$A$2:$H$464,4,0)</f>
        <v>Perdagangan Dalam Negeri Pupuk dan Obat Hama - 514901</v>
      </c>
      <c r="H153" s="421" t="str">
        <f>VLOOKUP($D153,'Tabel Map Industry'!$A$2:$H$464,8,0)</f>
        <v>Distribusi Pupuk/Obat Hama - 6412</v>
      </c>
    </row>
    <row r="154" spans="1:8" ht="75" hidden="1" customHeight="1" x14ac:dyDescent="0.25">
      <c r="A154" s="417" t="s">
        <v>6330</v>
      </c>
      <c r="B154" s="423" t="s">
        <v>6595</v>
      </c>
      <c r="C154" s="423" t="s">
        <v>6596</v>
      </c>
      <c r="D154" s="424" t="s">
        <v>4920</v>
      </c>
      <c r="E154" s="425" t="str">
        <f>VLOOKUP($D154,'Tabel Map Industry'!$A$2:$H$464,2,0)</f>
        <v>Perdagangan Dalam Negeri Pupuk dan Obat Hama</v>
      </c>
      <c r="F154" s="426" t="str">
        <f>VLOOKUP($D154,'Tabel Map Industry'!$A$2:$H$464,3,0)</f>
        <v>CHEMICAL &amp; PHARMACEUTICAL</v>
      </c>
      <c r="G154" s="426" t="str">
        <f>VLOOKUP($D154,'Tabel Map Industry'!$A$2:$H$464,4,0)</f>
        <v>Perdagangan Dalam Negeri Pupuk dan Obat Hama - 514901</v>
      </c>
      <c r="H154" s="426" t="str">
        <f>VLOOKUP($D154,'Tabel Map Industry'!$A$2:$H$464,8,0)</f>
        <v>Distribusi Pupuk/Obat Hama - 6412</v>
      </c>
    </row>
    <row r="155" spans="1:8" ht="75" hidden="1" customHeight="1" x14ac:dyDescent="0.25">
      <c r="A155" s="422" t="s">
        <v>6330</v>
      </c>
      <c r="B155" s="418" t="s">
        <v>6638</v>
      </c>
      <c r="C155" s="418" t="s">
        <v>6639</v>
      </c>
      <c r="D155" s="419" t="s">
        <v>4918</v>
      </c>
      <c r="E155" s="420" t="str">
        <f>VLOOKUP($D155,'Tabel Map Industry'!$A$2:$H$464,2,0)</f>
        <v xml:space="preserve">Perdagangan Eceran Bahan Kimia, Farmasi, Kosmetik, dan Alat Laboratorium </v>
      </c>
      <c r="F155" s="421" t="str">
        <f>VLOOKUP($D155,'Tabel Map Industry'!$A$2:$H$464,3,0)</f>
        <v>CHEMICAL &amp; PHARMACEUTICAL</v>
      </c>
      <c r="G155" s="421" t="str">
        <f>VLOOKUP($D155,'Tabel Map Industry'!$A$2:$H$464,4,0)</f>
        <v>Perdagangan Eceran Bahan Kimia, Farmasi, Kosmetik, dan Alat Laboratorium  - 523100</v>
      </c>
      <c r="H155" s="421" t="str">
        <f>VLOOKUP($D155,'Tabel Map Industry'!$A$2:$H$464,8,0)</f>
        <v>Perdagangan Eceran - 6500</v>
      </c>
    </row>
    <row r="156" spans="1:8" ht="75" hidden="1" customHeight="1" x14ac:dyDescent="0.25">
      <c r="A156" s="417" t="s">
        <v>6330</v>
      </c>
      <c r="B156" s="423" t="s">
        <v>6752</v>
      </c>
      <c r="C156" s="423" t="s">
        <v>6753</v>
      </c>
      <c r="D156" s="424" t="s">
        <v>4913</v>
      </c>
      <c r="E156" s="425" t="str">
        <f>VLOOKUP($D156,'Tabel Map Industry'!$A$2:$H$464,2,0)</f>
        <v xml:space="preserve">Industri Bahan Kimia dan Barang Kimia Lainnya </v>
      </c>
      <c r="F156" s="426" t="str">
        <f>VLOOKUP($D156,'Tabel Map Industry'!$A$2:$H$464,3,0)</f>
        <v>CHEMICAL &amp; PHARMACEUTICAL</v>
      </c>
      <c r="G156" s="426" t="str">
        <f>VLOOKUP($D156,'Tabel Map Industry'!$A$2:$H$464,4,0)</f>
        <v>Industri Bahan Kimia dan Barang Kimia Lainnya  - 242990</v>
      </c>
      <c r="H156" s="426" t="str">
        <f>VLOOKUP($D156,'Tabel Map Industry'!$A$2:$H$464,8,0)</f>
        <v>Industri - Hasil Kimia Lainnya - 3640</v>
      </c>
    </row>
    <row r="157" spans="1:8" ht="75" hidden="1" customHeight="1" x14ac:dyDescent="0.25">
      <c r="A157" s="422" t="s">
        <v>6330</v>
      </c>
      <c r="B157" s="418" t="s">
        <v>6771</v>
      </c>
      <c r="C157" s="418" t="s">
        <v>6772</v>
      </c>
      <c r="D157" s="419" t="s">
        <v>4918</v>
      </c>
      <c r="E157" s="420" t="str">
        <f>VLOOKUP($D157,'Tabel Map Industry'!$A$2:$H$464,2,0)</f>
        <v xml:space="preserve">Perdagangan Eceran Bahan Kimia, Farmasi, Kosmetik, dan Alat Laboratorium </v>
      </c>
      <c r="F157" s="421" t="str">
        <f>VLOOKUP($D157,'Tabel Map Industry'!$A$2:$H$464,3,0)</f>
        <v>CHEMICAL &amp; PHARMACEUTICAL</v>
      </c>
      <c r="G157" s="421" t="str">
        <f>VLOOKUP($D157,'Tabel Map Industry'!$A$2:$H$464,4,0)</f>
        <v>Perdagangan Eceran Bahan Kimia, Farmasi, Kosmetik, dan Alat Laboratorium  - 523100</v>
      </c>
      <c r="H157" s="421" t="str">
        <f>VLOOKUP($D157,'Tabel Map Industry'!$A$2:$H$464,8,0)</f>
        <v>Perdagangan Eceran - 6500</v>
      </c>
    </row>
    <row r="158" spans="1:8" ht="75" hidden="1" customHeight="1" x14ac:dyDescent="0.25">
      <c r="A158" s="417" t="s">
        <v>6330</v>
      </c>
      <c r="B158" s="423" t="s">
        <v>6771</v>
      </c>
      <c r="C158" s="423" t="s">
        <v>6773</v>
      </c>
      <c r="D158" s="424" t="s">
        <v>4915</v>
      </c>
      <c r="E158" s="425" t="str">
        <f>VLOOKUP($D158,'Tabel Map Industry'!$A$2:$H$464,2,0)</f>
        <v xml:space="preserve">Industri Kimia Dasar, Kecuali Pupuk </v>
      </c>
      <c r="F158" s="426" t="str">
        <f>VLOOKUP($D158,'Tabel Map Industry'!$A$2:$H$464,3,0)</f>
        <v>CHEMICAL &amp; PHARMACEUTICAL</v>
      </c>
      <c r="G158" s="426" t="str">
        <f>VLOOKUP($D158,'Tabel Map Industry'!$A$2:$H$464,4,0)</f>
        <v>Industri Kimia Dasar, Kecuali Pupuk  - 241100</v>
      </c>
      <c r="H158" s="426" t="str">
        <f>VLOOKUP($D158,'Tabel Map Industry'!$A$2:$H$464,8,0)</f>
        <v>Industri - Lainnya - 3990</v>
      </c>
    </row>
    <row r="159" spans="1:8" ht="75" hidden="1" customHeight="1" x14ac:dyDescent="0.25">
      <c r="A159" s="422" t="s">
        <v>6330</v>
      </c>
      <c r="B159" s="418" t="s">
        <v>6771</v>
      </c>
      <c r="C159" s="418" t="s">
        <v>6793</v>
      </c>
      <c r="D159" s="419" t="s">
        <v>4913</v>
      </c>
      <c r="E159" s="420" t="str">
        <f>VLOOKUP($D159,'Tabel Map Industry'!$A$2:$H$464,2,0)</f>
        <v xml:space="preserve">Industri Bahan Kimia dan Barang Kimia Lainnya </v>
      </c>
      <c r="F159" s="421" t="str">
        <f>VLOOKUP($D159,'Tabel Map Industry'!$A$2:$H$464,3,0)</f>
        <v>CHEMICAL &amp; PHARMACEUTICAL</v>
      </c>
      <c r="G159" s="421" t="str">
        <f>VLOOKUP($D159,'Tabel Map Industry'!$A$2:$H$464,4,0)</f>
        <v>Industri Bahan Kimia dan Barang Kimia Lainnya  - 242990</v>
      </c>
      <c r="H159" s="421" t="str">
        <f>VLOOKUP($D159,'Tabel Map Industry'!$A$2:$H$464,8,0)</f>
        <v>Industri - Hasil Kimia Lainnya - 3640</v>
      </c>
    </row>
    <row r="160" spans="1:8" ht="75" hidden="1" customHeight="1" x14ac:dyDescent="0.25">
      <c r="A160" s="417" t="s">
        <v>6330</v>
      </c>
      <c r="B160" s="423" t="s">
        <v>6806</v>
      </c>
      <c r="C160" s="423" t="s">
        <v>6806</v>
      </c>
      <c r="D160" s="424" t="s">
        <v>4918</v>
      </c>
      <c r="E160" s="425" t="str">
        <f>VLOOKUP($D160,'Tabel Map Industry'!$A$2:$H$464,2,0)</f>
        <v xml:space="preserve">Perdagangan Eceran Bahan Kimia, Farmasi, Kosmetik, dan Alat Laboratorium </v>
      </c>
      <c r="F160" s="426" t="str">
        <f>VLOOKUP($D160,'Tabel Map Industry'!$A$2:$H$464,3,0)</f>
        <v>CHEMICAL &amp; PHARMACEUTICAL</v>
      </c>
      <c r="G160" s="426" t="str">
        <f>VLOOKUP($D160,'Tabel Map Industry'!$A$2:$H$464,4,0)</f>
        <v>Perdagangan Eceran Bahan Kimia, Farmasi, Kosmetik, dan Alat Laboratorium  - 523100</v>
      </c>
      <c r="H160" s="426" t="str">
        <f>VLOOKUP($D160,'Tabel Map Industry'!$A$2:$H$464,8,0)</f>
        <v>Perdagangan Eceran - 6500</v>
      </c>
    </row>
    <row r="161" spans="1:8" ht="75" hidden="1" customHeight="1" x14ac:dyDescent="0.25">
      <c r="A161" s="422" t="s">
        <v>6324</v>
      </c>
      <c r="B161" s="418" t="s">
        <v>6756</v>
      </c>
      <c r="C161" s="418" t="s">
        <v>6891</v>
      </c>
      <c r="D161" s="419" t="s">
        <v>4918</v>
      </c>
      <c r="E161" s="420" t="str">
        <f>VLOOKUP($D161,'Tabel Map Industry'!$A$2:$H$464,2,0)</f>
        <v xml:space="preserve">Perdagangan Eceran Bahan Kimia, Farmasi, Kosmetik, dan Alat Laboratorium </v>
      </c>
      <c r="F161" s="421" t="str">
        <f>VLOOKUP($D161,'Tabel Map Industry'!$A$2:$H$464,3,0)</f>
        <v>CHEMICAL &amp; PHARMACEUTICAL</v>
      </c>
      <c r="G161" s="421" t="str">
        <f>VLOOKUP($D161,'Tabel Map Industry'!$A$2:$H$464,4,0)</f>
        <v>Perdagangan Eceran Bahan Kimia, Farmasi, Kosmetik, dan Alat Laboratorium  - 523100</v>
      </c>
      <c r="H161" s="421" t="str">
        <f>VLOOKUP($D161,'Tabel Map Industry'!$A$2:$H$464,8,0)</f>
        <v>Perdagangan Eceran - 6500</v>
      </c>
    </row>
    <row r="162" spans="1:8" ht="75" hidden="1" customHeight="1" x14ac:dyDescent="0.25">
      <c r="A162" s="417" t="s">
        <v>6327</v>
      </c>
      <c r="B162" s="423" t="s">
        <v>6904</v>
      </c>
      <c r="C162" s="423" t="s">
        <v>6905</v>
      </c>
      <c r="D162" s="424" t="s">
        <v>4918</v>
      </c>
      <c r="E162" s="425" t="str">
        <f>VLOOKUP($D162,'Tabel Map Industry'!$A$2:$H$464,2,0)</f>
        <v xml:space="preserve">Perdagangan Eceran Bahan Kimia, Farmasi, Kosmetik, dan Alat Laboratorium </v>
      </c>
      <c r="F162" s="426" t="str">
        <f>VLOOKUP($D162,'Tabel Map Industry'!$A$2:$H$464,3,0)</f>
        <v>CHEMICAL &amp; PHARMACEUTICAL</v>
      </c>
      <c r="G162" s="426" t="str">
        <f>VLOOKUP($D162,'Tabel Map Industry'!$A$2:$H$464,4,0)</f>
        <v>Perdagangan Eceran Bahan Kimia, Farmasi, Kosmetik, dan Alat Laboratorium  - 523100</v>
      </c>
      <c r="H162" s="426" t="str">
        <f>VLOOKUP($D162,'Tabel Map Industry'!$A$2:$H$464,8,0)</f>
        <v>Perdagangan Eceran - 6500</v>
      </c>
    </row>
    <row r="163" spans="1:8" ht="75" hidden="1" customHeight="1" x14ac:dyDescent="0.25">
      <c r="A163" s="422" t="s">
        <v>6330</v>
      </c>
      <c r="B163" s="418" t="s">
        <v>7004</v>
      </c>
      <c r="C163" s="418" t="s">
        <v>7004</v>
      </c>
      <c r="D163" s="419" t="s">
        <v>4918</v>
      </c>
      <c r="E163" s="420" t="str">
        <f>VLOOKUP($D163,'Tabel Map Industry'!$A$2:$H$464,2,0)</f>
        <v xml:space="preserve">Perdagangan Eceran Bahan Kimia, Farmasi, Kosmetik, dan Alat Laboratorium </v>
      </c>
      <c r="F163" s="421" t="str">
        <f>VLOOKUP($D163,'Tabel Map Industry'!$A$2:$H$464,3,0)</f>
        <v>CHEMICAL &amp; PHARMACEUTICAL</v>
      </c>
      <c r="G163" s="421" t="str">
        <f>VLOOKUP($D163,'Tabel Map Industry'!$A$2:$H$464,4,0)</f>
        <v>Perdagangan Eceran Bahan Kimia, Farmasi, Kosmetik, dan Alat Laboratorium  - 523100</v>
      </c>
      <c r="H163" s="421" t="str">
        <f>VLOOKUP($D163,'Tabel Map Industry'!$A$2:$H$464,8,0)</f>
        <v>Perdagangan Eceran - 6500</v>
      </c>
    </row>
    <row r="164" spans="1:8" ht="75" hidden="1" customHeight="1" x14ac:dyDescent="0.25">
      <c r="A164" s="417" t="s">
        <v>6330</v>
      </c>
      <c r="B164" s="423" t="s">
        <v>6330</v>
      </c>
      <c r="C164" s="423" t="s">
        <v>7010</v>
      </c>
      <c r="D164" s="424" t="s">
        <v>4918</v>
      </c>
      <c r="E164" s="425" t="str">
        <f>VLOOKUP($D164,'Tabel Map Industry'!$A$2:$H$464,2,0)</f>
        <v xml:space="preserve">Perdagangan Eceran Bahan Kimia, Farmasi, Kosmetik, dan Alat Laboratorium </v>
      </c>
      <c r="F164" s="426" t="str">
        <f>VLOOKUP($D164,'Tabel Map Industry'!$A$2:$H$464,3,0)</f>
        <v>CHEMICAL &amp; PHARMACEUTICAL</v>
      </c>
      <c r="G164" s="426" t="str">
        <f>VLOOKUP($D164,'Tabel Map Industry'!$A$2:$H$464,4,0)</f>
        <v>Perdagangan Eceran Bahan Kimia, Farmasi, Kosmetik, dan Alat Laboratorium  - 523100</v>
      </c>
      <c r="H164" s="426" t="str">
        <f>VLOOKUP($D164,'Tabel Map Industry'!$A$2:$H$464,8,0)</f>
        <v>Perdagangan Eceran - 6500</v>
      </c>
    </row>
    <row r="165" spans="1:8" ht="75" hidden="1" customHeight="1" x14ac:dyDescent="0.25">
      <c r="A165" s="422" t="s">
        <v>6330</v>
      </c>
      <c r="B165" s="418" t="s">
        <v>7123</v>
      </c>
      <c r="C165" s="418" t="s">
        <v>7124</v>
      </c>
      <c r="D165" s="419" t="s">
        <v>4920</v>
      </c>
      <c r="E165" s="420" t="str">
        <f>VLOOKUP($D165,'Tabel Map Industry'!$A$2:$H$464,2,0)</f>
        <v>Perdagangan Dalam Negeri Pupuk dan Obat Hama</v>
      </c>
      <c r="F165" s="421" t="str">
        <f>VLOOKUP($D165,'Tabel Map Industry'!$A$2:$H$464,3,0)</f>
        <v>CHEMICAL &amp; PHARMACEUTICAL</v>
      </c>
      <c r="G165" s="421" t="str">
        <f>VLOOKUP($D165,'Tabel Map Industry'!$A$2:$H$464,4,0)</f>
        <v>Perdagangan Dalam Negeri Pupuk dan Obat Hama - 514901</v>
      </c>
      <c r="H165" s="421" t="str">
        <f>VLOOKUP($D165,'Tabel Map Industry'!$A$2:$H$464,8,0)</f>
        <v>Distribusi Pupuk/Obat Hama - 6412</v>
      </c>
    </row>
    <row r="166" spans="1:8" ht="75" hidden="1" customHeight="1" x14ac:dyDescent="0.25">
      <c r="A166" s="417" t="s">
        <v>6330</v>
      </c>
      <c r="B166" s="423" t="s">
        <v>7130</v>
      </c>
      <c r="C166" s="423" t="s">
        <v>7131</v>
      </c>
      <c r="D166" s="424" t="s">
        <v>4918</v>
      </c>
      <c r="E166" s="425" t="str">
        <f>VLOOKUP($D166,'Tabel Map Industry'!$A$2:$H$464,2,0)</f>
        <v xml:space="preserve">Perdagangan Eceran Bahan Kimia, Farmasi, Kosmetik, dan Alat Laboratorium </v>
      </c>
      <c r="F166" s="426" t="str">
        <f>VLOOKUP($D166,'Tabel Map Industry'!$A$2:$H$464,3,0)</f>
        <v>CHEMICAL &amp; PHARMACEUTICAL</v>
      </c>
      <c r="G166" s="426" t="str">
        <f>VLOOKUP($D166,'Tabel Map Industry'!$A$2:$H$464,4,0)</f>
        <v>Perdagangan Eceran Bahan Kimia, Farmasi, Kosmetik, dan Alat Laboratorium  - 523100</v>
      </c>
      <c r="H166" s="426" t="str">
        <f>VLOOKUP($D166,'Tabel Map Industry'!$A$2:$H$464,8,0)</f>
        <v>Perdagangan Eceran - 6500</v>
      </c>
    </row>
    <row r="167" spans="1:8" ht="75" hidden="1" customHeight="1" x14ac:dyDescent="0.25">
      <c r="A167" s="422" t="s">
        <v>6330</v>
      </c>
      <c r="B167" s="418" t="str">
        <f>PROPER(F167)</f>
        <v>Chemical &amp; Pharmaceutical</v>
      </c>
      <c r="C167" s="418" t="str">
        <f>E167</f>
        <v xml:space="preserve">Industri Cat, Pernis dan Lak </v>
      </c>
      <c r="D167" s="419" t="s">
        <v>4911</v>
      </c>
      <c r="E167" s="420" t="str">
        <f>VLOOKUP($D167,'Tabel Map Industry'!$A$2:$H$464,2,0)</f>
        <v xml:space="preserve">Industri Cat, Pernis dan Lak </v>
      </c>
      <c r="F167" s="421" t="str">
        <f>VLOOKUP($D167,'Tabel Map Industry'!$A$2:$H$464,3,0)</f>
        <v>CHEMICAL &amp; PHARMACEUTICAL</v>
      </c>
      <c r="G167" s="421" t="str">
        <f>VLOOKUP($D167,'Tabel Map Industry'!$A$2:$H$464,4,0)</f>
        <v>Industri Cat, Pernis dan Lak  - 242200</v>
      </c>
      <c r="H167" s="421" t="str">
        <f>VLOOKUP($D167,'Tabel Map Industry'!$A$2:$H$464,8,0)</f>
        <v>Industri - Lainnya - 3990</v>
      </c>
    </row>
    <row r="168" spans="1:8" ht="75" hidden="1" customHeight="1" x14ac:dyDescent="0.25">
      <c r="A168" s="417" t="s">
        <v>6330</v>
      </c>
      <c r="B168" s="423" t="str">
        <f>PROPER(F168)</f>
        <v>Chemical &amp; Pharmaceutical</v>
      </c>
      <c r="C168" s="423" t="str">
        <f>E168</f>
        <v xml:space="preserve">Industri Bahan Kimia dan Barang Kimia Lainnya </v>
      </c>
      <c r="D168" s="424" t="s">
        <v>4913</v>
      </c>
      <c r="E168" s="425" t="str">
        <f>VLOOKUP($D168,'Tabel Map Industry'!$A$2:$H$464,2,0)</f>
        <v xml:space="preserve">Industri Bahan Kimia dan Barang Kimia Lainnya </v>
      </c>
      <c r="F168" s="426" t="str">
        <f>VLOOKUP($D168,'Tabel Map Industry'!$A$2:$H$464,3,0)</f>
        <v>CHEMICAL &amp; PHARMACEUTICAL</v>
      </c>
      <c r="G168" s="426" t="str">
        <f>VLOOKUP($D168,'Tabel Map Industry'!$A$2:$H$464,4,0)</f>
        <v>Industri Bahan Kimia dan Barang Kimia Lainnya  - 242990</v>
      </c>
      <c r="H168" s="426" t="str">
        <f>VLOOKUP($D168,'Tabel Map Industry'!$A$2:$H$464,8,0)</f>
        <v>Industri - Hasil Kimia Lainnya - 3640</v>
      </c>
    </row>
    <row r="169" spans="1:8" ht="75" hidden="1" customHeight="1" x14ac:dyDescent="0.25">
      <c r="A169" s="422" t="s">
        <v>6330</v>
      </c>
      <c r="B169" s="418" t="str">
        <f>PROPER(F169)</f>
        <v>Chemical &amp; Pharmaceutical</v>
      </c>
      <c r="C169" s="418" t="str">
        <f>E169</f>
        <v xml:space="preserve">Industri Kimia Dasar, Kecuali Pupuk </v>
      </c>
      <c r="D169" s="419" t="s">
        <v>4915</v>
      </c>
      <c r="E169" s="420" t="str">
        <f>VLOOKUP($D169,'Tabel Map Industry'!$A$2:$H$464,2,0)</f>
        <v xml:space="preserve">Industri Kimia Dasar, Kecuali Pupuk </v>
      </c>
      <c r="F169" s="421" t="str">
        <f>VLOOKUP($D169,'Tabel Map Industry'!$A$2:$H$464,3,0)</f>
        <v>CHEMICAL &amp; PHARMACEUTICAL</v>
      </c>
      <c r="G169" s="421" t="str">
        <f>VLOOKUP($D169,'Tabel Map Industry'!$A$2:$H$464,4,0)</f>
        <v>Industri Kimia Dasar, Kecuali Pupuk  - 241100</v>
      </c>
      <c r="H169" s="421" t="str">
        <f>VLOOKUP($D169,'Tabel Map Industry'!$A$2:$H$464,8,0)</f>
        <v>Industri - Lainnya - 3990</v>
      </c>
    </row>
    <row r="170" spans="1:8" ht="75" hidden="1" customHeight="1" x14ac:dyDescent="0.25">
      <c r="A170" s="417" t="s">
        <v>6327</v>
      </c>
      <c r="B170" s="423" t="str">
        <f>PROPER(F170)</f>
        <v>Chemical &amp; Pharmaceutical</v>
      </c>
      <c r="C170" s="423" t="str">
        <f>E170</f>
        <v xml:space="preserve">Perdagangan Eceran Bahan Kimia, Farmasi, Kosmetik, dan Alat Laboratorium </v>
      </c>
      <c r="D170" s="424" t="s">
        <v>4918</v>
      </c>
      <c r="E170" s="425" t="str">
        <f>VLOOKUP($D170,'Tabel Map Industry'!$A$2:$H$464,2,0)</f>
        <v xml:space="preserve">Perdagangan Eceran Bahan Kimia, Farmasi, Kosmetik, dan Alat Laboratorium </v>
      </c>
      <c r="F170" s="426" t="str">
        <f>VLOOKUP($D170,'Tabel Map Industry'!$A$2:$H$464,3,0)</f>
        <v>CHEMICAL &amp; PHARMACEUTICAL</v>
      </c>
      <c r="G170" s="426" t="str">
        <f>VLOOKUP($D170,'Tabel Map Industry'!$A$2:$H$464,4,0)</f>
        <v>Perdagangan Eceran Bahan Kimia, Farmasi, Kosmetik, dan Alat Laboratorium  - 523100</v>
      </c>
      <c r="H170" s="426" t="str">
        <f>VLOOKUP($D170,'Tabel Map Industry'!$A$2:$H$464,8,0)</f>
        <v>Perdagangan Eceran - 6500</v>
      </c>
    </row>
    <row r="171" spans="1:8" ht="75" hidden="1" customHeight="1" x14ac:dyDescent="0.25">
      <c r="A171" s="422" t="s">
        <v>6330</v>
      </c>
      <c r="B171" s="418" t="str">
        <f>PROPER(F171)</f>
        <v>Chemical &amp; Pharmaceutical</v>
      </c>
      <c r="C171" s="418" t="str">
        <f>E171</f>
        <v>Perdagangan Dalam Negeri Pupuk dan Obat Hama</v>
      </c>
      <c r="D171" s="419" t="s">
        <v>4920</v>
      </c>
      <c r="E171" s="420" t="str">
        <f>VLOOKUP($D171,'Tabel Map Industry'!$A$2:$H$464,2,0)</f>
        <v>Perdagangan Dalam Negeri Pupuk dan Obat Hama</v>
      </c>
      <c r="F171" s="421" t="str">
        <f>VLOOKUP($D171,'Tabel Map Industry'!$A$2:$H$464,3,0)</f>
        <v>CHEMICAL &amp; PHARMACEUTICAL</v>
      </c>
      <c r="G171" s="421" t="str">
        <f>VLOOKUP($D171,'Tabel Map Industry'!$A$2:$H$464,4,0)</f>
        <v>Perdagangan Dalam Negeri Pupuk dan Obat Hama - 514901</v>
      </c>
      <c r="H171" s="421" t="str">
        <f>VLOOKUP($D171,'Tabel Map Industry'!$A$2:$H$464,8,0)</f>
        <v>Distribusi Pupuk/Obat Hama - 6412</v>
      </c>
    </row>
    <row r="172" spans="1:8" ht="75" customHeight="1" x14ac:dyDescent="0.25">
      <c r="A172" s="417" t="s">
        <v>6327</v>
      </c>
      <c r="B172" s="423" t="s">
        <v>6391</v>
      </c>
      <c r="C172" s="423" t="s">
        <v>6392</v>
      </c>
      <c r="D172" s="424" t="s">
        <v>4941</v>
      </c>
      <c r="E172" s="425" t="str">
        <f>VLOOKUP($D172,'Tabel Map Industry'!$A$2:$H$464,2,0)</f>
        <v xml:space="preserve">Industri Barang-barang dari Batu </v>
      </c>
      <c r="F172" s="426" t="str">
        <f>VLOOKUP($D172,'Tabel Map Industry'!$A$2:$H$464,3,0)</f>
        <v>COAL, MINING &amp; QUARRYING</v>
      </c>
      <c r="G172" s="426" t="str">
        <f>VLOOKUP($D172,'Tabel Map Industry'!$A$2:$H$464,4,0)</f>
        <v>Industri Barang-barang dari Batu  - 265000</v>
      </c>
      <c r="H172" s="426" t="str">
        <f>VLOOKUP($D172,'Tabel Map Industry'!$A$2:$H$464,8,0)</f>
        <v>Industri - Lainnya - 3990</v>
      </c>
    </row>
    <row r="173" spans="1:8" ht="75" customHeight="1" x14ac:dyDescent="0.25">
      <c r="A173" s="422" t="s">
        <v>6330</v>
      </c>
      <c r="B173" s="418" t="s">
        <v>7002</v>
      </c>
      <c r="C173" s="418" t="s">
        <v>7003</v>
      </c>
      <c r="D173" s="419" t="s">
        <v>4943</v>
      </c>
      <c r="E173" s="420" t="str">
        <f>VLOOKUP($D173,'Tabel Map Industry'!$A$2:$H$464,2,0)</f>
        <v>Industri Barang-barang Galian Bukan Logam Lainnya</v>
      </c>
      <c r="F173" s="421" t="str">
        <f>VLOOKUP($D173,'Tabel Map Industry'!$A$2:$H$464,3,0)</f>
        <v>COAL, MINING &amp; QUARRYING</v>
      </c>
      <c r="G173" s="421" t="str">
        <f>VLOOKUP($D173,'Tabel Map Industry'!$A$2:$H$464,4,0)</f>
        <v>Industri Barang-barang Galian Bukan Logam Lainnya - 269000</v>
      </c>
      <c r="H173" s="421" t="str">
        <f>VLOOKUP($D173,'Tabel Map Industry'!$A$2:$H$464,8,0)</f>
        <v>Industri - Lainnya - 3990</v>
      </c>
    </row>
    <row r="174" spans="1:8" ht="75" customHeight="1" x14ac:dyDescent="0.25">
      <c r="A174" s="417" t="s">
        <v>6330</v>
      </c>
      <c r="B174" s="423" t="str">
        <f>PROPER(F174)</f>
        <v>Coal, Mining &amp; Quarrying</v>
      </c>
      <c r="C174" s="423" t="str">
        <f>E174</f>
        <v>Industri Barang-barang Galian Bukan Logam Lainnya</v>
      </c>
      <c r="D174" s="424" t="s">
        <v>4943</v>
      </c>
      <c r="E174" s="425" t="str">
        <f>VLOOKUP($D174,'Tabel Map Industry'!$A$2:$H$464,2,0)</f>
        <v>Industri Barang-barang Galian Bukan Logam Lainnya</v>
      </c>
      <c r="F174" s="426" t="str">
        <f>VLOOKUP($D174,'Tabel Map Industry'!$A$2:$H$464,3,0)</f>
        <v>COAL, MINING &amp; QUARRYING</v>
      </c>
      <c r="G174" s="426" t="str">
        <f>VLOOKUP($D174,'Tabel Map Industry'!$A$2:$H$464,4,0)</f>
        <v>Industri Barang-barang Galian Bukan Logam Lainnya - 269000</v>
      </c>
      <c r="H174" s="426" t="str">
        <f>VLOOKUP($D174,'Tabel Map Industry'!$A$2:$H$464,8,0)</f>
        <v>Industri - Lainnya - 3990</v>
      </c>
    </row>
    <row r="175" spans="1:8" ht="75" hidden="1" customHeight="1" x14ac:dyDescent="0.25">
      <c r="A175" s="422" t="s">
        <v>6330</v>
      </c>
      <c r="B175" s="418" t="s">
        <v>6356</v>
      </c>
      <c r="C175" s="418" t="s">
        <v>6357</v>
      </c>
      <c r="D175" s="419" t="s">
        <v>4974</v>
      </c>
      <c r="E175" s="420" t="str">
        <f>VLOOKUP($D175,'Tabel Map Industry'!$A$2:$H$464,2,0)</f>
        <v>Perdagangan Dalam Negeri Beras</v>
      </c>
      <c r="F175" s="421" t="str">
        <f>VLOOKUP($D175,'Tabel Map Industry'!$A$2:$H$464,3,0)</f>
        <v>COMODITY INDUSTRY</v>
      </c>
      <c r="G175" s="421" t="str">
        <f>VLOOKUP($D175,'Tabel Map Industry'!$A$2:$H$464,4,0)</f>
        <v>Perdagangan Dalam Negeri Beras - 512201</v>
      </c>
      <c r="H175" s="421" t="str">
        <f>VLOOKUP($D175,'Tabel Map Industry'!$A$2:$H$464,8,0)</f>
        <v>Pembelian &amp; Pengumpulan Brg. Dagangan Dlm.Neg. : Beras - 6311</v>
      </c>
    </row>
    <row r="176" spans="1:8" ht="75" hidden="1" customHeight="1" x14ac:dyDescent="0.25">
      <c r="A176" s="417" t="s">
        <v>6330</v>
      </c>
      <c r="B176" s="423" t="s">
        <v>6472</v>
      </c>
      <c r="C176" s="423" t="s">
        <v>6473</v>
      </c>
      <c r="D176" s="424" t="s">
        <v>4953</v>
      </c>
      <c r="E176" s="425" t="str">
        <f>VLOOKUP($D176,'Tabel Map Industry'!$A$2:$H$464,2,0)</f>
        <v>Perdagangan Dalam Negeri Minyak Kelapa Sawit</v>
      </c>
      <c r="F176" s="426" t="str">
        <f>VLOOKUP($D176,'Tabel Map Industry'!$A$2:$H$464,3,0)</f>
        <v>COMODITY INDUSTRY</v>
      </c>
      <c r="G176" s="426" t="str">
        <f>VLOOKUP($D176,'Tabel Map Industry'!$A$2:$H$464,4,0)</f>
        <v>Perdagangan Dalam Negeri Minyak Kelapa Sawit - 512206</v>
      </c>
      <c r="H176" s="426" t="str">
        <f>VLOOKUP($D176,'Tabel Map Industry'!$A$2:$H$464,8,0)</f>
        <v>Pembelian &amp; Pengumpulan Brg. Dagangan Dlm.Neg. : Kelapa Sawit - 6317</v>
      </c>
    </row>
    <row r="177" spans="1:8" ht="75" hidden="1" customHeight="1" x14ac:dyDescent="0.25">
      <c r="A177" s="422" t="s">
        <v>6330</v>
      </c>
      <c r="B177" s="418" t="s">
        <v>6544</v>
      </c>
      <c r="C177" s="418" t="s">
        <v>6545</v>
      </c>
      <c r="D177" s="419" t="s">
        <v>4952</v>
      </c>
      <c r="E177" s="420" t="str">
        <f>VLOOKUP($D177,'Tabel Map Industry'!$A$2:$H$464,2,0)</f>
        <v>Perdagangan Kelapa dan Kelapa Sawit</v>
      </c>
      <c r="F177" s="421" t="str">
        <f>VLOOKUP($D177,'Tabel Map Industry'!$A$2:$H$464,3,0)</f>
        <v>COMODITY INDUSTRY</v>
      </c>
      <c r="G177" s="421" t="str">
        <f>VLOOKUP($D177,'Tabel Map Industry'!$A$2:$H$464,4,0)</f>
        <v>Perdagangan Kelapa dan Kelapa Sawit - 512116</v>
      </c>
      <c r="H177" s="421" t="str">
        <f>VLOOKUP($D177,'Tabel Map Industry'!$A$2:$H$464,8,0)</f>
        <v>Pembelian &amp; Pengumpulan Brg. Dagangan Dlm.Neg. : Kelapa Sawit - 6317</v>
      </c>
    </row>
    <row r="178" spans="1:8" ht="75" hidden="1" customHeight="1" x14ac:dyDescent="0.25">
      <c r="A178" s="417" t="s">
        <v>6330</v>
      </c>
      <c r="B178" s="423" t="s">
        <v>6330</v>
      </c>
      <c r="C178" s="423" t="s">
        <v>6572</v>
      </c>
      <c r="D178" s="424" t="s">
        <v>4974</v>
      </c>
      <c r="E178" s="425" t="str">
        <f>VLOOKUP($D178,'Tabel Map Industry'!$A$2:$H$464,2,0)</f>
        <v>Perdagangan Dalam Negeri Beras</v>
      </c>
      <c r="F178" s="426" t="str">
        <f>VLOOKUP($D178,'Tabel Map Industry'!$A$2:$H$464,3,0)</f>
        <v>COMODITY INDUSTRY</v>
      </c>
      <c r="G178" s="426" t="str">
        <f>VLOOKUP($D178,'Tabel Map Industry'!$A$2:$H$464,4,0)</f>
        <v>Perdagangan Dalam Negeri Beras - 512201</v>
      </c>
      <c r="H178" s="426" t="str">
        <f>VLOOKUP($D178,'Tabel Map Industry'!$A$2:$H$464,8,0)</f>
        <v>Pembelian &amp; Pengumpulan Brg. Dagangan Dlm.Neg. : Beras - 6311</v>
      </c>
    </row>
    <row r="179" spans="1:8" ht="75" hidden="1" customHeight="1" x14ac:dyDescent="0.25">
      <c r="A179" s="422" t="s">
        <v>6330</v>
      </c>
      <c r="B179" s="418" t="s">
        <v>6591</v>
      </c>
      <c r="C179" s="418" t="s">
        <v>6615</v>
      </c>
      <c r="D179" s="419" t="s">
        <v>4974</v>
      </c>
      <c r="E179" s="420" t="str">
        <f>VLOOKUP($D179,'Tabel Map Industry'!$A$2:$H$464,2,0)</f>
        <v>Perdagangan Dalam Negeri Beras</v>
      </c>
      <c r="F179" s="421" t="str">
        <f>VLOOKUP($D179,'Tabel Map Industry'!$A$2:$H$464,3,0)</f>
        <v>COMODITY INDUSTRY</v>
      </c>
      <c r="G179" s="421" t="str">
        <f>VLOOKUP($D179,'Tabel Map Industry'!$A$2:$H$464,4,0)</f>
        <v>Perdagangan Dalam Negeri Beras - 512201</v>
      </c>
      <c r="H179" s="421" t="str">
        <f>VLOOKUP($D179,'Tabel Map Industry'!$A$2:$H$464,8,0)</f>
        <v>Pembelian &amp; Pengumpulan Brg. Dagangan Dlm.Neg. : Beras - 6311</v>
      </c>
    </row>
    <row r="180" spans="1:8" ht="75" hidden="1" customHeight="1" x14ac:dyDescent="0.25">
      <c r="A180" s="417" t="s">
        <v>6330</v>
      </c>
      <c r="B180" s="423" t="s">
        <v>6581</v>
      </c>
      <c r="C180" s="423" t="s">
        <v>6667</v>
      </c>
      <c r="D180" s="424" t="s">
        <v>4979</v>
      </c>
      <c r="E180" s="425" t="str">
        <f>VLOOKUP($D180,'Tabel Map Industry'!$A$2:$H$464,2,0)</f>
        <v>Perdagangan Besar Dalam Negeri Hasil Pertanian Lainnya</v>
      </c>
      <c r="F180" s="426" t="str">
        <f>VLOOKUP($D180,'Tabel Map Industry'!$A$2:$H$464,3,0)</f>
        <v>COMODITY INDUSTRY</v>
      </c>
      <c r="G180" s="426" t="str">
        <f>VLOOKUP($D180,'Tabel Map Industry'!$A$2:$H$464,4,0)</f>
        <v>Perdagangan Besar Dalam Negeri Hasil Pertanian Lainnya - 512119</v>
      </c>
      <c r="H180" s="426" t="str">
        <f>VLOOKUP($D180,'Tabel Map Industry'!$A$2:$H$464,8,0)</f>
        <v>Pembelian &amp; Pengumpulan Brg. Dagangan Dlm.Neg. : Lainnya - 6390</v>
      </c>
    </row>
    <row r="181" spans="1:8" ht="75" hidden="1" customHeight="1" x14ac:dyDescent="0.25">
      <c r="A181" s="422" t="s">
        <v>6330</v>
      </c>
      <c r="B181" s="418" t="s">
        <v>6690</v>
      </c>
      <c r="C181" s="418" t="s">
        <v>6690</v>
      </c>
      <c r="D181" s="419" t="s">
        <v>4979</v>
      </c>
      <c r="E181" s="420" t="str">
        <f>VLOOKUP($D181,'Tabel Map Industry'!$A$2:$H$464,2,0)</f>
        <v>Perdagangan Besar Dalam Negeri Hasil Pertanian Lainnya</v>
      </c>
      <c r="F181" s="421" t="str">
        <f>VLOOKUP($D181,'Tabel Map Industry'!$A$2:$H$464,3,0)</f>
        <v>COMODITY INDUSTRY</v>
      </c>
      <c r="G181" s="421" t="str">
        <f>VLOOKUP($D181,'Tabel Map Industry'!$A$2:$H$464,4,0)</f>
        <v>Perdagangan Besar Dalam Negeri Hasil Pertanian Lainnya - 512119</v>
      </c>
      <c r="H181" s="421" t="str">
        <f>VLOOKUP($D181,'Tabel Map Industry'!$A$2:$H$464,8,0)</f>
        <v>Pembelian &amp; Pengumpulan Brg. Dagangan Dlm.Neg. : Lainnya - 6390</v>
      </c>
    </row>
    <row r="182" spans="1:8" ht="75" hidden="1" customHeight="1" x14ac:dyDescent="0.25">
      <c r="A182" s="417" t="s">
        <v>6330</v>
      </c>
      <c r="B182" s="423" t="s">
        <v>6701</v>
      </c>
      <c r="C182" s="423" t="s">
        <v>6702</v>
      </c>
      <c r="D182" s="424" t="s">
        <v>4979</v>
      </c>
      <c r="E182" s="425" t="str">
        <f>VLOOKUP($D182,'Tabel Map Industry'!$A$2:$H$464,2,0)</f>
        <v>Perdagangan Besar Dalam Negeri Hasil Pertanian Lainnya</v>
      </c>
      <c r="F182" s="426" t="str">
        <f>VLOOKUP($D182,'Tabel Map Industry'!$A$2:$H$464,3,0)</f>
        <v>COMODITY INDUSTRY</v>
      </c>
      <c r="G182" s="426" t="str">
        <f>VLOOKUP($D182,'Tabel Map Industry'!$A$2:$H$464,4,0)</f>
        <v>Perdagangan Besar Dalam Negeri Hasil Pertanian Lainnya - 512119</v>
      </c>
      <c r="H182" s="426" t="str">
        <f>VLOOKUP($D182,'Tabel Map Industry'!$A$2:$H$464,8,0)</f>
        <v>Pembelian &amp; Pengumpulan Brg. Dagangan Dlm.Neg. : Lainnya - 6390</v>
      </c>
    </row>
    <row r="183" spans="1:8" ht="75" hidden="1" customHeight="1" x14ac:dyDescent="0.25">
      <c r="A183" s="422" t="s">
        <v>6330</v>
      </c>
      <c r="B183" s="418" t="s">
        <v>6858</v>
      </c>
      <c r="C183" s="418" t="s">
        <v>6859</v>
      </c>
      <c r="D183" s="419" t="s">
        <v>4979</v>
      </c>
      <c r="E183" s="420" t="str">
        <f>VLOOKUP($D183,'Tabel Map Industry'!$A$2:$H$464,2,0)</f>
        <v>Perdagangan Besar Dalam Negeri Hasil Pertanian Lainnya</v>
      </c>
      <c r="F183" s="421" t="str">
        <f>VLOOKUP($D183,'Tabel Map Industry'!$A$2:$H$464,3,0)</f>
        <v>COMODITY INDUSTRY</v>
      </c>
      <c r="G183" s="421" t="str">
        <f>VLOOKUP($D183,'Tabel Map Industry'!$A$2:$H$464,4,0)</f>
        <v>Perdagangan Besar Dalam Negeri Hasil Pertanian Lainnya - 512119</v>
      </c>
      <c r="H183" s="421" t="str">
        <f>VLOOKUP($D183,'Tabel Map Industry'!$A$2:$H$464,8,0)</f>
        <v>Pembelian &amp; Pengumpulan Brg. Dagangan Dlm.Neg. : Lainnya - 6390</v>
      </c>
    </row>
    <row r="184" spans="1:8" ht="75" hidden="1" customHeight="1" x14ac:dyDescent="0.25">
      <c r="A184" s="417" t="s">
        <v>6330</v>
      </c>
      <c r="B184" s="423" t="s">
        <v>6871</v>
      </c>
      <c r="C184" s="423" t="s">
        <v>6872</v>
      </c>
      <c r="D184" s="424" t="s">
        <v>4980</v>
      </c>
      <c r="E184" s="425" t="str">
        <f>VLOOKUP($D184,'Tabel Map Industry'!$A$2:$H$464,2,0)</f>
        <v>Perdagangan Ekspor Hasil Tanaman Pangan dan Perkebunan</v>
      </c>
      <c r="F184" s="426" t="str">
        <f>VLOOKUP($D184,'Tabel Map Industry'!$A$2:$H$464,3,0)</f>
        <v>COMODITY INDUSTRY</v>
      </c>
      <c r="G184" s="426" t="str">
        <f>VLOOKUP($D184,'Tabel Map Industry'!$A$2:$H$464,4,0)</f>
        <v>Perdagangan Ekspor Hasil Tanaman Pangan dan Perkebunan - 532112</v>
      </c>
      <c r="H184" s="426" t="str">
        <f>VLOOKUP($D184,'Tabel Map Industry'!$A$2:$H$464,8,0)</f>
        <v>Ekspor Bahan Baku lainnya - 6129</v>
      </c>
    </row>
    <row r="185" spans="1:8" ht="75" hidden="1" customHeight="1" x14ac:dyDescent="0.25">
      <c r="A185" s="422" t="s">
        <v>6330</v>
      </c>
      <c r="B185" s="418" t="s">
        <v>6875</v>
      </c>
      <c r="C185" s="418" t="s">
        <v>6876</v>
      </c>
      <c r="D185" s="419" t="s">
        <v>4952</v>
      </c>
      <c r="E185" s="420" t="str">
        <f>VLOOKUP($D185,'Tabel Map Industry'!$A$2:$H$464,2,0)</f>
        <v>Perdagangan Kelapa dan Kelapa Sawit</v>
      </c>
      <c r="F185" s="421" t="str">
        <f>VLOOKUP($D185,'Tabel Map Industry'!$A$2:$H$464,3,0)</f>
        <v>COMODITY INDUSTRY</v>
      </c>
      <c r="G185" s="421" t="str">
        <f>VLOOKUP($D185,'Tabel Map Industry'!$A$2:$H$464,4,0)</f>
        <v>Perdagangan Kelapa dan Kelapa Sawit - 512116</v>
      </c>
      <c r="H185" s="421" t="str">
        <f>VLOOKUP($D185,'Tabel Map Industry'!$A$2:$H$464,8,0)</f>
        <v>Pembelian &amp; Pengumpulan Brg. Dagangan Dlm.Neg. : Kelapa Sawit - 6317</v>
      </c>
    </row>
    <row r="186" spans="1:8" ht="75" hidden="1" customHeight="1" x14ac:dyDescent="0.25">
      <c r="A186" s="417" t="s">
        <v>6330</v>
      </c>
      <c r="B186" s="423" t="s">
        <v>6881</v>
      </c>
      <c r="C186" s="423" t="s">
        <v>6882</v>
      </c>
      <c r="D186" s="424" t="s">
        <v>4974</v>
      </c>
      <c r="E186" s="425" t="str">
        <f>VLOOKUP($D186,'Tabel Map Industry'!$A$2:$H$464,2,0)</f>
        <v>Perdagangan Dalam Negeri Beras</v>
      </c>
      <c r="F186" s="426" t="str">
        <f>VLOOKUP($D186,'Tabel Map Industry'!$A$2:$H$464,3,0)</f>
        <v>COMODITY INDUSTRY</v>
      </c>
      <c r="G186" s="426" t="str">
        <f>VLOOKUP($D186,'Tabel Map Industry'!$A$2:$H$464,4,0)</f>
        <v>Perdagangan Dalam Negeri Beras - 512201</v>
      </c>
      <c r="H186" s="426" t="str">
        <f>VLOOKUP($D186,'Tabel Map Industry'!$A$2:$H$464,8,0)</f>
        <v>Pembelian &amp; Pengumpulan Brg. Dagangan Dlm.Neg. : Beras - 6311</v>
      </c>
    </row>
    <row r="187" spans="1:8" ht="75" hidden="1" customHeight="1" x14ac:dyDescent="0.25">
      <c r="A187" s="422" t="s">
        <v>6330</v>
      </c>
      <c r="B187" s="418" t="s">
        <v>6881</v>
      </c>
      <c r="C187" s="418" t="s">
        <v>6882</v>
      </c>
      <c r="D187" s="419" t="s">
        <v>4974</v>
      </c>
      <c r="E187" s="420" t="str">
        <f>VLOOKUP($D187,'Tabel Map Industry'!$A$2:$H$464,2,0)</f>
        <v>Perdagangan Dalam Negeri Beras</v>
      </c>
      <c r="F187" s="421" t="str">
        <f>VLOOKUP($D187,'Tabel Map Industry'!$A$2:$H$464,3,0)</f>
        <v>COMODITY INDUSTRY</v>
      </c>
      <c r="G187" s="421" t="str">
        <f>VLOOKUP($D187,'Tabel Map Industry'!$A$2:$H$464,4,0)</f>
        <v>Perdagangan Dalam Negeri Beras - 512201</v>
      </c>
      <c r="H187" s="421" t="str">
        <f>VLOOKUP($D187,'Tabel Map Industry'!$A$2:$H$464,8,0)</f>
        <v>Pembelian &amp; Pengumpulan Brg. Dagangan Dlm.Neg. : Beras - 6311</v>
      </c>
    </row>
    <row r="188" spans="1:8" ht="75" hidden="1" customHeight="1" x14ac:dyDescent="0.25">
      <c r="A188" s="417" t="s">
        <v>6330</v>
      </c>
      <c r="B188" s="423" t="s">
        <v>6882</v>
      </c>
      <c r="C188" s="423" t="s">
        <v>6919</v>
      </c>
      <c r="D188" s="424" t="s">
        <v>4974</v>
      </c>
      <c r="E188" s="425" t="str">
        <f>VLOOKUP($D188,'Tabel Map Industry'!$A$2:$H$464,2,0)</f>
        <v>Perdagangan Dalam Negeri Beras</v>
      </c>
      <c r="F188" s="426" t="str">
        <f>VLOOKUP($D188,'Tabel Map Industry'!$A$2:$H$464,3,0)</f>
        <v>COMODITY INDUSTRY</v>
      </c>
      <c r="G188" s="426" t="str">
        <f>VLOOKUP($D188,'Tabel Map Industry'!$A$2:$H$464,4,0)</f>
        <v>Perdagangan Dalam Negeri Beras - 512201</v>
      </c>
      <c r="H188" s="426" t="str">
        <f>VLOOKUP($D188,'Tabel Map Industry'!$A$2:$H$464,8,0)</f>
        <v>Pembelian &amp; Pengumpulan Brg. Dagangan Dlm.Neg. : Beras - 6311</v>
      </c>
    </row>
    <row r="189" spans="1:8" ht="75" hidden="1" customHeight="1" x14ac:dyDescent="0.25">
      <c r="A189" s="422" t="s">
        <v>6324</v>
      </c>
      <c r="B189" s="418" t="s">
        <v>6544</v>
      </c>
      <c r="C189" s="418" t="s">
        <v>6922</v>
      </c>
      <c r="D189" s="419" t="s">
        <v>4952</v>
      </c>
      <c r="E189" s="420" t="str">
        <f>VLOOKUP($D189,'Tabel Map Industry'!$A$2:$H$464,2,0)</f>
        <v>Perdagangan Kelapa dan Kelapa Sawit</v>
      </c>
      <c r="F189" s="421" t="str">
        <f>VLOOKUP($D189,'Tabel Map Industry'!$A$2:$H$464,3,0)</f>
        <v>COMODITY INDUSTRY</v>
      </c>
      <c r="G189" s="421" t="str">
        <f>VLOOKUP($D189,'Tabel Map Industry'!$A$2:$H$464,4,0)</f>
        <v>Perdagangan Kelapa dan Kelapa Sawit - 512116</v>
      </c>
      <c r="H189" s="421" t="str">
        <f>VLOOKUP($D189,'Tabel Map Industry'!$A$2:$H$464,8,0)</f>
        <v>Pembelian &amp; Pengumpulan Brg. Dagangan Dlm.Neg. : Kelapa Sawit - 6317</v>
      </c>
    </row>
    <row r="190" spans="1:8" ht="75" hidden="1" customHeight="1" x14ac:dyDescent="0.25">
      <c r="A190" s="417" t="s">
        <v>6330</v>
      </c>
      <c r="B190" s="423" t="s">
        <v>6996</v>
      </c>
      <c r="C190" s="423" t="s">
        <v>6997</v>
      </c>
      <c r="D190" s="424" t="s">
        <v>4979</v>
      </c>
      <c r="E190" s="425" t="str">
        <f>VLOOKUP($D190,'Tabel Map Industry'!$A$2:$H$464,2,0)</f>
        <v>Perdagangan Besar Dalam Negeri Hasil Pertanian Lainnya</v>
      </c>
      <c r="F190" s="426" t="str">
        <f>VLOOKUP($D190,'Tabel Map Industry'!$A$2:$H$464,3,0)</f>
        <v>COMODITY INDUSTRY</v>
      </c>
      <c r="G190" s="426" t="str">
        <f>VLOOKUP($D190,'Tabel Map Industry'!$A$2:$H$464,4,0)</f>
        <v>Perdagangan Besar Dalam Negeri Hasil Pertanian Lainnya - 512119</v>
      </c>
      <c r="H190" s="426" t="str">
        <f>VLOOKUP($D190,'Tabel Map Industry'!$A$2:$H$464,8,0)</f>
        <v>Pembelian &amp; Pengumpulan Brg. Dagangan Dlm.Neg. : Lainnya - 6390</v>
      </c>
    </row>
    <row r="191" spans="1:8" ht="75" hidden="1" customHeight="1" x14ac:dyDescent="0.25">
      <c r="A191" s="422" t="s">
        <v>6330</v>
      </c>
      <c r="B191" s="418" t="s">
        <v>6330</v>
      </c>
      <c r="C191" s="418" t="s">
        <v>7006</v>
      </c>
      <c r="D191" s="419" t="s">
        <v>4979</v>
      </c>
      <c r="E191" s="420" t="str">
        <f>VLOOKUP($D191,'Tabel Map Industry'!$A$2:$H$464,2,0)</f>
        <v>Perdagangan Besar Dalam Negeri Hasil Pertanian Lainnya</v>
      </c>
      <c r="F191" s="421" t="str">
        <f>VLOOKUP($D191,'Tabel Map Industry'!$A$2:$H$464,3,0)</f>
        <v>COMODITY INDUSTRY</v>
      </c>
      <c r="G191" s="421" t="str">
        <f>VLOOKUP($D191,'Tabel Map Industry'!$A$2:$H$464,4,0)</f>
        <v>Perdagangan Besar Dalam Negeri Hasil Pertanian Lainnya - 512119</v>
      </c>
      <c r="H191" s="421" t="str">
        <f>VLOOKUP($D191,'Tabel Map Industry'!$A$2:$H$464,8,0)</f>
        <v>Pembelian &amp; Pengumpulan Brg. Dagangan Dlm.Neg. : Lainnya - 6390</v>
      </c>
    </row>
    <row r="192" spans="1:8" ht="75" hidden="1" customHeight="1" x14ac:dyDescent="0.25">
      <c r="A192" s="417" t="s">
        <v>6330</v>
      </c>
      <c r="B192" s="423" t="s">
        <v>7045</v>
      </c>
      <c r="C192" s="423" t="s">
        <v>7046</v>
      </c>
      <c r="D192" s="424" t="s">
        <v>4979</v>
      </c>
      <c r="E192" s="425" t="str">
        <f>VLOOKUP($D192,'Tabel Map Industry'!$A$2:$H$464,2,0)</f>
        <v>Perdagangan Besar Dalam Negeri Hasil Pertanian Lainnya</v>
      </c>
      <c r="F192" s="426" t="str">
        <f>VLOOKUP($D192,'Tabel Map Industry'!$A$2:$H$464,3,0)</f>
        <v>COMODITY INDUSTRY</v>
      </c>
      <c r="G192" s="426" t="str">
        <f>VLOOKUP($D192,'Tabel Map Industry'!$A$2:$H$464,4,0)</f>
        <v>Perdagangan Besar Dalam Negeri Hasil Pertanian Lainnya - 512119</v>
      </c>
      <c r="H192" s="426" t="str">
        <f>VLOOKUP($D192,'Tabel Map Industry'!$A$2:$H$464,8,0)</f>
        <v>Pembelian &amp; Pengumpulan Brg. Dagangan Dlm.Neg. : Lainnya - 6390</v>
      </c>
    </row>
    <row r="193" spans="1:8" ht="75" hidden="1" customHeight="1" x14ac:dyDescent="0.25">
      <c r="A193" s="422" t="s">
        <v>6330</v>
      </c>
      <c r="B193" s="418" t="s">
        <v>7079</v>
      </c>
      <c r="C193" s="418" t="s">
        <v>7080</v>
      </c>
      <c r="D193" s="419" t="s">
        <v>4974</v>
      </c>
      <c r="E193" s="420" t="str">
        <f>VLOOKUP($D193,'Tabel Map Industry'!$A$2:$H$464,2,0)</f>
        <v>Perdagangan Dalam Negeri Beras</v>
      </c>
      <c r="F193" s="421" t="str">
        <f>VLOOKUP($D193,'Tabel Map Industry'!$A$2:$H$464,3,0)</f>
        <v>COMODITY INDUSTRY</v>
      </c>
      <c r="G193" s="421" t="str">
        <f>VLOOKUP($D193,'Tabel Map Industry'!$A$2:$H$464,4,0)</f>
        <v>Perdagangan Dalam Negeri Beras - 512201</v>
      </c>
      <c r="H193" s="421" t="str">
        <f>VLOOKUP($D193,'Tabel Map Industry'!$A$2:$H$464,8,0)</f>
        <v>Pembelian &amp; Pengumpulan Brg. Dagangan Dlm.Neg. : Beras - 6311</v>
      </c>
    </row>
    <row r="194" spans="1:8" ht="75" hidden="1" customHeight="1" x14ac:dyDescent="0.25">
      <c r="A194" s="417" t="s">
        <v>6330</v>
      </c>
      <c r="B194" s="423" t="s">
        <v>6882</v>
      </c>
      <c r="C194" s="423" t="s">
        <v>6882</v>
      </c>
      <c r="D194" s="424" t="s">
        <v>4974</v>
      </c>
      <c r="E194" s="425" t="str">
        <f>VLOOKUP($D194,'Tabel Map Industry'!$A$2:$H$464,2,0)</f>
        <v>Perdagangan Dalam Negeri Beras</v>
      </c>
      <c r="F194" s="426" t="str">
        <f>VLOOKUP($D194,'Tabel Map Industry'!$A$2:$H$464,3,0)</f>
        <v>COMODITY INDUSTRY</v>
      </c>
      <c r="G194" s="426" t="str">
        <f>VLOOKUP($D194,'Tabel Map Industry'!$A$2:$H$464,4,0)</f>
        <v>Perdagangan Dalam Negeri Beras - 512201</v>
      </c>
      <c r="H194" s="426" t="str">
        <f>VLOOKUP($D194,'Tabel Map Industry'!$A$2:$H$464,8,0)</f>
        <v>Pembelian &amp; Pengumpulan Brg. Dagangan Dlm.Neg. : Beras - 6311</v>
      </c>
    </row>
    <row r="195" spans="1:8" ht="75" hidden="1" customHeight="1" x14ac:dyDescent="0.25">
      <c r="A195" s="422" t="s">
        <v>6327</v>
      </c>
      <c r="B195" s="418" t="str">
        <f>PROPER(F195)</f>
        <v>Comodity Industry</v>
      </c>
      <c r="C195" s="418" t="str">
        <f>E195</f>
        <v>Perdagangan Kelapa dan Kelapa Sawit</v>
      </c>
      <c r="D195" s="419" t="s">
        <v>4952</v>
      </c>
      <c r="E195" s="420" t="str">
        <f>VLOOKUP($D195,'Tabel Map Industry'!$A$2:$H$464,2,0)</f>
        <v>Perdagangan Kelapa dan Kelapa Sawit</v>
      </c>
      <c r="F195" s="421" t="str">
        <f>VLOOKUP($D195,'Tabel Map Industry'!$A$2:$H$464,3,0)</f>
        <v>COMODITY INDUSTRY</v>
      </c>
      <c r="G195" s="421" t="str">
        <f>VLOOKUP($D195,'Tabel Map Industry'!$A$2:$H$464,4,0)</f>
        <v>Perdagangan Kelapa dan Kelapa Sawit - 512116</v>
      </c>
      <c r="H195" s="421" t="str">
        <f>VLOOKUP($D195,'Tabel Map Industry'!$A$2:$H$464,8,0)</f>
        <v>Pembelian &amp; Pengumpulan Brg. Dagangan Dlm.Neg. : Kelapa Sawit - 6317</v>
      </c>
    </row>
    <row r="196" spans="1:8" ht="75" hidden="1" customHeight="1" x14ac:dyDescent="0.25">
      <c r="A196" s="417" t="s">
        <v>6330</v>
      </c>
      <c r="B196" s="423" t="str">
        <f>PROPER(F196)</f>
        <v>Comodity Industry</v>
      </c>
      <c r="C196" s="423" t="str">
        <f>E196</f>
        <v>Perdagangan Dalam Negeri Beras</v>
      </c>
      <c r="D196" s="424" t="s">
        <v>4974</v>
      </c>
      <c r="E196" s="425" t="str">
        <f>VLOOKUP($D196,'Tabel Map Industry'!$A$2:$H$464,2,0)</f>
        <v>Perdagangan Dalam Negeri Beras</v>
      </c>
      <c r="F196" s="426" t="str">
        <f>VLOOKUP($D196,'Tabel Map Industry'!$A$2:$H$464,3,0)</f>
        <v>COMODITY INDUSTRY</v>
      </c>
      <c r="G196" s="426" t="str">
        <f>VLOOKUP($D196,'Tabel Map Industry'!$A$2:$H$464,4,0)</f>
        <v>Perdagangan Dalam Negeri Beras - 512201</v>
      </c>
      <c r="H196" s="426" t="str">
        <f>VLOOKUP($D196,'Tabel Map Industry'!$A$2:$H$464,8,0)</f>
        <v>Pembelian &amp; Pengumpulan Brg. Dagangan Dlm.Neg. : Beras - 6311</v>
      </c>
    </row>
    <row r="197" spans="1:8" ht="75" hidden="1" customHeight="1" x14ac:dyDescent="0.25">
      <c r="A197" s="422" t="s">
        <v>6330</v>
      </c>
      <c r="B197" s="418" t="str">
        <f>PROPER(F197)</f>
        <v>Comodity Industry</v>
      </c>
      <c r="C197" s="418" t="str">
        <f>E197</f>
        <v>Perdagangan Besar Dalam Negeri Hasil Pertanian Lainnya</v>
      </c>
      <c r="D197" s="419" t="s">
        <v>4979</v>
      </c>
      <c r="E197" s="420" t="str">
        <f>VLOOKUP($D197,'Tabel Map Industry'!$A$2:$H$464,2,0)</f>
        <v>Perdagangan Besar Dalam Negeri Hasil Pertanian Lainnya</v>
      </c>
      <c r="F197" s="421" t="str">
        <f>VLOOKUP($D197,'Tabel Map Industry'!$A$2:$H$464,3,0)</f>
        <v>COMODITY INDUSTRY</v>
      </c>
      <c r="G197" s="421" t="str">
        <f>VLOOKUP($D197,'Tabel Map Industry'!$A$2:$H$464,4,0)</f>
        <v>Perdagangan Besar Dalam Negeri Hasil Pertanian Lainnya - 512119</v>
      </c>
      <c r="H197" s="421" t="str">
        <f>VLOOKUP($D197,'Tabel Map Industry'!$A$2:$H$464,8,0)</f>
        <v>Pembelian &amp; Pengumpulan Brg. Dagangan Dlm.Neg. : Lainnya - 6390</v>
      </c>
    </row>
    <row r="198" spans="1:8" ht="75" hidden="1" customHeight="1" x14ac:dyDescent="0.25">
      <c r="A198" s="417" t="s">
        <v>6327</v>
      </c>
      <c r="B198" s="423" t="str">
        <f>PROPER(F198)</f>
        <v>Comodity Industry</v>
      </c>
      <c r="C198" s="423" t="str">
        <f>E198</f>
        <v>Perdagangan Ekspor Hasil Tanaman Pangan dan Perkebunan</v>
      </c>
      <c r="D198" s="424" t="s">
        <v>4980</v>
      </c>
      <c r="E198" s="425" t="str">
        <f>VLOOKUP($D198,'Tabel Map Industry'!$A$2:$H$464,2,0)</f>
        <v>Perdagangan Ekspor Hasil Tanaman Pangan dan Perkebunan</v>
      </c>
      <c r="F198" s="426" t="str">
        <f>VLOOKUP($D198,'Tabel Map Industry'!$A$2:$H$464,3,0)</f>
        <v>COMODITY INDUSTRY</v>
      </c>
      <c r="G198" s="426" t="str">
        <f>VLOOKUP($D198,'Tabel Map Industry'!$A$2:$H$464,4,0)</f>
        <v>Perdagangan Ekspor Hasil Tanaman Pangan dan Perkebunan - 532112</v>
      </c>
      <c r="H198" s="426" t="str">
        <f>VLOOKUP($D198,'Tabel Map Industry'!$A$2:$H$464,8,0)</f>
        <v>Ekspor Bahan Baku lainnya - 6129</v>
      </c>
    </row>
    <row r="199" spans="1:8" ht="75" hidden="1" customHeight="1" x14ac:dyDescent="0.25">
      <c r="A199" s="422" t="s">
        <v>6330</v>
      </c>
      <c r="B199" s="418" t="s">
        <v>6328</v>
      </c>
      <c r="C199" s="418" t="s">
        <v>6329</v>
      </c>
      <c r="D199" s="419" t="s">
        <v>5006</v>
      </c>
      <c r="E199" s="420" t="str">
        <f>VLOOKUP($D199,'Tabel Map Industry'!$A$2:$H$464,2,0)</f>
        <v>Konstruksi Bangunan Elektrikal dan Komunikasi Lainnya</v>
      </c>
      <c r="F199" s="421" t="str">
        <f>VLOOKUP($D199,'Tabel Map Industry'!$A$2:$H$464,3,0)</f>
        <v>CONSTRUCTION</v>
      </c>
      <c r="G199" s="421" t="str">
        <f>VLOOKUP($D199,'Tabel Map Industry'!$A$2:$H$464,4,0)</f>
        <v>Konstruksi Bangunan Elektrikal dan Komunikasi Lainnya - 452309</v>
      </c>
      <c r="H199" s="421" t="str">
        <f>VLOOKUP($D199,'Tabel Map Industry'!$A$2:$H$464,8,0)</f>
        <v>Konstruksi - Listrik lainnya - 5890</v>
      </c>
    </row>
    <row r="200" spans="1:8" ht="75" hidden="1" customHeight="1" x14ac:dyDescent="0.25">
      <c r="A200" s="417" t="s">
        <v>6330</v>
      </c>
      <c r="B200" s="423" t="s">
        <v>6328</v>
      </c>
      <c r="C200" s="423" t="s">
        <v>6328</v>
      </c>
      <c r="D200" s="424" t="s">
        <v>4997</v>
      </c>
      <c r="E200" s="425" t="str">
        <f>VLOOKUP($D200,'Tabel Map Industry'!$A$2:$H$464,2,0)</f>
        <v xml:space="preserve">Konstruksi Gedung Lainnya </v>
      </c>
      <c r="F200" s="426" t="str">
        <f>VLOOKUP($D200,'Tabel Map Industry'!$A$2:$H$464,3,0)</f>
        <v>CONSTRUCTION</v>
      </c>
      <c r="G200" s="426" t="str">
        <f>VLOOKUP($D200,'Tabel Map Industry'!$A$2:$H$464,4,0)</f>
        <v>Konstruksi Gedung Lainnya  - 452190</v>
      </c>
      <c r="H200" s="426" t="str">
        <f>VLOOKUP($D200,'Tabel Map Industry'!$A$2:$H$464,8,0)</f>
        <v>Konstruksi - Lainnya - 5990</v>
      </c>
    </row>
    <row r="201" spans="1:8" ht="75" hidden="1" customHeight="1" x14ac:dyDescent="0.25">
      <c r="A201" s="422" t="s">
        <v>6330</v>
      </c>
      <c r="B201" s="418" t="s">
        <v>6441</v>
      </c>
      <c r="C201" s="418" t="s">
        <v>6442</v>
      </c>
      <c r="D201" s="419" t="s">
        <v>4997</v>
      </c>
      <c r="E201" s="420" t="str">
        <f>VLOOKUP($D201,'Tabel Map Industry'!$A$2:$H$464,2,0)</f>
        <v xml:space="preserve">Konstruksi Gedung Lainnya </v>
      </c>
      <c r="F201" s="421" t="str">
        <f>VLOOKUP($D201,'Tabel Map Industry'!$A$2:$H$464,3,0)</f>
        <v>CONSTRUCTION</v>
      </c>
      <c r="G201" s="421" t="str">
        <f>VLOOKUP($D201,'Tabel Map Industry'!$A$2:$H$464,4,0)</f>
        <v>Konstruksi Gedung Lainnya  - 452190</v>
      </c>
      <c r="H201" s="421" t="str">
        <f>VLOOKUP($D201,'Tabel Map Industry'!$A$2:$H$464,8,0)</f>
        <v>Konstruksi - Lainnya - 5990</v>
      </c>
    </row>
    <row r="202" spans="1:8" ht="75" hidden="1" customHeight="1" x14ac:dyDescent="0.25">
      <c r="A202" s="417" t="s">
        <v>6330</v>
      </c>
      <c r="B202" s="423" t="s">
        <v>6328</v>
      </c>
      <c r="C202" s="423" t="s">
        <v>6447</v>
      </c>
      <c r="D202" s="424" t="s">
        <v>4998</v>
      </c>
      <c r="E202" s="425" t="str">
        <f>VLOOKUP($D202,'Tabel Map Industry'!$A$2:$H$464,2,0)</f>
        <v>Bangunan Jalan Raya</v>
      </c>
      <c r="F202" s="426" t="str">
        <f>VLOOKUP($D202,'Tabel Map Industry'!$A$2:$H$464,3,0)</f>
        <v>CONSTRUCTION</v>
      </c>
      <c r="G202" s="426" t="str">
        <f>VLOOKUP($D202,'Tabel Map Industry'!$A$2:$H$464,4,0)</f>
        <v>Bangunan Jalan Raya - 452211</v>
      </c>
      <c r="H202" s="426" t="str">
        <f>VLOOKUP($D202,'Tabel Map Industry'!$A$2:$H$464,8,0)</f>
        <v>Konstruksi - Jalan Raya dan Jembatan - 5500</v>
      </c>
    </row>
    <row r="203" spans="1:8" ht="75" hidden="1" customHeight="1" x14ac:dyDescent="0.25">
      <c r="A203" s="422" t="s">
        <v>6330</v>
      </c>
      <c r="B203" s="418" t="s">
        <v>6491</v>
      </c>
      <c r="C203" s="418" t="s">
        <v>6492</v>
      </c>
      <c r="D203" s="419" t="s">
        <v>4997</v>
      </c>
      <c r="E203" s="420" t="str">
        <f>VLOOKUP($D203,'Tabel Map Industry'!$A$2:$H$464,2,0)</f>
        <v xml:space="preserve">Konstruksi Gedung Lainnya </v>
      </c>
      <c r="F203" s="421" t="str">
        <f>VLOOKUP($D203,'Tabel Map Industry'!$A$2:$H$464,3,0)</f>
        <v>CONSTRUCTION</v>
      </c>
      <c r="G203" s="421" t="str">
        <f>VLOOKUP($D203,'Tabel Map Industry'!$A$2:$H$464,4,0)</f>
        <v>Konstruksi Gedung Lainnya  - 452190</v>
      </c>
      <c r="H203" s="421" t="str">
        <f>VLOOKUP($D203,'Tabel Map Industry'!$A$2:$H$464,8,0)</f>
        <v>Konstruksi - Lainnya - 5990</v>
      </c>
    </row>
    <row r="204" spans="1:8" ht="75" hidden="1" customHeight="1" x14ac:dyDescent="0.25">
      <c r="A204" s="417" t="s">
        <v>6330</v>
      </c>
      <c r="B204" s="423" t="s">
        <v>6328</v>
      </c>
      <c r="C204" s="423" t="s">
        <v>6493</v>
      </c>
      <c r="D204" s="424" t="s">
        <v>4997</v>
      </c>
      <c r="E204" s="425" t="str">
        <f>VLOOKUP($D204,'Tabel Map Industry'!$A$2:$H$464,2,0)</f>
        <v xml:space="preserve">Konstruksi Gedung Lainnya </v>
      </c>
      <c r="F204" s="426" t="str">
        <f>VLOOKUP($D204,'Tabel Map Industry'!$A$2:$H$464,3,0)</f>
        <v>CONSTRUCTION</v>
      </c>
      <c r="G204" s="426" t="str">
        <f>VLOOKUP($D204,'Tabel Map Industry'!$A$2:$H$464,4,0)</f>
        <v>Konstruksi Gedung Lainnya  - 452190</v>
      </c>
      <c r="H204" s="426" t="str">
        <f>VLOOKUP($D204,'Tabel Map Industry'!$A$2:$H$464,8,0)</f>
        <v>Konstruksi - Lainnya - 5990</v>
      </c>
    </row>
    <row r="205" spans="1:8" ht="75" hidden="1" customHeight="1" x14ac:dyDescent="0.25">
      <c r="A205" s="422" t="s">
        <v>6330</v>
      </c>
      <c r="B205" s="418" t="s">
        <v>6328</v>
      </c>
      <c r="C205" s="418" t="s">
        <v>6588</v>
      </c>
      <c r="D205" s="419" t="s">
        <v>4997</v>
      </c>
      <c r="E205" s="420" t="str">
        <f>VLOOKUP($D205,'Tabel Map Industry'!$A$2:$H$464,2,0)</f>
        <v xml:space="preserve">Konstruksi Gedung Lainnya </v>
      </c>
      <c r="F205" s="421" t="str">
        <f>VLOOKUP($D205,'Tabel Map Industry'!$A$2:$H$464,3,0)</f>
        <v>CONSTRUCTION</v>
      </c>
      <c r="G205" s="421" t="str">
        <f>VLOOKUP($D205,'Tabel Map Industry'!$A$2:$H$464,4,0)</f>
        <v>Konstruksi Gedung Lainnya  - 452190</v>
      </c>
      <c r="H205" s="421" t="str">
        <f>VLOOKUP($D205,'Tabel Map Industry'!$A$2:$H$464,8,0)</f>
        <v>Konstruksi - Lainnya - 5990</v>
      </c>
    </row>
    <row r="206" spans="1:8" ht="75" hidden="1" customHeight="1" x14ac:dyDescent="0.25">
      <c r="A206" s="417" t="s">
        <v>6330</v>
      </c>
      <c r="B206" s="423" t="s">
        <v>6605</v>
      </c>
      <c r="C206" s="423" t="s">
        <v>6606</v>
      </c>
      <c r="D206" s="424" t="s">
        <v>4992</v>
      </c>
      <c r="E206" s="425" t="str">
        <f>VLOOKUP($D206,'Tabel Map Industry'!$A$2:$H$464,2,0)</f>
        <v>Konstruksi Perumahan Sederhana - Lainnya Tipe 22 s.d. 70</v>
      </c>
      <c r="F206" s="426" t="str">
        <f>VLOOKUP($D206,'Tabel Map Industry'!$A$2:$H$464,3,0)</f>
        <v>CONSTRUCTION</v>
      </c>
      <c r="G206" s="426" t="str">
        <f>VLOOKUP($D206,'Tabel Map Industry'!$A$2:$H$464,4,0)</f>
        <v>Konstruksi Perumahan Sederhana - Lainnya Tipe 22 s.d. 70 - 452114</v>
      </c>
      <c r="H206" s="426" t="str">
        <f>VLOOKUP($D206,'Tabel Map Industry'!$A$2:$H$464,8,0)</f>
        <v>Konstruksi - Perumahan Sederhana lainnya - 5190</v>
      </c>
    </row>
    <row r="207" spans="1:8" ht="75" hidden="1" customHeight="1" x14ac:dyDescent="0.25">
      <c r="A207" s="422" t="s">
        <v>6330</v>
      </c>
      <c r="B207" s="418" t="s">
        <v>6328</v>
      </c>
      <c r="C207" s="418" t="s">
        <v>6614</v>
      </c>
      <c r="D207" s="419" t="s">
        <v>4998</v>
      </c>
      <c r="E207" s="420" t="str">
        <f>VLOOKUP($D207,'Tabel Map Industry'!$A$2:$H$464,2,0)</f>
        <v>Bangunan Jalan Raya</v>
      </c>
      <c r="F207" s="421" t="str">
        <f>VLOOKUP($D207,'Tabel Map Industry'!$A$2:$H$464,3,0)</f>
        <v>CONSTRUCTION</v>
      </c>
      <c r="G207" s="421" t="str">
        <f>VLOOKUP($D207,'Tabel Map Industry'!$A$2:$H$464,4,0)</f>
        <v>Bangunan Jalan Raya - 452211</v>
      </c>
      <c r="H207" s="421" t="str">
        <f>VLOOKUP($D207,'Tabel Map Industry'!$A$2:$H$464,8,0)</f>
        <v>Konstruksi - Jalan Raya dan Jembatan - 5500</v>
      </c>
    </row>
    <row r="208" spans="1:8" ht="75" hidden="1" customHeight="1" x14ac:dyDescent="0.25">
      <c r="A208" s="417" t="s">
        <v>6330</v>
      </c>
      <c r="B208" s="423" t="s">
        <v>6328</v>
      </c>
      <c r="C208" s="423" t="s">
        <v>6616</v>
      </c>
      <c r="D208" s="424" t="s">
        <v>4997</v>
      </c>
      <c r="E208" s="425" t="str">
        <f>VLOOKUP($D208,'Tabel Map Industry'!$A$2:$H$464,2,0)</f>
        <v xml:space="preserve">Konstruksi Gedung Lainnya </v>
      </c>
      <c r="F208" s="426" t="str">
        <f>VLOOKUP($D208,'Tabel Map Industry'!$A$2:$H$464,3,0)</f>
        <v>CONSTRUCTION</v>
      </c>
      <c r="G208" s="426" t="str">
        <f>VLOOKUP($D208,'Tabel Map Industry'!$A$2:$H$464,4,0)</f>
        <v>Konstruksi Gedung Lainnya  - 452190</v>
      </c>
      <c r="H208" s="426" t="str">
        <f>VLOOKUP($D208,'Tabel Map Industry'!$A$2:$H$464,8,0)</f>
        <v>Konstruksi - Lainnya - 5990</v>
      </c>
    </row>
    <row r="209" spans="1:8" ht="75" hidden="1" customHeight="1" x14ac:dyDescent="0.25">
      <c r="A209" s="422" t="s">
        <v>6330</v>
      </c>
      <c r="B209" s="418" t="s">
        <v>6328</v>
      </c>
      <c r="C209" s="418" t="s">
        <v>6614</v>
      </c>
      <c r="D209" s="419" t="s">
        <v>4998</v>
      </c>
      <c r="E209" s="420" t="str">
        <f>VLOOKUP($D209,'Tabel Map Industry'!$A$2:$H$464,2,0)</f>
        <v>Bangunan Jalan Raya</v>
      </c>
      <c r="F209" s="421" t="str">
        <f>VLOOKUP($D209,'Tabel Map Industry'!$A$2:$H$464,3,0)</f>
        <v>CONSTRUCTION</v>
      </c>
      <c r="G209" s="421" t="str">
        <f>VLOOKUP($D209,'Tabel Map Industry'!$A$2:$H$464,4,0)</f>
        <v>Bangunan Jalan Raya - 452211</v>
      </c>
      <c r="H209" s="421" t="str">
        <f>VLOOKUP($D209,'Tabel Map Industry'!$A$2:$H$464,8,0)</f>
        <v>Konstruksi - Jalan Raya dan Jembatan - 5500</v>
      </c>
    </row>
    <row r="210" spans="1:8" ht="75" hidden="1" customHeight="1" x14ac:dyDescent="0.25">
      <c r="A210" s="417" t="s">
        <v>6324</v>
      </c>
      <c r="B210" s="423" t="s">
        <v>6672</v>
      </c>
      <c r="C210" s="423" t="s">
        <v>6673</v>
      </c>
      <c r="D210" s="424" t="s">
        <v>4997</v>
      </c>
      <c r="E210" s="425" t="str">
        <f>VLOOKUP($D210,'Tabel Map Industry'!$A$2:$H$464,2,0)</f>
        <v xml:space="preserve">Konstruksi Gedung Lainnya </v>
      </c>
      <c r="F210" s="426" t="str">
        <f>VLOOKUP($D210,'Tabel Map Industry'!$A$2:$H$464,3,0)</f>
        <v>CONSTRUCTION</v>
      </c>
      <c r="G210" s="426" t="str">
        <f>VLOOKUP($D210,'Tabel Map Industry'!$A$2:$H$464,4,0)</f>
        <v>Konstruksi Gedung Lainnya  - 452190</v>
      </c>
      <c r="H210" s="426" t="str">
        <f>VLOOKUP($D210,'Tabel Map Industry'!$A$2:$H$464,8,0)</f>
        <v>Konstruksi - Lainnya - 5990</v>
      </c>
    </row>
    <row r="211" spans="1:8" ht="75" hidden="1" customHeight="1" x14ac:dyDescent="0.25">
      <c r="A211" s="422" t="s">
        <v>6330</v>
      </c>
      <c r="B211" s="418" t="s">
        <v>6328</v>
      </c>
      <c r="C211" s="418" t="s">
        <v>6712</v>
      </c>
      <c r="D211" s="419" t="s">
        <v>5006</v>
      </c>
      <c r="E211" s="420" t="str">
        <f>VLOOKUP($D211,'Tabel Map Industry'!$A$2:$H$464,2,0)</f>
        <v>Konstruksi Bangunan Elektrikal dan Komunikasi Lainnya</v>
      </c>
      <c r="F211" s="421" t="str">
        <f>VLOOKUP($D211,'Tabel Map Industry'!$A$2:$H$464,3,0)</f>
        <v>CONSTRUCTION</v>
      </c>
      <c r="G211" s="421" t="str">
        <f>VLOOKUP($D211,'Tabel Map Industry'!$A$2:$H$464,4,0)</f>
        <v>Konstruksi Bangunan Elektrikal dan Komunikasi Lainnya - 452309</v>
      </c>
      <c r="H211" s="421" t="str">
        <f>VLOOKUP($D211,'Tabel Map Industry'!$A$2:$H$464,8,0)</f>
        <v>Konstruksi - Listrik lainnya - 5890</v>
      </c>
    </row>
    <row r="212" spans="1:8" ht="75" hidden="1" customHeight="1" x14ac:dyDescent="0.25">
      <c r="A212" s="417" t="s">
        <v>6330</v>
      </c>
      <c r="B212" s="423" t="s">
        <v>6720</v>
      </c>
      <c r="C212" s="423" t="s">
        <v>6721</v>
      </c>
      <c r="D212" s="424" t="s">
        <v>4997</v>
      </c>
      <c r="E212" s="425" t="str">
        <f>VLOOKUP($D212,'Tabel Map Industry'!$A$2:$H$464,2,0)</f>
        <v xml:space="preserve">Konstruksi Gedung Lainnya </v>
      </c>
      <c r="F212" s="426" t="str">
        <f>VLOOKUP($D212,'Tabel Map Industry'!$A$2:$H$464,3,0)</f>
        <v>CONSTRUCTION</v>
      </c>
      <c r="G212" s="426" t="str">
        <f>VLOOKUP($D212,'Tabel Map Industry'!$A$2:$H$464,4,0)</f>
        <v>Konstruksi Gedung Lainnya  - 452190</v>
      </c>
      <c r="H212" s="426" t="str">
        <f>VLOOKUP($D212,'Tabel Map Industry'!$A$2:$H$464,8,0)</f>
        <v>Konstruksi - Lainnya - 5990</v>
      </c>
    </row>
    <row r="213" spans="1:8" ht="75" hidden="1" customHeight="1" x14ac:dyDescent="0.25">
      <c r="A213" s="422" t="s">
        <v>6330</v>
      </c>
      <c r="B213" s="418" t="s">
        <v>6605</v>
      </c>
      <c r="C213" s="418" t="s">
        <v>6739</v>
      </c>
      <c r="D213" s="419" t="s">
        <v>4997</v>
      </c>
      <c r="E213" s="420" t="str">
        <f>VLOOKUP($D213,'Tabel Map Industry'!$A$2:$H$464,2,0)</f>
        <v xml:space="preserve">Konstruksi Gedung Lainnya </v>
      </c>
      <c r="F213" s="421" t="str">
        <f>VLOOKUP($D213,'Tabel Map Industry'!$A$2:$H$464,3,0)</f>
        <v>CONSTRUCTION</v>
      </c>
      <c r="G213" s="421" t="str">
        <f>VLOOKUP($D213,'Tabel Map Industry'!$A$2:$H$464,4,0)</f>
        <v>Konstruksi Gedung Lainnya  - 452190</v>
      </c>
      <c r="H213" s="421" t="str">
        <f>VLOOKUP($D213,'Tabel Map Industry'!$A$2:$H$464,8,0)</f>
        <v>Konstruksi - Lainnya - 5990</v>
      </c>
    </row>
    <row r="214" spans="1:8" ht="75" hidden="1" customHeight="1" x14ac:dyDescent="0.25">
      <c r="A214" s="417" t="s">
        <v>6330</v>
      </c>
      <c r="B214" s="423" t="s">
        <v>6328</v>
      </c>
      <c r="C214" s="423" t="s">
        <v>6766</v>
      </c>
      <c r="D214" s="424" t="s">
        <v>4997</v>
      </c>
      <c r="E214" s="425" t="str">
        <f>VLOOKUP($D214,'Tabel Map Industry'!$A$2:$H$464,2,0)</f>
        <v xml:space="preserve">Konstruksi Gedung Lainnya </v>
      </c>
      <c r="F214" s="426" t="str">
        <f>VLOOKUP($D214,'Tabel Map Industry'!$A$2:$H$464,3,0)</f>
        <v>CONSTRUCTION</v>
      </c>
      <c r="G214" s="426" t="str">
        <f>VLOOKUP($D214,'Tabel Map Industry'!$A$2:$H$464,4,0)</f>
        <v>Konstruksi Gedung Lainnya  - 452190</v>
      </c>
      <c r="H214" s="426" t="str">
        <f>VLOOKUP($D214,'Tabel Map Industry'!$A$2:$H$464,8,0)</f>
        <v>Konstruksi - Lainnya - 5990</v>
      </c>
    </row>
    <row r="215" spans="1:8" ht="75" hidden="1" customHeight="1" x14ac:dyDescent="0.25">
      <c r="A215" s="422" t="s">
        <v>6330</v>
      </c>
      <c r="B215" s="418" t="s">
        <v>6328</v>
      </c>
      <c r="C215" s="418" t="s">
        <v>6774</v>
      </c>
      <c r="D215" s="419" t="s">
        <v>4997</v>
      </c>
      <c r="E215" s="420" t="str">
        <f>VLOOKUP($D215,'Tabel Map Industry'!$A$2:$H$464,2,0)</f>
        <v xml:space="preserve">Konstruksi Gedung Lainnya </v>
      </c>
      <c r="F215" s="421" t="str">
        <f>VLOOKUP($D215,'Tabel Map Industry'!$A$2:$H$464,3,0)</f>
        <v>CONSTRUCTION</v>
      </c>
      <c r="G215" s="421" t="str">
        <f>VLOOKUP($D215,'Tabel Map Industry'!$A$2:$H$464,4,0)</f>
        <v>Konstruksi Gedung Lainnya  - 452190</v>
      </c>
      <c r="H215" s="421" t="str">
        <f>VLOOKUP($D215,'Tabel Map Industry'!$A$2:$H$464,8,0)</f>
        <v>Konstruksi - Lainnya - 5990</v>
      </c>
    </row>
    <row r="216" spans="1:8" ht="75" hidden="1" customHeight="1" x14ac:dyDescent="0.25">
      <c r="A216" s="417" t="s">
        <v>6330</v>
      </c>
      <c r="B216" s="423" t="s">
        <v>6894</v>
      </c>
      <c r="C216" s="423" t="s">
        <v>6895</v>
      </c>
      <c r="D216" s="424" t="s">
        <v>4988</v>
      </c>
      <c r="E216" s="425" t="str">
        <f>VLOOKUP($D216,'Tabel Map Industry'!$A$2:$H$464,2,0)</f>
        <v>Penyiapan Lahan Lainnya</v>
      </c>
      <c r="F216" s="426" t="str">
        <f>VLOOKUP($D216,'Tabel Map Industry'!$A$2:$H$464,3,0)</f>
        <v>CONSTRUCTION</v>
      </c>
      <c r="G216" s="426" t="str">
        <f>VLOOKUP($D216,'Tabel Map Industry'!$A$2:$H$464,4,0)</f>
        <v>Penyiapan Lahan Lainnya - 451009</v>
      </c>
      <c r="H216" s="426" t="str">
        <f>VLOOKUP($D216,'Tabel Map Industry'!$A$2:$H$464,8,0)</f>
        <v>Konstruksi - Penyiapan Tanah Pemukiman Transmigrasi - 5300</v>
      </c>
    </row>
    <row r="217" spans="1:8" ht="75" hidden="1" customHeight="1" x14ac:dyDescent="0.25">
      <c r="A217" s="422" t="s">
        <v>6330</v>
      </c>
      <c r="B217" s="418" t="s">
        <v>6921</v>
      </c>
      <c r="C217" s="418" t="s">
        <v>6921</v>
      </c>
      <c r="D217" s="419" t="s">
        <v>5007</v>
      </c>
      <c r="E217" s="420" t="str">
        <f>VLOOKUP($D217,'Tabel Map Industry'!$A$2:$H$464,2,0)</f>
        <v xml:space="preserve">Konstruksi Khusus </v>
      </c>
      <c r="F217" s="421" t="str">
        <f>VLOOKUP($D217,'Tabel Map Industry'!$A$2:$H$464,3,0)</f>
        <v>CONSTRUCTION</v>
      </c>
      <c r="G217" s="421" t="str">
        <f>VLOOKUP($D217,'Tabel Map Industry'!$A$2:$H$464,4,0)</f>
        <v>Konstruksi Khusus  - 452400</v>
      </c>
      <c r="H217" s="421" t="str">
        <f>VLOOKUP($D217,'Tabel Map Industry'!$A$2:$H$464,8,0)</f>
        <v>Konstruksi - Lainnya - 5990</v>
      </c>
    </row>
    <row r="218" spans="1:8" ht="75" hidden="1" customHeight="1" x14ac:dyDescent="0.25">
      <c r="A218" s="417" t="s">
        <v>6330</v>
      </c>
      <c r="B218" s="423" t="s">
        <v>6937</v>
      </c>
      <c r="C218" s="423" t="s">
        <v>6938</v>
      </c>
      <c r="D218" s="424" t="s">
        <v>5004</v>
      </c>
      <c r="E218" s="425" t="str">
        <f>VLOOKUP($D218,'Tabel Map Industry'!$A$2:$H$464,2,0)</f>
        <v xml:space="preserve">Bangunan Sipil Lainnya </v>
      </c>
      <c r="F218" s="426" t="str">
        <f>VLOOKUP($D218,'Tabel Map Industry'!$A$2:$H$464,3,0)</f>
        <v>CONSTRUCTION</v>
      </c>
      <c r="G218" s="426" t="str">
        <f>VLOOKUP($D218,'Tabel Map Industry'!$A$2:$H$464,4,0)</f>
        <v>Bangunan Sipil Lainnya  - 452290</v>
      </c>
      <c r="H218" s="426" t="str">
        <f>VLOOKUP($D218,'Tabel Map Industry'!$A$2:$H$464,8,0)</f>
        <v>Konstruksi - Jalan Raya dan Jembatan - 5500</v>
      </c>
    </row>
    <row r="219" spans="1:8" ht="75" hidden="1" customHeight="1" x14ac:dyDescent="0.25">
      <c r="A219" s="422" t="s">
        <v>6330</v>
      </c>
      <c r="B219" s="418" t="s">
        <v>6976</v>
      </c>
      <c r="C219" s="418" t="s">
        <v>6977</v>
      </c>
      <c r="D219" s="419" t="s">
        <v>5007</v>
      </c>
      <c r="E219" s="420" t="str">
        <f>VLOOKUP($D219,'Tabel Map Industry'!$A$2:$H$464,2,0)</f>
        <v xml:space="preserve">Konstruksi Khusus </v>
      </c>
      <c r="F219" s="421" t="str">
        <f>VLOOKUP($D219,'Tabel Map Industry'!$A$2:$H$464,3,0)</f>
        <v>CONSTRUCTION</v>
      </c>
      <c r="G219" s="421" t="str">
        <f>VLOOKUP($D219,'Tabel Map Industry'!$A$2:$H$464,4,0)</f>
        <v>Konstruksi Khusus  - 452400</v>
      </c>
      <c r="H219" s="421" t="str">
        <f>VLOOKUP($D219,'Tabel Map Industry'!$A$2:$H$464,8,0)</f>
        <v>Konstruksi - Lainnya - 5990</v>
      </c>
    </row>
    <row r="220" spans="1:8" ht="75" hidden="1" customHeight="1" x14ac:dyDescent="0.25">
      <c r="A220" s="417" t="s">
        <v>6330</v>
      </c>
      <c r="B220" s="423" t="s">
        <v>6720</v>
      </c>
      <c r="C220" s="423" t="s">
        <v>6986</v>
      </c>
      <c r="D220" s="424" t="s">
        <v>5004</v>
      </c>
      <c r="E220" s="425" t="str">
        <f>VLOOKUP($D220,'Tabel Map Industry'!$A$2:$H$464,2,0)</f>
        <v xml:space="preserve">Bangunan Sipil Lainnya </v>
      </c>
      <c r="F220" s="426" t="str">
        <f>VLOOKUP($D220,'Tabel Map Industry'!$A$2:$H$464,3,0)</f>
        <v>CONSTRUCTION</v>
      </c>
      <c r="G220" s="426" t="str">
        <f>VLOOKUP($D220,'Tabel Map Industry'!$A$2:$H$464,4,0)</f>
        <v>Bangunan Sipil Lainnya  - 452290</v>
      </c>
      <c r="H220" s="426" t="str">
        <f>VLOOKUP($D220,'Tabel Map Industry'!$A$2:$H$464,8,0)</f>
        <v>Konstruksi - Jalan Raya dan Jembatan - 5500</v>
      </c>
    </row>
    <row r="221" spans="1:8" ht="75" hidden="1" customHeight="1" x14ac:dyDescent="0.25">
      <c r="A221" s="422" t="s">
        <v>6330</v>
      </c>
      <c r="B221" s="418" t="s">
        <v>7027</v>
      </c>
      <c r="C221" s="418" t="s">
        <v>7028</v>
      </c>
      <c r="D221" s="419" t="s">
        <v>5004</v>
      </c>
      <c r="E221" s="420" t="str">
        <f>VLOOKUP($D221,'Tabel Map Industry'!$A$2:$H$464,2,0)</f>
        <v xml:space="preserve">Bangunan Sipil Lainnya </v>
      </c>
      <c r="F221" s="421" t="str">
        <f>VLOOKUP($D221,'Tabel Map Industry'!$A$2:$H$464,3,0)</f>
        <v>CONSTRUCTION</v>
      </c>
      <c r="G221" s="421" t="str">
        <f>VLOOKUP($D221,'Tabel Map Industry'!$A$2:$H$464,4,0)</f>
        <v>Bangunan Sipil Lainnya  - 452290</v>
      </c>
      <c r="H221" s="421" t="str">
        <f>VLOOKUP($D221,'Tabel Map Industry'!$A$2:$H$464,8,0)</f>
        <v>Konstruksi - Jalan Raya dan Jembatan - 5500</v>
      </c>
    </row>
    <row r="222" spans="1:8" ht="75" hidden="1" customHeight="1" x14ac:dyDescent="0.25">
      <c r="A222" s="417" t="s">
        <v>6330</v>
      </c>
      <c r="B222" s="423" t="s">
        <v>6720</v>
      </c>
      <c r="C222" s="423" t="s">
        <v>7119</v>
      </c>
      <c r="D222" s="424" t="s">
        <v>5007</v>
      </c>
      <c r="E222" s="425" t="str">
        <f>VLOOKUP($D222,'Tabel Map Industry'!$A$2:$H$464,2,0)</f>
        <v xml:space="preserve">Konstruksi Khusus </v>
      </c>
      <c r="F222" s="426" t="str">
        <f>VLOOKUP($D222,'Tabel Map Industry'!$A$2:$H$464,3,0)</f>
        <v>CONSTRUCTION</v>
      </c>
      <c r="G222" s="426" t="str">
        <f>VLOOKUP($D222,'Tabel Map Industry'!$A$2:$H$464,4,0)</f>
        <v>Konstruksi Khusus  - 452400</v>
      </c>
      <c r="H222" s="426" t="str">
        <f>VLOOKUP($D222,'Tabel Map Industry'!$A$2:$H$464,8,0)</f>
        <v>Konstruksi - Lainnya - 5990</v>
      </c>
    </row>
    <row r="223" spans="1:8" ht="75" hidden="1" customHeight="1" x14ac:dyDescent="0.25">
      <c r="A223" s="422" t="s">
        <v>6330</v>
      </c>
      <c r="B223" s="418" t="s">
        <v>7139</v>
      </c>
      <c r="C223" s="418" t="s">
        <v>7141</v>
      </c>
      <c r="D223" s="419" t="s">
        <v>5002</v>
      </c>
      <c r="E223" s="420" t="str">
        <f>VLOOKUP($D223,'Tabel Map Industry'!$A$2:$H$464,2,0)</f>
        <v>Bangunan Pengairan (Irigasi)</v>
      </c>
      <c r="F223" s="421" t="str">
        <f>VLOOKUP($D223,'Tabel Map Industry'!$A$2:$H$464,3,0)</f>
        <v>CONSTRUCTION</v>
      </c>
      <c r="G223" s="421" t="str">
        <f>VLOOKUP($D223,'Tabel Map Industry'!$A$2:$H$464,4,0)</f>
        <v>Bangunan Pengairan (Irigasi) - 452240</v>
      </c>
      <c r="H223" s="421" t="str">
        <f>VLOOKUP($D223,'Tabel Map Industry'!$A$2:$H$464,8,0)</f>
        <v>Konstruksi - Irigasi - 5700</v>
      </c>
    </row>
    <row r="224" spans="1:8" ht="75" hidden="1" customHeight="1" x14ac:dyDescent="0.25">
      <c r="A224" s="417" t="s">
        <v>6330</v>
      </c>
      <c r="B224" s="423" t="str">
        <f t="shared" ref="B224:B231" si="0">PROPER(F224)</f>
        <v>Construction</v>
      </c>
      <c r="C224" s="423" t="str">
        <f t="shared" ref="C224:C231" si="1">E224</f>
        <v>Penyiapan Lahan Lainnya</v>
      </c>
      <c r="D224" s="424" t="s">
        <v>4988</v>
      </c>
      <c r="E224" s="425" t="str">
        <f>VLOOKUP($D224,'Tabel Map Industry'!$A$2:$H$464,2,0)</f>
        <v>Penyiapan Lahan Lainnya</v>
      </c>
      <c r="F224" s="426" t="str">
        <f>VLOOKUP($D224,'Tabel Map Industry'!$A$2:$H$464,3,0)</f>
        <v>CONSTRUCTION</v>
      </c>
      <c r="G224" s="426" t="str">
        <f>VLOOKUP($D224,'Tabel Map Industry'!$A$2:$H$464,4,0)</f>
        <v>Penyiapan Lahan Lainnya - 451009</v>
      </c>
      <c r="H224" s="426" t="str">
        <f>VLOOKUP($D224,'Tabel Map Industry'!$A$2:$H$464,8,0)</f>
        <v>Konstruksi - Penyiapan Tanah Pemukiman Transmigrasi - 5300</v>
      </c>
    </row>
    <row r="225" spans="1:8" ht="75" hidden="1" customHeight="1" x14ac:dyDescent="0.25">
      <c r="A225" s="422" t="s">
        <v>6330</v>
      </c>
      <c r="B225" s="418" t="str">
        <f t="shared" si="0"/>
        <v>Construction</v>
      </c>
      <c r="C225" s="418" t="str">
        <f t="shared" si="1"/>
        <v>Konstruksi Perumahan Sederhana - Lainnya Tipe 22 s.d. 70</v>
      </c>
      <c r="D225" s="419" t="s">
        <v>4992</v>
      </c>
      <c r="E225" s="420" t="str">
        <f>VLOOKUP($D225,'Tabel Map Industry'!$A$2:$H$464,2,0)</f>
        <v>Konstruksi Perumahan Sederhana - Lainnya Tipe 22 s.d. 70</v>
      </c>
      <c r="F225" s="421" t="str">
        <f>VLOOKUP($D225,'Tabel Map Industry'!$A$2:$H$464,3,0)</f>
        <v>CONSTRUCTION</v>
      </c>
      <c r="G225" s="421" t="str">
        <f>VLOOKUP($D225,'Tabel Map Industry'!$A$2:$H$464,4,0)</f>
        <v>Konstruksi Perumahan Sederhana - Lainnya Tipe 22 s.d. 70 - 452114</v>
      </c>
      <c r="H225" s="421" t="str">
        <f>VLOOKUP($D225,'Tabel Map Industry'!$A$2:$H$464,8,0)</f>
        <v>Konstruksi - Perumahan Sederhana lainnya - 5190</v>
      </c>
    </row>
    <row r="226" spans="1:8" ht="75" hidden="1" customHeight="1" x14ac:dyDescent="0.25">
      <c r="A226" s="417" t="s">
        <v>6330</v>
      </c>
      <c r="B226" s="423" t="str">
        <f t="shared" si="0"/>
        <v>Construction</v>
      </c>
      <c r="C226" s="423" t="str">
        <f t="shared" si="1"/>
        <v xml:space="preserve">Konstruksi Gedung Lainnya </v>
      </c>
      <c r="D226" s="424" t="s">
        <v>4997</v>
      </c>
      <c r="E226" s="425" t="str">
        <f>VLOOKUP($D226,'Tabel Map Industry'!$A$2:$H$464,2,0)</f>
        <v xml:space="preserve">Konstruksi Gedung Lainnya </v>
      </c>
      <c r="F226" s="426" t="str">
        <f>VLOOKUP($D226,'Tabel Map Industry'!$A$2:$H$464,3,0)</f>
        <v>CONSTRUCTION</v>
      </c>
      <c r="G226" s="426" t="str">
        <f>VLOOKUP($D226,'Tabel Map Industry'!$A$2:$H$464,4,0)</f>
        <v>Konstruksi Gedung Lainnya  - 452190</v>
      </c>
      <c r="H226" s="426" t="str">
        <f>VLOOKUP($D226,'Tabel Map Industry'!$A$2:$H$464,8,0)</f>
        <v>Konstruksi - Lainnya - 5990</v>
      </c>
    </row>
    <row r="227" spans="1:8" ht="75" hidden="1" customHeight="1" x14ac:dyDescent="0.25">
      <c r="A227" s="422" t="s">
        <v>6330</v>
      </c>
      <c r="B227" s="418" t="str">
        <f t="shared" si="0"/>
        <v>Construction</v>
      </c>
      <c r="C227" s="418" t="str">
        <f t="shared" si="1"/>
        <v>Bangunan Jalan Raya</v>
      </c>
      <c r="D227" s="419" t="s">
        <v>4998</v>
      </c>
      <c r="E227" s="420" t="str">
        <f>VLOOKUP($D227,'Tabel Map Industry'!$A$2:$H$464,2,0)</f>
        <v>Bangunan Jalan Raya</v>
      </c>
      <c r="F227" s="421" t="str">
        <f>VLOOKUP($D227,'Tabel Map Industry'!$A$2:$H$464,3,0)</f>
        <v>CONSTRUCTION</v>
      </c>
      <c r="G227" s="421" t="str">
        <f>VLOOKUP($D227,'Tabel Map Industry'!$A$2:$H$464,4,0)</f>
        <v>Bangunan Jalan Raya - 452211</v>
      </c>
      <c r="H227" s="421" t="str">
        <f>VLOOKUP($D227,'Tabel Map Industry'!$A$2:$H$464,8,0)</f>
        <v>Konstruksi - Jalan Raya dan Jembatan - 5500</v>
      </c>
    </row>
    <row r="228" spans="1:8" ht="75" hidden="1" customHeight="1" x14ac:dyDescent="0.25">
      <c r="A228" s="417" t="s">
        <v>6330</v>
      </c>
      <c r="B228" s="423" t="str">
        <f t="shared" si="0"/>
        <v>Construction</v>
      </c>
      <c r="C228" s="423" t="str">
        <f t="shared" si="1"/>
        <v>Bangunan Pengairan (Irigasi)</v>
      </c>
      <c r="D228" s="424" t="s">
        <v>5002</v>
      </c>
      <c r="E228" s="425" t="str">
        <f>VLOOKUP($D228,'Tabel Map Industry'!$A$2:$H$464,2,0)</f>
        <v>Bangunan Pengairan (Irigasi)</v>
      </c>
      <c r="F228" s="426" t="str">
        <f>VLOOKUP($D228,'Tabel Map Industry'!$A$2:$H$464,3,0)</f>
        <v>CONSTRUCTION</v>
      </c>
      <c r="G228" s="426" t="str">
        <f>VLOOKUP($D228,'Tabel Map Industry'!$A$2:$H$464,4,0)</f>
        <v>Bangunan Pengairan (Irigasi) - 452240</v>
      </c>
      <c r="H228" s="426" t="str">
        <f>VLOOKUP($D228,'Tabel Map Industry'!$A$2:$H$464,8,0)</f>
        <v>Konstruksi - Irigasi - 5700</v>
      </c>
    </row>
    <row r="229" spans="1:8" ht="30" hidden="1" x14ac:dyDescent="0.25">
      <c r="A229" s="422" t="s">
        <v>6330</v>
      </c>
      <c r="B229" s="418" t="str">
        <f t="shared" si="0"/>
        <v>Construction</v>
      </c>
      <c r="C229" s="418" t="str">
        <f t="shared" si="1"/>
        <v xml:space="preserve">Bangunan Sipil Lainnya </v>
      </c>
      <c r="D229" s="419" t="s">
        <v>5004</v>
      </c>
      <c r="E229" s="420" t="str">
        <f>VLOOKUP($D229,'Tabel Map Industry'!$A$2:$H$464,2,0)</f>
        <v xml:space="preserve">Bangunan Sipil Lainnya </v>
      </c>
      <c r="F229" s="421" t="str">
        <f>VLOOKUP($D229,'Tabel Map Industry'!$A$2:$H$464,3,0)</f>
        <v>CONSTRUCTION</v>
      </c>
      <c r="G229" s="421" t="str">
        <f>VLOOKUP($D229,'Tabel Map Industry'!$A$2:$H$464,4,0)</f>
        <v>Bangunan Sipil Lainnya  - 452290</v>
      </c>
      <c r="H229" s="421" t="str">
        <f>VLOOKUP($D229,'Tabel Map Industry'!$A$2:$H$464,8,0)</f>
        <v>Konstruksi - Jalan Raya dan Jembatan - 5500</v>
      </c>
    </row>
    <row r="230" spans="1:8" ht="75" hidden="1" customHeight="1" x14ac:dyDescent="0.25">
      <c r="A230" s="417" t="s">
        <v>6330</v>
      </c>
      <c r="B230" s="423" t="str">
        <f t="shared" si="0"/>
        <v>Construction</v>
      </c>
      <c r="C230" s="423" t="str">
        <f t="shared" si="1"/>
        <v>Konstruksi Bangunan Elektrikal dan Komunikasi Lainnya</v>
      </c>
      <c r="D230" s="424" t="s">
        <v>5006</v>
      </c>
      <c r="E230" s="425" t="str">
        <f>VLOOKUP($D230,'Tabel Map Industry'!$A$2:$H$464,2,0)</f>
        <v>Konstruksi Bangunan Elektrikal dan Komunikasi Lainnya</v>
      </c>
      <c r="F230" s="426" t="str">
        <f>VLOOKUP($D230,'Tabel Map Industry'!$A$2:$H$464,3,0)</f>
        <v>CONSTRUCTION</v>
      </c>
      <c r="G230" s="426" t="str">
        <f>VLOOKUP($D230,'Tabel Map Industry'!$A$2:$H$464,4,0)</f>
        <v>Konstruksi Bangunan Elektrikal dan Komunikasi Lainnya - 452309</v>
      </c>
      <c r="H230" s="426" t="str">
        <f>VLOOKUP($D230,'Tabel Map Industry'!$A$2:$H$464,8,0)</f>
        <v>Konstruksi - Listrik lainnya - 5890</v>
      </c>
    </row>
    <row r="231" spans="1:8" ht="75" hidden="1" customHeight="1" x14ac:dyDescent="0.25">
      <c r="A231" s="422" t="s">
        <v>6324</v>
      </c>
      <c r="B231" s="418" t="str">
        <f t="shared" si="0"/>
        <v>Construction</v>
      </c>
      <c r="C231" s="418" t="str">
        <f t="shared" si="1"/>
        <v xml:space="preserve">Konstruksi Khusus </v>
      </c>
      <c r="D231" s="419" t="s">
        <v>5007</v>
      </c>
      <c r="E231" s="420" t="str">
        <f>VLOOKUP($D231,'Tabel Map Industry'!$A$2:$H$464,2,0)</f>
        <v xml:space="preserve">Konstruksi Khusus </v>
      </c>
      <c r="F231" s="421" t="str">
        <f>VLOOKUP($D231,'Tabel Map Industry'!$A$2:$H$464,3,0)</f>
        <v>CONSTRUCTION</v>
      </c>
      <c r="G231" s="421" t="str">
        <f>VLOOKUP($D231,'Tabel Map Industry'!$A$2:$H$464,4,0)</f>
        <v>Konstruksi Khusus  - 452400</v>
      </c>
      <c r="H231" s="421" t="str">
        <f>VLOOKUP($D231,'Tabel Map Industry'!$A$2:$H$464,8,0)</f>
        <v>Konstruksi - Lainnya - 5990</v>
      </c>
    </row>
    <row r="232" spans="1:8" ht="75" hidden="1" customHeight="1" x14ac:dyDescent="0.25">
      <c r="A232" s="417" t="s">
        <v>6324</v>
      </c>
      <c r="B232" s="423" t="s">
        <v>6343</v>
      </c>
      <c r="C232" s="423" t="s">
        <v>6344</v>
      </c>
      <c r="D232" s="424" t="s">
        <v>5056</v>
      </c>
      <c r="E232" s="425" t="str">
        <f>VLOOKUP($D232,'Tabel Map Industry'!$A$2:$H$464,2,0)</f>
        <v xml:space="preserve">I.4.4. Jasa Perjalanan Wisata </v>
      </c>
      <c r="F232" s="426" t="str">
        <f>VLOOKUP($D232,'Tabel Map Industry'!$A$2:$H$464,3,0)</f>
        <v>CONSULTING &amp; SERVICE INDUSTRY</v>
      </c>
      <c r="G232" s="426" t="str">
        <f>VLOOKUP($D232,'Tabel Map Industry'!$A$2:$H$464,4,0)</f>
        <v>I.4.4. Jasa Perjalanan Wisata  - 634000</v>
      </c>
      <c r="H232" s="426" t="str">
        <f>VLOOKUP($D232,'Tabel Map Industry'!$A$2:$H$464,8,0)</f>
        <v>Biro Perjalanan - 7200</v>
      </c>
    </row>
    <row r="233" spans="1:8" ht="75" hidden="1" customHeight="1" x14ac:dyDescent="0.25">
      <c r="A233" s="422" t="s">
        <v>6324</v>
      </c>
      <c r="B233" s="418" t="s">
        <v>6381</v>
      </c>
      <c r="C233" s="418" t="s">
        <v>6382</v>
      </c>
      <c r="D233" s="419" t="s">
        <v>5052</v>
      </c>
      <c r="E233" s="420" t="str">
        <f>VLOOKUP($D233,'Tabel Map Industry'!$A$2:$H$464,2,0)</f>
        <v>O.4.1. Jasa Kegiatan Lainnya</v>
      </c>
      <c r="F233" s="421" t="str">
        <f>VLOOKUP($D233,'Tabel Map Industry'!$A$2:$H$464,3,0)</f>
        <v>CONSULTING &amp; SERVICE INDUSTRY</v>
      </c>
      <c r="G233" s="421" t="str">
        <f>VLOOKUP($D233,'Tabel Map Industry'!$A$2:$H$464,4,0)</f>
        <v>O.4.1. Jasa Kegiatan Lainnya - 930000</v>
      </c>
      <c r="H233" s="421" t="str">
        <f>VLOOKUP($D233,'Tabel Map Industry'!$A$2:$H$464,8,0)</f>
        <v>Jasa-jasa sosial/masyarakat -  Lainnya - 9900</v>
      </c>
    </row>
    <row r="234" spans="1:8" ht="75" hidden="1" customHeight="1" x14ac:dyDescent="0.25">
      <c r="A234" s="417" t="s">
        <v>6324</v>
      </c>
      <c r="B234" s="423" t="s">
        <v>6551</v>
      </c>
      <c r="C234" s="423" t="s">
        <v>6552</v>
      </c>
      <c r="D234" s="424" t="s">
        <v>5052</v>
      </c>
      <c r="E234" s="425" t="str">
        <f>VLOOKUP($D234,'Tabel Map Industry'!$A$2:$H$464,2,0)</f>
        <v>O.4.1. Jasa Kegiatan Lainnya</v>
      </c>
      <c r="F234" s="426" t="str">
        <f>VLOOKUP($D234,'Tabel Map Industry'!$A$2:$H$464,3,0)</f>
        <v>CONSULTING &amp; SERVICE INDUSTRY</v>
      </c>
      <c r="G234" s="426" t="str">
        <f>VLOOKUP($D234,'Tabel Map Industry'!$A$2:$H$464,4,0)</f>
        <v>O.4.1. Jasa Kegiatan Lainnya - 930000</v>
      </c>
      <c r="H234" s="426" t="str">
        <f>VLOOKUP($D234,'Tabel Map Industry'!$A$2:$H$464,8,0)</f>
        <v>Jasa-jasa sosial/masyarakat -  Lainnya - 9900</v>
      </c>
    </row>
    <row r="235" spans="1:8" ht="75" hidden="1" customHeight="1" x14ac:dyDescent="0.25">
      <c r="A235" s="422" t="s">
        <v>6327</v>
      </c>
      <c r="B235" s="418" t="s">
        <v>6562</v>
      </c>
      <c r="C235" s="418" t="s">
        <v>6563</v>
      </c>
      <c r="D235" s="419" t="s">
        <v>5052</v>
      </c>
      <c r="E235" s="420" t="str">
        <f>VLOOKUP($D235,'Tabel Map Industry'!$A$2:$H$464,2,0)</f>
        <v>O.4.1. Jasa Kegiatan Lainnya</v>
      </c>
      <c r="F235" s="421" t="str">
        <f>VLOOKUP($D235,'Tabel Map Industry'!$A$2:$H$464,3,0)</f>
        <v>CONSULTING &amp; SERVICE INDUSTRY</v>
      </c>
      <c r="G235" s="421" t="str">
        <f>VLOOKUP($D235,'Tabel Map Industry'!$A$2:$H$464,4,0)</f>
        <v>O.4.1. Jasa Kegiatan Lainnya - 930000</v>
      </c>
      <c r="H235" s="421" t="str">
        <f>VLOOKUP($D235,'Tabel Map Industry'!$A$2:$H$464,8,0)</f>
        <v>Jasa-jasa sosial/masyarakat -  Lainnya - 9900</v>
      </c>
    </row>
    <row r="236" spans="1:8" ht="75" hidden="1" customHeight="1" x14ac:dyDescent="0.25">
      <c r="A236" s="417" t="s">
        <v>6330</v>
      </c>
      <c r="B236" s="423" t="s">
        <v>6583</v>
      </c>
      <c r="C236" s="423" t="s">
        <v>6584</v>
      </c>
      <c r="D236" s="424" t="s">
        <v>5041</v>
      </c>
      <c r="E236" s="425" t="str">
        <f>VLOOKUP($D236,'Tabel Map Industry'!$A$2:$H$464,2,0)</f>
        <v xml:space="preserve">I.4.3. Jasa Penunjang Angkutan Kecuali Jasa Bongkar Muat dan Pergudangan </v>
      </c>
      <c r="F236" s="426" t="str">
        <f>VLOOKUP($D236,'Tabel Map Industry'!$A$2:$H$464,3,0)</f>
        <v>CONSULTING &amp; SERVICE INDUSTRY</v>
      </c>
      <c r="G236" s="426" t="str">
        <f>VLOOKUP($D236,'Tabel Map Industry'!$A$2:$H$464,4,0)</f>
        <v>I.4.3. Jasa Penunjang Angkutan Kecuali Jasa Bongkar Muat dan Pergudangan  - 633000</v>
      </c>
      <c r="H236" s="426" t="str">
        <f>VLOOKUP($D236,'Tabel Map Industry'!$A$2:$H$464,8,0)</f>
        <v>Jasa-jasa Dunia Usaha - Lainnya - 8900</v>
      </c>
    </row>
    <row r="237" spans="1:8" ht="75" hidden="1" customHeight="1" x14ac:dyDescent="0.25">
      <c r="A237" s="422" t="s">
        <v>6330</v>
      </c>
      <c r="B237" s="418" t="s">
        <v>6635</v>
      </c>
      <c r="C237" s="418" t="s">
        <v>6636</v>
      </c>
      <c r="D237" s="419" t="s">
        <v>5042</v>
      </c>
      <c r="E237" s="420" t="str">
        <f>VLOOKUP($D237,'Tabel Map Industry'!$A$2:$H$464,2,0)</f>
        <v>Jasa Perusahaan Lainnya</v>
      </c>
      <c r="F237" s="421" t="str">
        <f>VLOOKUP($D237,'Tabel Map Industry'!$A$2:$H$464,3,0)</f>
        <v>CONSULTING &amp; SERVICE INDUSTRY</v>
      </c>
      <c r="G237" s="421" t="str">
        <f>VLOOKUP($D237,'Tabel Map Industry'!$A$2:$H$464,4,0)</f>
        <v>Jasa Perusahaan Lainnya - 749000</v>
      </c>
      <c r="H237" s="421" t="str">
        <f>VLOOKUP($D237,'Tabel Map Industry'!$A$2:$H$464,8,0)</f>
        <v>Jasa-jasa Dunia Usaha - Lainnya - 8900</v>
      </c>
    </row>
    <row r="238" spans="1:8" ht="75" hidden="1" customHeight="1" x14ac:dyDescent="0.25">
      <c r="A238" s="417" t="s">
        <v>6324</v>
      </c>
      <c r="B238" s="423" t="s">
        <v>6680</v>
      </c>
      <c r="C238" s="423" t="s">
        <v>6681</v>
      </c>
      <c r="D238" s="424" t="s">
        <v>5042</v>
      </c>
      <c r="E238" s="425" t="str">
        <f>VLOOKUP($D238,'Tabel Map Industry'!$A$2:$H$464,2,0)</f>
        <v>Jasa Perusahaan Lainnya</v>
      </c>
      <c r="F238" s="426" t="str">
        <f>VLOOKUP($D238,'Tabel Map Industry'!$A$2:$H$464,3,0)</f>
        <v>CONSULTING &amp; SERVICE INDUSTRY</v>
      </c>
      <c r="G238" s="426" t="str">
        <f>VLOOKUP($D238,'Tabel Map Industry'!$A$2:$H$464,4,0)</f>
        <v>Jasa Perusahaan Lainnya - 749000</v>
      </c>
      <c r="H238" s="426" t="str">
        <f>VLOOKUP($D238,'Tabel Map Industry'!$A$2:$H$464,8,0)</f>
        <v>Jasa-jasa Dunia Usaha - Lainnya - 8900</v>
      </c>
    </row>
    <row r="239" spans="1:8" ht="75" hidden="1" customHeight="1" x14ac:dyDescent="0.25">
      <c r="A239" s="422" t="s">
        <v>6330</v>
      </c>
      <c r="B239" s="418" t="s">
        <v>6724</v>
      </c>
      <c r="C239" s="418" t="s">
        <v>6725</v>
      </c>
      <c r="D239" s="419" t="s">
        <v>5052</v>
      </c>
      <c r="E239" s="420" t="str">
        <f>VLOOKUP($D239,'Tabel Map Industry'!$A$2:$H$464,2,0)</f>
        <v>O.4.1. Jasa Kegiatan Lainnya</v>
      </c>
      <c r="F239" s="421" t="str">
        <f>VLOOKUP($D239,'Tabel Map Industry'!$A$2:$H$464,3,0)</f>
        <v>CONSULTING &amp; SERVICE INDUSTRY</v>
      </c>
      <c r="G239" s="421" t="str">
        <f>VLOOKUP($D239,'Tabel Map Industry'!$A$2:$H$464,4,0)</f>
        <v>O.4.1. Jasa Kegiatan Lainnya - 930000</v>
      </c>
      <c r="H239" s="421" t="str">
        <f>VLOOKUP($D239,'Tabel Map Industry'!$A$2:$H$464,8,0)</f>
        <v>Jasa-jasa sosial/masyarakat -  Lainnya - 9900</v>
      </c>
    </row>
    <row r="240" spans="1:8" ht="75" hidden="1" customHeight="1" x14ac:dyDescent="0.25">
      <c r="A240" s="417" t="s">
        <v>6324</v>
      </c>
      <c r="B240" s="423" t="s">
        <v>7125</v>
      </c>
      <c r="C240" s="423" t="s">
        <v>7126</v>
      </c>
      <c r="D240" s="424" t="s">
        <v>5030</v>
      </c>
      <c r="E240" s="425" t="str">
        <f>VLOOKUP($D240,'Tabel Map Industry'!$A$2:$H$464,2,0)</f>
        <v>J.1.1. Perantara Moneter (Bank)</v>
      </c>
      <c r="F240" s="426" t="str">
        <f>VLOOKUP($D240,'Tabel Map Industry'!$A$2:$H$464,3,0)</f>
        <v>CONSULTING &amp; SERVICE INDUSTRY</v>
      </c>
      <c r="G240" s="426" t="str">
        <f>VLOOKUP($D240,'Tabel Map Industry'!$A$2:$H$464,4,0)</f>
        <v>J.1.1. Perantara Moneter (Bank) - 651000</v>
      </c>
      <c r="H240" s="426" t="str">
        <f>VLOOKUP($D240,'Tabel Map Industry'!$A$2:$H$464,8,0)</f>
        <v>Jasa-jasa Dunia Usaha - Lainnya - 8900</v>
      </c>
    </row>
    <row r="241" spans="1:8" ht="75" hidden="1" customHeight="1" x14ac:dyDescent="0.25">
      <c r="A241" s="422" t="s">
        <v>6327</v>
      </c>
      <c r="B241" s="418" t="s">
        <v>7125</v>
      </c>
      <c r="C241" s="418" t="s">
        <v>7126</v>
      </c>
      <c r="D241" s="419" t="s">
        <v>5030</v>
      </c>
      <c r="E241" s="420" t="str">
        <f>VLOOKUP($D241,'Tabel Map Industry'!$A$2:$H$464,2,0)</f>
        <v>J.1.1. Perantara Moneter (Bank)</v>
      </c>
      <c r="F241" s="421" t="str">
        <f>VLOOKUP($D241,'Tabel Map Industry'!$A$2:$H$464,3,0)</f>
        <v>CONSULTING &amp; SERVICE INDUSTRY</v>
      </c>
      <c r="G241" s="421" t="str">
        <f>VLOOKUP($D241,'Tabel Map Industry'!$A$2:$H$464,4,0)</f>
        <v>J.1.1. Perantara Moneter (Bank) - 651000</v>
      </c>
      <c r="H241" s="421" t="str">
        <f>VLOOKUP($D241,'Tabel Map Industry'!$A$2:$H$464,8,0)</f>
        <v>Jasa-jasa Dunia Usaha - Lainnya - 8900</v>
      </c>
    </row>
    <row r="242" spans="1:8" ht="75" hidden="1" customHeight="1" x14ac:dyDescent="0.25">
      <c r="A242" s="417" t="s">
        <v>6324</v>
      </c>
      <c r="B242" s="423" t="s">
        <v>7125</v>
      </c>
      <c r="C242" s="423" t="s">
        <v>7126</v>
      </c>
      <c r="D242" s="424" t="s">
        <v>5030</v>
      </c>
      <c r="E242" s="425" t="str">
        <f>VLOOKUP($D242,'Tabel Map Industry'!$A$2:$H$464,2,0)</f>
        <v>J.1.1. Perantara Moneter (Bank)</v>
      </c>
      <c r="F242" s="426" t="str">
        <f>VLOOKUP($D242,'Tabel Map Industry'!$A$2:$H$464,3,0)</f>
        <v>CONSULTING &amp; SERVICE INDUSTRY</v>
      </c>
      <c r="G242" s="426" t="str">
        <f>VLOOKUP($D242,'Tabel Map Industry'!$A$2:$H$464,4,0)</f>
        <v>J.1.1. Perantara Moneter (Bank) - 651000</v>
      </c>
      <c r="H242" s="426" t="str">
        <f>VLOOKUP($D242,'Tabel Map Industry'!$A$2:$H$464,8,0)</f>
        <v>Jasa-jasa Dunia Usaha - Lainnya - 8900</v>
      </c>
    </row>
    <row r="243" spans="1:8" ht="75" hidden="1" customHeight="1" x14ac:dyDescent="0.25">
      <c r="A243" s="422" t="s">
        <v>6324</v>
      </c>
      <c r="B243" s="418" t="s">
        <v>7125</v>
      </c>
      <c r="C243" s="418" t="s">
        <v>7126</v>
      </c>
      <c r="D243" s="419" t="s">
        <v>5030</v>
      </c>
      <c r="E243" s="420" t="str">
        <f>VLOOKUP($D243,'Tabel Map Industry'!$A$2:$H$464,2,0)</f>
        <v>J.1.1. Perantara Moneter (Bank)</v>
      </c>
      <c r="F243" s="421" t="str">
        <f>VLOOKUP($D243,'Tabel Map Industry'!$A$2:$H$464,3,0)</f>
        <v>CONSULTING &amp; SERVICE INDUSTRY</v>
      </c>
      <c r="G243" s="421" t="str">
        <f>VLOOKUP($D243,'Tabel Map Industry'!$A$2:$H$464,4,0)</f>
        <v>J.1.1. Perantara Moneter (Bank) - 651000</v>
      </c>
      <c r="H243" s="421" t="str">
        <f>VLOOKUP($D243,'Tabel Map Industry'!$A$2:$H$464,8,0)</f>
        <v>Jasa-jasa Dunia Usaha - Lainnya - 8900</v>
      </c>
    </row>
    <row r="244" spans="1:8" ht="75" hidden="1" customHeight="1" x14ac:dyDescent="0.25">
      <c r="A244" s="417" t="s">
        <v>6327</v>
      </c>
      <c r="B244" s="423" t="s">
        <v>7125</v>
      </c>
      <c r="C244" s="423" t="s">
        <v>7126</v>
      </c>
      <c r="D244" s="424" t="s">
        <v>5030</v>
      </c>
      <c r="E244" s="425" t="str">
        <f>VLOOKUP($D244,'Tabel Map Industry'!$A$2:$H$464,2,0)</f>
        <v>J.1.1. Perantara Moneter (Bank)</v>
      </c>
      <c r="F244" s="426" t="str">
        <f>VLOOKUP($D244,'Tabel Map Industry'!$A$2:$H$464,3,0)</f>
        <v>CONSULTING &amp; SERVICE INDUSTRY</v>
      </c>
      <c r="G244" s="426" t="str">
        <f>VLOOKUP($D244,'Tabel Map Industry'!$A$2:$H$464,4,0)</f>
        <v>J.1.1. Perantara Moneter (Bank) - 651000</v>
      </c>
      <c r="H244" s="426" t="str">
        <f>VLOOKUP($D244,'Tabel Map Industry'!$A$2:$H$464,8,0)</f>
        <v>Jasa-jasa Dunia Usaha - Lainnya - 8900</v>
      </c>
    </row>
    <row r="245" spans="1:8" ht="75" hidden="1" customHeight="1" x14ac:dyDescent="0.25">
      <c r="A245" s="422" t="s">
        <v>6330</v>
      </c>
      <c r="B245" s="418" t="s">
        <v>7125</v>
      </c>
      <c r="C245" s="418" t="s">
        <v>7126</v>
      </c>
      <c r="D245" s="419" t="s">
        <v>5030</v>
      </c>
      <c r="E245" s="420" t="str">
        <f>VLOOKUP($D245,'Tabel Map Industry'!$A$2:$H$464,2,0)</f>
        <v>J.1.1. Perantara Moneter (Bank)</v>
      </c>
      <c r="F245" s="421" t="str">
        <f>VLOOKUP($D245,'Tabel Map Industry'!$A$2:$H$464,3,0)</f>
        <v>CONSULTING &amp; SERVICE INDUSTRY</v>
      </c>
      <c r="G245" s="421" t="str">
        <f>VLOOKUP($D245,'Tabel Map Industry'!$A$2:$H$464,4,0)</f>
        <v>J.1.1. Perantara Moneter (Bank) - 651000</v>
      </c>
      <c r="H245" s="421" t="str">
        <f>VLOOKUP($D245,'Tabel Map Industry'!$A$2:$H$464,8,0)</f>
        <v>Jasa-jasa Dunia Usaha - Lainnya - 8900</v>
      </c>
    </row>
    <row r="246" spans="1:8" ht="75" hidden="1" customHeight="1" x14ac:dyDescent="0.25">
      <c r="A246" s="417" t="s">
        <v>6324</v>
      </c>
      <c r="B246" s="423" t="s">
        <v>7125</v>
      </c>
      <c r="C246" s="423" t="s">
        <v>7126</v>
      </c>
      <c r="D246" s="424" t="s">
        <v>5030</v>
      </c>
      <c r="E246" s="425" t="str">
        <f>VLOOKUP($D246,'Tabel Map Industry'!$A$2:$H$464,2,0)</f>
        <v>J.1.1. Perantara Moneter (Bank)</v>
      </c>
      <c r="F246" s="426" t="str">
        <f>VLOOKUP($D246,'Tabel Map Industry'!$A$2:$H$464,3,0)</f>
        <v>CONSULTING &amp; SERVICE INDUSTRY</v>
      </c>
      <c r="G246" s="426" t="str">
        <f>VLOOKUP($D246,'Tabel Map Industry'!$A$2:$H$464,4,0)</f>
        <v>J.1.1. Perantara Moneter (Bank) - 651000</v>
      </c>
      <c r="H246" s="426" t="str">
        <f>VLOOKUP($D246,'Tabel Map Industry'!$A$2:$H$464,8,0)</f>
        <v>Jasa-jasa Dunia Usaha - Lainnya - 8900</v>
      </c>
    </row>
    <row r="247" spans="1:8" ht="75" hidden="1" customHeight="1" x14ac:dyDescent="0.25">
      <c r="A247" s="422" t="s">
        <v>6330</v>
      </c>
      <c r="B247" s="418" t="s">
        <v>7125</v>
      </c>
      <c r="C247" s="418" t="s">
        <v>7126</v>
      </c>
      <c r="D247" s="419" t="s">
        <v>5030</v>
      </c>
      <c r="E247" s="420" t="str">
        <f>VLOOKUP($D247,'Tabel Map Industry'!$A$2:$H$464,2,0)</f>
        <v>J.1.1. Perantara Moneter (Bank)</v>
      </c>
      <c r="F247" s="421" t="str">
        <f>VLOOKUP($D247,'Tabel Map Industry'!$A$2:$H$464,3,0)</f>
        <v>CONSULTING &amp; SERVICE INDUSTRY</v>
      </c>
      <c r="G247" s="421" t="str">
        <f>VLOOKUP($D247,'Tabel Map Industry'!$A$2:$H$464,4,0)</f>
        <v>J.1.1. Perantara Moneter (Bank) - 651000</v>
      </c>
      <c r="H247" s="421" t="str">
        <f>VLOOKUP($D247,'Tabel Map Industry'!$A$2:$H$464,8,0)</f>
        <v>Jasa-jasa Dunia Usaha - Lainnya - 8900</v>
      </c>
    </row>
    <row r="248" spans="1:8" ht="75" hidden="1" customHeight="1" x14ac:dyDescent="0.25">
      <c r="A248" s="417" t="s">
        <v>6330</v>
      </c>
      <c r="B248" s="423" t="s">
        <v>7125</v>
      </c>
      <c r="C248" s="423" t="s">
        <v>7126</v>
      </c>
      <c r="D248" s="424" t="s">
        <v>5030</v>
      </c>
      <c r="E248" s="425" t="str">
        <f>VLOOKUP($D248,'Tabel Map Industry'!$A$2:$H$464,2,0)</f>
        <v>J.1.1. Perantara Moneter (Bank)</v>
      </c>
      <c r="F248" s="426" t="str">
        <f>VLOOKUP($D248,'Tabel Map Industry'!$A$2:$H$464,3,0)</f>
        <v>CONSULTING &amp; SERVICE INDUSTRY</v>
      </c>
      <c r="G248" s="426" t="str">
        <f>VLOOKUP($D248,'Tabel Map Industry'!$A$2:$H$464,4,0)</f>
        <v>J.1.1. Perantara Moneter (Bank) - 651000</v>
      </c>
      <c r="H248" s="426" t="str">
        <f>VLOOKUP($D248,'Tabel Map Industry'!$A$2:$H$464,8,0)</f>
        <v>Jasa-jasa Dunia Usaha - Lainnya - 8900</v>
      </c>
    </row>
    <row r="249" spans="1:8" ht="30" hidden="1" x14ac:dyDescent="0.25">
      <c r="A249" s="422" t="s">
        <v>6330</v>
      </c>
      <c r="B249" s="418" t="s">
        <v>7125</v>
      </c>
      <c r="C249" s="418" t="s">
        <v>7126</v>
      </c>
      <c r="D249" s="419" t="s">
        <v>5030</v>
      </c>
      <c r="E249" s="420" t="str">
        <f>VLOOKUP($D249,'Tabel Map Industry'!$A$2:$H$464,2,0)</f>
        <v>J.1.1. Perantara Moneter (Bank)</v>
      </c>
      <c r="F249" s="421" t="str">
        <f>VLOOKUP($D249,'Tabel Map Industry'!$A$2:$H$464,3,0)</f>
        <v>CONSULTING &amp; SERVICE INDUSTRY</v>
      </c>
      <c r="G249" s="421" t="str">
        <f>VLOOKUP($D249,'Tabel Map Industry'!$A$2:$H$464,4,0)</f>
        <v>J.1.1. Perantara Moneter (Bank) - 651000</v>
      </c>
      <c r="H249" s="421" t="str">
        <f>VLOOKUP($D249,'Tabel Map Industry'!$A$2:$H$464,8,0)</f>
        <v>Jasa-jasa Dunia Usaha - Lainnya - 8900</v>
      </c>
    </row>
    <row r="250" spans="1:8" ht="75" hidden="1" customHeight="1" x14ac:dyDescent="0.25">
      <c r="A250" s="417" t="s">
        <v>6330</v>
      </c>
      <c r="B250" s="423" t="s">
        <v>7125</v>
      </c>
      <c r="C250" s="423" t="s">
        <v>7126</v>
      </c>
      <c r="D250" s="424" t="s">
        <v>5030</v>
      </c>
      <c r="E250" s="425" t="str">
        <f>VLOOKUP($D250,'Tabel Map Industry'!$A$2:$H$464,2,0)</f>
        <v>J.1.1. Perantara Moneter (Bank)</v>
      </c>
      <c r="F250" s="426" t="str">
        <f>VLOOKUP($D250,'Tabel Map Industry'!$A$2:$H$464,3,0)</f>
        <v>CONSULTING &amp; SERVICE INDUSTRY</v>
      </c>
      <c r="G250" s="426" t="str">
        <f>VLOOKUP($D250,'Tabel Map Industry'!$A$2:$H$464,4,0)</f>
        <v>J.1.1. Perantara Moneter (Bank) - 651000</v>
      </c>
      <c r="H250" s="426" t="str">
        <f>VLOOKUP($D250,'Tabel Map Industry'!$A$2:$H$464,8,0)</f>
        <v>Jasa-jasa Dunia Usaha - Lainnya - 8900</v>
      </c>
    </row>
    <row r="251" spans="1:8" ht="75" hidden="1" customHeight="1" x14ac:dyDescent="0.25">
      <c r="A251" s="422" t="s">
        <v>6330</v>
      </c>
      <c r="B251" s="418" t="s">
        <v>7125</v>
      </c>
      <c r="C251" s="418" t="s">
        <v>7126</v>
      </c>
      <c r="D251" s="419" t="s">
        <v>5030</v>
      </c>
      <c r="E251" s="420" t="str">
        <f>VLOOKUP($D251,'Tabel Map Industry'!$A$2:$H$464,2,0)</f>
        <v>J.1.1. Perantara Moneter (Bank)</v>
      </c>
      <c r="F251" s="421" t="str">
        <f>VLOOKUP($D251,'Tabel Map Industry'!$A$2:$H$464,3,0)</f>
        <v>CONSULTING &amp; SERVICE INDUSTRY</v>
      </c>
      <c r="G251" s="421" t="str">
        <f>VLOOKUP($D251,'Tabel Map Industry'!$A$2:$H$464,4,0)</f>
        <v>J.1.1. Perantara Moneter (Bank) - 651000</v>
      </c>
      <c r="H251" s="421" t="str">
        <f>VLOOKUP($D251,'Tabel Map Industry'!$A$2:$H$464,8,0)</f>
        <v>Jasa-jasa Dunia Usaha - Lainnya - 8900</v>
      </c>
    </row>
    <row r="252" spans="1:8" ht="75" hidden="1" customHeight="1" x14ac:dyDescent="0.25">
      <c r="A252" s="417" t="s">
        <v>6330</v>
      </c>
      <c r="B252" s="423" t="s">
        <v>7135</v>
      </c>
      <c r="C252" s="423" t="s">
        <v>7168</v>
      </c>
      <c r="D252" s="424" t="s">
        <v>5052</v>
      </c>
      <c r="E252" s="425" t="str">
        <f>VLOOKUP($D252,'Tabel Map Industry'!$A$2:$H$464,2,0)</f>
        <v>O.4.1. Jasa Kegiatan Lainnya</v>
      </c>
      <c r="F252" s="426" t="str">
        <f>VLOOKUP($D252,'Tabel Map Industry'!$A$2:$H$464,3,0)</f>
        <v>CONSULTING &amp; SERVICE INDUSTRY</v>
      </c>
      <c r="G252" s="426" t="str">
        <f>VLOOKUP($D252,'Tabel Map Industry'!$A$2:$H$464,4,0)</f>
        <v>O.4.1. Jasa Kegiatan Lainnya - 930000</v>
      </c>
      <c r="H252" s="426" t="str">
        <f>VLOOKUP($D252,'Tabel Map Industry'!$A$2:$H$464,8,0)</f>
        <v>Jasa-jasa sosial/masyarakat -  Lainnya - 9900</v>
      </c>
    </row>
    <row r="253" spans="1:8" ht="75" hidden="1" customHeight="1" x14ac:dyDescent="0.25">
      <c r="A253" s="422" t="s">
        <v>6327</v>
      </c>
      <c r="B253" s="418" t="s">
        <v>7125</v>
      </c>
      <c r="C253" s="418" t="s">
        <v>7126</v>
      </c>
      <c r="D253" s="419" t="s">
        <v>5030</v>
      </c>
      <c r="E253" s="420" t="str">
        <f>VLOOKUP($D253,'Tabel Map Industry'!$A$2:$H$464,2,0)</f>
        <v>J.1.1. Perantara Moneter (Bank)</v>
      </c>
      <c r="F253" s="421" t="str">
        <f>VLOOKUP($D253,'Tabel Map Industry'!$A$2:$H$464,3,0)</f>
        <v>CONSULTING &amp; SERVICE INDUSTRY</v>
      </c>
      <c r="G253" s="421" t="str">
        <f>VLOOKUP($D253,'Tabel Map Industry'!$A$2:$H$464,4,0)</f>
        <v>J.1.1. Perantara Moneter (Bank) - 651000</v>
      </c>
      <c r="H253" s="421" t="str">
        <f>VLOOKUP($D253,'Tabel Map Industry'!$A$2:$H$464,8,0)</f>
        <v>Jasa-jasa Dunia Usaha - Lainnya - 8900</v>
      </c>
    </row>
    <row r="254" spans="1:8" ht="75" hidden="1" customHeight="1" x14ac:dyDescent="0.25">
      <c r="A254" s="417" t="s">
        <v>6330</v>
      </c>
      <c r="B254" s="423" t="str">
        <f>PROPER(F254)</f>
        <v>Consulting &amp; Service Industry</v>
      </c>
      <c r="C254" s="423" t="str">
        <f>E254</f>
        <v>J.1.1. Perantara Moneter (Bank)</v>
      </c>
      <c r="D254" s="424" t="s">
        <v>5030</v>
      </c>
      <c r="E254" s="425" t="str">
        <f>VLOOKUP($D254,'Tabel Map Industry'!$A$2:$H$464,2,0)</f>
        <v>J.1.1. Perantara Moneter (Bank)</v>
      </c>
      <c r="F254" s="426" t="str">
        <f>VLOOKUP($D254,'Tabel Map Industry'!$A$2:$H$464,3,0)</f>
        <v>CONSULTING &amp; SERVICE INDUSTRY</v>
      </c>
      <c r="G254" s="426" t="str">
        <f>VLOOKUP($D254,'Tabel Map Industry'!$A$2:$H$464,4,0)</f>
        <v>J.1.1. Perantara Moneter (Bank) - 651000</v>
      </c>
      <c r="H254" s="426" t="str">
        <f>VLOOKUP($D254,'Tabel Map Industry'!$A$2:$H$464,8,0)</f>
        <v>Jasa-jasa Dunia Usaha - Lainnya - 8900</v>
      </c>
    </row>
    <row r="255" spans="1:8" ht="75" hidden="1" customHeight="1" x14ac:dyDescent="0.25">
      <c r="A255" s="422" t="s">
        <v>6330</v>
      </c>
      <c r="B255" s="418" t="str">
        <f>PROPER(F255)</f>
        <v>Consulting &amp; Service Industry</v>
      </c>
      <c r="C255" s="418" t="str">
        <f>E255</f>
        <v>Jasa Perusahaan Lainnya</v>
      </c>
      <c r="D255" s="419" t="s">
        <v>5042</v>
      </c>
      <c r="E255" s="420" t="str">
        <f>VLOOKUP($D255,'Tabel Map Industry'!$A$2:$H$464,2,0)</f>
        <v>Jasa Perusahaan Lainnya</v>
      </c>
      <c r="F255" s="421" t="str">
        <f>VLOOKUP($D255,'Tabel Map Industry'!$A$2:$H$464,3,0)</f>
        <v>CONSULTING &amp; SERVICE INDUSTRY</v>
      </c>
      <c r="G255" s="421" t="str">
        <f>VLOOKUP($D255,'Tabel Map Industry'!$A$2:$H$464,4,0)</f>
        <v>Jasa Perusahaan Lainnya - 749000</v>
      </c>
      <c r="H255" s="421" t="str">
        <f>VLOOKUP($D255,'Tabel Map Industry'!$A$2:$H$464,8,0)</f>
        <v>Jasa-jasa Dunia Usaha - Lainnya - 8900</v>
      </c>
    </row>
    <row r="256" spans="1:8" ht="75" hidden="1" customHeight="1" x14ac:dyDescent="0.25">
      <c r="A256" s="417" t="s">
        <v>6330</v>
      </c>
      <c r="B256" s="423" t="str">
        <f>PROPER(F256)</f>
        <v>Consulting &amp; Service Industry</v>
      </c>
      <c r="C256" s="423" t="str">
        <f>E256</f>
        <v>O.4.1. Jasa Kegiatan Lainnya</v>
      </c>
      <c r="D256" s="424" t="s">
        <v>5052</v>
      </c>
      <c r="E256" s="425" t="str">
        <f>VLOOKUP($D256,'Tabel Map Industry'!$A$2:$H$464,2,0)</f>
        <v>O.4.1. Jasa Kegiatan Lainnya</v>
      </c>
      <c r="F256" s="426" t="str">
        <f>VLOOKUP($D256,'Tabel Map Industry'!$A$2:$H$464,3,0)</f>
        <v>CONSULTING &amp; SERVICE INDUSTRY</v>
      </c>
      <c r="G256" s="426" t="str">
        <f>VLOOKUP($D256,'Tabel Map Industry'!$A$2:$H$464,4,0)</f>
        <v>O.4.1. Jasa Kegiatan Lainnya - 930000</v>
      </c>
      <c r="H256" s="426" t="str">
        <f>VLOOKUP($D256,'Tabel Map Industry'!$A$2:$H$464,8,0)</f>
        <v>Jasa-jasa sosial/masyarakat -  Lainnya - 9900</v>
      </c>
    </row>
    <row r="257" spans="1:8" ht="75" hidden="1" customHeight="1" x14ac:dyDescent="0.25">
      <c r="A257" s="422" t="s">
        <v>6330</v>
      </c>
      <c r="B257" s="418" t="s">
        <v>6452</v>
      </c>
      <c r="C257" s="418" t="s">
        <v>6453</v>
      </c>
      <c r="D257" s="419" t="s">
        <v>5061</v>
      </c>
      <c r="E257" s="420" t="str">
        <f>VLOOKUP($D257,'Tabel Map Industry'!$A$2:$H$464,2,0)</f>
        <v xml:space="preserve">Perdagangan Eceran Berbagai Macam Barang yang Didominasi Oleh Barang Bukan Makanan, Minuman dan Tembakau </v>
      </c>
      <c r="F257" s="421" t="str">
        <f>VLOOKUP($D257,'Tabel Map Industry'!$A$2:$H$464,3,0)</f>
        <v>CONSUMABLE GOOD</v>
      </c>
      <c r="G257" s="421" t="str">
        <f>VLOOKUP($D257,'Tabel Map Industry'!$A$2:$H$464,4,0)</f>
        <v>Perdagangan Eceran Berbagai Macam Barang yang Didominasi Oleh Barang Bukan Makanan, Minuman dan Tembakau  - 521900</v>
      </c>
      <c r="H257" s="421" t="str">
        <f>VLOOKUP($D257,'Tabel Map Industry'!$A$2:$H$464,8,0)</f>
        <v>Perdagangan Eceran - 6500</v>
      </c>
    </row>
    <row r="258" spans="1:8" ht="75" hidden="1" customHeight="1" x14ac:dyDescent="0.25">
      <c r="A258" s="417" t="s">
        <v>6330</v>
      </c>
      <c r="B258" s="423" t="s">
        <v>6454</v>
      </c>
      <c r="C258" s="423" t="s">
        <v>6455</v>
      </c>
      <c r="D258" s="424" t="s">
        <v>5166</v>
      </c>
      <c r="E258" s="425" t="str">
        <f>VLOOKUP($D258,'Tabel Map Industry'!$A$2:$H$464,2,0)</f>
        <v xml:space="preserve">Perdagangan Eceran Perlengkapan Rumah Tangga dan Perlengkapan Dapur </v>
      </c>
      <c r="F258" s="426" t="str">
        <f>VLOOKUP($D258,'Tabel Map Industry'!$A$2:$H$464,3,0)</f>
        <v>HOME APPLIANCES</v>
      </c>
      <c r="G258" s="426" t="str">
        <f>VLOOKUP($D258,'Tabel Map Industry'!$A$2:$H$464,4,0)</f>
        <v>Perdagangan Eceran Perlengkapan Rumah Tangga dan Perlengkapan Dapur  - 523300</v>
      </c>
      <c r="H258" s="426" t="str">
        <f>VLOOKUP($D258,'Tabel Map Industry'!$A$2:$H$464,8,0)</f>
        <v>Perdagangan Eceran - 6500</v>
      </c>
    </row>
    <row r="259" spans="1:8" ht="75" hidden="1" customHeight="1" x14ac:dyDescent="0.25">
      <c r="A259" s="422" t="s">
        <v>6324</v>
      </c>
      <c r="B259" s="418" t="s">
        <v>6568</v>
      </c>
      <c r="C259" s="418" t="s">
        <v>6569</v>
      </c>
      <c r="D259" s="419" t="s">
        <v>5061</v>
      </c>
      <c r="E259" s="420" t="str">
        <f>VLOOKUP($D259,'Tabel Map Industry'!$A$2:$H$464,2,0)</f>
        <v xml:space="preserve">Perdagangan Eceran Berbagai Macam Barang yang Didominasi Oleh Barang Bukan Makanan, Minuman dan Tembakau </v>
      </c>
      <c r="F259" s="421" t="str">
        <f>VLOOKUP($D259,'Tabel Map Industry'!$A$2:$H$464,3,0)</f>
        <v>CONSUMABLE GOOD</v>
      </c>
      <c r="G259" s="421" t="str">
        <f>VLOOKUP($D259,'Tabel Map Industry'!$A$2:$H$464,4,0)</f>
        <v>Perdagangan Eceran Berbagai Macam Barang yang Didominasi Oleh Barang Bukan Makanan, Minuman dan Tembakau  - 521900</v>
      </c>
      <c r="H259" s="421" t="str">
        <f>VLOOKUP($D259,'Tabel Map Industry'!$A$2:$H$464,8,0)</f>
        <v>Perdagangan Eceran - 6500</v>
      </c>
    </row>
    <row r="260" spans="1:8" ht="75" hidden="1" customHeight="1" x14ac:dyDescent="0.25">
      <c r="A260" s="417" t="s">
        <v>6324</v>
      </c>
      <c r="B260" s="423" t="s">
        <v>6670</v>
      </c>
      <c r="C260" s="423" t="s">
        <v>6671</v>
      </c>
      <c r="D260" s="424" t="s">
        <v>5061</v>
      </c>
      <c r="E260" s="425" t="str">
        <f>VLOOKUP($D260,'Tabel Map Industry'!$A$2:$H$464,2,0)</f>
        <v xml:space="preserve">Perdagangan Eceran Berbagai Macam Barang yang Didominasi Oleh Barang Bukan Makanan, Minuman dan Tembakau </v>
      </c>
      <c r="F260" s="426" t="str">
        <f>VLOOKUP($D260,'Tabel Map Industry'!$A$2:$H$464,3,0)</f>
        <v>CONSUMABLE GOOD</v>
      </c>
      <c r="G260" s="426" t="str">
        <f>VLOOKUP($D260,'Tabel Map Industry'!$A$2:$H$464,4,0)</f>
        <v>Perdagangan Eceran Berbagai Macam Barang yang Didominasi Oleh Barang Bukan Makanan, Minuman dan Tembakau  - 521900</v>
      </c>
      <c r="H260" s="426" t="str">
        <f>VLOOKUP($D260,'Tabel Map Industry'!$A$2:$H$464,8,0)</f>
        <v>Perdagangan Eceran - 6500</v>
      </c>
    </row>
    <row r="261" spans="1:8" ht="75" hidden="1" customHeight="1" x14ac:dyDescent="0.25">
      <c r="A261" s="422" t="s">
        <v>6327</v>
      </c>
      <c r="B261" s="418" t="s">
        <v>6581</v>
      </c>
      <c r="C261" s="418" t="s">
        <v>6683</v>
      </c>
      <c r="D261" s="419" t="s">
        <v>5061</v>
      </c>
      <c r="E261" s="420" t="str">
        <f>VLOOKUP($D261,'Tabel Map Industry'!$A$2:$H$464,2,0)</f>
        <v xml:space="preserve">Perdagangan Eceran Berbagai Macam Barang yang Didominasi Oleh Barang Bukan Makanan, Minuman dan Tembakau </v>
      </c>
      <c r="F261" s="421" t="str">
        <f>VLOOKUP($D261,'Tabel Map Industry'!$A$2:$H$464,3,0)</f>
        <v>CONSUMABLE GOOD</v>
      </c>
      <c r="G261" s="421" t="str">
        <f>VLOOKUP($D261,'Tabel Map Industry'!$A$2:$H$464,4,0)</f>
        <v>Perdagangan Eceran Berbagai Macam Barang yang Didominasi Oleh Barang Bukan Makanan, Minuman dan Tembakau  - 521900</v>
      </c>
      <c r="H261" s="421" t="str">
        <f>VLOOKUP($D261,'Tabel Map Industry'!$A$2:$H$464,8,0)</f>
        <v>Perdagangan Eceran - 6500</v>
      </c>
    </row>
    <row r="262" spans="1:8" ht="75" hidden="1" customHeight="1" x14ac:dyDescent="0.25">
      <c r="A262" s="417" t="s">
        <v>6330</v>
      </c>
      <c r="B262" s="423" t="s">
        <v>6684</v>
      </c>
      <c r="C262" s="423" t="s">
        <v>6452</v>
      </c>
      <c r="D262" s="424" t="s">
        <v>5061</v>
      </c>
      <c r="E262" s="425" t="str">
        <f>VLOOKUP($D262,'Tabel Map Industry'!$A$2:$H$464,2,0)</f>
        <v xml:space="preserve">Perdagangan Eceran Berbagai Macam Barang yang Didominasi Oleh Barang Bukan Makanan, Minuman dan Tembakau </v>
      </c>
      <c r="F262" s="426" t="str">
        <f>VLOOKUP($D262,'Tabel Map Industry'!$A$2:$H$464,3,0)</f>
        <v>CONSUMABLE GOOD</v>
      </c>
      <c r="G262" s="426" t="str">
        <f>VLOOKUP($D262,'Tabel Map Industry'!$A$2:$H$464,4,0)</f>
        <v>Perdagangan Eceran Berbagai Macam Barang yang Didominasi Oleh Barang Bukan Makanan, Minuman dan Tembakau  - 521900</v>
      </c>
      <c r="H262" s="426" t="str">
        <f>VLOOKUP($D262,'Tabel Map Industry'!$A$2:$H$464,8,0)</f>
        <v>Perdagangan Eceran - 6500</v>
      </c>
    </row>
    <row r="263" spans="1:8" ht="75" hidden="1" customHeight="1" x14ac:dyDescent="0.25">
      <c r="A263" s="422" t="s">
        <v>6330</v>
      </c>
      <c r="B263" s="418" t="s">
        <v>6718</v>
      </c>
      <c r="C263" s="418" t="s">
        <v>6718</v>
      </c>
      <c r="D263" s="419" t="s">
        <v>5061</v>
      </c>
      <c r="E263" s="420" t="str">
        <f>VLOOKUP($D263,'Tabel Map Industry'!$A$2:$H$464,2,0)</f>
        <v xml:space="preserve">Perdagangan Eceran Berbagai Macam Barang yang Didominasi Oleh Barang Bukan Makanan, Minuman dan Tembakau </v>
      </c>
      <c r="F263" s="421" t="str">
        <f>VLOOKUP($D263,'Tabel Map Industry'!$A$2:$H$464,3,0)</f>
        <v>CONSUMABLE GOOD</v>
      </c>
      <c r="G263" s="421" t="str">
        <f>VLOOKUP($D263,'Tabel Map Industry'!$A$2:$H$464,4,0)</f>
        <v>Perdagangan Eceran Berbagai Macam Barang yang Didominasi Oleh Barang Bukan Makanan, Minuman dan Tembakau  - 521900</v>
      </c>
      <c r="H263" s="421" t="str">
        <f>VLOOKUP($D263,'Tabel Map Industry'!$A$2:$H$464,8,0)</f>
        <v>Perdagangan Eceran - 6500</v>
      </c>
    </row>
    <row r="264" spans="1:8" ht="75" hidden="1" customHeight="1" x14ac:dyDescent="0.25">
      <c r="A264" s="417" t="s">
        <v>6330</v>
      </c>
      <c r="B264" s="423" t="s">
        <v>6367</v>
      </c>
      <c r="C264" s="423" t="s">
        <v>7073</v>
      </c>
      <c r="D264" s="424" t="s">
        <v>5061</v>
      </c>
      <c r="E264" s="425" t="str">
        <f>VLOOKUP($D264,'Tabel Map Industry'!$A$2:$H$464,2,0)</f>
        <v xml:space="preserve">Perdagangan Eceran Berbagai Macam Barang yang Didominasi Oleh Barang Bukan Makanan, Minuman dan Tembakau </v>
      </c>
      <c r="F264" s="426" t="str">
        <f>VLOOKUP($D264,'Tabel Map Industry'!$A$2:$H$464,3,0)</f>
        <v>CONSUMABLE GOOD</v>
      </c>
      <c r="G264" s="426" t="str">
        <f>VLOOKUP($D264,'Tabel Map Industry'!$A$2:$H$464,4,0)</f>
        <v>Perdagangan Eceran Berbagai Macam Barang yang Didominasi Oleh Barang Bukan Makanan, Minuman dan Tembakau  - 521900</v>
      </c>
      <c r="H264" s="426" t="str">
        <f>VLOOKUP($D264,'Tabel Map Industry'!$A$2:$H$464,8,0)</f>
        <v>Perdagangan Eceran - 6500</v>
      </c>
    </row>
    <row r="265" spans="1:8" ht="75" hidden="1" customHeight="1" x14ac:dyDescent="0.25">
      <c r="A265" s="422" t="s">
        <v>6330</v>
      </c>
      <c r="B265" s="418" t="s">
        <v>7093</v>
      </c>
      <c r="C265" s="418" t="s">
        <v>7094</v>
      </c>
      <c r="D265" s="419" t="s">
        <v>5061</v>
      </c>
      <c r="E265" s="420" t="str">
        <f>VLOOKUP($D265,'Tabel Map Industry'!$A$2:$H$464,2,0)</f>
        <v xml:space="preserve">Perdagangan Eceran Berbagai Macam Barang yang Didominasi Oleh Barang Bukan Makanan, Minuman dan Tembakau </v>
      </c>
      <c r="F265" s="421" t="str">
        <f>VLOOKUP($D265,'Tabel Map Industry'!$A$2:$H$464,3,0)</f>
        <v>CONSUMABLE GOOD</v>
      </c>
      <c r="G265" s="421" t="str">
        <f>VLOOKUP($D265,'Tabel Map Industry'!$A$2:$H$464,4,0)</f>
        <v>Perdagangan Eceran Berbagai Macam Barang yang Didominasi Oleh Barang Bukan Makanan, Minuman dan Tembakau  - 521900</v>
      </c>
      <c r="H265" s="421" t="str">
        <f>VLOOKUP($D265,'Tabel Map Industry'!$A$2:$H$464,8,0)</f>
        <v>Perdagangan Eceran - 6500</v>
      </c>
    </row>
    <row r="266" spans="1:8" ht="75" hidden="1" customHeight="1" x14ac:dyDescent="0.25">
      <c r="A266" s="417" t="s">
        <v>6330</v>
      </c>
      <c r="B266" s="423" t="str">
        <f>PROPER(F266)</f>
        <v>Consumable Good</v>
      </c>
      <c r="C266" s="423" t="str">
        <f>E266</f>
        <v xml:space="preserve">Perdagangan Eceran Berbagai Macam Barang yang Didominasi Oleh Barang Bukan Makanan, Minuman dan Tembakau </v>
      </c>
      <c r="D266" s="424" t="s">
        <v>5061</v>
      </c>
      <c r="E266" s="425" t="str">
        <f>VLOOKUP($D266,'Tabel Map Industry'!$A$2:$H$464,2,0)</f>
        <v xml:space="preserve">Perdagangan Eceran Berbagai Macam Barang yang Didominasi Oleh Barang Bukan Makanan, Minuman dan Tembakau </v>
      </c>
      <c r="F266" s="426" t="str">
        <f>VLOOKUP($D266,'Tabel Map Industry'!$A$2:$H$464,3,0)</f>
        <v>CONSUMABLE GOOD</v>
      </c>
      <c r="G266" s="426" t="str">
        <f>VLOOKUP($D266,'Tabel Map Industry'!$A$2:$H$464,4,0)</f>
        <v>Perdagangan Eceran Berbagai Macam Barang yang Didominasi Oleh Barang Bukan Makanan, Minuman dan Tembakau  - 521900</v>
      </c>
      <c r="H266" s="426" t="str">
        <f>VLOOKUP($D266,'Tabel Map Industry'!$A$2:$H$464,8,0)</f>
        <v>Perdagangan Eceran - 6500</v>
      </c>
    </row>
    <row r="267" spans="1:8" ht="75" hidden="1" customHeight="1" x14ac:dyDescent="0.25">
      <c r="A267" s="422" t="s">
        <v>6330</v>
      </c>
      <c r="B267" s="418" t="s">
        <v>6816</v>
      </c>
      <c r="C267" s="418" t="s">
        <v>6817</v>
      </c>
      <c r="D267" s="419" t="s">
        <v>5166</v>
      </c>
      <c r="E267" s="420" t="str">
        <f>VLOOKUP($D267,'Tabel Map Industry'!$A$2:$H$464,2,0)</f>
        <v xml:space="preserve">Perdagangan Eceran Perlengkapan Rumah Tangga dan Perlengkapan Dapur </v>
      </c>
      <c r="F267" s="421" t="str">
        <f>VLOOKUP($D267,'Tabel Map Industry'!$A$2:$H$464,3,0)</f>
        <v>HOME APPLIANCES</v>
      </c>
      <c r="G267" s="421" t="str">
        <f>VLOOKUP($D267,'Tabel Map Industry'!$A$2:$H$464,4,0)</f>
        <v>Perdagangan Eceran Perlengkapan Rumah Tangga dan Perlengkapan Dapur  - 523300</v>
      </c>
      <c r="H267" s="421" t="str">
        <f>VLOOKUP($D267,'Tabel Map Industry'!$A$2:$H$464,8,0)</f>
        <v>Perdagangan Eceran - 6500</v>
      </c>
    </row>
    <row r="268" spans="1:8" ht="75" hidden="1" customHeight="1" x14ac:dyDescent="0.25">
      <c r="A268" s="417" t="s">
        <v>6330</v>
      </c>
      <c r="B268" s="423" t="s">
        <v>6369</v>
      </c>
      <c r="C268" s="423" t="s">
        <v>6370</v>
      </c>
      <c r="D268" s="424" t="s">
        <v>4960</v>
      </c>
      <c r="E268" s="425" t="str">
        <f>VLOOKUP($D268,'Tabel Map Industry'!$A$2:$H$464,2,0)</f>
        <v xml:space="preserve">Industri Barang-barang lain dari Karet </v>
      </c>
      <c r="F268" s="426" t="str">
        <f>VLOOKUP($D268,'Tabel Map Industry'!$A$2:$H$464,3,0)</f>
        <v>CRUMB RUBBER</v>
      </c>
      <c r="G268" s="426" t="str">
        <f>VLOOKUP($D268,'Tabel Map Industry'!$A$2:$H$464,4,0)</f>
        <v>Industri Barang-barang lain dari Karet  - 251900</v>
      </c>
      <c r="H268" s="426" t="str">
        <f>VLOOKUP($D268,'Tabel Map Industry'!$A$2:$H$464,8,0)</f>
        <v>Industri - Hasil Karet Lainnya - 3670</v>
      </c>
    </row>
    <row r="269" spans="1:8" ht="75" hidden="1" customHeight="1" x14ac:dyDescent="0.25">
      <c r="A269" s="422" t="s">
        <v>6327</v>
      </c>
      <c r="B269" s="418" t="s">
        <v>6744</v>
      </c>
      <c r="C269" s="418" t="s">
        <v>6745</v>
      </c>
      <c r="D269" s="419" t="s">
        <v>4960</v>
      </c>
      <c r="E269" s="420" t="str">
        <f>VLOOKUP($D269,'Tabel Map Industry'!$A$2:$H$464,2,0)</f>
        <v xml:space="preserve">Industri Barang-barang lain dari Karet </v>
      </c>
      <c r="F269" s="421" t="str">
        <f>VLOOKUP($D269,'Tabel Map Industry'!$A$2:$H$464,3,0)</f>
        <v>CRUMB RUBBER</v>
      </c>
      <c r="G269" s="421" t="str">
        <f>VLOOKUP($D269,'Tabel Map Industry'!$A$2:$H$464,4,0)</f>
        <v>Industri Barang-barang lain dari Karet  - 251900</v>
      </c>
      <c r="H269" s="421" t="str">
        <f>VLOOKUP($D269,'Tabel Map Industry'!$A$2:$H$464,8,0)</f>
        <v>Industri - Hasil Karet Lainnya - 3670</v>
      </c>
    </row>
    <row r="270" spans="1:8" ht="75" hidden="1" customHeight="1" x14ac:dyDescent="0.25">
      <c r="A270" s="417" t="s">
        <v>6330</v>
      </c>
      <c r="B270" s="423" t="s">
        <v>6987</v>
      </c>
      <c r="C270" s="423" t="s">
        <v>6988</v>
      </c>
      <c r="D270" s="424" t="s">
        <v>4960</v>
      </c>
      <c r="E270" s="425" t="str">
        <f>VLOOKUP($D270,'Tabel Map Industry'!$A$2:$H$464,2,0)</f>
        <v xml:space="preserve">Industri Barang-barang lain dari Karet </v>
      </c>
      <c r="F270" s="426" t="str">
        <f>VLOOKUP($D270,'Tabel Map Industry'!$A$2:$H$464,3,0)</f>
        <v>CRUMB RUBBER</v>
      </c>
      <c r="G270" s="426" t="str">
        <f>VLOOKUP($D270,'Tabel Map Industry'!$A$2:$H$464,4,0)</f>
        <v>Industri Barang-barang lain dari Karet  - 251900</v>
      </c>
      <c r="H270" s="426" t="str">
        <f>VLOOKUP($D270,'Tabel Map Industry'!$A$2:$H$464,8,0)</f>
        <v>Industri - Hasil Karet Lainnya - 3670</v>
      </c>
    </row>
    <row r="271" spans="1:8" ht="75" hidden="1" customHeight="1" x14ac:dyDescent="0.25">
      <c r="A271" s="422" t="s">
        <v>6330</v>
      </c>
      <c r="B271" s="418" t="str">
        <f>PROPER(F271)</f>
        <v>Crumb Rubber</v>
      </c>
      <c r="C271" s="418" t="str">
        <f>E271</f>
        <v xml:space="preserve">Industri Barang-barang lain dari Karet </v>
      </c>
      <c r="D271" s="419" t="s">
        <v>4960</v>
      </c>
      <c r="E271" s="420" t="str">
        <f>VLOOKUP($D271,'Tabel Map Industry'!$A$2:$H$464,2,0)</f>
        <v xml:space="preserve">Industri Barang-barang lain dari Karet </v>
      </c>
      <c r="F271" s="421" t="str">
        <f>VLOOKUP($D271,'Tabel Map Industry'!$A$2:$H$464,3,0)</f>
        <v>CRUMB RUBBER</v>
      </c>
      <c r="G271" s="421" t="str">
        <f>VLOOKUP($D271,'Tabel Map Industry'!$A$2:$H$464,4,0)</f>
        <v>Industri Barang-barang lain dari Karet  - 251900</v>
      </c>
      <c r="H271" s="421" t="str">
        <f>VLOOKUP($D271,'Tabel Map Industry'!$A$2:$H$464,8,0)</f>
        <v>Industri - Hasil Karet Lainnya - 3670</v>
      </c>
    </row>
    <row r="272" spans="1:8" ht="75" hidden="1" customHeight="1" x14ac:dyDescent="0.25">
      <c r="A272" s="417" t="s">
        <v>6330</v>
      </c>
      <c r="B272" s="423" t="s">
        <v>6335</v>
      </c>
      <c r="C272" s="423" t="s">
        <v>6336</v>
      </c>
      <c r="D272" s="424" t="s">
        <v>5098</v>
      </c>
      <c r="E272" s="425" t="str">
        <f>VLOOKUP($D272,'Tabel Map Industry'!$A$2:$H$464,2,0)</f>
        <v xml:space="preserve">Perdagangan Besar Mesin-mesin, Suku Cadang dan Perlengkapannya </v>
      </c>
      <c r="F272" s="426" t="str">
        <f>VLOOKUP($D272,'Tabel Map Industry'!$A$2:$H$464,3,0)</f>
        <v>ELECTRICITY, ENGINE &amp; MACHINERIES</v>
      </c>
      <c r="G272" s="426" t="str">
        <f>VLOOKUP($D272,'Tabel Map Industry'!$A$2:$H$464,4,0)</f>
        <v>Perdagangan Besar Mesin-mesin, Suku Cadang dan Perlengkapannya  - 515000</v>
      </c>
      <c r="H272" s="426" t="str">
        <f>VLOOKUP($D272,'Tabel Map Industry'!$A$2:$H$464,8,0)</f>
        <v>Distribusi lainnya - 6490</v>
      </c>
    </row>
    <row r="273" spans="1:8" ht="75" hidden="1" customHeight="1" x14ac:dyDescent="0.25">
      <c r="A273" s="422" t="s">
        <v>6324</v>
      </c>
      <c r="B273" s="418" t="s">
        <v>6363</v>
      </c>
      <c r="C273" s="418" t="s">
        <v>6364</v>
      </c>
      <c r="D273" s="419" t="s">
        <v>5098</v>
      </c>
      <c r="E273" s="420" t="str">
        <f>VLOOKUP($D273,'Tabel Map Industry'!$A$2:$H$464,2,0)</f>
        <v xml:space="preserve">Perdagangan Besar Mesin-mesin, Suku Cadang dan Perlengkapannya </v>
      </c>
      <c r="F273" s="421" t="str">
        <f>VLOOKUP($D273,'Tabel Map Industry'!$A$2:$H$464,3,0)</f>
        <v>ELECTRICITY, ENGINE &amp; MACHINERIES</v>
      </c>
      <c r="G273" s="421" t="str">
        <f>VLOOKUP($D273,'Tabel Map Industry'!$A$2:$H$464,4,0)</f>
        <v>Perdagangan Besar Mesin-mesin, Suku Cadang dan Perlengkapannya  - 515000</v>
      </c>
      <c r="H273" s="421" t="str">
        <f>VLOOKUP($D273,'Tabel Map Industry'!$A$2:$H$464,8,0)</f>
        <v>Distribusi lainnya - 6490</v>
      </c>
    </row>
    <row r="274" spans="1:8" ht="75" hidden="1" customHeight="1" x14ac:dyDescent="0.25">
      <c r="A274" s="417" t="s">
        <v>6327</v>
      </c>
      <c r="B274" s="423" t="s">
        <v>6425</v>
      </c>
      <c r="C274" s="423" t="s">
        <v>6426</v>
      </c>
      <c r="D274" s="424" t="s">
        <v>5093</v>
      </c>
      <c r="E274" s="425" t="str">
        <f>VLOOKUP($D274,'Tabel Map Industry'!$A$2:$H$464,2,0)</f>
        <v xml:space="preserve">Industri Mesin-mesin Untuk Pertambangan, Penggalian dan Konstruksi </v>
      </c>
      <c r="F274" s="426" t="str">
        <f>VLOOKUP($D274,'Tabel Map Industry'!$A$2:$H$464,3,0)</f>
        <v>ELECTRICITY, ENGINE &amp; MACHINERIES</v>
      </c>
      <c r="G274" s="426" t="str">
        <f>VLOOKUP($D274,'Tabel Map Industry'!$A$2:$H$464,4,0)</f>
        <v>Industri Mesin-mesin Untuk Pertambangan, Penggalian dan Konstruksi  - 292400</v>
      </c>
      <c r="H274" s="426" t="str">
        <f>VLOOKUP($D274,'Tabel Map Industry'!$A$2:$H$464,8,0)</f>
        <v>Industri - Lainnya - 3990</v>
      </c>
    </row>
    <row r="275" spans="1:8" ht="75" hidden="1" customHeight="1" x14ac:dyDescent="0.25">
      <c r="A275" s="422" t="s">
        <v>6330</v>
      </c>
      <c r="B275" s="418" t="s">
        <v>6427</v>
      </c>
      <c r="C275" s="418" t="s">
        <v>6428</v>
      </c>
      <c r="D275" s="419" t="s">
        <v>5096</v>
      </c>
      <c r="E275" s="420" t="str">
        <f>VLOOKUP($D275,'Tabel Map Industry'!$A$2:$H$464,2,0)</f>
        <v>Industri Mesin-mesin Khusus Lainnya</v>
      </c>
      <c r="F275" s="421" t="str">
        <f>VLOOKUP($D275,'Tabel Map Industry'!$A$2:$H$464,3,0)</f>
        <v>ELECTRICITY, ENGINE &amp; MACHINERIES</v>
      </c>
      <c r="G275" s="421" t="str">
        <f>VLOOKUP($D275,'Tabel Map Industry'!$A$2:$H$464,4,0)</f>
        <v>Industri Mesin-mesin Khusus Lainnya - 292900</v>
      </c>
      <c r="H275" s="421" t="str">
        <f>VLOOKUP($D275,'Tabel Map Industry'!$A$2:$H$464,8,0)</f>
        <v>Industri - Lainnya - 3990</v>
      </c>
    </row>
    <row r="276" spans="1:8" ht="75" hidden="1" customHeight="1" x14ac:dyDescent="0.25">
      <c r="A276" s="417" t="s">
        <v>6324</v>
      </c>
      <c r="B276" s="423" t="s">
        <v>6435</v>
      </c>
      <c r="C276" s="423" t="s">
        <v>6436</v>
      </c>
      <c r="D276" s="424" t="s">
        <v>5098</v>
      </c>
      <c r="E276" s="425" t="str">
        <f>VLOOKUP($D276,'Tabel Map Industry'!$A$2:$H$464,2,0)</f>
        <v xml:space="preserve">Perdagangan Besar Mesin-mesin, Suku Cadang dan Perlengkapannya </v>
      </c>
      <c r="F276" s="426" t="str">
        <f>VLOOKUP($D276,'Tabel Map Industry'!$A$2:$H$464,3,0)</f>
        <v>ELECTRICITY, ENGINE &amp; MACHINERIES</v>
      </c>
      <c r="G276" s="426" t="str">
        <f>VLOOKUP($D276,'Tabel Map Industry'!$A$2:$H$464,4,0)</f>
        <v>Perdagangan Besar Mesin-mesin, Suku Cadang dan Perlengkapannya  - 515000</v>
      </c>
      <c r="H276" s="426" t="str">
        <f>VLOOKUP($D276,'Tabel Map Industry'!$A$2:$H$464,8,0)</f>
        <v>Distribusi lainnya - 6490</v>
      </c>
    </row>
    <row r="277" spans="1:8" ht="75" hidden="1" customHeight="1" x14ac:dyDescent="0.25">
      <c r="A277" s="422" t="s">
        <v>6324</v>
      </c>
      <c r="B277" s="418" t="s">
        <v>6437</v>
      </c>
      <c r="C277" s="418" t="s">
        <v>6438</v>
      </c>
      <c r="D277" s="419" t="s">
        <v>5098</v>
      </c>
      <c r="E277" s="420" t="str">
        <f>VLOOKUP($D277,'Tabel Map Industry'!$A$2:$H$464,2,0)</f>
        <v xml:space="preserve">Perdagangan Besar Mesin-mesin, Suku Cadang dan Perlengkapannya </v>
      </c>
      <c r="F277" s="421" t="str">
        <f>VLOOKUP($D277,'Tabel Map Industry'!$A$2:$H$464,3,0)</f>
        <v>ELECTRICITY, ENGINE &amp; MACHINERIES</v>
      </c>
      <c r="G277" s="421" t="str">
        <f>VLOOKUP($D277,'Tabel Map Industry'!$A$2:$H$464,4,0)</f>
        <v>Perdagangan Besar Mesin-mesin, Suku Cadang dan Perlengkapannya  - 515000</v>
      </c>
      <c r="H277" s="421" t="str">
        <f>VLOOKUP($D277,'Tabel Map Industry'!$A$2:$H$464,8,0)</f>
        <v>Distribusi lainnya - 6490</v>
      </c>
    </row>
    <row r="278" spans="1:8" ht="75" hidden="1" customHeight="1" x14ac:dyDescent="0.25">
      <c r="A278" s="417" t="s">
        <v>6330</v>
      </c>
      <c r="B278" s="423" t="s">
        <v>6448</v>
      </c>
      <c r="C278" s="423" t="s">
        <v>6449</v>
      </c>
      <c r="D278" s="424" t="s">
        <v>5082</v>
      </c>
      <c r="E278" s="425" t="str">
        <f>VLOOKUP($D278,'Tabel Map Industry'!$A$2:$H$464,2,0)</f>
        <v>Industri Peralatan Pengontrol dan Pendistribusian Listrik</v>
      </c>
      <c r="F278" s="426" t="str">
        <f>VLOOKUP($D278,'Tabel Map Industry'!$A$2:$H$464,3,0)</f>
        <v>ELECTRICITY, ENGINE &amp; MACHINERIES</v>
      </c>
      <c r="G278" s="426" t="str">
        <f>VLOOKUP($D278,'Tabel Map Industry'!$A$2:$H$464,4,0)</f>
        <v>Industri Peralatan Pengontrol dan Pendistribusian Listrik - 312000</v>
      </c>
      <c r="H278" s="426" t="str">
        <f>VLOOKUP($D278,'Tabel Map Industry'!$A$2:$H$464,8,0)</f>
        <v>Industri - Lainnya - 3990</v>
      </c>
    </row>
    <row r="279" spans="1:8" ht="30" hidden="1" x14ac:dyDescent="0.25">
      <c r="A279" s="422" t="s">
        <v>6330</v>
      </c>
      <c r="B279" s="418" t="s">
        <v>6450</v>
      </c>
      <c r="C279" s="418" t="s">
        <v>6451</v>
      </c>
      <c r="D279" s="419" t="s">
        <v>5098</v>
      </c>
      <c r="E279" s="420" t="str">
        <f>VLOOKUP($D279,'Tabel Map Industry'!$A$2:$H$464,2,0)</f>
        <v xml:space="preserve">Perdagangan Besar Mesin-mesin, Suku Cadang dan Perlengkapannya </v>
      </c>
      <c r="F279" s="421" t="str">
        <f>VLOOKUP($D279,'Tabel Map Industry'!$A$2:$H$464,3,0)</f>
        <v>ELECTRICITY, ENGINE &amp; MACHINERIES</v>
      </c>
      <c r="G279" s="421" t="str">
        <f>VLOOKUP($D279,'Tabel Map Industry'!$A$2:$H$464,4,0)</f>
        <v>Perdagangan Besar Mesin-mesin, Suku Cadang dan Perlengkapannya  - 515000</v>
      </c>
      <c r="H279" s="421" t="str">
        <f>VLOOKUP($D279,'Tabel Map Industry'!$A$2:$H$464,8,0)</f>
        <v>Distribusi lainnya - 6490</v>
      </c>
    </row>
    <row r="280" spans="1:8" ht="75" hidden="1" customHeight="1" x14ac:dyDescent="0.25">
      <c r="A280" s="417" t="s">
        <v>6324</v>
      </c>
      <c r="B280" s="423" t="s">
        <v>6481</v>
      </c>
      <c r="C280" s="423" t="s">
        <v>6482</v>
      </c>
      <c r="D280" s="424" t="s">
        <v>5098</v>
      </c>
      <c r="E280" s="425" t="str">
        <f>VLOOKUP($D280,'Tabel Map Industry'!$A$2:$H$464,2,0)</f>
        <v xml:space="preserve">Perdagangan Besar Mesin-mesin, Suku Cadang dan Perlengkapannya </v>
      </c>
      <c r="F280" s="426" t="str">
        <f>VLOOKUP($D280,'Tabel Map Industry'!$A$2:$H$464,3,0)</f>
        <v>ELECTRICITY, ENGINE &amp; MACHINERIES</v>
      </c>
      <c r="G280" s="426" t="str">
        <f>VLOOKUP($D280,'Tabel Map Industry'!$A$2:$H$464,4,0)</f>
        <v>Perdagangan Besar Mesin-mesin, Suku Cadang dan Perlengkapannya  - 515000</v>
      </c>
      <c r="H280" s="426" t="str">
        <f>VLOOKUP($D280,'Tabel Map Industry'!$A$2:$H$464,8,0)</f>
        <v>Distribusi lainnya - 6490</v>
      </c>
    </row>
    <row r="281" spans="1:8" ht="75" hidden="1" customHeight="1" x14ac:dyDescent="0.25">
      <c r="A281" s="422" t="s">
        <v>6324</v>
      </c>
      <c r="B281" s="418" t="s">
        <v>6330</v>
      </c>
      <c r="C281" s="418" t="s">
        <v>6488</v>
      </c>
      <c r="D281" s="419" t="s">
        <v>5098</v>
      </c>
      <c r="E281" s="420" t="str">
        <f>VLOOKUP($D281,'Tabel Map Industry'!$A$2:$H$464,2,0)</f>
        <v xml:space="preserve">Perdagangan Besar Mesin-mesin, Suku Cadang dan Perlengkapannya </v>
      </c>
      <c r="F281" s="421" t="str">
        <f>VLOOKUP($D281,'Tabel Map Industry'!$A$2:$H$464,3,0)</f>
        <v>ELECTRICITY, ENGINE &amp; MACHINERIES</v>
      </c>
      <c r="G281" s="421" t="str">
        <f>VLOOKUP($D281,'Tabel Map Industry'!$A$2:$H$464,4,0)</f>
        <v>Perdagangan Besar Mesin-mesin, Suku Cadang dan Perlengkapannya  - 515000</v>
      </c>
      <c r="H281" s="421" t="str">
        <f>VLOOKUP($D281,'Tabel Map Industry'!$A$2:$H$464,8,0)</f>
        <v>Distribusi lainnya - 6490</v>
      </c>
    </row>
    <row r="282" spans="1:8" ht="75" hidden="1" customHeight="1" x14ac:dyDescent="0.25">
      <c r="A282" s="417" t="s">
        <v>6330</v>
      </c>
      <c r="B282" s="423" t="s">
        <v>6513</v>
      </c>
      <c r="C282" s="423" t="s">
        <v>6514</v>
      </c>
      <c r="D282" s="424" t="s">
        <v>5102</v>
      </c>
      <c r="E282" s="425" t="str">
        <f>VLOOKUP($D282,'Tabel Map Industry'!$A$2:$H$464,2,0)</f>
        <v xml:space="preserve">Perdagangan Eceran Mesin-mesin (Kecuali Mobil dan Sepeda Motor) dan Suku Cadang (Onderdil), Termasuk Alat-alat TRANSPORTsi </v>
      </c>
      <c r="F282" s="426" t="str">
        <f>VLOOKUP($D282,'Tabel Map Industry'!$A$2:$H$464,3,0)</f>
        <v>ELECTRICITY, ENGINE &amp; MACHINERIES</v>
      </c>
      <c r="G282" s="426" t="str">
        <f>VLOOKUP($D282,'Tabel Map Industry'!$A$2:$H$464,4,0)</f>
        <v>Perdagangan Eceran Mesin-mesin (Kecuali Mobil dan Sepeda Motor) dan Suku Cadang (Onderdil), Termasuk Alat-alat TRANSPORTsi  - 523700</v>
      </c>
      <c r="H282" s="426" t="str">
        <f>VLOOKUP($D282,'Tabel Map Industry'!$A$2:$H$464,8,0)</f>
        <v>Perdagangan Eceran - 6500</v>
      </c>
    </row>
    <row r="283" spans="1:8" ht="75" hidden="1" customHeight="1" x14ac:dyDescent="0.25">
      <c r="A283" s="422" t="s">
        <v>6324</v>
      </c>
      <c r="B283" s="418" t="s">
        <v>6559</v>
      </c>
      <c r="C283" s="418" t="s">
        <v>6560</v>
      </c>
      <c r="D283" s="419" t="s">
        <v>5102</v>
      </c>
      <c r="E283" s="420" t="str">
        <f>VLOOKUP($D283,'Tabel Map Industry'!$A$2:$H$464,2,0)</f>
        <v xml:space="preserve">Perdagangan Eceran Mesin-mesin (Kecuali Mobil dan Sepeda Motor) dan Suku Cadang (Onderdil), Termasuk Alat-alat TRANSPORTsi </v>
      </c>
      <c r="F283" s="421" t="str">
        <f>VLOOKUP($D283,'Tabel Map Industry'!$A$2:$H$464,3,0)</f>
        <v>ELECTRICITY, ENGINE &amp; MACHINERIES</v>
      </c>
      <c r="G283" s="421" t="str">
        <f>VLOOKUP($D283,'Tabel Map Industry'!$A$2:$H$464,4,0)</f>
        <v>Perdagangan Eceran Mesin-mesin (Kecuali Mobil dan Sepeda Motor) dan Suku Cadang (Onderdil), Termasuk Alat-alat TRANSPORTsi  - 523700</v>
      </c>
      <c r="H283" s="421" t="str">
        <f>VLOOKUP($D283,'Tabel Map Industry'!$A$2:$H$464,8,0)</f>
        <v>Perdagangan Eceran - 6500</v>
      </c>
    </row>
    <row r="284" spans="1:8" ht="75" hidden="1" customHeight="1" x14ac:dyDescent="0.25">
      <c r="A284" s="417" t="s">
        <v>6330</v>
      </c>
      <c r="B284" s="423" t="s">
        <v>6577</v>
      </c>
      <c r="C284" s="423" t="s">
        <v>6608</v>
      </c>
      <c r="D284" s="424" t="s">
        <v>5102</v>
      </c>
      <c r="E284" s="425" t="str">
        <f>VLOOKUP($D284,'Tabel Map Industry'!$A$2:$H$464,2,0)</f>
        <v xml:space="preserve">Perdagangan Eceran Mesin-mesin (Kecuali Mobil dan Sepeda Motor) dan Suku Cadang (Onderdil), Termasuk Alat-alat TRANSPORTsi </v>
      </c>
      <c r="F284" s="426" t="str">
        <f>VLOOKUP($D284,'Tabel Map Industry'!$A$2:$H$464,3,0)</f>
        <v>ELECTRICITY, ENGINE &amp; MACHINERIES</v>
      </c>
      <c r="G284" s="426" t="str">
        <f>VLOOKUP($D284,'Tabel Map Industry'!$A$2:$H$464,4,0)</f>
        <v>Perdagangan Eceran Mesin-mesin (Kecuali Mobil dan Sepeda Motor) dan Suku Cadang (Onderdil), Termasuk Alat-alat TRANSPORTsi  - 523700</v>
      </c>
      <c r="H284" s="426" t="str">
        <f>VLOOKUP($D284,'Tabel Map Industry'!$A$2:$H$464,8,0)</f>
        <v>Perdagangan Eceran - 6500</v>
      </c>
    </row>
    <row r="285" spans="1:8" ht="75" hidden="1" customHeight="1" x14ac:dyDescent="0.25">
      <c r="A285" s="422" t="s">
        <v>6330</v>
      </c>
      <c r="B285" s="418" t="s">
        <v>6653</v>
      </c>
      <c r="C285" s="418" t="s">
        <v>6654</v>
      </c>
      <c r="D285" s="419" t="s">
        <v>5102</v>
      </c>
      <c r="E285" s="420" t="str">
        <f>VLOOKUP($D285,'Tabel Map Industry'!$A$2:$H$464,2,0)</f>
        <v xml:space="preserve">Perdagangan Eceran Mesin-mesin (Kecuali Mobil dan Sepeda Motor) dan Suku Cadang (Onderdil), Termasuk Alat-alat TRANSPORTsi </v>
      </c>
      <c r="F285" s="421" t="str">
        <f>VLOOKUP($D285,'Tabel Map Industry'!$A$2:$H$464,3,0)</f>
        <v>ELECTRICITY, ENGINE &amp; MACHINERIES</v>
      </c>
      <c r="G285" s="421" t="str">
        <f>VLOOKUP($D285,'Tabel Map Industry'!$A$2:$H$464,4,0)</f>
        <v>Perdagangan Eceran Mesin-mesin (Kecuali Mobil dan Sepeda Motor) dan Suku Cadang (Onderdil), Termasuk Alat-alat TRANSPORTsi  - 523700</v>
      </c>
      <c r="H285" s="421" t="str">
        <f>VLOOKUP($D285,'Tabel Map Industry'!$A$2:$H$464,8,0)</f>
        <v>Perdagangan Eceran - 6500</v>
      </c>
    </row>
    <row r="286" spans="1:8" ht="75" hidden="1" customHeight="1" x14ac:dyDescent="0.25">
      <c r="A286" s="417" t="s">
        <v>6324</v>
      </c>
      <c r="B286" s="423" t="s">
        <v>6710</v>
      </c>
      <c r="C286" s="423" t="s">
        <v>6711</v>
      </c>
      <c r="D286" s="424" t="s">
        <v>5096</v>
      </c>
      <c r="E286" s="425" t="str">
        <f>VLOOKUP($D286,'Tabel Map Industry'!$A$2:$H$464,2,0)</f>
        <v>Industri Mesin-mesin Khusus Lainnya</v>
      </c>
      <c r="F286" s="426" t="str">
        <f>VLOOKUP($D286,'Tabel Map Industry'!$A$2:$H$464,3,0)</f>
        <v>ELECTRICITY, ENGINE &amp; MACHINERIES</v>
      </c>
      <c r="G286" s="426" t="str">
        <f>VLOOKUP($D286,'Tabel Map Industry'!$A$2:$H$464,4,0)</f>
        <v>Industri Mesin-mesin Khusus Lainnya - 292900</v>
      </c>
      <c r="H286" s="426" t="str">
        <f>VLOOKUP($D286,'Tabel Map Industry'!$A$2:$H$464,8,0)</f>
        <v>Industri - Lainnya - 3990</v>
      </c>
    </row>
    <row r="287" spans="1:8" ht="75" hidden="1" customHeight="1" x14ac:dyDescent="0.25">
      <c r="A287" s="422" t="s">
        <v>6330</v>
      </c>
      <c r="B287" s="418" t="s">
        <v>6892</v>
      </c>
      <c r="C287" s="418" t="s">
        <v>6893</v>
      </c>
      <c r="D287" s="419" t="s">
        <v>5102</v>
      </c>
      <c r="E287" s="420" t="str">
        <f>VLOOKUP($D287,'Tabel Map Industry'!$A$2:$H$464,2,0)</f>
        <v xml:space="preserve">Perdagangan Eceran Mesin-mesin (Kecuali Mobil dan Sepeda Motor) dan Suku Cadang (Onderdil), Termasuk Alat-alat TRANSPORTsi </v>
      </c>
      <c r="F287" s="421" t="str">
        <f>VLOOKUP($D287,'Tabel Map Industry'!$A$2:$H$464,3,0)</f>
        <v>ELECTRICITY, ENGINE &amp; MACHINERIES</v>
      </c>
      <c r="G287" s="421" t="str">
        <f>VLOOKUP($D287,'Tabel Map Industry'!$A$2:$H$464,4,0)</f>
        <v>Perdagangan Eceran Mesin-mesin (Kecuali Mobil dan Sepeda Motor) dan Suku Cadang (Onderdil), Termasuk Alat-alat TRANSPORTsi  - 523700</v>
      </c>
      <c r="H287" s="421" t="str">
        <f>VLOOKUP($D287,'Tabel Map Industry'!$A$2:$H$464,8,0)</f>
        <v>Perdagangan Eceran - 6500</v>
      </c>
    </row>
    <row r="288" spans="1:8" ht="75" hidden="1" customHeight="1" x14ac:dyDescent="0.25">
      <c r="A288" s="417" t="s">
        <v>6330</v>
      </c>
      <c r="B288" s="423" t="s">
        <v>6931</v>
      </c>
      <c r="C288" s="423" t="s">
        <v>6932</v>
      </c>
      <c r="D288" s="424" t="s">
        <v>5096</v>
      </c>
      <c r="E288" s="425" t="str">
        <f>VLOOKUP($D288,'Tabel Map Industry'!$A$2:$H$464,2,0)</f>
        <v>Industri Mesin-mesin Khusus Lainnya</v>
      </c>
      <c r="F288" s="426" t="str">
        <f>VLOOKUP($D288,'Tabel Map Industry'!$A$2:$H$464,3,0)</f>
        <v>ELECTRICITY, ENGINE &amp; MACHINERIES</v>
      </c>
      <c r="G288" s="426" t="str">
        <f>VLOOKUP($D288,'Tabel Map Industry'!$A$2:$H$464,4,0)</f>
        <v>Industri Mesin-mesin Khusus Lainnya - 292900</v>
      </c>
      <c r="H288" s="426" t="str">
        <f>VLOOKUP($D288,'Tabel Map Industry'!$A$2:$H$464,8,0)</f>
        <v>Industri - Lainnya - 3990</v>
      </c>
    </row>
    <row r="289" spans="1:8" ht="75" hidden="1" customHeight="1" x14ac:dyDescent="0.25">
      <c r="A289" s="422" t="s">
        <v>6330</v>
      </c>
      <c r="B289" s="418" t="s">
        <v>6933</v>
      </c>
      <c r="C289" s="418" t="s">
        <v>6934</v>
      </c>
      <c r="D289" s="419" t="s">
        <v>5096</v>
      </c>
      <c r="E289" s="420" t="str">
        <f>VLOOKUP($D289,'Tabel Map Industry'!$A$2:$H$464,2,0)</f>
        <v>Industri Mesin-mesin Khusus Lainnya</v>
      </c>
      <c r="F289" s="421" t="str">
        <f>VLOOKUP($D289,'Tabel Map Industry'!$A$2:$H$464,3,0)</f>
        <v>ELECTRICITY, ENGINE &amp; MACHINERIES</v>
      </c>
      <c r="G289" s="421" t="str">
        <f>VLOOKUP($D289,'Tabel Map Industry'!$A$2:$H$464,4,0)</f>
        <v>Industri Mesin-mesin Khusus Lainnya - 292900</v>
      </c>
      <c r="H289" s="421" t="str">
        <f>VLOOKUP($D289,'Tabel Map Industry'!$A$2:$H$464,8,0)</f>
        <v>Industri - Lainnya - 3990</v>
      </c>
    </row>
    <row r="290" spans="1:8" ht="75" hidden="1" customHeight="1" x14ac:dyDescent="0.25">
      <c r="A290" s="417" t="s">
        <v>6330</v>
      </c>
      <c r="B290" s="423" t="s">
        <v>6965</v>
      </c>
      <c r="C290" s="423" t="s">
        <v>6966</v>
      </c>
      <c r="D290" s="424" t="s">
        <v>5098</v>
      </c>
      <c r="E290" s="425" t="str">
        <f>VLOOKUP($D290,'Tabel Map Industry'!$A$2:$H$464,2,0)</f>
        <v xml:space="preserve">Perdagangan Besar Mesin-mesin, Suku Cadang dan Perlengkapannya </v>
      </c>
      <c r="F290" s="426" t="str">
        <f>VLOOKUP($D290,'Tabel Map Industry'!$A$2:$H$464,3,0)</f>
        <v>ELECTRICITY, ENGINE &amp; MACHINERIES</v>
      </c>
      <c r="G290" s="426" t="str">
        <f>VLOOKUP($D290,'Tabel Map Industry'!$A$2:$H$464,4,0)</f>
        <v>Perdagangan Besar Mesin-mesin, Suku Cadang dan Perlengkapannya  - 515000</v>
      </c>
      <c r="H290" s="426" t="str">
        <f>VLOOKUP($D290,'Tabel Map Industry'!$A$2:$H$464,8,0)</f>
        <v>Distribusi lainnya - 6490</v>
      </c>
    </row>
    <row r="291" spans="1:8" ht="75" hidden="1" customHeight="1" x14ac:dyDescent="0.25">
      <c r="A291" s="422" t="s">
        <v>6330</v>
      </c>
      <c r="B291" s="418" t="s">
        <v>6984</v>
      </c>
      <c r="C291" s="418" t="s">
        <v>6985</v>
      </c>
      <c r="D291" s="419" t="s">
        <v>5102</v>
      </c>
      <c r="E291" s="420" t="str">
        <f>VLOOKUP($D291,'Tabel Map Industry'!$A$2:$H$464,2,0)</f>
        <v xml:space="preserve">Perdagangan Eceran Mesin-mesin (Kecuali Mobil dan Sepeda Motor) dan Suku Cadang (Onderdil), Termasuk Alat-alat TRANSPORTsi </v>
      </c>
      <c r="F291" s="421" t="str">
        <f>VLOOKUP($D291,'Tabel Map Industry'!$A$2:$H$464,3,0)</f>
        <v>ELECTRICITY, ENGINE &amp; MACHINERIES</v>
      </c>
      <c r="G291" s="421" t="str">
        <f>VLOOKUP($D291,'Tabel Map Industry'!$A$2:$H$464,4,0)</f>
        <v>Perdagangan Eceran Mesin-mesin (Kecuali Mobil dan Sepeda Motor) dan Suku Cadang (Onderdil), Termasuk Alat-alat TRANSPORTsi  - 523700</v>
      </c>
      <c r="H291" s="421" t="str">
        <f>VLOOKUP($D291,'Tabel Map Industry'!$A$2:$H$464,8,0)</f>
        <v>Perdagangan Eceran - 6500</v>
      </c>
    </row>
    <row r="292" spans="1:8" ht="75" hidden="1" customHeight="1" x14ac:dyDescent="0.25">
      <c r="A292" s="417" t="s">
        <v>6330</v>
      </c>
      <c r="B292" s="423" t="s">
        <v>6994</v>
      </c>
      <c r="C292" s="423" t="s">
        <v>6995</v>
      </c>
      <c r="D292" s="424" t="s">
        <v>5098</v>
      </c>
      <c r="E292" s="425" t="str">
        <f>VLOOKUP($D292,'Tabel Map Industry'!$A$2:$H$464,2,0)</f>
        <v xml:space="preserve">Perdagangan Besar Mesin-mesin, Suku Cadang dan Perlengkapannya </v>
      </c>
      <c r="F292" s="426" t="str">
        <f>VLOOKUP($D292,'Tabel Map Industry'!$A$2:$H$464,3,0)</f>
        <v>ELECTRICITY, ENGINE &amp; MACHINERIES</v>
      </c>
      <c r="G292" s="426" t="str">
        <f>VLOOKUP($D292,'Tabel Map Industry'!$A$2:$H$464,4,0)</f>
        <v>Perdagangan Besar Mesin-mesin, Suku Cadang dan Perlengkapannya  - 515000</v>
      </c>
      <c r="H292" s="426" t="str">
        <f>VLOOKUP($D292,'Tabel Map Industry'!$A$2:$H$464,8,0)</f>
        <v>Distribusi lainnya - 6490</v>
      </c>
    </row>
    <row r="293" spans="1:8" ht="75" hidden="1" customHeight="1" x14ac:dyDescent="0.25">
      <c r="A293" s="422" t="s">
        <v>6330</v>
      </c>
      <c r="B293" s="418" t="s">
        <v>6330</v>
      </c>
      <c r="C293" s="418" t="s">
        <v>7005</v>
      </c>
      <c r="D293" s="419" t="s">
        <v>5102</v>
      </c>
      <c r="E293" s="420" t="str">
        <f>VLOOKUP($D293,'Tabel Map Industry'!$A$2:$H$464,2,0)</f>
        <v xml:space="preserve">Perdagangan Eceran Mesin-mesin (Kecuali Mobil dan Sepeda Motor) dan Suku Cadang (Onderdil), Termasuk Alat-alat TRANSPORTsi </v>
      </c>
      <c r="F293" s="421" t="str">
        <f>VLOOKUP($D293,'Tabel Map Industry'!$A$2:$H$464,3,0)</f>
        <v>ELECTRICITY, ENGINE &amp; MACHINERIES</v>
      </c>
      <c r="G293" s="421" t="str">
        <f>VLOOKUP($D293,'Tabel Map Industry'!$A$2:$H$464,4,0)</f>
        <v>Perdagangan Eceran Mesin-mesin (Kecuali Mobil dan Sepeda Motor) dan Suku Cadang (Onderdil), Termasuk Alat-alat TRANSPORTsi  - 523700</v>
      </c>
      <c r="H293" s="421" t="str">
        <f>VLOOKUP($D293,'Tabel Map Industry'!$A$2:$H$464,8,0)</f>
        <v>Perdagangan Eceran - 6500</v>
      </c>
    </row>
    <row r="294" spans="1:8" ht="75" hidden="1" customHeight="1" x14ac:dyDescent="0.25">
      <c r="A294" s="417" t="s">
        <v>6330</v>
      </c>
      <c r="B294" s="423" t="s">
        <v>7031</v>
      </c>
      <c r="C294" s="423" t="s">
        <v>7032</v>
      </c>
      <c r="D294" s="424" t="s">
        <v>5098</v>
      </c>
      <c r="E294" s="425" t="str">
        <f>VLOOKUP($D294,'Tabel Map Industry'!$A$2:$H$464,2,0)</f>
        <v xml:space="preserve">Perdagangan Besar Mesin-mesin, Suku Cadang dan Perlengkapannya </v>
      </c>
      <c r="F294" s="426" t="str">
        <f>VLOOKUP($D294,'Tabel Map Industry'!$A$2:$H$464,3,0)</f>
        <v>ELECTRICITY, ENGINE &amp; MACHINERIES</v>
      </c>
      <c r="G294" s="426" t="str">
        <f>VLOOKUP($D294,'Tabel Map Industry'!$A$2:$H$464,4,0)</f>
        <v>Perdagangan Besar Mesin-mesin, Suku Cadang dan Perlengkapannya  - 515000</v>
      </c>
      <c r="H294" s="426" t="str">
        <f>VLOOKUP($D294,'Tabel Map Industry'!$A$2:$H$464,8,0)</f>
        <v>Distribusi lainnya - 6490</v>
      </c>
    </row>
    <row r="295" spans="1:8" ht="75" hidden="1" customHeight="1" x14ac:dyDescent="0.25">
      <c r="A295" s="422" t="s">
        <v>6330</v>
      </c>
      <c r="B295" s="418" t="s">
        <v>6581</v>
      </c>
      <c r="C295" s="418" t="s">
        <v>7039</v>
      </c>
      <c r="D295" s="419" t="s">
        <v>5098</v>
      </c>
      <c r="E295" s="420" t="str">
        <f>VLOOKUP($D295,'Tabel Map Industry'!$A$2:$H$464,2,0)</f>
        <v xml:space="preserve">Perdagangan Besar Mesin-mesin, Suku Cadang dan Perlengkapannya </v>
      </c>
      <c r="F295" s="421" t="str">
        <f>VLOOKUP($D295,'Tabel Map Industry'!$A$2:$H$464,3,0)</f>
        <v>ELECTRICITY, ENGINE &amp; MACHINERIES</v>
      </c>
      <c r="G295" s="421" t="str">
        <f>VLOOKUP($D295,'Tabel Map Industry'!$A$2:$H$464,4,0)</f>
        <v>Perdagangan Besar Mesin-mesin, Suku Cadang dan Perlengkapannya  - 515000</v>
      </c>
      <c r="H295" s="421" t="str">
        <f>VLOOKUP($D295,'Tabel Map Industry'!$A$2:$H$464,8,0)</f>
        <v>Distribusi lainnya - 6490</v>
      </c>
    </row>
    <row r="296" spans="1:8" ht="75" hidden="1" customHeight="1" x14ac:dyDescent="0.25">
      <c r="A296" s="417" t="s">
        <v>6324</v>
      </c>
      <c r="B296" s="423" t="s">
        <v>7055</v>
      </c>
      <c r="C296" s="423" t="s">
        <v>7056</v>
      </c>
      <c r="D296" s="424" t="s">
        <v>5102</v>
      </c>
      <c r="E296" s="425" t="str">
        <f>VLOOKUP($D296,'Tabel Map Industry'!$A$2:$H$464,2,0)</f>
        <v xml:space="preserve">Perdagangan Eceran Mesin-mesin (Kecuali Mobil dan Sepeda Motor) dan Suku Cadang (Onderdil), Termasuk Alat-alat TRANSPORTsi </v>
      </c>
      <c r="F296" s="426" t="str">
        <f>VLOOKUP($D296,'Tabel Map Industry'!$A$2:$H$464,3,0)</f>
        <v>ELECTRICITY, ENGINE &amp; MACHINERIES</v>
      </c>
      <c r="G296" s="426" t="str">
        <f>VLOOKUP($D296,'Tabel Map Industry'!$A$2:$H$464,4,0)</f>
        <v>Perdagangan Eceran Mesin-mesin (Kecuali Mobil dan Sepeda Motor) dan Suku Cadang (Onderdil), Termasuk Alat-alat TRANSPORTsi  - 523700</v>
      </c>
      <c r="H296" s="426" t="str">
        <f>VLOOKUP($D296,'Tabel Map Industry'!$A$2:$H$464,8,0)</f>
        <v>Perdagangan Eceran - 6500</v>
      </c>
    </row>
    <row r="297" spans="1:8" ht="75" hidden="1" customHeight="1" x14ac:dyDescent="0.25">
      <c r="A297" s="422" t="s">
        <v>6330</v>
      </c>
      <c r="B297" s="418" t="s">
        <v>7066</v>
      </c>
      <c r="C297" s="418" t="s">
        <v>7067</v>
      </c>
      <c r="D297" s="419" t="s">
        <v>5098</v>
      </c>
      <c r="E297" s="420" t="str">
        <f>VLOOKUP($D297,'Tabel Map Industry'!$A$2:$H$464,2,0)</f>
        <v xml:space="preserve">Perdagangan Besar Mesin-mesin, Suku Cadang dan Perlengkapannya </v>
      </c>
      <c r="F297" s="421" t="str">
        <f>VLOOKUP($D297,'Tabel Map Industry'!$A$2:$H$464,3,0)</f>
        <v>ELECTRICITY, ENGINE &amp; MACHINERIES</v>
      </c>
      <c r="G297" s="421" t="str">
        <f>VLOOKUP($D297,'Tabel Map Industry'!$A$2:$H$464,4,0)</f>
        <v>Perdagangan Besar Mesin-mesin, Suku Cadang dan Perlengkapannya  - 515000</v>
      </c>
      <c r="H297" s="421" t="str">
        <f>VLOOKUP($D297,'Tabel Map Industry'!$A$2:$H$464,8,0)</f>
        <v>Distribusi lainnya - 6490</v>
      </c>
    </row>
    <row r="298" spans="1:8" ht="75" hidden="1" customHeight="1" x14ac:dyDescent="0.25">
      <c r="A298" s="417" t="s">
        <v>6330</v>
      </c>
      <c r="B298" s="423" t="s">
        <v>7110</v>
      </c>
      <c r="C298" s="423" t="s">
        <v>7111</v>
      </c>
      <c r="D298" s="424" t="s">
        <v>5098</v>
      </c>
      <c r="E298" s="425" t="str">
        <f>VLOOKUP($D298,'Tabel Map Industry'!$A$2:$H$464,2,0)</f>
        <v xml:space="preserve">Perdagangan Besar Mesin-mesin, Suku Cadang dan Perlengkapannya </v>
      </c>
      <c r="F298" s="426" t="str">
        <f>VLOOKUP($D298,'Tabel Map Industry'!$A$2:$H$464,3,0)</f>
        <v>ELECTRICITY, ENGINE &amp; MACHINERIES</v>
      </c>
      <c r="G298" s="426" t="str">
        <f>VLOOKUP($D298,'Tabel Map Industry'!$A$2:$H$464,4,0)</f>
        <v>Perdagangan Besar Mesin-mesin, Suku Cadang dan Perlengkapannya  - 515000</v>
      </c>
      <c r="H298" s="426" t="str">
        <f>VLOOKUP($D298,'Tabel Map Industry'!$A$2:$H$464,8,0)</f>
        <v>Distribusi lainnya - 6490</v>
      </c>
    </row>
    <row r="299" spans="1:8" ht="75" hidden="1" customHeight="1" x14ac:dyDescent="0.25">
      <c r="A299" s="422" t="s">
        <v>6330</v>
      </c>
      <c r="B299" s="418" t="s">
        <v>7137</v>
      </c>
      <c r="C299" s="418" t="s">
        <v>7138</v>
      </c>
      <c r="D299" s="419" t="s">
        <v>5098</v>
      </c>
      <c r="E299" s="420" t="str">
        <f>VLOOKUP($D299,'Tabel Map Industry'!$A$2:$H$464,2,0)</f>
        <v xml:space="preserve">Perdagangan Besar Mesin-mesin, Suku Cadang dan Perlengkapannya </v>
      </c>
      <c r="F299" s="421" t="str">
        <f>VLOOKUP($D299,'Tabel Map Industry'!$A$2:$H$464,3,0)</f>
        <v>ELECTRICITY, ENGINE &amp; MACHINERIES</v>
      </c>
      <c r="G299" s="421" t="str">
        <f>VLOOKUP($D299,'Tabel Map Industry'!$A$2:$H$464,4,0)</f>
        <v>Perdagangan Besar Mesin-mesin, Suku Cadang dan Perlengkapannya  - 515000</v>
      </c>
      <c r="H299" s="421" t="str">
        <f>VLOOKUP($D299,'Tabel Map Industry'!$A$2:$H$464,8,0)</f>
        <v>Distribusi lainnya - 6490</v>
      </c>
    </row>
    <row r="300" spans="1:8" ht="75" hidden="1" customHeight="1" x14ac:dyDescent="0.25">
      <c r="A300" s="417" t="s">
        <v>6330</v>
      </c>
      <c r="B300" s="423" t="str">
        <f>PROPER(F300)</f>
        <v>Electricity, Engine &amp; Machineries</v>
      </c>
      <c r="C300" s="423" t="str">
        <f>E300</f>
        <v>Industri Mesin-mesin Khusus Lainnya</v>
      </c>
      <c r="D300" s="424" t="s">
        <v>5096</v>
      </c>
      <c r="E300" s="425" t="str">
        <f>VLOOKUP($D300,'Tabel Map Industry'!$A$2:$H$464,2,0)</f>
        <v>Industri Mesin-mesin Khusus Lainnya</v>
      </c>
      <c r="F300" s="426" t="str">
        <f>VLOOKUP($D300,'Tabel Map Industry'!$A$2:$H$464,3,0)</f>
        <v>ELECTRICITY, ENGINE &amp; MACHINERIES</v>
      </c>
      <c r="G300" s="426" t="str">
        <f>VLOOKUP($D300,'Tabel Map Industry'!$A$2:$H$464,4,0)</f>
        <v>Industri Mesin-mesin Khusus Lainnya - 292900</v>
      </c>
      <c r="H300" s="426" t="str">
        <f>VLOOKUP($D300,'Tabel Map Industry'!$A$2:$H$464,8,0)</f>
        <v>Industri - Lainnya - 3990</v>
      </c>
    </row>
    <row r="301" spans="1:8" ht="45" hidden="1" x14ac:dyDescent="0.25">
      <c r="A301" s="422" t="s">
        <v>6330</v>
      </c>
      <c r="B301" s="418" t="str">
        <f>PROPER(F301)</f>
        <v>Electricity, Engine &amp; Machineries</v>
      </c>
      <c r="C301" s="418" t="str">
        <f>E301</f>
        <v xml:space="preserve">Perdagangan Besar Mesin-mesin, Suku Cadang dan Perlengkapannya </v>
      </c>
      <c r="D301" s="419" t="s">
        <v>5098</v>
      </c>
      <c r="E301" s="420" t="str">
        <f>VLOOKUP($D301,'Tabel Map Industry'!$A$2:$H$464,2,0)</f>
        <v xml:space="preserve">Perdagangan Besar Mesin-mesin, Suku Cadang dan Perlengkapannya </v>
      </c>
      <c r="F301" s="421" t="str">
        <f>VLOOKUP($D301,'Tabel Map Industry'!$A$2:$H$464,3,0)</f>
        <v>ELECTRICITY, ENGINE &amp; MACHINERIES</v>
      </c>
      <c r="G301" s="421" t="str">
        <f>VLOOKUP($D301,'Tabel Map Industry'!$A$2:$H$464,4,0)</f>
        <v>Perdagangan Besar Mesin-mesin, Suku Cadang dan Perlengkapannya  - 515000</v>
      </c>
      <c r="H301" s="421" t="str">
        <f>VLOOKUP($D301,'Tabel Map Industry'!$A$2:$H$464,8,0)</f>
        <v>Distribusi lainnya - 6490</v>
      </c>
    </row>
    <row r="302" spans="1:8" ht="75" hidden="1" customHeight="1" x14ac:dyDescent="0.25">
      <c r="A302" s="417" t="s">
        <v>6330</v>
      </c>
      <c r="B302" s="423" t="str">
        <f>PROPER(F302)</f>
        <v>Electricity, Engine &amp; Machineries</v>
      </c>
      <c r="C302" s="423" t="str">
        <f>E302</f>
        <v xml:space="preserve">Perdagangan Eceran Mesin-mesin (Kecuali Mobil dan Sepeda Motor) dan Suku Cadang (Onderdil), Termasuk Alat-alat TRANSPORTsi </v>
      </c>
      <c r="D302" s="424" t="s">
        <v>5102</v>
      </c>
      <c r="E302" s="425" t="str">
        <f>VLOOKUP($D302,'Tabel Map Industry'!$A$2:$H$464,2,0)</f>
        <v xml:space="preserve">Perdagangan Eceran Mesin-mesin (Kecuali Mobil dan Sepeda Motor) dan Suku Cadang (Onderdil), Termasuk Alat-alat TRANSPORTsi </v>
      </c>
      <c r="F302" s="426" t="str">
        <f>VLOOKUP($D302,'Tabel Map Industry'!$A$2:$H$464,3,0)</f>
        <v>ELECTRICITY, ENGINE &amp; MACHINERIES</v>
      </c>
      <c r="G302" s="426" t="str">
        <f>VLOOKUP($D302,'Tabel Map Industry'!$A$2:$H$464,4,0)</f>
        <v>Perdagangan Eceran Mesin-mesin (Kecuali Mobil dan Sepeda Motor) dan Suku Cadang (Onderdil), Termasuk Alat-alat TRANSPORTsi  - 523700</v>
      </c>
      <c r="H302" s="426" t="str">
        <f>VLOOKUP($D302,'Tabel Map Industry'!$A$2:$H$464,8,0)</f>
        <v>Perdagangan Eceran - 6500</v>
      </c>
    </row>
    <row r="303" spans="1:8" ht="75" customHeight="1" x14ac:dyDescent="0.25">
      <c r="A303" s="422" t="s">
        <v>6327</v>
      </c>
      <c r="B303" s="418" t="s">
        <v>6389</v>
      </c>
      <c r="C303" s="418" t="s">
        <v>6390</v>
      </c>
      <c r="D303" s="419" t="s">
        <v>5120</v>
      </c>
      <c r="E303" s="420" t="str">
        <f>VLOOKUP($D303,'Tabel Map Industry'!$A$2:$H$464,2,0)</f>
        <v xml:space="preserve">Daur Ulang Barang-barang Logam </v>
      </c>
      <c r="F303" s="421" t="str">
        <f>VLOOKUP($D303,'Tabel Map Industry'!$A$2:$H$464,3,0)</f>
        <v>FABRICATED METAL, STEEL &amp; OTHER BASIC INDUSTRY</v>
      </c>
      <c r="G303" s="421" t="str">
        <f>VLOOKUP($D303,'Tabel Map Industry'!$A$2:$H$464,4,0)</f>
        <v>Daur Ulang Barang-barang Logam  - 371000</v>
      </c>
      <c r="H303" s="421" t="str">
        <f>VLOOKUP($D303,'Tabel Map Industry'!$A$2:$H$464,8,0)</f>
        <v>Industri - Lainnya - 3990</v>
      </c>
    </row>
    <row r="304" spans="1:8" ht="75" customHeight="1" x14ac:dyDescent="0.25">
      <c r="A304" s="417" t="s">
        <v>6324</v>
      </c>
      <c r="B304" s="423" t="s">
        <v>6462</v>
      </c>
      <c r="C304" s="423" t="s">
        <v>6463</v>
      </c>
      <c r="D304" s="424" t="s">
        <v>5113</v>
      </c>
      <c r="E304" s="425" t="str">
        <f>VLOOKUP($D304,'Tabel Map Industry'!$A$2:$H$464,2,0)</f>
        <v>Perdagangan Dalam Negeri Besi Beton</v>
      </c>
      <c r="F304" s="426" t="str">
        <f>VLOOKUP($D304,'Tabel Map Industry'!$A$2:$H$464,3,0)</f>
        <v>FABRICATED METAL, STEEL &amp; OTHER BASIC INDUSTRY</v>
      </c>
      <c r="G304" s="426" t="str">
        <f>VLOOKUP($D304,'Tabel Map Industry'!$A$2:$H$464,4,0)</f>
        <v>Perdagangan Dalam Negeri Besi Beton - 514302</v>
      </c>
      <c r="H304" s="426" t="str">
        <f>VLOOKUP($D304,'Tabel Map Industry'!$A$2:$H$464,8,0)</f>
        <v>Distribusi Besi Beton - 6414</v>
      </c>
    </row>
    <row r="305" spans="1:8" ht="75" customHeight="1" x14ac:dyDescent="0.25">
      <c r="A305" s="422" t="s">
        <v>6324</v>
      </c>
      <c r="B305" s="418" t="s">
        <v>6477</v>
      </c>
      <c r="C305" s="418" t="s">
        <v>6478</v>
      </c>
      <c r="D305" s="419" t="s">
        <v>5112</v>
      </c>
      <c r="E305" s="420" t="str">
        <f>VLOOKUP($D305,'Tabel Map Industry'!$A$2:$H$464,2,0)</f>
        <v xml:space="preserve">Perdagangan Besar Logam dan Bijih Logam </v>
      </c>
      <c r="F305" s="421" t="str">
        <f>VLOOKUP($D305,'Tabel Map Industry'!$A$2:$H$464,3,0)</f>
        <v>FABRICATED METAL, STEEL &amp; OTHER BASIC INDUSTRY</v>
      </c>
      <c r="G305" s="421" t="str">
        <f>VLOOKUP($D305,'Tabel Map Industry'!$A$2:$H$464,4,0)</f>
        <v>Perdagangan Besar Logam dan Bijih Logam  - 514200</v>
      </c>
      <c r="H305" s="421" t="str">
        <f>VLOOKUP($D305,'Tabel Map Industry'!$A$2:$H$464,8,0)</f>
        <v>Distribusi lainnya - 6490</v>
      </c>
    </row>
    <row r="306" spans="1:8" ht="75" customHeight="1" x14ac:dyDescent="0.25">
      <c r="A306" s="417" t="s">
        <v>6330</v>
      </c>
      <c r="B306" s="423" t="s">
        <v>6330</v>
      </c>
      <c r="C306" s="423" t="s">
        <v>6526</v>
      </c>
      <c r="D306" s="424" t="s">
        <v>5112</v>
      </c>
      <c r="E306" s="425" t="str">
        <f>VLOOKUP($D306,'Tabel Map Industry'!$A$2:$H$464,2,0)</f>
        <v xml:space="preserve">Perdagangan Besar Logam dan Bijih Logam </v>
      </c>
      <c r="F306" s="426" t="str">
        <f>VLOOKUP($D306,'Tabel Map Industry'!$A$2:$H$464,3,0)</f>
        <v>FABRICATED METAL, STEEL &amp; OTHER BASIC INDUSTRY</v>
      </c>
      <c r="G306" s="426" t="str">
        <f>VLOOKUP($D306,'Tabel Map Industry'!$A$2:$H$464,4,0)</f>
        <v>Perdagangan Besar Logam dan Bijih Logam  - 514200</v>
      </c>
      <c r="H306" s="426" t="str">
        <f>VLOOKUP($D306,'Tabel Map Industry'!$A$2:$H$464,8,0)</f>
        <v>Distribusi lainnya - 6490</v>
      </c>
    </row>
    <row r="307" spans="1:8" ht="75" customHeight="1" x14ac:dyDescent="0.25">
      <c r="A307" s="422" t="s">
        <v>6324</v>
      </c>
      <c r="B307" s="418" t="s">
        <v>6542</v>
      </c>
      <c r="C307" s="418" t="s">
        <v>6543</v>
      </c>
      <c r="D307" s="419" t="s">
        <v>5120</v>
      </c>
      <c r="E307" s="420" t="str">
        <f>VLOOKUP($D307,'Tabel Map Industry'!$A$2:$H$464,2,0)</f>
        <v xml:space="preserve">Daur Ulang Barang-barang Logam </v>
      </c>
      <c r="F307" s="421" t="str">
        <f>VLOOKUP($D307,'Tabel Map Industry'!$A$2:$H$464,3,0)</f>
        <v>FABRICATED METAL, STEEL &amp; OTHER BASIC INDUSTRY</v>
      </c>
      <c r="G307" s="421" t="str">
        <f>VLOOKUP($D307,'Tabel Map Industry'!$A$2:$H$464,4,0)</f>
        <v>Daur Ulang Barang-barang Logam  - 371000</v>
      </c>
      <c r="H307" s="421" t="str">
        <f>VLOOKUP($D307,'Tabel Map Industry'!$A$2:$H$464,8,0)</f>
        <v>Industri - Lainnya - 3990</v>
      </c>
    </row>
    <row r="308" spans="1:8" ht="75" customHeight="1" x14ac:dyDescent="0.25">
      <c r="A308" s="417" t="s">
        <v>6324</v>
      </c>
      <c r="B308" s="423" t="s">
        <v>6555</v>
      </c>
      <c r="C308" s="423" t="s">
        <v>6556</v>
      </c>
      <c r="D308" s="424" t="s">
        <v>5120</v>
      </c>
      <c r="E308" s="425" t="str">
        <f>VLOOKUP($D308,'Tabel Map Industry'!$A$2:$H$464,2,0)</f>
        <v xml:space="preserve">Daur Ulang Barang-barang Logam </v>
      </c>
      <c r="F308" s="426" t="str">
        <f>VLOOKUP($D308,'Tabel Map Industry'!$A$2:$H$464,3,0)</f>
        <v>FABRICATED METAL, STEEL &amp; OTHER BASIC INDUSTRY</v>
      </c>
      <c r="G308" s="426" t="str">
        <f>VLOOKUP($D308,'Tabel Map Industry'!$A$2:$H$464,4,0)</f>
        <v>Daur Ulang Barang-barang Logam  - 371000</v>
      </c>
      <c r="H308" s="426" t="str">
        <f>VLOOKUP($D308,'Tabel Map Industry'!$A$2:$H$464,8,0)</f>
        <v>Industri - Lainnya - 3990</v>
      </c>
    </row>
    <row r="309" spans="1:8" ht="75" customHeight="1" x14ac:dyDescent="0.25">
      <c r="A309" s="422" t="s">
        <v>6324</v>
      </c>
      <c r="B309" s="418" t="s">
        <v>6566</v>
      </c>
      <c r="C309" s="418" t="s">
        <v>6567</v>
      </c>
      <c r="D309" s="419" t="s">
        <v>5120</v>
      </c>
      <c r="E309" s="420" t="str">
        <f>VLOOKUP($D309,'Tabel Map Industry'!$A$2:$H$464,2,0)</f>
        <v xml:space="preserve">Daur Ulang Barang-barang Logam </v>
      </c>
      <c r="F309" s="421" t="str">
        <f>VLOOKUP($D309,'Tabel Map Industry'!$A$2:$H$464,3,0)</f>
        <v>FABRICATED METAL, STEEL &amp; OTHER BASIC INDUSTRY</v>
      </c>
      <c r="G309" s="421" t="str">
        <f>VLOOKUP($D309,'Tabel Map Industry'!$A$2:$H$464,4,0)</f>
        <v>Daur Ulang Barang-barang Logam  - 371000</v>
      </c>
      <c r="H309" s="421" t="str">
        <f>VLOOKUP($D309,'Tabel Map Industry'!$A$2:$H$464,8,0)</f>
        <v>Industri - Lainnya - 3990</v>
      </c>
    </row>
    <row r="310" spans="1:8" ht="75" customHeight="1" x14ac:dyDescent="0.25">
      <c r="A310" s="417" t="s">
        <v>6330</v>
      </c>
      <c r="B310" s="423" t="s">
        <v>6330</v>
      </c>
      <c r="C310" s="423" t="s">
        <v>6576</v>
      </c>
      <c r="D310" s="424" t="s">
        <v>5112</v>
      </c>
      <c r="E310" s="425" t="str">
        <f>VLOOKUP($D310,'Tabel Map Industry'!$A$2:$H$464,2,0)</f>
        <v xml:space="preserve">Perdagangan Besar Logam dan Bijih Logam </v>
      </c>
      <c r="F310" s="426" t="str">
        <f>VLOOKUP($D310,'Tabel Map Industry'!$A$2:$H$464,3,0)</f>
        <v>FABRICATED METAL, STEEL &amp; OTHER BASIC INDUSTRY</v>
      </c>
      <c r="G310" s="426" t="str">
        <f>VLOOKUP($D310,'Tabel Map Industry'!$A$2:$H$464,4,0)</f>
        <v>Perdagangan Besar Logam dan Bijih Logam  - 514200</v>
      </c>
      <c r="H310" s="426" t="str">
        <f>VLOOKUP($D310,'Tabel Map Industry'!$A$2:$H$464,8,0)</f>
        <v>Distribusi lainnya - 6490</v>
      </c>
    </row>
    <row r="311" spans="1:8" ht="45" x14ac:dyDescent="0.25">
      <c r="A311" s="422" t="s">
        <v>6324</v>
      </c>
      <c r="B311" s="418" t="s">
        <v>6828</v>
      </c>
      <c r="C311" s="418" t="s">
        <v>6829</v>
      </c>
      <c r="D311" s="419" t="s">
        <v>5112</v>
      </c>
      <c r="E311" s="420" t="str">
        <f>VLOOKUP($D311,'Tabel Map Industry'!$A$2:$H$464,2,0)</f>
        <v xml:space="preserve">Perdagangan Besar Logam dan Bijih Logam </v>
      </c>
      <c r="F311" s="421" t="str">
        <f>VLOOKUP($D311,'Tabel Map Industry'!$A$2:$H$464,3,0)</f>
        <v>FABRICATED METAL, STEEL &amp; OTHER BASIC INDUSTRY</v>
      </c>
      <c r="G311" s="421" t="str">
        <f>VLOOKUP($D311,'Tabel Map Industry'!$A$2:$H$464,4,0)</f>
        <v>Perdagangan Besar Logam dan Bijih Logam  - 514200</v>
      </c>
      <c r="H311" s="421" t="str">
        <f>VLOOKUP($D311,'Tabel Map Industry'!$A$2:$H$464,8,0)</f>
        <v>Distribusi lainnya - 6490</v>
      </c>
    </row>
    <row r="312" spans="1:8" ht="75" customHeight="1" x14ac:dyDescent="0.25">
      <c r="A312" s="417" t="s">
        <v>6330</v>
      </c>
      <c r="B312" s="423" t="s">
        <v>6910</v>
      </c>
      <c r="C312" s="423" t="s">
        <v>6911</v>
      </c>
      <c r="D312" s="424" t="s">
        <v>5109</v>
      </c>
      <c r="E312" s="425" t="str">
        <f>VLOOKUP($D312,'Tabel Map Industry'!$A$2:$H$464,2,0)</f>
        <v xml:space="preserve">Industri Logam Dasar Besi dan Baja </v>
      </c>
      <c r="F312" s="426" t="str">
        <f>VLOOKUP($D312,'Tabel Map Industry'!$A$2:$H$464,3,0)</f>
        <v>FABRICATED METAL, STEEL &amp; OTHER BASIC INDUSTRY</v>
      </c>
      <c r="G312" s="426" t="str">
        <f>VLOOKUP($D312,'Tabel Map Industry'!$A$2:$H$464,4,0)</f>
        <v>Industri Logam Dasar Besi dan Baja  - 271000</v>
      </c>
      <c r="H312" s="426" t="str">
        <f>VLOOKUP($D312,'Tabel Map Industry'!$A$2:$H$464,8,0)</f>
        <v>Industri - Lainnya - 3990</v>
      </c>
    </row>
    <row r="313" spans="1:8" ht="75" customHeight="1" x14ac:dyDescent="0.25">
      <c r="A313" s="422" t="s">
        <v>6324</v>
      </c>
      <c r="B313" s="418" t="s">
        <v>6947</v>
      </c>
      <c r="C313" s="418" t="s">
        <v>6948</v>
      </c>
      <c r="D313" s="419" t="s">
        <v>5112</v>
      </c>
      <c r="E313" s="420" t="str">
        <f>VLOOKUP($D313,'Tabel Map Industry'!$A$2:$H$464,2,0)</f>
        <v xml:space="preserve">Perdagangan Besar Logam dan Bijih Logam </v>
      </c>
      <c r="F313" s="421" t="str">
        <f>VLOOKUP($D313,'Tabel Map Industry'!$A$2:$H$464,3,0)</f>
        <v>FABRICATED METAL, STEEL &amp; OTHER BASIC INDUSTRY</v>
      </c>
      <c r="G313" s="421" t="str">
        <f>VLOOKUP($D313,'Tabel Map Industry'!$A$2:$H$464,4,0)</f>
        <v>Perdagangan Besar Logam dan Bijih Logam  - 514200</v>
      </c>
      <c r="H313" s="421" t="str">
        <f>VLOOKUP($D313,'Tabel Map Industry'!$A$2:$H$464,8,0)</f>
        <v>Distribusi lainnya - 6490</v>
      </c>
    </row>
    <row r="314" spans="1:8" ht="75" customHeight="1" x14ac:dyDescent="0.25">
      <c r="A314" s="417" t="s">
        <v>6330</v>
      </c>
      <c r="B314" s="423" t="s">
        <v>6955</v>
      </c>
      <c r="C314" s="423" t="s">
        <v>6956</v>
      </c>
      <c r="D314" s="424" t="s">
        <v>5109</v>
      </c>
      <c r="E314" s="425" t="str">
        <f>VLOOKUP($D314,'Tabel Map Industry'!$A$2:$H$464,2,0)</f>
        <v xml:space="preserve">Industri Logam Dasar Besi dan Baja </v>
      </c>
      <c r="F314" s="426" t="str">
        <f>VLOOKUP($D314,'Tabel Map Industry'!$A$2:$H$464,3,0)</f>
        <v>FABRICATED METAL, STEEL &amp; OTHER BASIC INDUSTRY</v>
      </c>
      <c r="G314" s="426" t="str">
        <f>VLOOKUP($D314,'Tabel Map Industry'!$A$2:$H$464,4,0)</f>
        <v>Industri Logam Dasar Besi dan Baja  - 271000</v>
      </c>
      <c r="H314" s="426" t="str">
        <f>VLOOKUP($D314,'Tabel Map Industry'!$A$2:$H$464,8,0)</f>
        <v>Industri - Lainnya - 3990</v>
      </c>
    </row>
    <row r="315" spans="1:8" ht="75" customHeight="1" x14ac:dyDescent="0.25">
      <c r="A315" s="422" t="s">
        <v>6324</v>
      </c>
      <c r="B315" s="418" t="s">
        <v>6972</v>
      </c>
      <c r="C315" s="418" t="s">
        <v>6973</v>
      </c>
      <c r="D315" s="419" t="s">
        <v>5109</v>
      </c>
      <c r="E315" s="420" t="str">
        <f>VLOOKUP($D315,'Tabel Map Industry'!$A$2:$H$464,2,0)</f>
        <v xml:space="preserve">Industri Logam Dasar Besi dan Baja </v>
      </c>
      <c r="F315" s="421" t="str">
        <f>VLOOKUP($D315,'Tabel Map Industry'!$A$2:$H$464,3,0)</f>
        <v>FABRICATED METAL, STEEL &amp; OTHER BASIC INDUSTRY</v>
      </c>
      <c r="G315" s="421" t="str">
        <f>VLOOKUP($D315,'Tabel Map Industry'!$A$2:$H$464,4,0)</f>
        <v>Industri Logam Dasar Besi dan Baja  - 271000</v>
      </c>
      <c r="H315" s="421" t="str">
        <f>VLOOKUP($D315,'Tabel Map Industry'!$A$2:$H$464,8,0)</f>
        <v>Industri - Lainnya - 3990</v>
      </c>
    </row>
    <row r="316" spans="1:8" ht="75" customHeight="1" x14ac:dyDescent="0.25">
      <c r="A316" s="417" t="s">
        <v>6330</v>
      </c>
      <c r="B316" s="423" t="s">
        <v>7033</v>
      </c>
      <c r="C316" s="423" t="s">
        <v>7034</v>
      </c>
      <c r="D316" s="424" t="s">
        <v>5121</v>
      </c>
      <c r="E316" s="425" t="str">
        <f>VLOOKUP($D316,'Tabel Map Industry'!$A$2:$H$464,2,0)</f>
        <v xml:space="preserve">Daur Ulang Barang-barang Bukan logam </v>
      </c>
      <c r="F316" s="426" t="str">
        <f>VLOOKUP($D316,'Tabel Map Industry'!$A$2:$H$464,3,0)</f>
        <v>FABRICATED METAL, STEEL &amp; OTHER BASIC INDUSTRY</v>
      </c>
      <c r="G316" s="426" t="str">
        <f>VLOOKUP($D316,'Tabel Map Industry'!$A$2:$H$464,4,0)</f>
        <v>Daur Ulang Barang-barang Bukan logam  - 372000</v>
      </c>
      <c r="H316" s="426" t="str">
        <f>VLOOKUP($D316,'Tabel Map Industry'!$A$2:$H$464,8,0)</f>
        <v>Industri - Lainnya - 3990</v>
      </c>
    </row>
    <row r="317" spans="1:8" ht="75" customHeight="1" x14ac:dyDescent="0.25">
      <c r="A317" s="422" t="s">
        <v>6330</v>
      </c>
      <c r="B317" s="418" t="s">
        <v>6462</v>
      </c>
      <c r="C317" s="418" t="s">
        <v>7129</v>
      </c>
      <c r="D317" s="419" t="s">
        <v>5112</v>
      </c>
      <c r="E317" s="420" t="str">
        <f>VLOOKUP($D317,'Tabel Map Industry'!$A$2:$H$464,2,0)</f>
        <v xml:space="preserve">Perdagangan Besar Logam dan Bijih Logam </v>
      </c>
      <c r="F317" s="421" t="str">
        <f>VLOOKUP($D317,'Tabel Map Industry'!$A$2:$H$464,3,0)</f>
        <v>FABRICATED METAL, STEEL &amp; OTHER BASIC INDUSTRY</v>
      </c>
      <c r="G317" s="421" t="str">
        <f>VLOOKUP($D317,'Tabel Map Industry'!$A$2:$H$464,4,0)</f>
        <v>Perdagangan Besar Logam dan Bijih Logam  - 514200</v>
      </c>
      <c r="H317" s="421" t="str">
        <f>VLOOKUP($D317,'Tabel Map Industry'!$A$2:$H$464,8,0)</f>
        <v>Distribusi lainnya - 6490</v>
      </c>
    </row>
    <row r="318" spans="1:8" ht="75" customHeight="1" x14ac:dyDescent="0.25">
      <c r="A318" s="417" t="s">
        <v>6330</v>
      </c>
      <c r="B318" s="423" t="s">
        <v>7132</v>
      </c>
      <c r="C318" s="423" t="s">
        <v>7133</v>
      </c>
      <c r="D318" s="424" t="s">
        <v>5113</v>
      </c>
      <c r="E318" s="425" t="str">
        <f>VLOOKUP($D318,'Tabel Map Industry'!$A$2:$H$464,2,0)</f>
        <v>Perdagangan Dalam Negeri Besi Beton</v>
      </c>
      <c r="F318" s="426" t="str">
        <f>VLOOKUP($D318,'Tabel Map Industry'!$A$2:$H$464,3,0)</f>
        <v>FABRICATED METAL, STEEL &amp; OTHER BASIC INDUSTRY</v>
      </c>
      <c r="G318" s="426" t="str">
        <f>VLOOKUP($D318,'Tabel Map Industry'!$A$2:$H$464,4,0)</f>
        <v>Perdagangan Dalam Negeri Besi Beton - 514302</v>
      </c>
      <c r="H318" s="426" t="str">
        <f>VLOOKUP($D318,'Tabel Map Industry'!$A$2:$H$464,8,0)</f>
        <v>Distribusi Besi Beton - 6414</v>
      </c>
    </row>
    <row r="319" spans="1:8" ht="75" customHeight="1" x14ac:dyDescent="0.25">
      <c r="A319" s="422" t="s">
        <v>6330</v>
      </c>
      <c r="B319" s="418" t="s">
        <v>7150</v>
      </c>
      <c r="C319" s="418" t="s">
        <v>7151</v>
      </c>
      <c r="D319" s="419" t="s">
        <v>5105</v>
      </c>
      <c r="E319" s="420" t="str">
        <f>VLOOKUP($D319,'Tabel Map Industry'!$A$2:$H$464,2,0)</f>
        <v xml:space="preserve">Industri Barang Logam yang Tidak Diklasifikasikan di Tempat Lain </v>
      </c>
      <c r="F319" s="421" t="str">
        <f>VLOOKUP($D319,'Tabel Map Industry'!$A$2:$H$464,3,0)</f>
        <v>FABRICATED METAL, STEEL &amp; OTHER BASIC INDUSTRY</v>
      </c>
      <c r="G319" s="421" t="str">
        <f>VLOOKUP($D319,'Tabel Map Industry'!$A$2:$H$464,4,0)</f>
        <v>Industri Barang Logam yang Tidak Diklasifikasikan di Tempat Lain  - 289900</v>
      </c>
      <c r="H319" s="421" t="str">
        <f>VLOOKUP($D319,'Tabel Map Industry'!$A$2:$H$464,8,0)</f>
        <v>Industri - Lainnya - 3990</v>
      </c>
    </row>
    <row r="320" spans="1:8" ht="75" customHeight="1" x14ac:dyDescent="0.25">
      <c r="A320" s="417" t="s">
        <v>6324</v>
      </c>
      <c r="B320" s="423" t="s">
        <v>7157</v>
      </c>
      <c r="C320" s="423" t="s">
        <v>7158</v>
      </c>
      <c r="D320" s="424" t="s">
        <v>5121</v>
      </c>
      <c r="E320" s="425" t="str">
        <f>VLOOKUP($D320,'Tabel Map Industry'!$A$2:$H$464,2,0)</f>
        <v xml:space="preserve">Daur Ulang Barang-barang Bukan logam </v>
      </c>
      <c r="F320" s="426" t="str">
        <f>VLOOKUP($D320,'Tabel Map Industry'!$A$2:$H$464,3,0)</f>
        <v>FABRICATED METAL, STEEL &amp; OTHER BASIC INDUSTRY</v>
      </c>
      <c r="G320" s="426" t="str">
        <f>VLOOKUP($D320,'Tabel Map Industry'!$A$2:$H$464,4,0)</f>
        <v>Daur Ulang Barang-barang Bukan logam  - 372000</v>
      </c>
      <c r="H320" s="426" t="str">
        <f>VLOOKUP($D320,'Tabel Map Industry'!$A$2:$H$464,8,0)</f>
        <v>Industri - Lainnya - 3990</v>
      </c>
    </row>
    <row r="321" spans="1:8" ht="75" customHeight="1" x14ac:dyDescent="0.25">
      <c r="A321" s="422" t="s">
        <v>6324</v>
      </c>
      <c r="B321" s="418" t="str">
        <f>PROPER(F321)</f>
        <v>Fabricated Metal, Steel &amp; Other Basic Industry</v>
      </c>
      <c r="C321" s="418" t="str">
        <f>E321</f>
        <v xml:space="preserve">Industri Barang Logam yang Tidak Diklasifikasikan di Tempat Lain </v>
      </c>
      <c r="D321" s="419" t="s">
        <v>5105</v>
      </c>
      <c r="E321" s="420" t="str">
        <f>VLOOKUP($D321,'Tabel Map Industry'!$A$2:$H$464,2,0)</f>
        <v xml:space="preserve">Industri Barang Logam yang Tidak Diklasifikasikan di Tempat Lain </v>
      </c>
      <c r="F321" s="421" t="str">
        <f>VLOOKUP($D321,'Tabel Map Industry'!$A$2:$H$464,3,0)</f>
        <v>FABRICATED METAL, STEEL &amp; OTHER BASIC INDUSTRY</v>
      </c>
      <c r="G321" s="421" t="str">
        <f>VLOOKUP($D321,'Tabel Map Industry'!$A$2:$H$464,4,0)</f>
        <v>Industri Barang Logam yang Tidak Diklasifikasikan di Tempat Lain  - 289900</v>
      </c>
      <c r="H321" s="421" t="str">
        <f>VLOOKUP($D321,'Tabel Map Industry'!$A$2:$H$464,8,0)</f>
        <v>Industri - Lainnya - 3990</v>
      </c>
    </row>
    <row r="322" spans="1:8" ht="75" customHeight="1" x14ac:dyDescent="0.25">
      <c r="A322" s="417" t="s">
        <v>6324</v>
      </c>
      <c r="B322" s="423" t="str">
        <f>PROPER(F322)</f>
        <v>Fabricated Metal, Steel &amp; Other Basic Industry</v>
      </c>
      <c r="C322" s="423" t="str">
        <f>E322</f>
        <v xml:space="preserve">Industri Logam Dasar Besi dan Baja </v>
      </c>
      <c r="D322" s="424" t="s">
        <v>5109</v>
      </c>
      <c r="E322" s="425" t="str">
        <f>VLOOKUP($D322,'Tabel Map Industry'!$A$2:$H$464,2,0)</f>
        <v xml:space="preserve">Industri Logam Dasar Besi dan Baja </v>
      </c>
      <c r="F322" s="426" t="str">
        <f>VLOOKUP($D322,'Tabel Map Industry'!$A$2:$H$464,3,0)</f>
        <v>FABRICATED METAL, STEEL &amp; OTHER BASIC INDUSTRY</v>
      </c>
      <c r="G322" s="426" t="str">
        <f>VLOOKUP($D322,'Tabel Map Industry'!$A$2:$H$464,4,0)</f>
        <v>Industri Logam Dasar Besi dan Baja  - 271000</v>
      </c>
      <c r="H322" s="426" t="str">
        <f>VLOOKUP($D322,'Tabel Map Industry'!$A$2:$H$464,8,0)</f>
        <v>Industri - Lainnya - 3990</v>
      </c>
    </row>
    <row r="323" spans="1:8" ht="75" customHeight="1" x14ac:dyDescent="0.25">
      <c r="A323" s="422" t="s">
        <v>6330</v>
      </c>
      <c r="B323" s="418" t="str">
        <f>PROPER(F323)</f>
        <v>Fabricated Metal, Steel &amp; Other Basic Industry</v>
      </c>
      <c r="C323" s="418" t="str">
        <f>E323</f>
        <v xml:space="preserve">Perdagangan Besar Logam dan Bijih Logam </v>
      </c>
      <c r="D323" s="419" t="s">
        <v>5112</v>
      </c>
      <c r="E323" s="420" t="str">
        <f>VLOOKUP($D323,'Tabel Map Industry'!$A$2:$H$464,2,0)</f>
        <v xml:space="preserve">Perdagangan Besar Logam dan Bijih Logam </v>
      </c>
      <c r="F323" s="421" t="str">
        <f>VLOOKUP($D323,'Tabel Map Industry'!$A$2:$H$464,3,0)</f>
        <v>FABRICATED METAL, STEEL &amp; OTHER BASIC INDUSTRY</v>
      </c>
      <c r="G323" s="421" t="str">
        <f>VLOOKUP($D323,'Tabel Map Industry'!$A$2:$H$464,4,0)</f>
        <v>Perdagangan Besar Logam dan Bijih Logam  - 514200</v>
      </c>
      <c r="H323" s="421" t="str">
        <f>VLOOKUP($D323,'Tabel Map Industry'!$A$2:$H$464,8,0)</f>
        <v>Distribusi lainnya - 6490</v>
      </c>
    </row>
    <row r="324" spans="1:8" ht="75" customHeight="1" x14ac:dyDescent="0.25">
      <c r="A324" s="417" t="s">
        <v>6330</v>
      </c>
      <c r="B324" s="423" t="str">
        <f>PROPER(F324)</f>
        <v>Fabricated Metal, Steel &amp; Other Basic Industry</v>
      </c>
      <c r="C324" s="423" t="str">
        <f>E324</f>
        <v>Perdagangan Dalam Negeri Besi Beton</v>
      </c>
      <c r="D324" s="424" t="s">
        <v>5113</v>
      </c>
      <c r="E324" s="425" t="str">
        <f>VLOOKUP($D324,'Tabel Map Industry'!$A$2:$H$464,2,0)</f>
        <v>Perdagangan Dalam Negeri Besi Beton</v>
      </c>
      <c r="F324" s="426" t="str">
        <f>VLOOKUP($D324,'Tabel Map Industry'!$A$2:$H$464,3,0)</f>
        <v>FABRICATED METAL, STEEL &amp; OTHER BASIC INDUSTRY</v>
      </c>
      <c r="G324" s="426" t="str">
        <f>VLOOKUP($D324,'Tabel Map Industry'!$A$2:$H$464,4,0)</f>
        <v>Perdagangan Dalam Negeri Besi Beton - 514302</v>
      </c>
      <c r="H324" s="426" t="str">
        <f>VLOOKUP($D324,'Tabel Map Industry'!$A$2:$H$464,8,0)</f>
        <v>Distribusi Besi Beton - 6414</v>
      </c>
    </row>
    <row r="325" spans="1:8" ht="75" customHeight="1" x14ac:dyDescent="0.25">
      <c r="A325" s="422" t="s">
        <v>6330</v>
      </c>
      <c r="B325" s="418" t="str">
        <f>PROPER(F325)</f>
        <v>Fabricated Metal, Steel &amp; Other Basic Industry</v>
      </c>
      <c r="C325" s="418" t="str">
        <f>E325</f>
        <v xml:space="preserve">Daur Ulang Barang-barang Bukan logam </v>
      </c>
      <c r="D325" s="419" t="s">
        <v>5121</v>
      </c>
      <c r="E325" s="420" t="str">
        <f>VLOOKUP($D325,'Tabel Map Industry'!$A$2:$H$464,2,0)</f>
        <v xml:space="preserve">Daur Ulang Barang-barang Bukan logam </v>
      </c>
      <c r="F325" s="421" t="str">
        <f>VLOOKUP($D325,'Tabel Map Industry'!$A$2:$H$464,3,0)</f>
        <v>FABRICATED METAL, STEEL &amp; OTHER BASIC INDUSTRY</v>
      </c>
      <c r="G325" s="421" t="str">
        <f>VLOOKUP($D325,'Tabel Map Industry'!$A$2:$H$464,4,0)</f>
        <v>Daur Ulang Barang-barang Bukan logam  - 372000</v>
      </c>
      <c r="H325" s="421" t="str">
        <f>VLOOKUP($D325,'Tabel Map Industry'!$A$2:$H$464,8,0)</f>
        <v>Industri - Lainnya - 3990</v>
      </c>
    </row>
    <row r="326" spans="1:8" ht="75" hidden="1" customHeight="1" x14ac:dyDescent="0.25">
      <c r="A326" s="417" t="s">
        <v>6330</v>
      </c>
      <c r="B326" s="423" t="s">
        <v>6325</v>
      </c>
      <c r="C326" s="423" t="s">
        <v>6326</v>
      </c>
      <c r="D326" s="424" t="s">
        <v>5134</v>
      </c>
      <c r="E326" s="425" t="str">
        <f>VLOOKUP($D326,'Tabel Map Industry'!$A$2:$H$464,2,0)</f>
        <v xml:space="preserve">Industri Tepung dan Pati </v>
      </c>
      <c r="F326" s="426" t="str">
        <f>VLOOKUP($D326,'Tabel Map Industry'!$A$2:$H$464,3,0)</f>
        <v>FOOD &amp; BEVERAGE</v>
      </c>
      <c r="G326" s="426" t="str">
        <f>VLOOKUP($D326,'Tabel Map Industry'!$A$2:$H$464,4,0)</f>
        <v>Industri Tepung dan Pati  - 153200</v>
      </c>
      <c r="H326" s="426" t="str">
        <f>VLOOKUP($D326,'Tabel Map Industry'!$A$2:$H$464,8,0)</f>
        <v>Industri - Makanan Lainnya - 3190</v>
      </c>
    </row>
    <row r="327" spans="1:8" ht="75" hidden="1" customHeight="1" x14ac:dyDescent="0.25">
      <c r="A327" s="422" t="s">
        <v>6330</v>
      </c>
      <c r="B327" s="418" t="s">
        <v>6341</v>
      </c>
      <c r="C327" s="418" t="s">
        <v>6342</v>
      </c>
      <c r="D327" s="419" t="s">
        <v>5144</v>
      </c>
      <c r="E327" s="420" t="str">
        <f>VLOOKUP($D327,'Tabel Map Industry'!$A$2:$H$464,2,0)</f>
        <v xml:space="preserve">Industri Minuman </v>
      </c>
      <c r="F327" s="421" t="str">
        <f>VLOOKUP($D327,'Tabel Map Industry'!$A$2:$H$464,3,0)</f>
        <v>FOOD &amp; BEVERAGE</v>
      </c>
      <c r="G327" s="421" t="str">
        <f>VLOOKUP($D327,'Tabel Map Industry'!$A$2:$H$464,4,0)</f>
        <v>Industri Minuman  - 155000</v>
      </c>
      <c r="H327" s="421" t="str">
        <f>VLOOKUP($D327,'Tabel Map Industry'!$A$2:$H$464,8,0)</f>
        <v>Industri - Minuman - 3160</v>
      </c>
    </row>
    <row r="328" spans="1:8" ht="75" hidden="1" customHeight="1" x14ac:dyDescent="0.25">
      <c r="A328" s="417" t="s">
        <v>6330</v>
      </c>
      <c r="B328" s="423" t="s">
        <v>6417</v>
      </c>
      <c r="C328" s="423" t="s">
        <v>6418</v>
      </c>
      <c r="D328" s="424" t="s">
        <v>5123</v>
      </c>
      <c r="E328" s="425" t="str">
        <f>VLOOKUP($D328,'Tabel Map Industry'!$A$2:$H$464,2,0)</f>
        <v xml:space="preserve">Perdagangan Eceran Komoditi Makanan, Minuman, Atau Tembakau Hasil Industri Pengolahan </v>
      </c>
      <c r="F328" s="426" t="str">
        <f>VLOOKUP($D328,'Tabel Map Industry'!$A$2:$H$464,3,0)</f>
        <v>FOOD &amp; BEVERAGE</v>
      </c>
      <c r="G328" s="426" t="str">
        <f>VLOOKUP($D328,'Tabel Map Industry'!$A$2:$H$464,4,0)</f>
        <v>Perdagangan Eceran Komoditi Makanan, Minuman, Atau Tembakau Hasil Industri Pengolahan  - 522200</v>
      </c>
      <c r="H328" s="426" t="str">
        <f>VLOOKUP($D328,'Tabel Map Industry'!$A$2:$H$464,8,0)</f>
        <v>Perdagangan Eceran - 6500</v>
      </c>
    </row>
    <row r="329" spans="1:8" ht="75" hidden="1" customHeight="1" x14ac:dyDescent="0.25">
      <c r="A329" s="422" t="s">
        <v>6330</v>
      </c>
      <c r="B329" s="418" t="s">
        <v>6443</v>
      </c>
      <c r="C329" s="418" t="s">
        <v>6444</v>
      </c>
      <c r="D329" s="419" t="s">
        <v>5145</v>
      </c>
      <c r="E329" s="420" t="str">
        <f>VLOOKUP($D329,'Tabel Map Industry'!$A$2:$H$464,2,0)</f>
        <v>Perdagangan Dalam Negeri Makanan, Minuman dan Tembakau Lainnya</v>
      </c>
      <c r="F329" s="421" t="str">
        <f>VLOOKUP($D329,'Tabel Map Industry'!$A$2:$H$464,3,0)</f>
        <v>FOOD &amp; BEVERAGE</v>
      </c>
      <c r="G329" s="421" t="str">
        <f>VLOOKUP($D329,'Tabel Map Industry'!$A$2:$H$464,4,0)</f>
        <v>Perdagangan Dalam Negeri Makanan, Minuman dan Tembakau Lainnya - 512209</v>
      </c>
      <c r="H329" s="421" t="str">
        <f>VLOOKUP($D329,'Tabel Map Industry'!$A$2:$H$464,8,0)</f>
        <v>Distribusi lainnya - 6490</v>
      </c>
    </row>
    <row r="330" spans="1:8" ht="75" hidden="1" customHeight="1" x14ac:dyDescent="0.25">
      <c r="A330" s="417" t="s">
        <v>6330</v>
      </c>
      <c r="B330" s="423" t="s">
        <v>6495</v>
      </c>
      <c r="C330" s="423" t="s">
        <v>6496</v>
      </c>
      <c r="D330" s="424" t="s">
        <v>5152</v>
      </c>
      <c r="E330" s="425" t="str">
        <f>VLOOKUP($D330,'Tabel Map Industry'!$A$2:$H$464,2,0)</f>
        <v xml:space="preserve">Perdagangan Eceran Berbagai Macam Barang yang Didominasi Makanan, Minuman dan Tembakau </v>
      </c>
      <c r="F330" s="426" t="str">
        <f>VLOOKUP($D330,'Tabel Map Industry'!$A$2:$H$464,3,0)</f>
        <v>FOOD &amp; BEVERAGE</v>
      </c>
      <c r="G330" s="426" t="str">
        <f>VLOOKUP($D330,'Tabel Map Industry'!$A$2:$H$464,4,0)</f>
        <v>Perdagangan Eceran Berbagai Macam Barang yang Didominasi Makanan, Minuman dan Tembakau  - 521100</v>
      </c>
      <c r="H330" s="426" t="str">
        <f>VLOOKUP($D330,'Tabel Map Industry'!$A$2:$H$464,8,0)</f>
        <v>Perdagangan Eceran - 6500</v>
      </c>
    </row>
    <row r="331" spans="1:8" ht="75" hidden="1" customHeight="1" x14ac:dyDescent="0.25">
      <c r="A331" s="422" t="s">
        <v>6330</v>
      </c>
      <c r="B331" s="418" t="s">
        <v>6497</v>
      </c>
      <c r="C331" s="418" t="s">
        <v>6498</v>
      </c>
      <c r="D331" s="419" t="s">
        <v>5152</v>
      </c>
      <c r="E331" s="420" t="str">
        <f>VLOOKUP($D331,'Tabel Map Industry'!$A$2:$H$464,2,0)</f>
        <v xml:space="preserve">Perdagangan Eceran Berbagai Macam Barang yang Didominasi Makanan, Minuman dan Tembakau </v>
      </c>
      <c r="F331" s="421" t="str">
        <f>VLOOKUP($D331,'Tabel Map Industry'!$A$2:$H$464,3,0)</f>
        <v>FOOD &amp; BEVERAGE</v>
      </c>
      <c r="G331" s="421" t="str">
        <f>VLOOKUP($D331,'Tabel Map Industry'!$A$2:$H$464,4,0)</f>
        <v>Perdagangan Eceran Berbagai Macam Barang yang Didominasi Makanan, Minuman dan Tembakau  - 521100</v>
      </c>
      <c r="H331" s="421" t="str">
        <f>VLOOKUP($D331,'Tabel Map Industry'!$A$2:$H$464,8,0)</f>
        <v>Perdagangan Eceran - 6500</v>
      </c>
    </row>
    <row r="332" spans="1:8" ht="75" hidden="1" customHeight="1" x14ac:dyDescent="0.25">
      <c r="A332" s="417" t="s">
        <v>6330</v>
      </c>
      <c r="B332" s="423" t="s">
        <v>6585</v>
      </c>
      <c r="C332" s="423" t="s">
        <v>6586</v>
      </c>
      <c r="D332" s="424" t="s">
        <v>5123</v>
      </c>
      <c r="E332" s="425" t="str">
        <f>VLOOKUP($D332,'Tabel Map Industry'!$A$2:$H$464,2,0)</f>
        <v xml:space="preserve">Perdagangan Eceran Komoditi Makanan, Minuman, Atau Tembakau Hasil Industri Pengolahan </v>
      </c>
      <c r="F332" s="426" t="str">
        <f>VLOOKUP($D332,'Tabel Map Industry'!$A$2:$H$464,3,0)</f>
        <v>FOOD &amp; BEVERAGE</v>
      </c>
      <c r="G332" s="426" t="str">
        <f>VLOOKUP($D332,'Tabel Map Industry'!$A$2:$H$464,4,0)</f>
        <v>Perdagangan Eceran Komoditi Makanan, Minuman, Atau Tembakau Hasil Industri Pengolahan  - 522200</v>
      </c>
      <c r="H332" s="426" t="str">
        <f>VLOOKUP($D332,'Tabel Map Industry'!$A$2:$H$464,8,0)</f>
        <v>Perdagangan Eceran - 6500</v>
      </c>
    </row>
    <row r="333" spans="1:8" ht="75" hidden="1" customHeight="1" x14ac:dyDescent="0.25">
      <c r="A333" s="422" t="s">
        <v>6330</v>
      </c>
      <c r="B333" s="418" t="s">
        <v>6604</v>
      </c>
      <c r="C333" s="418" t="s">
        <v>6604</v>
      </c>
      <c r="D333" s="419" t="s">
        <v>5138</v>
      </c>
      <c r="E333" s="420" t="str">
        <f>VLOOKUP($D333,'Tabel Map Industry'!$A$2:$H$464,2,0)</f>
        <v xml:space="preserve">Industri Makaroni, Mie, Spagheti, Bihun, So'un dan Sejenisnya </v>
      </c>
      <c r="F333" s="421" t="str">
        <f>VLOOKUP($D333,'Tabel Map Industry'!$A$2:$H$464,3,0)</f>
        <v>FOOD &amp; BEVERAGE</v>
      </c>
      <c r="G333" s="421" t="str">
        <f>VLOOKUP($D333,'Tabel Map Industry'!$A$2:$H$464,4,0)</f>
        <v>Industri Makaroni, Mie, Spagheti, Bihun, So'un dan Sejenisnya  - 154400</v>
      </c>
      <c r="H333" s="421" t="str">
        <f>VLOOKUP($D333,'Tabel Map Industry'!$A$2:$H$464,8,0)</f>
        <v>Industri - Makanan Lainnya - 3190</v>
      </c>
    </row>
    <row r="334" spans="1:8" ht="75" hidden="1" customHeight="1" x14ac:dyDescent="0.25">
      <c r="A334" s="417" t="s">
        <v>6330</v>
      </c>
      <c r="B334" s="423" t="s">
        <v>6593</v>
      </c>
      <c r="C334" s="423" t="s">
        <v>6607</v>
      </c>
      <c r="D334" s="424" t="s">
        <v>5152</v>
      </c>
      <c r="E334" s="425" t="str">
        <f>VLOOKUP($D334,'Tabel Map Industry'!$A$2:$H$464,2,0)</f>
        <v xml:space="preserve">Perdagangan Eceran Berbagai Macam Barang yang Didominasi Makanan, Minuman dan Tembakau </v>
      </c>
      <c r="F334" s="426" t="str">
        <f>VLOOKUP($D334,'Tabel Map Industry'!$A$2:$H$464,3,0)</f>
        <v>FOOD &amp; BEVERAGE</v>
      </c>
      <c r="G334" s="426" t="str">
        <f>VLOOKUP($D334,'Tabel Map Industry'!$A$2:$H$464,4,0)</f>
        <v>Perdagangan Eceran Berbagai Macam Barang yang Didominasi Makanan, Minuman dan Tembakau  - 521100</v>
      </c>
      <c r="H334" s="426" t="str">
        <f>VLOOKUP($D334,'Tabel Map Industry'!$A$2:$H$464,8,0)</f>
        <v>Perdagangan Eceran - 6500</v>
      </c>
    </row>
    <row r="335" spans="1:8" ht="75" hidden="1" customHeight="1" x14ac:dyDescent="0.25">
      <c r="A335" s="422" t="s">
        <v>6330</v>
      </c>
      <c r="B335" s="418" t="s">
        <v>6620</v>
      </c>
      <c r="C335" s="418" t="s">
        <v>6621</v>
      </c>
      <c r="D335" s="419" t="s">
        <v>5145</v>
      </c>
      <c r="E335" s="420" t="str">
        <f>VLOOKUP($D335,'Tabel Map Industry'!$A$2:$H$464,2,0)</f>
        <v>Perdagangan Dalam Negeri Makanan, Minuman dan Tembakau Lainnya</v>
      </c>
      <c r="F335" s="421" t="str">
        <f>VLOOKUP($D335,'Tabel Map Industry'!$A$2:$H$464,3,0)</f>
        <v>FOOD &amp; BEVERAGE</v>
      </c>
      <c r="G335" s="421" t="str">
        <f>VLOOKUP($D335,'Tabel Map Industry'!$A$2:$H$464,4,0)</f>
        <v>Perdagangan Dalam Negeri Makanan, Minuman dan Tembakau Lainnya - 512209</v>
      </c>
      <c r="H335" s="421" t="str">
        <f>VLOOKUP($D335,'Tabel Map Industry'!$A$2:$H$464,8,0)</f>
        <v>Distribusi lainnya - 6490</v>
      </c>
    </row>
    <row r="336" spans="1:8" ht="75" hidden="1" customHeight="1" x14ac:dyDescent="0.25">
      <c r="A336" s="417" t="s">
        <v>6330</v>
      </c>
      <c r="B336" s="423" t="s">
        <v>6759</v>
      </c>
      <c r="C336" s="423" t="s">
        <v>6760</v>
      </c>
      <c r="D336" s="424" t="s">
        <v>5152</v>
      </c>
      <c r="E336" s="425" t="str">
        <f>VLOOKUP($D336,'Tabel Map Industry'!$A$2:$H$464,2,0)</f>
        <v xml:space="preserve">Perdagangan Eceran Berbagai Macam Barang yang Didominasi Makanan, Minuman dan Tembakau </v>
      </c>
      <c r="F336" s="426" t="str">
        <f>VLOOKUP($D336,'Tabel Map Industry'!$A$2:$H$464,3,0)</f>
        <v>FOOD &amp; BEVERAGE</v>
      </c>
      <c r="G336" s="426" t="str">
        <f>VLOOKUP($D336,'Tabel Map Industry'!$A$2:$H$464,4,0)</f>
        <v>Perdagangan Eceran Berbagai Macam Barang yang Didominasi Makanan, Minuman dan Tembakau  - 521100</v>
      </c>
      <c r="H336" s="426" t="str">
        <f>VLOOKUP($D336,'Tabel Map Industry'!$A$2:$H$464,8,0)</f>
        <v>Perdagangan Eceran - 6500</v>
      </c>
    </row>
    <row r="337" spans="1:8" ht="75" hidden="1" customHeight="1" x14ac:dyDescent="0.25">
      <c r="A337" s="422" t="s">
        <v>6330</v>
      </c>
      <c r="B337" s="418" t="s">
        <v>6763</v>
      </c>
      <c r="C337" s="418" t="s">
        <v>6764</v>
      </c>
      <c r="D337" s="419" t="s">
        <v>5152</v>
      </c>
      <c r="E337" s="420" t="str">
        <f>VLOOKUP($D337,'Tabel Map Industry'!$A$2:$H$464,2,0)</f>
        <v xml:space="preserve">Perdagangan Eceran Berbagai Macam Barang yang Didominasi Makanan, Minuman dan Tembakau </v>
      </c>
      <c r="F337" s="421" t="str">
        <f>VLOOKUP($D337,'Tabel Map Industry'!$A$2:$H$464,3,0)</f>
        <v>FOOD &amp; BEVERAGE</v>
      </c>
      <c r="G337" s="421" t="str">
        <f>VLOOKUP($D337,'Tabel Map Industry'!$A$2:$H$464,4,0)</f>
        <v>Perdagangan Eceran Berbagai Macam Barang yang Didominasi Makanan, Minuman dan Tembakau  - 521100</v>
      </c>
      <c r="H337" s="421" t="str">
        <f>VLOOKUP($D337,'Tabel Map Industry'!$A$2:$H$464,8,0)</f>
        <v>Perdagangan Eceran - 6500</v>
      </c>
    </row>
    <row r="338" spans="1:8" ht="75" hidden="1" customHeight="1" x14ac:dyDescent="0.25">
      <c r="A338" s="417" t="s">
        <v>6327</v>
      </c>
      <c r="B338" s="423" t="s">
        <v>6777</v>
      </c>
      <c r="C338" s="423" t="s">
        <v>6778</v>
      </c>
      <c r="D338" s="424" t="s">
        <v>5139</v>
      </c>
      <c r="E338" s="425" t="str">
        <f>VLOOKUP($D338,'Tabel Map Industry'!$A$2:$H$464,2,0)</f>
        <v xml:space="preserve">Industri Pengolahan Teh </v>
      </c>
      <c r="F338" s="426" t="str">
        <f>VLOOKUP($D338,'Tabel Map Industry'!$A$2:$H$464,3,0)</f>
        <v>FOOD &amp; BEVERAGE</v>
      </c>
      <c r="G338" s="426" t="str">
        <f>VLOOKUP($D338,'Tabel Map Industry'!$A$2:$H$464,4,0)</f>
        <v>Industri Pengolahan Teh  - 154911</v>
      </c>
      <c r="H338" s="426" t="str">
        <f>VLOOKUP($D338,'Tabel Map Industry'!$A$2:$H$464,8,0)</f>
        <v>Industri - Makanan Lainnya - 3190</v>
      </c>
    </row>
    <row r="339" spans="1:8" ht="75" hidden="1" customHeight="1" x14ac:dyDescent="0.25">
      <c r="A339" s="422" t="s">
        <v>6330</v>
      </c>
      <c r="B339" s="418" t="s">
        <v>6789</v>
      </c>
      <c r="C339" s="418" t="s">
        <v>6790</v>
      </c>
      <c r="D339" s="419" t="s">
        <v>5123</v>
      </c>
      <c r="E339" s="420" t="str">
        <f>VLOOKUP($D339,'Tabel Map Industry'!$A$2:$H$464,2,0)</f>
        <v xml:space="preserve">Perdagangan Eceran Komoditi Makanan, Minuman, Atau Tembakau Hasil Industri Pengolahan </v>
      </c>
      <c r="F339" s="421" t="str">
        <f>VLOOKUP($D339,'Tabel Map Industry'!$A$2:$H$464,3,0)</f>
        <v>FOOD &amp; BEVERAGE</v>
      </c>
      <c r="G339" s="421" t="str">
        <f>VLOOKUP($D339,'Tabel Map Industry'!$A$2:$H$464,4,0)</f>
        <v>Perdagangan Eceran Komoditi Makanan, Minuman, Atau Tembakau Hasil Industri Pengolahan  - 522200</v>
      </c>
      <c r="H339" s="421" t="str">
        <f>VLOOKUP($D339,'Tabel Map Industry'!$A$2:$H$464,8,0)</f>
        <v>Perdagangan Eceran - 6500</v>
      </c>
    </row>
    <row r="340" spans="1:8" ht="75" hidden="1" customHeight="1" x14ac:dyDescent="0.25">
      <c r="A340" s="417" t="s">
        <v>6330</v>
      </c>
      <c r="B340" s="423" t="s">
        <v>6794</v>
      </c>
      <c r="C340" s="423" t="s">
        <v>6795</v>
      </c>
      <c r="D340" s="424" t="s">
        <v>5123</v>
      </c>
      <c r="E340" s="425" t="str">
        <f>VLOOKUP($D340,'Tabel Map Industry'!$A$2:$H$464,2,0)</f>
        <v xml:space="preserve">Perdagangan Eceran Komoditi Makanan, Minuman, Atau Tembakau Hasil Industri Pengolahan </v>
      </c>
      <c r="F340" s="426" t="str">
        <f>VLOOKUP($D340,'Tabel Map Industry'!$A$2:$H$464,3,0)</f>
        <v>FOOD &amp; BEVERAGE</v>
      </c>
      <c r="G340" s="426" t="str">
        <f>VLOOKUP($D340,'Tabel Map Industry'!$A$2:$H$464,4,0)</f>
        <v>Perdagangan Eceran Komoditi Makanan, Minuman, Atau Tembakau Hasil Industri Pengolahan  - 522200</v>
      </c>
      <c r="H340" s="426" t="str">
        <f>VLOOKUP($D340,'Tabel Map Industry'!$A$2:$H$464,8,0)</f>
        <v>Perdagangan Eceran - 6500</v>
      </c>
    </row>
    <row r="341" spans="1:8" ht="75" hidden="1" customHeight="1" x14ac:dyDescent="0.25">
      <c r="A341" s="422" t="s">
        <v>6330</v>
      </c>
      <c r="B341" s="418" t="s">
        <v>6803</v>
      </c>
      <c r="C341" s="418" t="s">
        <v>6804</v>
      </c>
      <c r="D341" s="419" t="s">
        <v>5144</v>
      </c>
      <c r="E341" s="420" t="str">
        <f>VLOOKUP($D341,'Tabel Map Industry'!$A$2:$H$464,2,0)</f>
        <v xml:space="preserve">Industri Minuman </v>
      </c>
      <c r="F341" s="421" t="str">
        <f>VLOOKUP($D341,'Tabel Map Industry'!$A$2:$H$464,3,0)</f>
        <v>FOOD &amp; BEVERAGE</v>
      </c>
      <c r="G341" s="421" t="str">
        <f>VLOOKUP($D341,'Tabel Map Industry'!$A$2:$H$464,4,0)</f>
        <v>Industri Minuman  - 155000</v>
      </c>
      <c r="H341" s="421" t="str">
        <f>VLOOKUP($D341,'Tabel Map Industry'!$A$2:$H$464,8,0)</f>
        <v>Industri - Minuman - 3160</v>
      </c>
    </row>
    <row r="342" spans="1:8" ht="75" hidden="1" customHeight="1" x14ac:dyDescent="0.25">
      <c r="A342" s="417" t="s">
        <v>6330</v>
      </c>
      <c r="B342" s="423" t="s">
        <v>6820</v>
      </c>
      <c r="C342" s="423" t="s">
        <v>6821</v>
      </c>
      <c r="D342" s="424" t="s">
        <v>5152</v>
      </c>
      <c r="E342" s="425" t="str">
        <f>VLOOKUP($D342,'Tabel Map Industry'!$A$2:$H$464,2,0)</f>
        <v xml:space="preserve">Perdagangan Eceran Berbagai Macam Barang yang Didominasi Makanan, Minuman dan Tembakau </v>
      </c>
      <c r="F342" s="426" t="str">
        <f>VLOOKUP($D342,'Tabel Map Industry'!$A$2:$H$464,3,0)</f>
        <v>FOOD &amp; BEVERAGE</v>
      </c>
      <c r="G342" s="426" t="str">
        <f>VLOOKUP($D342,'Tabel Map Industry'!$A$2:$H$464,4,0)</f>
        <v>Perdagangan Eceran Berbagai Macam Barang yang Didominasi Makanan, Minuman dan Tembakau  - 521100</v>
      </c>
      <c r="H342" s="426" t="str">
        <f>VLOOKUP($D342,'Tabel Map Industry'!$A$2:$H$464,8,0)</f>
        <v>Perdagangan Eceran - 6500</v>
      </c>
    </row>
    <row r="343" spans="1:8" ht="75" hidden="1" customHeight="1" x14ac:dyDescent="0.25">
      <c r="A343" s="422" t="s">
        <v>6330</v>
      </c>
      <c r="B343" s="418" t="s">
        <v>6577</v>
      </c>
      <c r="C343" s="418" t="s">
        <v>6862</v>
      </c>
      <c r="D343" s="419" t="s">
        <v>5152</v>
      </c>
      <c r="E343" s="420" t="str">
        <f>VLOOKUP($D343,'Tabel Map Industry'!$A$2:$H$464,2,0)</f>
        <v xml:space="preserve">Perdagangan Eceran Berbagai Macam Barang yang Didominasi Makanan, Minuman dan Tembakau </v>
      </c>
      <c r="F343" s="421" t="str">
        <f>VLOOKUP($D343,'Tabel Map Industry'!$A$2:$H$464,3,0)</f>
        <v>FOOD &amp; BEVERAGE</v>
      </c>
      <c r="G343" s="421" t="str">
        <f>VLOOKUP($D343,'Tabel Map Industry'!$A$2:$H$464,4,0)</f>
        <v>Perdagangan Eceran Berbagai Macam Barang yang Didominasi Makanan, Minuman dan Tembakau  - 521100</v>
      </c>
      <c r="H343" s="421" t="str">
        <f>VLOOKUP($D343,'Tabel Map Industry'!$A$2:$H$464,8,0)</f>
        <v>Perdagangan Eceran - 6500</v>
      </c>
    </row>
    <row r="344" spans="1:8" ht="75" hidden="1" customHeight="1" x14ac:dyDescent="0.25">
      <c r="A344" s="417" t="s">
        <v>6330</v>
      </c>
      <c r="B344" s="423" t="s">
        <v>6367</v>
      </c>
      <c r="C344" s="423" t="s">
        <v>6866</v>
      </c>
      <c r="D344" s="424" t="s">
        <v>5145</v>
      </c>
      <c r="E344" s="425" t="str">
        <f>VLOOKUP($D344,'Tabel Map Industry'!$A$2:$H$464,2,0)</f>
        <v>Perdagangan Dalam Negeri Makanan, Minuman dan Tembakau Lainnya</v>
      </c>
      <c r="F344" s="426" t="str">
        <f>VLOOKUP($D344,'Tabel Map Industry'!$A$2:$H$464,3,0)</f>
        <v>FOOD &amp; BEVERAGE</v>
      </c>
      <c r="G344" s="426" t="str">
        <f>VLOOKUP($D344,'Tabel Map Industry'!$A$2:$H$464,4,0)</f>
        <v>Perdagangan Dalam Negeri Makanan, Minuman dan Tembakau Lainnya - 512209</v>
      </c>
      <c r="H344" s="426" t="str">
        <f>VLOOKUP($D344,'Tabel Map Industry'!$A$2:$H$464,8,0)</f>
        <v>Distribusi lainnya - 6490</v>
      </c>
    </row>
    <row r="345" spans="1:8" ht="75" hidden="1" customHeight="1" x14ac:dyDescent="0.25">
      <c r="A345" s="422" t="s">
        <v>6327</v>
      </c>
      <c r="B345" s="418" t="s">
        <v>6915</v>
      </c>
      <c r="C345" s="418" t="s">
        <v>6916</v>
      </c>
      <c r="D345" s="419" t="s">
        <v>5152</v>
      </c>
      <c r="E345" s="420" t="str">
        <f>VLOOKUP($D345,'Tabel Map Industry'!$A$2:$H$464,2,0)</f>
        <v xml:space="preserve">Perdagangan Eceran Berbagai Macam Barang yang Didominasi Makanan, Minuman dan Tembakau </v>
      </c>
      <c r="F345" s="421" t="str">
        <f>VLOOKUP($D345,'Tabel Map Industry'!$A$2:$H$464,3,0)</f>
        <v>FOOD &amp; BEVERAGE</v>
      </c>
      <c r="G345" s="421" t="str">
        <f>VLOOKUP($D345,'Tabel Map Industry'!$A$2:$H$464,4,0)</f>
        <v>Perdagangan Eceran Berbagai Macam Barang yang Didominasi Makanan, Minuman dan Tembakau  - 521100</v>
      </c>
      <c r="H345" s="421" t="str">
        <f>VLOOKUP($D345,'Tabel Map Industry'!$A$2:$H$464,8,0)</f>
        <v>Perdagangan Eceran - 6500</v>
      </c>
    </row>
    <row r="346" spans="1:8" ht="75" hidden="1" customHeight="1" x14ac:dyDescent="0.25">
      <c r="A346" s="417" t="s">
        <v>6327</v>
      </c>
      <c r="B346" s="423" t="s">
        <v>6924</v>
      </c>
      <c r="C346" s="423" t="s">
        <v>6925</v>
      </c>
      <c r="D346" s="424" t="s">
        <v>5150</v>
      </c>
      <c r="E346" s="425" t="str">
        <f>VLOOKUP($D346,'Tabel Map Industry'!$A$2:$H$464,2,0)</f>
        <v>H.1.2.9. Penyediaan Makan Minum Lainnya</v>
      </c>
      <c r="F346" s="426" t="str">
        <f>VLOOKUP($D346,'Tabel Map Industry'!$A$2:$H$464,3,0)</f>
        <v>FOOD &amp; BEVERAGE</v>
      </c>
      <c r="G346" s="426" t="str">
        <f>VLOOKUP($D346,'Tabel Map Industry'!$A$2:$H$464,4,0)</f>
        <v>H.1.2.9. Penyediaan Makan Minum Lainnya - 552009</v>
      </c>
      <c r="H346" s="426" t="str">
        <f>VLOOKUP($D346,'Tabel Map Industry'!$A$2:$H$464,8,0)</f>
        <v>Restoran - 6610</v>
      </c>
    </row>
    <row r="347" spans="1:8" ht="75" hidden="1" customHeight="1" x14ac:dyDescent="0.25">
      <c r="A347" s="422" t="s">
        <v>6330</v>
      </c>
      <c r="B347" s="418" t="s">
        <v>6928</v>
      </c>
      <c r="C347" s="418" t="s">
        <v>6915</v>
      </c>
      <c r="D347" s="419" t="s">
        <v>5152</v>
      </c>
      <c r="E347" s="420" t="str">
        <f>VLOOKUP($D347,'Tabel Map Industry'!$A$2:$H$464,2,0)</f>
        <v xml:space="preserve">Perdagangan Eceran Berbagai Macam Barang yang Didominasi Makanan, Minuman dan Tembakau </v>
      </c>
      <c r="F347" s="421" t="str">
        <f>VLOOKUP($D347,'Tabel Map Industry'!$A$2:$H$464,3,0)</f>
        <v>FOOD &amp; BEVERAGE</v>
      </c>
      <c r="G347" s="421" t="str">
        <f>VLOOKUP($D347,'Tabel Map Industry'!$A$2:$H$464,4,0)</f>
        <v>Perdagangan Eceran Berbagai Macam Barang yang Didominasi Makanan, Minuman dan Tembakau  - 521100</v>
      </c>
      <c r="H347" s="421" t="str">
        <f>VLOOKUP($D347,'Tabel Map Industry'!$A$2:$H$464,8,0)</f>
        <v>Perdagangan Eceran - 6500</v>
      </c>
    </row>
    <row r="348" spans="1:8" ht="75" hidden="1" customHeight="1" x14ac:dyDescent="0.25">
      <c r="A348" s="417" t="s">
        <v>6327</v>
      </c>
      <c r="B348" s="423" t="s">
        <v>6951</v>
      </c>
      <c r="C348" s="423" t="s">
        <v>6952</v>
      </c>
      <c r="D348" s="424" t="s">
        <v>5152</v>
      </c>
      <c r="E348" s="425" t="str">
        <f>VLOOKUP($D348,'Tabel Map Industry'!$A$2:$H$464,2,0)</f>
        <v xml:space="preserve">Perdagangan Eceran Berbagai Macam Barang yang Didominasi Makanan, Minuman dan Tembakau </v>
      </c>
      <c r="F348" s="426" t="str">
        <f>VLOOKUP($D348,'Tabel Map Industry'!$A$2:$H$464,3,0)</f>
        <v>FOOD &amp; BEVERAGE</v>
      </c>
      <c r="G348" s="426" t="str">
        <f>VLOOKUP($D348,'Tabel Map Industry'!$A$2:$H$464,4,0)</f>
        <v>Perdagangan Eceran Berbagai Macam Barang yang Didominasi Makanan, Minuman dan Tembakau  - 521100</v>
      </c>
      <c r="H348" s="426" t="str">
        <f>VLOOKUP($D348,'Tabel Map Industry'!$A$2:$H$464,8,0)</f>
        <v>Perdagangan Eceran - 6500</v>
      </c>
    </row>
    <row r="349" spans="1:8" ht="75" hidden="1" customHeight="1" x14ac:dyDescent="0.25">
      <c r="A349" s="422" t="s">
        <v>6327</v>
      </c>
      <c r="B349" s="418" t="s">
        <v>7013</v>
      </c>
      <c r="C349" s="418" t="s">
        <v>7014</v>
      </c>
      <c r="D349" s="419" t="s">
        <v>5152</v>
      </c>
      <c r="E349" s="420" t="str">
        <f>VLOOKUP($D349,'Tabel Map Industry'!$A$2:$H$464,2,0)</f>
        <v xml:space="preserve">Perdagangan Eceran Berbagai Macam Barang yang Didominasi Makanan, Minuman dan Tembakau </v>
      </c>
      <c r="F349" s="421" t="str">
        <f>VLOOKUP($D349,'Tabel Map Industry'!$A$2:$H$464,3,0)</f>
        <v>FOOD &amp; BEVERAGE</v>
      </c>
      <c r="G349" s="421" t="str">
        <f>VLOOKUP($D349,'Tabel Map Industry'!$A$2:$H$464,4,0)</f>
        <v>Perdagangan Eceran Berbagai Macam Barang yang Didominasi Makanan, Minuman dan Tembakau  - 521100</v>
      </c>
      <c r="H349" s="421" t="str">
        <f>VLOOKUP($D349,'Tabel Map Industry'!$A$2:$H$464,8,0)</f>
        <v>Perdagangan Eceran - 6500</v>
      </c>
    </row>
    <row r="350" spans="1:8" ht="75" hidden="1" customHeight="1" x14ac:dyDescent="0.25">
      <c r="A350" s="417" t="s">
        <v>6330</v>
      </c>
      <c r="B350" s="423" t="s">
        <v>7036</v>
      </c>
      <c r="C350" s="423" t="s">
        <v>7037</v>
      </c>
      <c r="D350" s="424" t="s">
        <v>5144</v>
      </c>
      <c r="E350" s="425" t="str">
        <f>VLOOKUP($D350,'Tabel Map Industry'!$A$2:$H$464,2,0)</f>
        <v xml:space="preserve">Industri Minuman </v>
      </c>
      <c r="F350" s="426" t="str">
        <f>VLOOKUP($D350,'Tabel Map Industry'!$A$2:$H$464,3,0)</f>
        <v>FOOD &amp; BEVERAGE</v>
      </c>
      <c r="G350" s="426" t="str">
        <f>VLOOKUP($D350,'Tabel Map Industry'!$A$2:$H$464,4,0)</f>
        <v>Industri Minuman  - 155000</v>
      </c>
      <c r="H350" s="426" t="str">
        <f>VLOOKUP($D350,'Tabel Map Industry'!$A$2:$H$464,8,0)</f>
        <v>Industri - Minuman - 3160</v>
      </c>
    </row>
    <row r="351" spans="1:8" ht="75" hidden="1" customHeight="1" x14ac:dyDescent="0.25">
      <c r="A351" s="422" t="s">
        <v>6330</v>
      </c>
      <c r="B351" s="418" t="s">
        <v>7058</v>
      </c>
      <c r="C351" s="418" t="s">
        <v>7059</v>
      </c>
      <c r="D351" s="419" t="s">
        <v>5152</v>
      </c>
      <c r="E351" s="420" t="str">
        <f>VLOOKUP($D351,'Tabel Map Industry'!$A$2:$H$464,2,0)</f>
        <v xml:space="preserve">Perdagangan Eceran Berbagai Macam Barang yang Didominasi Makanan, Minuman dan Tembakau </v>
      </c>
      <c r="F351" s="421" t="str">
        <f>VLOOKUP($D351,'Tabel Map Industry'!$A$2:$H$464,3,0)</f>
        <v>FOOD &amp; BEVERAGE</v>
      </c>
      <c r="G351" s="421" t="str">
        <f>VLOOKUP($D351,'Tabel Map Industry'!$A$2:$H$464,4,0)</f>
        <v>Perdagangan Eceran Berbagai Macam Barang yang Didominasi Makanan, Minuman dan Tembakau  - 521100</v>
      </c>
      <c r="H351" s="421" t="str">
        <f>VLOOKUP($D351,'Tabel Map Industry'!$A$2:$H$464,8,0)</f>
        <v>Perdagangan Eceran - 6500</v>
      </c>
    </row>
    <row r="352" spans="1:8" ht="75" hidden="1" customHeight="1" x14ac:dyDescent="0.25">
      <c r="A352" s="417" t="s">
        <v>6330</v>
      </c>
      <c r="B352" s="423" t="s">
        <v>7081</v>
      </c>
      <c r="C352" s="423" t="s">
        <v>7082</v>
      </c>
      <c r="D352" s="424" t="s">
        <v>5145</v>
      </c>
      <c r="E352" s="425" t="str">
        <f>VLOOKUP($D352,'Tabel Map Industry'!$A$2:$H$464,2,0)</f>
        <v>Perdagangan Dalam Negeri Makanan, Minuman dan Tembakau Lainnya</v>
      </c>
      <c r="F352" s="426" t="str">
        <f>VLOOKUP($D352,'Tabel Map Industry'!$A$2:$H$464,3,0)</f>
        <v>FOOD &amp; BEVERAGE</v>
      </c>
      <c r="G352" s="426" t="str">
        <f>VLOOKUP($D352,'Tabel Map Industry'!$A$2:$H$464,4,0)</f>
        <v>Perdagangan Dalam Negeri Makanan, Minuman dan Tembakau Lainnya - 512209</v>
      </c>
      <c r="H352" s="426" t="str">
        <f>VLOOKUP($D352,'Tabel Map Industry'!$A$2:$H$464,8,0)</f>
        <v>Distribusi lainnya - 6490</v>
      </c>
    </row>
    <row r="353" spans="1:8" ht="75" hidden="1" customHeight="1" x14ac:dyDescent="0.25">
      <c r="A353" s="422" t="s">
        <v>6330</v>
      </c>
      <c r="B353" s="418" t="s">
        <v>7100</v>
      </c>
      <c r="C353" s="418" t="s">
        <v>7101</v>
      </c>
      <c r="D353" s="419" t="s">
        <v>5152</v>
      </c>
      <c r="E353" s="420" t="str">
        <f>VLOOKUP($D353,'Tabel Map Industry'!$A$2:$H$464,2,0)</f>
        <v xml:space="preserve">Perdagangan Eceran Berbagai Macam Barang yang Didominasi Makanan, Minuman dan Tembakau </v>
      </c>
      <c r="F353" s="421" t="str">
        <f>VLOOKUP($D353,'Tabel Map Industry'!$A$2:$H$464,3,0)</f>
        <v>FOOD &amp; BEVERAGE</v>
      </c>
      <c r="G353" s="421" t="str">
        <f>VLOOKUP($D353,'Tabel Map Industry'!$A$2:$H$464,4,0)</f>
        <v>Perdagangan Eceran Berbagai Macam Barang yang Didominasi Makanan, Minuman dan Tembakau  - 521100</v>
      </c>
      <c r="H353" s="421" t="str">
        <f>VLOOKUP($D353,'Tabel Map Industry'!$A$2:$H$464,8,0)</f>
        <v>Perdagangan Eceran - 6500</v>
      </c>
    </row>
    <row r="354" spans="1:8" ht="75" hidden="1" customHeight="1" x14ac:dyDescent="0.25">
      <c r="A354" s="417" t="s">
        <v>6330</v>
      </c>
      <c r="B354" s="423" t="s">
        <v>7148</v>
      </c>
      <c r="C354" s="423" t="s">
        <v>7149</v>
      </c>
      <c r="D354" s="424" t="s">
        <v>5152</v>
      </c>
      <c r="E354" s="425" t="str">
        <f>VLOOKUP($D354,'Tabel Map Industry'!$A$2:$H$464,2,0)</f>
        <v xml:space="preserve">Perdagangan Eceran Berbagai Macam Barang yang Didominasi Makanan, Minuman dan Tembakau </v>
      </c>
      <c r="F354" s="426" t="str">
        <f>VLOOKUP($D354,'Tabel Map Industry'!$A$2:$H$464,3,0)</f>
        <v>FOOD &amp; BEVERAGE</v>
      </c>
      <c r="G354" s="426" t="str">
        <f>VLOOKUP($D354,'Tabel Map Industry'!$A$2:$H$464,4,0)</f>
        <v>Perdagangan Eceran Berbagai Macam Barang yang Didominasi Makanan, Minuman dan Tembakau  - 521100</v>
      </c>
      <c r="H354" s="426" t="str">
        <f>VLOOKUP($D354,'Tabel Map Industry'!$A$2:$H$464,8,0)</f>
        <v>Perdagangan Eceran - 6500</v>
      </c>
    </row>
    <row r="355" spans="1:8" ht="75" hidden="1" customHeight="1" x14ac:dyDescent="0.25">
      <c r="A355" s="422" t="s">
        <v>6330</v>
      </c>
      <c r="B355" s="418" t="s">
        <v>7159</v>
      </c>
      <c r="C355" s="418" t="s">
        <v>7160</v>
      </c>
      <c r="D355" s="419" t="s">
        <v>5152</v>
      </c>
      <c r="E355" s="420" t="str">
        <f>VLOOKUP($D355,'Tabel Map Industry'!$A$2:$H$464,2,0)</f>
        <v xml:space="preserve">Perdagangan Eceran Berbagai Macam Barang yang Didominasi Makanan, Minuman dan Tembakau </v>
      </c>
      <c r="F355" s="421" t="str">
        <f>VLOOKUP($D355,'Tabel Map Industry'!$A$2:$H$464,3,0)</f>
        <v>FOOD &amp; BEVERAGE</v>
      </c>
      <c r="G355" s="421" t="str">
        <f>VLOOKUP($D355,'Tabel Map Industry'!$A$2:$H$464,4,0)</f>
        <v>Perdagangan Eceran Berbagai Macam Barang yang Didominasi Makanan, Minuman dan Tembakau  - 521100</v>
      </c>
      <c r="H355" s="421" t="str">
        <f>VLOOKUP($D355,'Tabel Map Industry'!$A$2:$H$464,8,0)</f>
        <v>Perdagangan Eceran - 6500</v>
      </c>
    </row>
    <row r="356" spans="1:8" ht="75" hidden="1" customHeight="1" x14ac:dyDescent="0.25">
      <c r="A356" s="417" t="s">
        <v>6330</v>
      </c>
      <c r="B356" s="423" t="s">
        <v>7152</v>
      </c>
      <c r="C356" s="423" t="s">
        <v>7169</v>
      </c>
      <c r="D356" s="424" t="s">
        <v>5152</v>
      </c>
      <c r="E356" s="425" t="str">
        <f>VLOOKUP($D356,'Tabel Map Industry'!$A$2:$H$464,2,0)</f>
        <v xml:space="preserve">Perdagangan Eceran Berbagai Macam Barang yang Didominasi Makanan, Minuman dan Tembakau </v>
      </c>
      <c r="F356" s="426" t="str">
        <f>VLOOKUP($D356,'Tabel Map Industry'!$A$2:$H$464,3,0)</f>
        <v>FOOD &amp; BEVERAGE</v>
      </c>
      <c r="G356" s="426" t="str">
        <f>VLOOKUP($D356,'Tabel Map Industry'!$A$2:$H$464,4,0)</f>
        <v>Perdagangan Eceran Berbagai Macam Barang yang Didominasi Makanan, Minuman dan Tembakau  - 521100</v>
      </c>
      <c r="H356" s="426" t="str">
        <f>VLOOKUP($D356,'Tabel Map Industry'!$A$2:$H$464,8,0)</f>
        <v>Perdagangan Eceran - 6500</v>
      </c>
    </row>
    <row r="357" spans="1:8" ht="75" hidden="1" customHeight="1" x14ac:dyDescent="0.25">
      <c r="A357" s="422" t="s">
        <v>6330</v>
      </c>
      <c r="B357" s="418" t="str">
        <f>PROPER(F357)</f>
        <v>Food &amp; Beverage</v>
      </c>
      <c r="C357" s="418" t="str">
        <f>E357</f>
        <v xml:space="preserve">Industri Minuman </v>
      </c>
      <c r="D357" s="419" t="s">
        <v>5144</v>
      </c>
      <c r="E357" s="420" t="str">
        <f>VLOOKUP($D357,'Tabel Map Industry'!$A$2:$H$464,2,0)</f>
        <v xml:space="preserve">Industri Minuman </v>
      </c>
      <c r="F357" s="421" t="str">
        <f>VLOOKUP($D357,'Tabel Map Industry'!$A$2:$H$464,3,0)</f>
        <v>FOOD &amp; BEVERAGE</v>
      </c>
      <c r="G357" s="421" t="str">
        <f>VLOOKUP($D357,'Tabel Map Industry'!$A$2:$H$464,4,0)</f>
        <v>Industri Minuman  - 155000</v>
      </c>
      <c r="H357" s="421" t="str">
        <f>VLOOKUP($D357,'Tabel Map Industry'!$A$2:$H$464,8,0)</f>
        <v>Industri - Minuman - 3160</v>
      </c>
    </row>
    <row r="358" spans="1:8" ht="75" hidden="1" customHeight="1" x14ac:dyDescent="0.25">
      <c r="A358" s="417" t="s">
        <v>6330</v>
      </c>
      <c r="B358" s="423" t="str">
        <f>PROPER(F358)</f>
        <v>Food &amp; Beverage</v>
      </c>
      <c r="C358" s="423" t="str">
        <f>E358</f>
        <v>Perdagangan Dalam Negeri Makanan, Minuman dan Tembakau Lainnya</v>
      </c>
      <c r="D358" s="424" t="s">
        <v>5145</v>
      </c>
      <c r="E358" s="425" t="str">
        <f>VLOOKUP($D358,'Tabel Map Industry'!$A$2:$H$464,2,0)</f>
        <v>Perdagangan Dalam Negeri Makanan, Minuman dan Tembakau Lainnya</v>
      </c>
      <c r="F358" s="426" t="str">
        <f>VLOOKUP($D358,'Tabel Map Industry'!$A$2:$H$464,3,0)</f>
        <v>FOOD &amp; BEVERAGE</v>
      </c>
      <c r="G358" s="426" t="str">
        <f>VLOOKUP($D358,'Tabel Map Industry'!$A$2:$H$464,4,0)</f>
        <v>Perdagangan Dalam Negeri Makanan, Minuman dan Tembakau Lainnya - 512209</v>
      </c>
      <c r="H358" s="426" t="str">
        <f>VLOOKUP($D358,'Tabel Map Industry'!$A$2:$H$464,8,0)</f>
        <v>Distribusi lainnya - 6490</v>
      </c>
    </row>
    <row r="359" spans="1:8" ht="75" hidden="1" customHeight="1" x14ac:dyDescent="0.25">
      <c r="A359" s="422" t="s">
        <v>6330</v>
      </c>
      <c r="B359" s="418" t="str">
        <f>PROPER(F359)</f>
        <v>Food &amp; Beverage</v>
      </c>
      <c r="C359" s="418" t="str">
        <f>E359</f>
        <v>H.1.2.9. Penyediaan Makan Minum Lainnya</v>
      </c>
      <c r="D359" s="419" t="s">
        <v>5150</v>
      </c>
      <c r="E359" s="420" t="str">
        <f>VLOOKUP($D359,'Tabel Map Industry'!$A$2:$H$464,2,0)</f>
        <v>H.1.2.9. Penyediaan Makan Minum Lainnya</v>
      </c>
      <c r="F359" s="421" t="str">
        <f>VLOOKUP($D359,'Tabel Map Industry'!$A$2:$H$464,3,0)</f>
        <v>FOOD &amp; BEVERAGE</v>
      </c>
      <c r="G359" s="421" t="str">
        <f>VLOOKUP($D359,'Tabel Map Industry'!$A$2:$H$464,4,0)</f>
        <v>H.1.2.9. Penyediaan Makan Minum Lainnya - 552009</v>
      </c>
      <c r="H359" s="421" t="str">
        <f>VLOOKUP($D359,'Tabel Map Industry'!$A$2:$H$464,8,0)</f>
        <v>Restoran - 6610</v>
      </c>
    </row>
    <row r="360" spans="1:8" ht="75" hidden="1" customHeight="1" x14ac:dyDescent="0.25">
      <c r="A360" s="417" t="s">
        <v>6330</v>
      </c>
      <c r="B360" s="423" t="str">
        <f>PROPER(F360)</f>
        <v>Food &amp; Beverage</v>
      </c>
      <c r="C360" s="423" t="str">
        <f>E360</f>
        <v xml:space="preserve">Perdagangan Eceran Berbagai Macam Barang yang Didominasi Makanan, Minuman dan Tembakau </v>
      </c>
      <c r="D360" s="424" t="s">
        <v>5152</v>
      </c>
      <c r="E360" s="425" t="str">
        <f>VLOOKUP($D360,'Tabel Map Industry'!$A$2:$H$464,2,0)</f>
        <v xml:space="preserve">Perdagangan Eceran Berbagai Macam Barang yang Didominasi Makanan, Minuman dan Tembakau </v>
      </c>
      <c r="F360" s="426" t="str">
        <f>VLOOKUP($D360,'Tabel Map Industry'!$A$2:$H$464,3,0)</f>
        <v>FOOD &amp; BEVERAGE</v>
      </c>
      <c r="G360" s="426" t="str">
        <f>VLOOKUP($D360,'Tabel Map Industry'!$A$2:$H$464,4,0)</f>
        <v>Perdagangan Eceran Berbagai Macam Barang yang Didominasi Makanan, Minuman dan Tembakau  - 521100</v>
      </c>
      <c r="H360" s="426" t="str">
        <f>VLOOKUP($D360,'Tabel Map Industry'!$A$2:$H$464,8,0)</f>
        <v>Perdagangan Eceran - 6500</v>
      </c>
    </row>
    <row r="361" spans="1:8" ht="75" hidden="1" customHeight="1" x14ac:dyDescent="0.25">
      <c r="A361" s="422" t="s">
        <v>6330</v>
      </c>
      <c r="B361" s="418" t="s">
        <v>6337</v>
      </c>
      <c r="C361" s="418" t="s">
        <v>6338</v>
      </c>
      <c r="D361" s="419" t="s">
        <v>5063</v>
      </c>
      <c r="E361" s="420" t="str">
        <f>VLOOKUP($D361,'Tabel Map Industry'!$A$2:$H$464,2,0)</f>
        <v xml:space="preserve">Perdagangan Eceran Tekstil, Pakaian Jadi, Alas Kaki, dan Barang Keperluan Pribadi </v>
      </c>
      <c r="F361" s="421" t="str">
        <f>VLOOKUP($D361,'Tabel Map Industry'!$A$2:$H$464,3,0)</f>
        <v>GARMEN (Incl. Jewelry &amp; Accessories)</v>
      </c>
      <c r="G361" s="421" t="str">
        <f>VLOOKUP($D361,'Tabel Map Industry'!$A$2:$H$464,4,0)</f>
        <v>Perdagangan Eceran Tekstil, Pakaian Jadi, Alas Kaki, dan Barang Keperluan Pribadi  - 523200</v>
      </c>
      <c r="H361" s="421" t="str">
        <f>VLOOKUP($D361,'Tabel Map Industry'!$A$2:$H$464,8,0)</f>
        <v>Perdagangan Eceran - 6500</v>
      </c>
    </row>
    <row r="362" spans="1:8" ht="75" hidden="1" customHeight="1" x14ac:dyDescent="0.25">
      <c r="A362" s="417" t="s">
        <v>6330</v>
      </c>
      <c r="B362" s="423" t="s">
        <v>6395</v>
      </c>
      <c r="C362" s="423" t="s">
        <v>6396</v>
      </c>
      <c r="D362" s="424" t="s">
        <v>5180</v>
      </c>
      <c r="E362" s="425" t="str">
        <f>VLOOKUP($D362,'Tabel Map Industry'!$A$2:$H$464,2,0)</f>
        <v xml:space="preserve">Industri Pakaian Jadi dan perlengkapannya, Kecuali Pakaian Jadi Berbulu </v>
      </c>
      <c r="F362" s="426" t="str">
        <f>VLOOKUP($D362,'Tabel Map Industry'!$A$2:$H$464,3,0)</f>
        <v>GARMEN (Incl. Jewelry &amp; Accessories)</v>
      </c>
      <c r="G362" s="426" t="str">
        <f>VLOOKUP($D362,'Tabel Map Industry'!$A$2:$H$464,4,0)</f>
        <v>Industri Pakaian Jadi dan perlengkapannya, Kecuali Pakaian Jadi Berbulu  - 181000</v>
      </c>
      <c r="H362" s="426" t="str">
        <f>VLOOKUP($D362,'Tabel Map Industry'!$A$2:$H$464,8,0)</f>
        <v>Industri - Lainnya - 3990</v>
      </c>
    </row>
    <row r="363" spans="1:8" ht="75" hidden="1" customHeight="1" x14ac:dyDescent="0.25">
      <c r="A363" s="422" t="s">
        <v>6327</v>
      </c>
      <c r="B363" s="418" t="s">
        <v>6423</v>
      </c>
      <c r="C363" s="418" t="s">
        <v>6424</v>
      </c>
      <c r="D363" s="419" t="s">
        <v>5063</v>
      </c>
      <c r="E363" s="420" t="str">
        <f>VLOOKUP($D363,'Tabel Map Industry'!$A$2:$H$464,2,0)</f>
        <v xml:space="preserve">Perdagangan Eceran Tekstil, Pakaian Jadi, Alas Kaki, dan Barang Keperluan Pribadi </v>
      </c>
      <c r="F363" s="421" t="str">
        <f>VLOOKUP($D363,'Tabel Map Industry'!$A$2:$H$464,3,0)</f>
        <v>GARMEN (Incl. Jewelry &amp; Accessories)</v>
      </c>
      <c r="G363" s="421" t="str">
        <f>VLOOKUP($D363,'Tabel Map Industry'!$A$2:$H$464,4,0)</f>
        <v>Perdagangan Eceran Tekstil, Pakaian Jadi, Alas Kaki, dan Barang Keperluan Pribadi  - 523200</v>
      </c>
      <c r="H363" s="421" t="str">
        <f>VLOOKUP($D363,'Tabel Map Industry'!$A$2:$H$464,8,0)</f>
        <v>Perdagangan Eceran - 6500</v>
      </c>
    </row>
    <row r="364" spans="1:8" ht="75" hidden="1" customHeight="1" x14ac:dyDescent="0.25">
      <c r="A364" s="417" t="s">
        <v>6330</v>
      </c>
      <c r="B364" s="423" t="s">
        <v>6445</v>
      </c>
      <c r="C364" s="423" t="s">
        <v>6446</v>
      </c>
      <c r="D364" s="424" t="s">
        <v>5063</v>
      </c>
      <c r="E364" s="425" t="str">
        <f>VLOOKUP($D364,'Tabel Map Industry'!$A$2:$H$464,2,0)</f>
        <v xml:space="preserve">Perdagangan Eceran Tekstil, Pakaian Jadi, Alas Kaki, dan Barang Keperluan Pribadi </v>
      </c>
      <c r="F364" s="426" t="str">
        <f>VLOOKUP($D364,'Tabel Map Industry'!$A$2:$H$464,3,0)</f>
        <v>GARMEN (Incl. Jewelry &amp; Accessories)</v>
      </c>
      <c r="G364" s="426" t="str">
        <f>VLOOKUP($D364,'Tabel Map Industry'!$A$2:$H$464,4,0)</f>
        <v>Perdagangan Eceran Tekstil, Pakaian Jadi, Alas Kaki, dan Barang Keperluan Pribadi  - 523200</v>
      </c>
      <c r="H364" s="426" t="str">
        <f>VLOOKUP($D364,'Tabel Map Industry'!$A$2:$H$464,8,0)</f>
        <v>Perdagangan Eceran - 6500</v>
      </c>
    </row>
    <row r="365" spans="1:8" ht="75" hidden="1" customHeight="1" x14ac:dyDescent="0.25">
      <c r="A365" s="422" t="s">
        <v>6330</v>
      </c>
      <c r="B365" s="418" t="s">
        <v>6468</v>
      </c>
      <c r="C365" s="418" t="s">
        <v>6469</v>
      </c>
      <c r="D365" s="419" t="s">
        <v>5063</v>
      </c>
      <c r="E365" s="420" t="str">
        <f>VLOOKUP($D365,'Tabel Map Industry'!$A$2:$H$464,2,0)</f>
        <v xml:space="preserve">Perdagangan Eceran Tekstil, Pakaian Jadi, Alas Kaki, dan Barang Keperluan Pribadi </v>
      </c>
      <c r="F365" s="421" t="str">
        <f>VLOOKUP($D365,'Tabel Map Industry'!$A$2:$H$464,3,0)</f>
        <v>GARMEN (Incl. Jewelry &amp; Accessories)</v>
      </c>
      <c r="G365" s="421" t="str">
        <f>VLOOKUP($D365,'Tabel Map Industry'!$A$2:$H$464,4,0)</f>
        <v>Perdagangan Eceran Tekstil, Pakaian Jadi, Alas Kaki, dan Barang Keperluan Pribadi  - 523200</v>
      </c>
      <c r="H365" s="421" t="str">
        <f>VLOOKUP($D365,'Tabel Map Industry'!$A$2:$H$464,8,0)</f>
        <v>Perdagangan Eceran - 6500</v>
      </c>
    </row>
    <row r="366" spans="1:8" ht="75" hidden="1" customHeight="1" x14ac:dyDescent="0.25">
      <c r="A366" s="417" t="s">
        <v>6330</v>
      </c>
      <c r="B366" s="423" t="s">
        <v>6470</v>
      </c>
      <c r="C366" s="423" t="s">
        <v>6471</v>
      </c>
      <c r="D366" s="424" t="s">
        <v>5063</v>
      </c>
      <c r="E366" s="425" t="str">
        <f>VLOOKUP($D366,'Tabel Map Industry'!$A$2:$H$464,2,0)</f>
        <v xml:space="preserve">Perdagangan Eceran Tekstil, Pakaian Jadi, Alas Kaki, dan Barang Keperluan Pribadi </v>
      </c>
      <c r="F366" s="426" t="str">
        <f>VLOOKUP($D366,'Tabel Map Industry'!$A$2:$H$464,3,0)</f>
        <v>GARMEN (Incl. Jewelry &amp; Accessories)</v>
      </c>
      <c r="G366" s="426" t="str">
        <f>VLOOKUP($D366,'Tabel Map Industry'!$A$2:$H$464,4,0)</f>
        <v>Perdagangan Eceran Tekstil, Pakaian Jadi, Alas Kaki, dan Barang Keperluan Pribadi  - 523200</v>
      </c>
      <c r="H366" s="426" t="str">
        <f>VLOOKUP($D366,'Tabel Map Industry'!$A$2:$H$464,8,0)</f>
        <v>Perdagangan Eceran - 6500</v>
      </c>
    </row>
    <row r="367" spans="1:8" ht="75" hidden="1" customHeight="1" x14ac:dyDescent="0.25">
      <c r="A367" s="422" t="s">
        <v>6330</v>
      </c>
      <c r="B367" s="418" t="s">
        <v>6475</v>
      </c>
      <c r="C367" s="418" t="s">
        <v>6476</v>
      </c>
      <c r="D367" s="419" t="s">
        <v>5178</v>
      </c>
      <c r="E367" s="420" t="str">
        <f>VLOOKUP($D367,'Tabel Map Industry'!$A$2:$H$464,2,0)</f>
        <v xml:space="preserve">Industri Alas Kaki </v>
      </c>
      <c r="F367" s="421" t="str">
        <f>VLOOKUP($D367,'Tabel Map Industry'!$A$2:$H$464,3,0)</f>
        <v>GARMEN (Incl. Jewelry &amp; Accessories)</v>
      </c>
      <c r="G367" s="421" t="str">
        <f>VLOOKUP($D367,'Tabel Map Industry'!$A$2:$H$464,4,0)</f>
        <v>Industri Alas Kaki  - 192000</v>
      </c>
      <c r="H367" s="421" t="str">
        <f>VLOOKUP($D367,'Tabel Map Industry'!$A$2:$H$464,8,0)</f>
        <v>Industri - Lainnya - 3990</v>
      </c>
    </row>
    <row r="368" spans="1:8" ht="75" hidden="1" customHeight="1" x14ac:dyDescent="0.25">
      <c r="A368" s="417" t="s">
        <v>6324</v>
      </c>
      <c r="B368" s="423" t="s">
        <v>6524</v>
      </c>
      <c r="C368" s="423" t="s">
        <v>6525</v>
      </c>
      <c r="D368" s="424" t="s">
        <v>5063</v>
      </c>
      <c r="E368" s="425" t="str">
        <f>VLOOKUP($D368,'Tabel Map Industry'!$A$2:$H$464,2,0)</f>
        <v xml:space="preserve">Perdagangan Eceran Tekstil, Pakaian Jadi, Alas Kaki, dan Barang Keperluan Pribadi </v>
      </c>
      <c r="F368" s="426" t="str">
        <f>VLOOKUP($D368,'Tabel Map Industry'!$A$2:$H$464,3,0)</f>
        <v>GARMEN (Incl. Jewelry &amp; Accessories)</v>
      </c>
      <c r="G368" s="426" t="str">
        <f>VLOOKUP($D368,'Tabel Map Industry'!$A$2:$H$464,4,0)</f>
        <v>Perdagangan Eceran Tekstil, Pakaian Jadi, Alas Kaki, dan Barang Keperluan Pribadi  - 523200</v>
      </c>
      <c r="H368" s="426" t="str">
        <f>VLOOKUP($D368,'Tabel Map Industry'!$A$2:$H$464,8,0)</f>
        <v>Perdagangan Eceran - 6500</v>
      </c>
    </row>
    <row r="369" spans="1:8" ht="75" hidden="1" customHeight="1" x14ac:dyDescent="0.25">
      <c r="A369" s="422" t="s">
        <v>6324</v>
      </c>
      <c r="B369" s="418" t="s">
        <v>6532</v>
      </c>
      <c r="C369" s="418" t="s">
        <v>6533</v>
      </c>
      <c r="D369" s="419" t="s">
        <v>5063</v>
      </c>
      <c r="E369" s="420" t="str">
        <f>VLOOKUP($D369,'Tabel Map Industry'!$A$2:$H$464,2,0)</f>
        <v xml:space="preserve">Perdagangan Eceran Tekstil, Pakaian Jadi, Alas Kaki, dan Barang Keperluan Pribadi </v>
      </c>
      <c r="F369" s="421" t="str">
        <f>VLOOKUP($D369,'Tabel Map Industry'!$A$2:$H$464,3,0)</f>
        <v>GARMEN (Incl. Jewelry &amp; Accessories)</v>
      </c>
      <c r="G369" s="421" t="str">
        <f>VLOOKUP($D369,'Tabel Map Industry'!$A$2:$H$464,4,0)</f>
        <v>Perdagangan Eceran Tekstil, Pakaian Jadi, Alas Kaki, dan Barang Keperluan Pribadi  - 523200</v>
      </c>
      <c r="H369" s="421" t="str">
        <f>VLOOKUP($D369,'Tabel Map Industry'!$A$2:$H$464,8,0)</f>
        <v>Perdagangan Eceran - 6500</v>
      </c>
    </row>
    <row r="370" spans="1:8" ht="75" hidden="1" customHeight="1" x14ac:dyDescent="0.25">
      <c r="A370" s="417" t="s">
        <v>6327</v>
      </c>
      <c r="B370" s="423" t="s">
        <v>6536</v>
      </c>
      <c r="C370" s="423" t="s">
        <v>6537</v>
      </c>
      <c r="D370" s="424" t="s">
        <v>5063</v>
      </c>
      <c r="E370" s="425" t="str">
        <f>VLOOKUP($D370,'Tabel Map Industry'!$A$2:$H$464,2,0)</f>
        <v xml:space="preserve">Perdagangan Eceran Tekstil, Pakaian Jadi, Alas Kaki, dan Barang Keperluan Pribadi </v>
      </c>
      <c r="F370" s="426" t="str">
        <f>VLOOKUP($D370,'Tabel Map Industry'!$A$2:$H$464,3,0)</f>
        <v>GARMEN (Incl. Jewelry &amp; Accessories)</v>
      </c>
      <c r="G370" s="426" t="str">
        <f>VLOOKUP($D370,'Tabel Map Industry'!$A$2:$H$464,4,0)</f>
        <v>Perdagangan Eceran Tekstil, Pakaian Jadi, Alas Kaki, dan Barang Keperluan Pribadi  - 523200</v>
      </c>
      <c r="H370" s="426" t="str">
        <f>VLOOKUP($D370,'Tabel Map Industry'!$A$2:$H$464,8,0)</f>
        <v>Perdagangan Eceran - 6500</v>
      </c>
    </row>
    <row r="371" spans="1:8" ht="75" hidden="1" customHeight="1" x14ac:dyDescent="0.25">
      <c r="A371" s="422" t="s">
        <v>6327</v>
      </c>
      <c r="B371" s="418" t="s">
        <v>6591</v>
      </c>
      <c r="C371" s="418" t="s">
        <v>6592</v>
      </c>
      <c r="D371" s="419" t="s">
        <v>5063</v>
      </c>
      <c r="E371" s="420" t="str">
        <f>VLOOKUP($D371,'Tabel Map Industry'!$A$2:$H$464,2,0)</f>
        <v xml:space="preserve">Perdagangan Eceran Tekstil, Pakaian Jadi, Alas Kaki, dan Barang Keperluan Pribadi </v>
      </c>
      <c r="F371" s="421" t="str">
        <f>VLOOKUP($D371,'Tabel Map Industry'!$A$2:$H$464,3,0)</f>
        <v>GARMEN (Incl. Jewelry &amp; Accessories)</v>
      </c>
      <c r="G371" s="421" t="str">
        <f>VLOOKUP($D371,'Tabel Map Industry'!$A$2:$H$464,4,0)</f>
        <v>Perdagangan Eceran Tekstil, Pakaian Jadi, Alas Kaki, dan Barang Keperluan Pribadi  - 523200</v>
      </c>
      <c r="H371" s="421" t="str">
        <f>VLOOKUP($D371,'Tabel Map Industry'!$A$2:$H$464,8,0)</f>
        <v>Perdagangan Eceran - 6500</v>
      </c>
    </row>
    <row r="372" spans="1:8" ht="75" hidden="1" customHeight="1" x14ac:dyDescent="0.25">
      <c r="A372" s="417" t="s">
        <v>6330</v>
      </c>
      <c r="B372" s="423" t="s">
        <v>6593</v>
      </c>
      <c r="C372" s="423" t="s">
        <v>6594</v>
      </c>
      <c r="D372" s="424" t="s">
        <v>5063</v>
      </c>
      <c r="E372" s="425" t="str">
        <f>VLOOKUP($D372,'Tabel Map Industry'!$A$2:$H$464,2,0)</f>
        <v xml:space="preserve">Perdagangan Eceran Tekstil, Pakaian Jadi, Alas Kaki, dan Barang Keperluan Pribadi </v>
      </c>
      <c r="F372" s="426" t="str">
        <f>VLOOKUP($D372,'Tabel Map Industry'!$A$2:$H$464,3,0)</f>
        <v>GARMEN (Incl. Jewelry &amp; Accessories)</v>
      </c>
      <c r="G372" s="426" t="str">
        <f>VLOOKUP($D372,'Tabel Map Industry'!$A$2:$H$464,4,0)</f>
        <v>Perdagangan Eceran Tekstil, Pakaian Jadi, Alas Kaki, dan Barang Keperluan Pribadi  - 523200</v>
      </c>
      <c r="H372" s="426" t="str">
        <f>VLOOKUP($D372,'Tabel Map Industry'!$A$2:$H$464,8,0)</f>
        <v>Perdagangan Eceran - 6500</v>
      </c>
    </row>
    <row r="373" spans="1:8" ht="75" hidden="1" customHeight="1" x14ac:dyDescent="0.25">
      <c r="A373" s="422" t="s">
        <v>6330</v>
      </c>
      <c r="B373" s="418" t="s">
        <v>6591</v>
      </c>
      <c r="C373" s="418" t="s">
        <v>6619</v>
      </c>
      <c r="D373" s="419" t="s">
        <v>5063</v>
      </c>
      <c r="E373" s="420" t="str">
        <f>VLOOKUP($D373,'Tabel Map Industry'!$A$2:$H$464,2,0)</f>
        <v xml:space="preserve">Perdagangan Eceran Tekstil, Pakaian Jadi, Alas Kaki, dan Barang Keperluan Pribadi </v>
      </c>
      <c r="F373" s="421" t="str">
        <f>VLOOKUP($D373,'Tabel Map Industry'!$A$2:$H$464,3,0)</f>
        <v>GARMEN (Incl. Jewelry &amp; Accessories)</v>
      </c>
      <c r="G373" s="421" t="str">
        <f>VLOOKUP($D373,'Tabel Map Industry'!$A$2:$H$464,4,0)</f>
        <v>Perdagangan Eceran Tekstil, Pakaian Jadi, Alas Kaki, dan Barang Keperluan Pribadi  - 523200</v>
      </c>
      <c r="H373" s="421" t="str">
        <f>VLOOKUP($D373,'Tabel Map Industry'!$A$2:$H$464,8,0)</f>
        <v>Perdagangan Eceran - 6500</v>
      </c>
    </row>
    <row r="374" spans="1:8" ht="75" hidden="1" customHeight="1" x14ac:dyDescent="0.25">
      <c r="A374" s="417" t="s">
        <v>6327</v>
      </c>
      <c r="B374" s="423" t="s">
        <v>6591</v>
      </c>
      <c r="C374" s="423" t="s">
        <v>6627</v>
      </c>
      <c r="D374" s="424" t="s">
        <v>5063</v>
      </c>
      <c r="E374" s="425" t="str">
        <f>VLOOKUP($D374,'Tabel Map Industry'!$A$2:$H$464,2,0)</f>
        <v xml:space="preserve">Perdagangan Eceran Tekstil, Pakaian Jadi, Alas Kaki, dan Barang Keperluan Pribadi </v>
      </c>
      <c r="F374" s="426" t="str">
        <f>VLOOKUP($D374,'Tabel Map Industry'!$A$2:$H$464,3,0)</f>
        <v>GARMEN (Incl. Jewelry &amp; Accessories)</v>
      </c>
      <c r="G374" s="426" t="str">
        <f>VLOOKUP($D374,'Tabel Map Industry'!$A$2:$H$464,4,0)</f>
        <v>Perdagangan Eceran Tekstil, Pakaian Jadi, Alas Kaki, dan Barang Keperluan Pribadi  - 523200</v>
      </c>
      <c r="H374" s="426" t="str">
        <f>VLOOKUP($D374,'Tabel Map Industry'!$A$2:$H$464,8,0)</f>
        <v>Perdagangan Eceran - 6500</v>
      </c>
    </row>
    <row r="375" spans="1:8" ht="75" hidden="1" customHeight="1" x14ac:dyDescent="0.25">
      <c r="A375" s="422" t="s">
        <v>6330</v>
      </c>
      <c r="B375" s="418" t="s">
        <v>6591</v>
      </c>
      <c r="C375" s="418" t="s">
        <v>6592</v>
      </c>
      <c r="D375" s="419" t="s">
        <v>5063</v>
      </c>
      <c r="E375" s="420" t="str">
        <f>VLOOKUP($D375,'Tabel Map Industry'!$A$2:$H$464,2,0)</f>
        <v xml:space="preserve">Perdagangan Eceran Tekstil, Pakaian Jadi, Alas Kaki, dan Barang Keperluan Pribadi </v>
      </c>
      <c r="F375" s="421" t="str">
        <f>VLOOKUP($D375,'Tabel Map Industry'!$A$2:$H$464,3,0)</f>
        <v>GARMEN (Incl. Jewelry &amp; Accessories)</v>
      </c>
      <c r="G375" s="421" t="str">
        <f>VLOOKUP($D375,'Tabel Map Industry'!$A$2:$H$464,4,0)</f>
        <v>Perdagangan Eceran Tekstil, Pakaian Jadi, Alas Kaki, dan Barang Keperluan Pribadi  - 523200</v>
      </c>
      <c r="H375" s="421" t="str">
        <f>VLOOKUP($D375,'Tabel Map Industry'!$A$2:$H$464,8,0)</f>
        <v>Perdagangan Eceran - 6500</v>
      </c>
    </row>
    <row r="376" spans="1:8" ht="75" hidden="1" customHeight="1" x14ac:dyDescent="0.25">
      <c r="A376" s="417" t="s">
        <v>6330</v>
      </c>
      <c r="B376" s="423" t="s">
        <v>6581</v>
      </c>
      <c r="C376" s="423" t="s">
        <v>6637</v>
      </c>
      <c r="D376" s="424" t="s">
        <v>5074</v>
      </c>
      <c r="E376" s="425" t="str">
        <f>VLOOKUP($D376,'Tabel Map Industry'!$A$2:$H$464,2,0)</f>
        <v xml:space="preserve">Perdagangan Besar Tekstil, Pakaian Jadi, dan Kulit </v>
      </c>
      <c r="F376" s="426" t="str">
        <f>VLOOKUP($D376,'Tabel Map Industry'!$A$2:$H$464,3,0)</f>
        <v>GARMEN (Incl. Jewelry &amp; Accessories)</v>
      </c>
      <c r="G376" s="426" t="str">
        <f>VLOOKUP($D376,'Tabel Map Industry'!$A$2:$H$464,4,0)</f>
        <v>Perdagangan Besar Tekstil, Pakaian Jadi, dan Kulit  - 513100</v>
      </c>
      <c r="H376" s="426" t="str">
        <f>VLOOKUP($D376,'Tabel Map Industry'!$A$2:$H$464,8,0)</f>
        <v>Distribusi lainnya - 6490</v>
      </c>
    </row>
    <row r="377" spans="1:8" ht="75" hidden="1" customHeight="1" x14ac:dyDescent="0.25">
      <c r="A377" s="422" t="s">
        <v>6324</v>
      </c>
      <c r="B377" s="418" t="s">
        <v>6644</v>
      </c>
      <c r="C377" s="418" t="s">
        <v>6645</v>
      </c>
      <c r="D377" s="419" t="s">
        <v>5063</v>
      </c>
      <c r="E377" s="420" t="str">
        <f>VLOOKUP($D377,'Tabel Map Industry'!$A$2:$H$464,2,0)</f>
        <v xml:space="preserve">Perdagangan Eceran Tekstil, Pakaian Jadi, Alas Kaki, dan Barang Keperluan Pribadi </v>
      </c>
      <c r="F377" s="421" t="str">
        <f>VLOOKUP($D377,'Tabel Map Industry'!$A$2:$H$464,3,0)</f>
        <v>GARMEN (Incl. Jewelry &amp; Accessories)</v>
      </c>
      <c r="G377" s="421" t="str">
        <f>VLOOKUP($D377,'Tabel Map Industry'!$A$2:$H$464,4,0)</f>
        <v>Perdagangan Eceran Tekstil, Pakaian Jadi, Alas Kaki, dan Barang Keperluan Pribadi  - 523200</v>
      </c>
      <c r="H377" s="421" t="str">
        <f>VLOOKUP($D377,'Tabel Map Industry'!$A$2:$H$464,8,0)</f>
        <v>Perdagangan Eceran - 6500</v>
      </c>
    </row>
    <row r="378" spans="1:8" ht="75" hidden="1" customHeight="1" x14ac:dyDescent="0.25">
      <c r="A378" s="417" t="s">
        <v>6330</v>
      </c>
      <c r="B378" s="423" t="s">
        <v>6655</v>
      </c>
      <c r="C378" s="423" t="s">
        <v>6656</v>
      </c>
      <c r="D378" s="424" t="s">
        <v>5063</v>
      </c>
      <c r="E378" s="425" t="str">
        <f>VLOOKUP($D378,'Tabel Map Industry'!$A$2:$H$464,2,0)</f>
        <v xml:space="preserve">Perdagangan Eceran Tekstil, Pakaian Jadi, Alas Kaki, dan Barang Keperluan Pribadi </v>
      </c>
      <c r="F378" s="426" t="str">
        <f>VLOOKUP($D378,'Tabel Map Industry'!$A$2:$H$464,3,0)</f>
        <v>GARMEN (Incl. Jewelry &amp; Accessories)</v>
      </c>
      <c r="G378" s="426" t="str">
        <f>VLOOKUP($D378,'Tabel Map Industry'!$A$2:$H$464,4,0)</f>
        <v>Perdagangan Eceran Tekstil, Pakaian Jadi, Alas Kaki, dan Barang Keperluan Pribadi  - 523200</v>
      </c>
      <c r="H378" s="426" t="str">
        <f>VLOOKUP($D378,'Tabel Map Industry'!$A$2:$H$464,8,0)</f>
        <v>Perdagangan Eceran - 6500</v>
      </c>
    </row>
    <row r="379" spans="1:8" ht="75" hidden="1" customHeight="1" x14ac:dyDescent="0.25">
      <c r="A379" s="422" t="s">
        <v>6324</v>
      </c>
      <c r="B379" s="418" t="s">
        <v>6663</v>
      </c>
      <c r="C379" s="418" t="s">
        <v>6664</v>
      </c>
      <c r="D379" s="419" t="s">
        <v>5063</v>
      </c>
      <c r="E379" s="420" t="str">
        <f>VLOOKUP($D379,'Tabel Map Industry'!$A$2:$H$464,2,0)</f>
        <v xml:space="preserve">Perdagangan Eceran Tekstil, Pakaian Jadi, Alas Kaki, dan Barang Keperluan Pribadi </v>
      </c>
      <c r="F379" s="421" t="str">
        <f>VLOOKUP($D379,'Tabel Map Industry'!$A$2:$H$464,3,0)</f>
        <v>GARMEN (Incl. Jewelry &amp; Accessories)</v>
      </c>
      <c r="G379" s="421" t="str">
        <f>VLOOKUP($D379,'Tabel Map Industry'!$A$2:$H$464,4,0)</f>
        <v>Perdagangan Eceran Tekstil, Pakaian Jadi, Alas Kaki, dan Barang Keperluan Pribadi  - 523200</v>
      </c>
      <c r="H379" s="421" t="str">
        <f>VLOOKUP($D379,'Tabel Map Industry'!$A$2:$H$464,8,0)</f>
        <v>Perdagangan Eceran - 6500</v>
      </c>
    </row>
    <row r="380" spans="1:8" ht="75" hidden="1" customHeight="1" x14ac:dyDescent="0.25">
      <c r="A380" s="417" t="s">
        <v>6324</v>
      </c>
      <c r="B380" s="423" t="s">
        <v>6677</v>
      </c>
      <c r="C380" s="423" t="s">
        <v>6678</v>
      </c>
      <c r="D380" s="424" t="s">
        <v>5063</v>
      </c>
      <c r="E380" s="425" t="str">
        <f>VLOOKUP($D380,'Tabel Map Industry'!$A$2:$H$464,2,0)</f>
        <v xml:space="preserve">Perdagangan Eceran Tekstil, Pakaian Jadi, Alas Kaki, dan Barang Keperluan Pribadi </v>
      </c>
      <c r="F380" s="426" t="str">
        <f>VLOOKUP($D380,'Tabel Map Industry'!$A$2:$H$464,3,0)</f>
        <v>GARMEN (Incl. Jewelry &amp; Accessories)</v>
      </c>
      <c r="G380" s="426" t="str">
        <f>VLOOKUP($D380,'Tabel Map Industry'!$A$2:$H$464,4,0)</f>
        <v>Perdagangan Eceran Tekstil, Pakaian Jadi, Alas Kaki, dan Barang Keperluan Pribadi  - 523200</v>
      </c>
      <c r="H380" s="426" t="str">
        <f>VLOOKUP($D380,'Tabel Map Industry'!$A$2:$H$464,8,0)</f>
        <v>Perdagangan Eceran - 6500</v>
      </c>
    </row>
    <row r="381" spans="1:8" ht="75" hidden="1" customHeight="1" x14ac:dyDescent="0.25">
      <c r="A381" s="422" t="s">
        <v>6327</v>
      </c>
      <c r="B381" s="418" t="s">
        <v>6707</v>
      </c>
      <c r="C381" s="418" t="s">
        <v>6708</v>
      </c>
      <c r="D381" s="419" t="s">
        <v>5178</v>
      </c>
      <c r="E381" s="420" t="str">
        <f>VLOOKUP($D381,'Tabel Map Industry'!$A$2:$H$464,2,0)</f>
        <v xml:space="preserve">Industri Alas Kaki </v>
      </c>
      <c r="F381" s="421" t="str">
        <f>VLOOKUP($D381,'Tabel Map Industry'!$A$2:$H$464,3,0)</f>
        <v>GARMEN (Incl. Jewelry &amp; Accessories)</v>
      </c>
      <c r="G381" s="421" t="str">
        <f>VLOOKUP($D381,'Tabel Map Industry'!$A$2:$H$464,4,0)</f>
        <v>Industri Alas Kaki  - 192000</v>
      </c>
      <c r="H381" s="421" t="str">
        <f>VLOOKUP($D381,'Tabel Map Industry'!$A$2:$H$464,8,0)</f>
        <v>Industri - Lainnya - 3990</v>
      </c>
    </row>
    <row r="382" spans="1:8" ht="75" hidden="1" customHeight="1" x14ac:dyDescent="0.25">
      <c r="A382" s="417" t="s">
        <v>6324</v>
      </c>
      <c r="B382" s="423" t="s">
        <v>6758</v>
      </c>
      <c r="C382" s="423" t="s">
        <v>6758</v>
      </c>
      <c r="D382" s="424" t="s">
        <v>5063</v>
      </c>
      <c r="E382" s="425" t="str">
        <f>VLOOKUP($D382,'Tabel Map Industry'!$A$2:$H$464,2,0)</f>
        <v xml:space="preserve">Perdagangan Eceran Tekstil, Pakaian Jadi, Alas Kaki, dan Barang Keperluan Pribadi </v>
      </c>
      <c r="F382" s="426" t="str">
        <f>VLOOKUP($D382,'Tabel Map Industry'!$A$2:$H$464,3,0)</f>
        <v>GARMEN (Incl. Jewelry &amp; Accessories)</v>
      </c>
      <c r="G382" s="426" t="str">
        <f>VLOOKUP($D382,'Tabel Map Industry'!$A$2:$H$464,4,0)</f>
        <v>Perdagangan Eceran Tekstil, Pakaian Jadi, Alas Kaki, dan Barang Keperluan Pribadi  - 523200</v>
      </c>
      <c r="H382" s="426" t="str">
        <f>VLOOKUP($D382,'Tabel Map Industry'!$A$2:$H$464,8,0)</f>
        <v>Perdagangan Eceran - 6500</v>
      </c>
    </row>
    <row r="383" spans="1:8" ht="75" hidden="1" customHeight="1" x14ac:dyDescent="0.25">
      <c r="A383" s="422" t="s">
        <v>6324</v>
      </c>
      <c r="B383" s="418" t="s">
        <v>6761</v>
      </c>
      <c r="C383" s="418" t="s">
        <v>6761</v>
      </c>
      <c r="D383" s="419" t="s">
        <v>5063</v>
      </c>
      <c r="E383" s="420" t="str">
        <f>VLOOKUP($D383,'Tabel Map Industry'!$A$2:$H$464,2,0)</f>
        <v xml:space="preserve">Perdagangan Eceran Tekstil, Pakaian Jadi, Alas Kaki, dan Barang Keperluan Pribadi </v>
      </c>
      <c r="F383" s="421" t="str">
        <f>VLOOKUP($D383,'Tabel Map Industry'!$A$2:$H$464,3,0)</f>
        <v>GARMEN (Incl. Jewelry &amp; Accessories)</v>
      </c>
      <c r="G383" s="421" t="str">
        <f>VLOOKUP($D383,'Tabel Map Industry'!$A$2:$H$464,4,0)</f>
        <v>Perdagangan Eceran Tekstil, Pakaian Jadi, Alas Kaki, dan Barang Keperluan Pribadi  - 523200</v>
      </c>
      <c r="H383" s="421" t="str">
        <f>VLOOKUP($D383,'Tabel Map Industry'!$A$2:$H$464,8,0)</f>
        <v>Perdagangan Eceran - 6500</v>
      </c>
    </row>
    <row r="384" spans="1:8" ht="75" hidden="1" customHeight="1" x14ac:dyDescent="0.25">
      <c r="A384" s="417" t="s">
        <v>6330</v>
      </c>
      <c r="B384" s="423" t="s">
        <v>6769</v>
      </c>
      <c r="C384" s="423" t="s">
        <v>6770</v>
      </c>
      <c r="D384" s="424" t="s">
        <v>5063</v>
      </c>
      <c r="E384" s="425" t="str">
        <f>VLOOKUP($D384,'Tabel Map Industry'!$A$2:$H$464,2,0)</f>
        <v xml:space="preserve">Perdagangan Eceran Tekstil, Pakaian Jadi, Alas Kaki, dan Barang Keperluan Pribadi </v>
      </c>
      <c r="F384" s="426" t="str">
        <f>VLOOKUP($D384,'Tabel Map Industry'!$A$2:$H$464,3,0)</f>
        <v>GARMEN (Incl. Jewelry &amp; Accessories)</v>
      </c>
      <c r="G384" s="426" t="str">
        <f>VLOOKUP($D384,'Tabel Map Industry'!$A$2:$H$464,4,0)</f>
        <v>Perdagangan Eceran Tekstil, Pakaian Jadi, Alas Kaki, dan Barang Keperluan Pribadi  - 523200</v>
      </c>
      <c r="H384" s="426" t="str">
        <f>VLOOKUP($D384,'Tabel Map Industry'!$A$2:$H$464,8,0)</f>
        <v>Perdagangan Eceran - 6500</v>
      </c>
    </row>
    <row r="385" spans="1:8" ht="75" hidden="1" customHeight="1" x14ac:dyDescent="0.25">
      <c r="A385" s="422" t="s">
        <v>6330</v>
      </c>
      <c r="B385" s="418" t="s">
        <v>6779</v>
      </c>
      <c r="C385" s="418" t="s">
        <v>6780</v>
      </c>
      <c r="D385" s="419" t="s">
        <v>5180</v>
      </c>
      <c r="E385" s="420" t="str">
        <f>VLOOKUP($D385,'Tabel Map Industry'!$A$2:$H$464,2,0)</f>
        <v xml:space="preserve">Industri Pakaian Jadi dan perlengkapannya, Kecuali Pakaian Jadi Berbulu </v>
      </c>
      <c r="F385" s="421" t="str">
        <f>VLOOKUP($D385,'Tabel Map Industry'!$A$2:$H$464,3,0)</f>
        <v>GARMEN (Incl. Jewelry &amp; Accessories)</v>
      </c>
      <c r="G385" s="421" t="str">
        <f>VLOOKUP($D385,'Tabel Map Industry'!$A$2:$H$464,4,0)</f>
        <v>Industri Pakaian Jadi dan perlengkapannya, Kecuali Pakaian Jadi Berbulu  - 181000</v>
      </c>
      <c r="H385" s="421" t="str">
        <f>VLOOKUP($D385,'Tabel Map Industry'!$A$2:$H$464,8,0)</f>
        <v>Industri - Lainnya - 3990</v>
      </c>
    </row>
    <row r="386" spans="1:8" ht="75" hidden="1" customHeight="1" x14ac:dyDescent="0.25">
      <c r="A386" s="417" t="s">
        <v>6330</v>
      </c>
      <c r="B386" s="423" t="s">
        <v>6785</v>
      </c>
      <c r="C386" s="423" t="s">
        <v>6786</v>
      </c>
      <c r="D386" s="424" t="s">
        <v>5179</v>
      </c>
      <c r="E386" s="425" t="str">
        <f>VLOOKUP($D386,'Tabel Map Industry'!$A$2:$H$464,2,0)</f>
        <v xml:space="preserve">Industri Barang Jadi Tekstil dan Permadani </v>
      </c>
      <c r="F386" s="426" t="str">
        <f>VLOOKUP($D386,'Tabel Map Industry'!$A$2:$H$464,3,0)</f>
        <v>GARMEN (Incl. Jewelry &amp; Accessories)</v>
      </c>
      <c r="G386" s="426" t="str">
        <f>VLOOKUP($D386,'Tabel Map Industry'!$A$2:$H$464,4,0)</f>
        <v>Industri Barang Jadi Tekstil dan Permadani  - 172000</v>
      </c>
      <c r="H386" s="426" t="str">
        <f>VLOOKUP($D386,'Tabel Map Industry'!$A$2:$H$464,8,0)</f>
        <v>Industri - Tekstil - 3310</v>
      </c>
    </row>
    <row r="387" spans="1:8" ht="75" hidden="1" customHeight="1" x14ac:dyDescent="0.25">
      <c r="A387" s="422" t="s">
        <v>6330</v>
      </c>
      <c r="B387" s="418" t="s">
        <v>6787</v>
      </c>
      <c r="C387" s="418" t="s">
        <v>6788</v>
      </c>
      <c r="D387" s="419" t="s">
        <v>5179</v>
      </c>
      <c r="E387" s="420" t="str">
        <f>VLOOKUP($D387,'Tabel Map Industry'!$A$2:$H$464,2,0)</f>
        <v xml:space="preserve">Industri Barang Jadi Tekstil dan Permadani </v>
      </c>
      <c r="F387" s="421" t="str">
        <f>VLOOKUP($D387,'Tabel Map Industry'!$A$2:$H$464,3,0)</f>
        <v>GARMEN (Incl. Jewelry &amp; Accessories)</v>
      </c>
      <c r="G387" s="421" t="str">
        <f>VLOOKUP($D387,'Tabel Map Industry'!$A$2:$H$464,4,0)</f>
        <v>Industri Barang Jadi Tekstil dan Permadani  - 172000</v>
      </c>
      <c r="H387" s="421" t="str">
        <f>VLOOKUP($D387,'Tabel Map Industry'!$A$2:$H$464,8,0)</f>
        <v>Industri - Tekstil - 3310</v>
      </c>
    </row>
    <row r="388" spans="1:8" ht="75" hidden="1" customHeight="1" x14ac:dyDescent="0.25">
      <c r="A388" s="417" t="s">
        <v>6330</v>
      </c>
      <c r="B388" s="423" t="s">
        <v>6796</v>
      </c>
      <c r="C388" s="423" t="s">
        <v>6797</v>
      </c>
      <c r="D388" s="424" t="s">
        <v>5179</v>
      </c>
      <c r="E388" s="425" t="str">
        <f>VLOOKUP($D388,'Tabel Map Industry'!$A$2:$H$464,2,0)</f>
        <v xml:space="preserve">Industri Barang Jadi Tekstil dan Permadani </v>
      </c>
      <c r="F388" s="426" t="str">
        <f>VLOOKUP($D388,'Tabel Map Industry'!$A$2:$H$464,3,0)</f>
        <v>GARMEN (Incl. Jewelry &amp; Accessories)</v>
      </c>
      <c r="G388" s="426" t="str">
        <f>VLOOKUP($D388,'Tabel Map Industry'!$A$2:$H$464,4,0)</f>
        <v>Industri Barang Jadi Tekstil dan Permadani  - 172000</v>
      </c>
      <c r="H388" s="426" t="str">
        <f>VLOOKUP($D388,'Tabel Map Industry'!$A$2:$H$464,8,0)</f>
        <v>Industri - Tekstil - 3310</v>
      </c>
    </row>
    <row r="389" spans="1:8" ht="75" hidden="1" customHeight="1" x14ac:dyDescent="0.25">
      <c r="A389" s="422" t="s">
        <v>6324</v>
      </c>
      <c r="B389" s="418" t="s">
        <v>6800</v>
      </c>
      <c r="C389" s="418" t="s">
        <v>6801</v>
      </c>
      <c r="D389" s="419" t="s">
        <v>5063</v>
      </c>
      <c r="E389" s="420" t="str">
        <f>VLOOKUP($D389,'Tabel Map Industry'!$A$2:$H$464,2,0)</f>
        <v xml:space="preserve">Perdagangan Eceran Tekstil, Pakaian Jadi, Alas Kaki, dan Barang Keperluan Pribadi </v>
      </c>
      <c r="F389" s="421" t="str">
        <f>VLOOKUP($D389,'Tabel Map Industry'!$A$2:$H$464,3,0)</f>
        <v>GARMEN (Incl. Jewelry &amp; Accessories)</v>
      </c>
      <c r="G389" s="421" t="str">
        <f>VLOOKUP($D389,'Tabel Map Industry'!$A$2:$H$464,4,0)</f>
        <v>Perdagangan Eceran Tekstil, Pakaian Jadi, Alas Kaki, dan Barang Keperluan Pribadi  - 523200</v>
      </c>
      <c r="H389" s="421" t="str">
        <f>VLOOKUP($D389,'Tabel Map Industry'!$A$2:$H$464,8,0)</f>
        <v>Perdagangan Eceran - 6500</v>
      </c>
    </row>
    <row r="390" spans="1:8" ht="75" hidden="1" customHeight="1" x14ac:dyDescent="0.25">
      <c r="A390" s="417" t="s">
        <v>6330</v>
      </c>
      <c r="B390" s="423" t="s">
        <v>6809</v>
      </c>
      <c r="C390" s="423" t="s">
        <v>6810</v>
      </c>
      <c r="D390" s="424" t="s">
        <v>5063</v>
      </c>
      <c r="E390" s="425" t="str">
        <f>VLOOKUP($D390,'Tabel Map Industry'!$A$2:$H$464,2,0)</f>
        <v xml:space="preserve">Perdagangan Eceran Tekstil, Pakaian Jadi, Alas Kaki, dan Barang Keperluan Pribadi </v>
      </c>
      <c r="F390" s="426" t="str">
        <f>VLOOKUP($D390,'Tabel Map Industry'!$A$2:$H$464,3,0)</f>
        <v>GARMEN (Incl. Jewelry &amp; Accessories)</v>
      </c>
      <c r="G390" s="426" t="str">
        <f>VLOOKUP($D390,'Tabel Map Industry'!$A$2:$H$464,4,0)</f>
        <v>Perdagangan Eceran Tekstil, Pakaian Jadi, Alas Kaki, dan Barang Keperluan Pribadi  - 523200</v>
      </c>
      <c r="H390" s="426" t="str">
        <f>VLOOKUP($D390,'Tabel Map Industry'!$A$2:$H$464,8,0)</f>
        <v>Perdagangan Eceran - 6500</v>
      </c>
    </row>
    <row r="391" spans="1:8" ht="75" hidden="1" customHeight="1" x14ac:dyDescent="0.25">
      <c r="A391" s="422" t="s">
        <v>6324</v>
      </c>
      <c r="B391" s="418" t="s">
        <v>6813</v>
      </c>
      <c r="C391" s="418" t="s">
        <v>6814</v>
      </c>
      <c r="D391" s="419" t="s">
        <v>5179</v>
      </c>
      <c r="E391" s="420" t="str">
        <f>VLOOKUP($D391,'Tabel Map Industry'!$A$2:$H$464,2,0)</f>
        <v xml:space="preserve">Industri Barang Jadi Tekstil dan Permadani </v>
      </c>
      <c r="F391" s="421" t="str">
        <f>VLOOKUP($D391,'Tabel Map Industry'!$A$2:$H$464,3,0)</f>
        <v>GARMEN (Incl. Jewelry &amp; Accessories)</v>
      </c>
      <c r="G391" s="421" t="str">
        <f>VLOOKUP($D391,'Tabel Map Industry'!$A$2:$H$464,4,0)</f>
        <v>Industri Barang Jadi Tekstil dan Permadani  - 172000</v>
      </c>
      <c r="H391" s="421" t="str">
        <f>VLOOKUP($D391,'Tabel Map Industry'!$A$2:$H$464,8,0)</f>
        <v>Industri - Tekstil - 3310</v>
      </c>
    </row>
    <row r="392" spans="1:8" ht="75" hidden="1" customHeight="1" x14ac:dyDescent="0.25">
      <c r="A392" s="417" t="s">
        <v>6327</v>
      </c>
      <c r="B392" s="423" t="s">
        <v>6367</v>
      </c>
      <c r="C392" s="423" t="s">
        <v>6815</v>
      </c>
      <c r="D392" s="424" t="s">
        <v>5074</v>
      </c>
      <c r="E392" s="425" t="str">
        <f>VLOOKUP($D392,'Tabel Map Industry'!$A$2:$H$464,2,0)</f>
        <v xml:space="preserve">Perdagangan Besar Tekstil, Pakaian Jadi, dan Kulit </v>
      </c>
      <c r="F392" s="426" t="str">
        <f>VLOOKUP($D392,'Tabel Map Industry'!$A$2:$H$464,3,0)</f>
        <v>GARMEN (Incl. Jewelry &amp; Accessories)</v>
      </c>
      <c r="G392" s="426" t="str">
        <f>VLOOKUP($D392,'Tabel Map Industry'!$A$2:$H$464,4,0)</f>
        <v>Perdagangan Besar Tekstil, Pakaian Jadi, dan Kulit  - 513100</v>
      </c>
      <c r="H392" s="426" t="str">
        <f>VLOOKUP($D392,'Tabel Map Industry'!$A$2:$H$464,8,0)</f>
        <v>Distribusi lainnya - 6490</v>
      </c>
    </row>
    <row r="393" spans="1:8" ht="75" hidden="1" customHeight="1" x14ac:dyDescent="0.25">
      <c r="A393" s="422" t="s">
        <v>6330</v>
      </c>
      <c r="B393" s="418" t="s">
        <v>6397</v>
      </c>
      <c r="C393" s="418" t="s">
        <v>6397</v>
      </c>
      <c r="D393" s="419" t="s">
        <v>5074</v>
      </c>
      <c r="E393" s="420" t="str">
        <f>VLOOKUP($D393,'Tabel Map Industry'!$A$2:$H$464,2,0)</f>
        <v xml:space="preserve">Perdagangan Besar Tekstil, Pakaian Jadi, dan Kulit </v>
      </c>
      <c r="F393" s="421" t="str">
        <f>VLOOKUP($D393,'Tabel Map Industry'!$A$2:$H$464,3,0)</f>
        <v>GARMEN (Incl. Jewelry &amp; Accessories)</v>
      </c>
      <c r="G393" s="421" t="str">
        <f>VLOOKUP($D393,'Tabel Map Industry'!$A$2:$H$464,4,0)</f>
        <v>Perdagangan Besar Tekstil, Pakaian Jadi, dan Kulit  - 513100</v>
      </c>
      <c r="H393" s="421" t="str">
        <f>VLOOKUP($D393,'Tabel Map Industry'!$A$2:$H$464,8,0)</f>
        <v>Distribusi lainnya - 6490</v>
      </c>
    </row>
    <row r="394" spans="1:8" ht="75" hidden="1" customHeight="1" x14ac:dyDescent="0.25">
      <c r="A394" s="417" t="s">
        <v>6330</v>
      </c>
      <c r="B394" s="423" t="s">
        <v>6822</v>
      </c>
      <c r="C394" s="423" t="s">
        <v>6823</v>
      </c>
      <c r="D394" s="424" t="s">
        <v>5074</v>
      </c>
      <c r="E394" s="425" t="str">
        <f>VLOOKUP($D394,'Tabel Map Industry'!$A$2:$H$464,2,0)</f>
        <v xml:space="preserve">Perdagangan Besar Tekstil, Pakaian Jadi, dan Kulit </v>
      </c>
      <c r="F394" s="426" t="str">
        <f>VLOOKUP($D394,'Tabel Map Industry'!$A$2:$H$464,3,0)</f>
        <v>GARMEN (Incl. Jewelry &amp; Accessories)</v>
      </c>
      <c r="G394" s="426" t="str">
        <f>VLOOKUP($D394,'Tabel Map Industry'!$A$2:$H$464,4,0)</f>
        <v>Perdagangan Besar Tekstil, Pakaian Jadi, dan Kulit  - 513100</v>
      </c>
      <c r="H394" s="426" t="str">
        <f>VLOOKUP($D394,'Tabel Map Industry'!$A$2:$H$464,8,0)</f>
        <v>Distribusi lainnya - 6490</v>
      </c>
    </row>
    <row r="395" spans="1:8" ht="75" hidden="1" customHeight="1" x14ac:dyDescent="0.25">
      <c r="A395" s="422" t="s">
        <v>6330</v>
      </c>
      <c r="B395" s="418" t="s">
        <v>6395</v>
      </c>
      <c r="C395" s="418" t="s">
        <v>6827</v>
      </c>
      <c r="D395" s="419" t="s">
        <v>5180</v>
      </c>
      <c r="E395" s="420" t="str">
        <f>VLOOKUP($D395,'Tabel Map Industry'!$A$2:$H$464,2,0)</f>
        <v xml:space="preserve">Industri Pakaian Jadi dan perlengkapannya, Kecuali Pakaian Jadi Berbulu </v>
      </c>
      <c r="F395" s="421" t="str">
        <f>VLOOKUP($D395,'Tabel Map Industry'!$A$2:$H$464,3,0)</f>
        <v>GARMEN (Incl. Jewelry &amp; Accessories)</v>
      </c>
      <c r="G395" s="421" t="str">
        <f>VLOOKUP($D395,'Tabel Map Industry'!$A$2:$H$464,4,0)</f>
        <v>Industri Pakaian Jadi dan perlengkapannya, Kecuali Pakaian Jadi Berbulu  - 181000</v>
      </c>
      <c r="H395" s="421" t="str">
        <f>VLOOKUP($D395,'Tabel Map Industry'!$A$2:$H$464,8,0)</f>
        <v>Industri - Lainnya - 3990</v>
      </c>
    </row>
    <row r="396" spans="1:8" ht="75" hidden="1" customHeight="1" x14ac:dyDescent="0.25">
      <c r="A396" s="417" t="s">
        <v>6327</v>
      </c>
      <c r="B396" s="423" t="s">
        <v>6833</v>
      </c>
      <c r="C396" s="423" t="s">
        <v>6834</v>
      </c>
      <c r="D396" s="424" t="s">
        <v>5180</v>
      </c>
      <c r="E396" s="425" t="str">
        <f>VLOOKUP($D396,'Tabel Map Industry'!$A$2:$H$464,2,0)</f>
        <v xml:space="preserve">Industri Pakaian Jadi dan perlengkapannya, Kecuali Pakaian Jadi Berbulu </v>
      </c>
      <c r="F396" s="426" t="str">
        <f>VLOOKUP($D396,'Tabel Map Industry'!$A$2:$H$464,3,0)</f>
        <v>GARMEN (Incl. Jewelry &amp; Accessories)</v>
      </c>
      <c r="G396" s="426" t="str">
        <f>VLOOKUP($D396,'Tabel Map Industry'!$A$2:$H$464,4,0)</f>
        <v>Industri Pakaian Jadi dan perlengkapannya, Kecuali Pakaian Jadi Berbulu  - 181000</v>
      </c>
      <c r="H396" s="426" t="str">
        <f>VLOOKUP($D396,'Tabel Map Industry'!$A$2:$H$464,8,0)</f>
        <v>Industri - Lainnya - 3990</v>
      </c>
    </row>
    <row r="397" spans="1:8" ht="75" hidden="1" customHeight="1" x14ac:dyDescent="0.25">
      <c r="A397" s="422" t="s">
        <v>6330</v>
      </c>
      <c r="B397" s="418" t="s">
        <v>6837</v>
      </c>
      <c r="C397" s="418" t="s">
        <v>6838</v>
      </c>
      <c r="D397" s="419" t="s">
        <v>5179</v>
      </c>
      <c r="E397" s="420" t="str">
        <f>VLOOKUP($D397,'Tabel Map Industry'!$A$2:$H$464,2,0)</f>
        <v xml:space="preserve">Industri Barang Jadi Tekstil dan Permadani </v>
      </c>
      <c r="F397" s="421" t="str">
        <f>VLOOKUP($D397,'Tabel Map Industry'!$A$2:$H$464,3,0)</f>
        <v>GARMEN (Incl. Jewelry &amp; Accessories)</v>
      </c>
      <c r="G397" s="421" t="str">
        <f>VLOOKUP($D397,'Tabel Map Industry'!$A$2:$H$464,4,0)</f>
        <v>Industri Barang Jadi Tekstil dan Permadani  - 172000</v>
      </c>
      <c r="H397" s="421" t="str">
        <f>VLOOKUP($D397,'Tabel Map Industry'!$A$2:$H$464,8,0)</f>
        <v>Industri - Tekstil - 3310</v>
      </c>
    </row>
    <row r="398" spans="1:8" ht="75" hidden="1" customHeight="1" x14ac:dyDescent="0.25">
      <c r="A398" s="417" t="s">
        <v>6330</v>
      </c>
      <c r="B398" s="423" t="s">
        <v>6395</v>
      </c>
      <c r="C398" s="423" t="s">
        <v>6841</v>
      </c>
      <c r="D398" s="424" t="s">
        <v>5179</v>
      </c>
      <c r="E398" s="425" t="str">
        <f>VLOOKUP($D398,'Tabel Map Industry'!$A$2:$H$464,2,0)</f>
        <v xml:space="preserve">Industri Barang Jadi Tekstil dan Permadani </v>
      </c>
      <c r="F398" s="426" t="str">
        <f>VLOOKUP($D398,'Tabel Map Industry'!$A$2:$H$464,3,0)</f>
        <v>GARMEN (Incl. Jewelry &amp; Accessories)</v>
      </c>
      <c r="G398" s="426" t="str">
        <f>VLOOKUP($D398,'Tabel Map Industry'!$A$2:$H$464,4,0)</f>
        <v>Industri Barang Jadi Tekstil dan Permadani  - 172000</v>
      </c>
      <c r="H398" s="426" t="str">
        <f>VLOOKUP($D398,'Tabel Map Industry'!$A$2:$H$464,8,0)</f>
        <v>Industri - Tekstil - 3310</v>
      </c>
    </row>
    <row r="399" spans="1:8" ht="75" hidden="1" customHeight="1" x14ac:dyDescent="0.25">
      <c r="A399" s="422" t="s">
        <v>6330</v>
      </c>
      <c r="B399" s="418" t="s">
        <v>6842</v>
      </c>
      <c r="C399" s="418" t="s">
        <v>6843</v>
      </c>
      <c r="D399" s="419" t="s">
        <v>5063</v>
      </c>
      <c r="E399" s="420" t="str">
        <f>VLOOKUP($D399,'Tabel Map Industry'!$A$2:$H$464,2,0)</f>
        <v xml:space="preserve">Perdagangan Eceran Tekstil, Pakaian Jadi, Alas Kaki, dan Barang Keperluan Pribadi </v>
      </c>
      <c r="F399" s="421" t="str">
        <f>VLOOKUP($D399,'Tabel Map Industry'!$A$2:$H$464,3,0)</f>
        <v>GARMEN (Incl. Jewelry &amp; Accessories)</v>
      </c>
      <c r="G399" s="421" t="str">
        <f>VLOOKUP($D399,'Tabel Map Industry'!$A$2:$H$464,4,0)</f>
        <v>Perdagangan Eceran Tekstil, Pakaian Jadi, Alas Kaki, dan Barang Keperluan Pribadi  - 523200</v>
      </c>
      <c r="H399" s="421" t="str">
        <f>VLOOKUP($D399,'Tabel Map Industry'!$A$2:$H$464,8,0)</f>
        <v>Perdagangan Eceran - 6500</v>
      </c>
    </row>
    <row r="400" spans="1:8" ht="75" hidden="1" customHeight="1" x14ac:dyDescent="0.25">
      <c r="A400" s="417" t="s">
        <v>6330</v>
      </c>
      <c r="B400" s="423" t="s">
        <v>6854</v>
      </c>
      <c r="C400" s="423" t="s">
        <v>6855</v>
      </c>
      <c r="D400" s="424" t="s">
        <v>5180</v>
      </c>
      <c r="E400" s="425" t="str">
        <f>VLOOKUP($D400,'Tabel Map Industry'!$A$2:$H$464,2,0)</f>
        <v xml:space="preserve">Industri Pakaian Jadi dan perlengkapannya, Kecuali Pakaian Jadi Berbulu </v>
      </c>
      <c r="F400" s="426" t="str">
        <f>VLOOKUP($D400,'Tabel Map Industry'!$A$2:$H$464,3,0)</f>
        <v>GARMEN (Incl. Jewelry &amp; Accessories)</v>
      </c>
      <c r="G400" s="426" t="str">
        <f>VLOOKUP($D400,'Tabel Map Industry'!$A$2:$H$464,4,0)</f>
        <v>Industri Pakaian Jadi dan perlengkapannya, Kecuali Pakaian Jadi Berbulu  - 181000</v>
      </c>
      <c r="H400" s="426" t="str">
        <f>VLOOKUP($D400,'Tabel Map Industry'!$A$2:$H$464,8,0)</f>
        <v>Industri - Lainnya - 3990</v>
      </c>
    </row>
    <row r="401" spans="1:8" ht="75" hidden="1" customHeight="1" x14ac:dyDescent="0.25">
      <c r="A401" s="422" t="s">
        <v>6330</v>
      </c>
      <c r="B401" s="418" t="s">
        <v>6856</v>
      </c>
      <c r="C401" s="418" t="s">
        <v>6857</v>
      </c>
      <c r="D401" s="419" t="s">
        <v>5180</v>
      </c>
      <c r="E401" s="420" t="str">
        <f>VLOOKUP($D401,'Tabel Map Industry'!$A$2:$H$464,2,0)</f>
        <v xml:space="preserve">Industri Pakaian Jadi dan perlengkapannya, Kecuali Pakaian Jadi Berbulu </v>
      </c>
      <c r="F401" s="421" t="str">
        <f>VLOOKUP($D401,'Tabel Map Industry'!$A$2:$H$464,3,0)</f>
        <v>GARMEN (Incl. Jewelry &amp; Accessories)</v>
      </c>
      <c r="G401" s="421" t="str">
        <f>VLOOKUP($D401,'Tabel Map Industry'!$A$2:$H$464,4,0)</f>
        <v>Industri Pakaian Jadi dan perlengkapannya, Kecuali Pakaian Jadi Berbulu  - 181000</v>
      </c>
      <c r="H401" s="421" t="str">
        <f>VLOOKUP($D401,'Tabel Map Industry'!$A$2:$H$464,8,0)</f>
        <v>Industri - Lainnya - 3990</v>
      </c>
    </row>
    <row r="402" spans="1:8" ht="75" hidden="1" customHeight="1" x14ac:dyDescent="0.25">
      <c r="A402" s="417" t="s">
        <v>6330</v>
      </c>
      <c r="B402" s="423" t="s">
        <v>6864</v>
      </c>
      <c r="C402" s="423" t="s">
        <v>6865</v>
      </c>
      <c r="D402" s="424" t="s">
        <v>5063</v>
      </c>
      <c r="E402" s="425" t="str">
        <f>VLOOKUP($D402,'Tabel Map Industry'!$A$2:$H$464,2,0)</f>
        <v xml:space="preserve">Perdagangan Eceran Tekstil, Pakaian Jadi, Alas Kaki, dan Barang Keperluan Pribadi </v>
      </c>
      <c r="F402" s="426" t="str">
        <f>VLOOKUP($D402,'Tabel Map Industry'!$A$2:$H$464,3,0)</f>
        <v>GARMEN (Incl. Jewelry &amp; Accessories)</v>
      </c>
      <c r="G402" s="426" t="str">
        <f>VLOOKUP($D402,'Tabel Map Industry'!$A$2:$H$464,4,0)</f>
        <v>Perdagangan Eceran Tekstil, Pakaian Jadi, Alas Kaki, dan Barang Keperluan Pribadi  - 523200</v>
      </c>
      <c r="H402" s="426" t="str">
        <f>VLOOKUP($D402,'Tabel Map Industry'!$A$2:$H$464,8,0)</f>
        <v>Perdagangan Eceran - 6500</v>
      </c>
    </row>
    <row r="403" spans="1:8" ht="75" hidden="1" customHeight="1" x14ac:dyDescent="0.25">
      <c r="A403" s="422" t="s">
        <v>6330</v>
      </c>
      <c r="B403" s="418" t="s">
        <v>6445</v>
      </c>
      <c r="C403" s="418" t="s">
        <v>6926</v>
      </c>
      <c r="D403" s="419" t="s">
        <v>5063</v>
      </c>
      <c r="E403" s="420" t="str">
        <f>VLOOKUP($D403,'Tabel Map Industry'!$A$2:$H$464,2,0)</f>
        <v xml:space="preserve">Perdagangan Eceran Tekstil, Pakaian Jadi, Alas Kaki, dan Barang Keperluan Pribadi </v>
      </c>
      <c r="F403" s="421" t="str">
        <f>VLOOKUP($D403,'Tabel Map Industry'!$A$2:$H$464,3,0)</f>
        <v>GARMEN (Incl. Jewelry &amp; Accessories)</v>
      </c>
      <c r="G403" s="421" t="str">
        <f>VLOOKUP($D403,'Tabel Map Industry'!$A$2:$H$464,4,0)</f>
        <v>Perdagangan Eceran Tekstil, Pakaian Jadi, Alas Kaki, dan Barang Keperluan Pribadi  - 523200</v>
      </c>
      <c r="H403" s="421" t="str">
        <f>VLOOKUP($D403,'Tabel Map Industry'!$A$2:$H$464,8,0)</f>
        <v>Perdagangan Eceran - 6500</v>
      </c>
    </row>
    <row r="404" spans="1:8" ht="75" hidden="1" customHeight="1" x14ac:dyDescent="0.25">
      <c r="A404" s="417" t="s">
        <v>6330</v>
      </c>
      <c r="B404" s="423" t="s">
        <v>7015</v>
      </c>
      <c r="C404" s="423" t="s">
        <v>7015</v>
      </c>
      <c r="D404" s="424" t="s">
        <v>5063</v>
      </c>
      <c r="E404" s="425" t="str">
        <f>VLOOKUP($D404,'Tabel Map Industry'!$A$2:$H$464,2,0)</f>
        <v xml:space="preserve">Perdagangan Eceran Tekstil, Pakaian Jadi, Alas Kaki, dan Barang Keperluan Pribadi </v>
      </c>
      <c r="F404" s="426" t="str">
        <f>VLOOKUP($D404,'Tabel Map Industry'!$A$2:$H$464,3,0)</f>
        <v>GARMEN (Incl. Jewelry &amp; Accessories)</v>
      </c>
      <c r="G404" s="426" t="str">
        <f>VLOOKUP($D404,'Tabel Map Industry'!$A$2:$H$464,4,0)</f>
        <v>Perdagangan Eceran Tekstil, Pakaian Jadi, Alas Kaki, dan Barang Keperluan Pribadi  - 523200</v>
      </c>
      <c r="H404" s="426" t="str">
        <f>VLOOKUP($D404,'Tabel Map Industry'!$A$2:$H$464,8,0)</f>
        <v>Perdagangan Eceran - 6500</v>
      </c>
    </row>
    <row r="405" spans="1:8" ht="75" hidden="1" customHeight="1" x14ac:dyDescent="0.25">
      <c r="A405" s="422" t="s">
        <v>6324</v>
      </c>
      <c r="B405" s="418" t="s">
        <v>7018</v>
      </c>
      <c r="C405" s="418" t="s">
        <v>7019</v>
      </c>
      <c r="D405" s="419" t="s">
        <v>5063</v>
      </c>
      <c r="E405" s="420" t="str">
        <f>VLOOKUP($D405,'Tabel Map Industry'!$A$2:$H$464,2,0)</f>
        <v xml:space="preserve">Perdagangan Eceran Tekstil, Pakaian Jadi, Alas Kaki, dan Barang Keperluan Pribadi </v>
      </c>
      <c r="F405" s="421" t="str">
        <f>VLOOKUP($D405,'Tabel Map Industry'!$A$2:$H$464,3,0)</f>
        <v>GARMEN (Incl. Jewelry &amp; Accessories)</v>
      </c>
      <c r="G405" s="421" t="str">
        <f>VLOOKUP($D405,'Tabel Map Industry'!$A$2:$H$464,4,0)</f>
        <v>Perdagangan Eceran Tekstil, Pakaian Jadi, Alas Kaki, dan Barang Keperluan Pribadi  - 523200</v>
      </c>
      <c r="H405" s="421" t="str">
        <f>VLOOKUP($D405,'Tabel Map Industry'!$A$2:$H$464,8,0)</f>
        <v>Perdagangan Eceran - 6500</v>
      </c>
    </row>
    <row r="406" spans="1:8" ht="75" hidden="1" customHeight="1" x14ac:dyDescent="0.25">
      <c r="A406" s="417" t="s">
        <v>6330</v>
      </c>
      <c r="B406" s="423" t="s">
        <v>7022</v>
      </c>
      <c r="C406" s="423" t="s">
        <v>7023</v>
      </c>
      <c r="D406" s="424" t="s">
        <v>5063</v>
      </c>
      <c r="E406" s="425" t="str">
        <f>VLOOKUP($D406,'Tabel Map Industry'!$A$2:$H$464,2,0)</f>
        <v xml:space="preserve">Perdagangan Eceran Tekstil, Pakaian Jadi, Alas Kaki, dan Barang Keperluan Pribadi </v>
      </c>
      <c r="F406" s="426" t="str">
        <f>VLOOKUP($D406,'Tabel Map Industry'!$A$2:$H$464,3,0)</f>
        <v>GARMEN (Incl. Jewelry &amp; Accessories)</v>
      </c>
      <c r="G406" s="426" t="str">
        <f>VLOOKUP($D406,'Tabel Map Industry'!$A$2:$H$464,4,0)</f>
        <v>Perdagangan Eceran Tekstil, Pakaian Jadi, Alas Kaki, dan Barang Keperluan Pribadi  - 523200</v>
      </c>
      <c r="H406" s="426" t="str">
        <f>VLOOKUP($D406,'Tabel Map Industry'!$A$2:$H$464,8,0)</f>
        <v>Perdagangan Eceran - 6500</v>
      </c>
    </row>
    <row r="407" spans="1:8" ht="75" hidden="1" customHeight="1" x14ac:dyDescent="0.25">
      <c r="A407" s="422" t="s">
        <v>6330</v>
      </c>
      <c r="B407" s="418" t="s">
        <v>7043</v>
      </c>
      <c r="C407" s="418" t="s">
        <v>7044</v>
      </c>
      <c r="D407" s="419" t="s">
        <v>5063</v>
      </c>
      <c r="E407" s="420" t="str">
        <f>VLOOKUP($D407,'Tabel Map Industry'!$A$2:$H$464,2,0)</f>
        <v xml:space="preserve">Perdagangan Eceran Tekstil, Pakaian Jadi, Alas Kaki, dan Barang Keperluan Pribadi </v>
      </c>
      <c r="F407" s="421" t="str">
        <f>VLOOKUP($D407,'Tabel Map Industry'!$A$2:$H$464,3,0)</f>
        <v>GARMEN (Incl. Jewelry &amp; Accessories)</v>
      </c>
      <c r="G407" s="421" t="str">
        <f>VLOOKUP($D407,'Tabel Map Industry'!$A$2:$H$464,4,0)</f>
        <v>Perdagangan Eceran Tekstil, Pakaian Jadi, Alas Kaki, dan Barang Keperluan Pribadi  - 523200</v>
      </c>
      <c r="H407" s="421" t="str">
        <f>VLOOKUP($D407,'Tabel Map Industry'!$A$2:$H$464,8,0)</f>
        <v>Perdagangan Eceran - 6500</v>
      </c>
    </row>
    <row r="408" spans="1:8" ht="75" hidden="1" customHeight="1" x14ac:dyDescent="0.25">
      <c r="A408" s="417" t="s">
        <v>6330</v>
      </c>
      <c r="B408" s="423" t="s">
        <v>6581</v>
      </c>
      <c r="C408" s="423" t="s">
        <v>7052</v>
      </c>
      <c r="D408" s="424" t="s">
        <v>5063</v>
      </c>
      <c r="E408" s="425" t="str">
        <f>VLOOKUP($D408,'Tabel Map Industry'!$A$2:$H$464,2,0)</f>
        <v xml:space="preserve">Perdagangan Eceran Tekstil, Pakaian Jadi, Alas Kaki, dan Barang Keperluan Pribadi </v>
      </c>
      <c r="F408" s="426" t="str">
        <f>VLOOKUP($D408,'Tabel Map Industry'!$A$2:$H$464,3,0)</f>
        <v>GARMEN (Incl. Jewelry &amp; Accessories)</v>
      </c>
      <c r="G408" s="426" t="str">
        <f>VLOOKUP($D408,'Tabel Map Industry'!$A$2:$H$464,4,0)</f>
        <v>Perdagangan Eceran Tekstil, Pakaian Jadi, Alas Kaki, dan Barang Keperluan Pribadi  - 523200</v>
      </c>
      <c r="H408" s="426" t="str">
        <f>VLOOKUP($D408,'Tabel Map Industry'!$A$2:$H$464,8,0)</f>
        <v>Perdagangan Eceran - 6500</v>
      </c>
    </row>
    <row r="409" spans="1:8" ht="75" hidden="1" customHeight="1" x14ac:dyDescent="0.25">
      <c r="A409" s="422" t="s">
        <v>6330</v>
      </c>
      <c r="B409" s="418" t="s">
        <v>7152</v>
      </c>
      <c r="C409" s="418" t="s">
        <v>7156</v>
      </c>
      <c r="D409" s="419" t="s">
        <v>5063</v>
      </c>
      <c r="E409" s="420" t="str">
        <f>VLOOKUP($D409,'Tabel Map Industry'!$A$2:$H$464,2,0)</f>
        <v xml:space="preserve">Perdagangan Eceran Tekstil, Pakaian Jadi, Alas Kaki, dan Barang Keperluan Pribadi </v>
      </c>
      <c r="F409" s="421" t="str">
        <f>VLOOKUP($D409,'Tabel Map Industry'!$A$2:$H$464,3,0)</f>
        <v>GARMEN (Incl. Jewelry &amp; Accessories)</v>
      </c>
      <c r="G409" s="421" t="str">
        <f>VLOOKUP($D409,'Tabel Map Industry'!$A$2:$H$464,4,0)</f>
        <v>Perdagangan Eceran Tekstil, Pakaian Jadi, Alas Kaki, dan Barang Keperluan Pribadi  - 523200</v>
      </c>
      <c r="H409" s="421" t="str">
        <f>VLOOKUP($D409,'Tabel Map Industry'!$A$2:$H$464,8,0)</f>
        <v>Perdagangan Eceran - 6500</v>
      </c>
    </row>
    <row r="410" spans="1:8" ht="75" hidden="1" customHeight="1" x14ac:dyDescent="0.25">
      <c r="A410" s="417" t="s">
        <v>6330</v>
      </c>
      <c r="B410" s="423" t="s">
        <v>6395</v>
      </c>
      <c r="C410" s="423" t="s">
        <v>7167</v>
      </c>
      <c r="D410" s="424" t="s">
        <v>5063</v>
      </c>
      <c r="E410" s="425" t="str">
        <f>VLOOKUP($D410,'Tabel Map Industry'!$A$2:$H$464,2,0)</f>
        <v xml:space="preserve">Perdagangan Eceran Tekstil, Pakaian Jadi, Alas Kaki, dan Barang Keperluan Pribadi </v>
      </c>
      <c r="F410" s="426" t="str">
        <f>VLOOKUP($D410,'Tabel Map Industry'!$A$2:$H$464,3,0)</f>
        <v>GARMEN (Incl. Jewelry &amp; Accessories)</v>
      </c>
      <c r="G410" s="426" t="str">
        <f>VLOOKUP($D410,'Tabel Map Industry'!$A$2:$H$464,4,0)</f>
        <v>Perdagangan Eceran Tekstil, Pakaian Jadi, Alas Kaki, dan Barang Keperluan Pribadi  - 523200</v>
      </c>
      <c r="H410" s="426" t="str">
        <f>VLOOKUP($D410,'Tabel Map Industry'!$A$2:$H$464,8,0)</f>
        <v>Perdagangan Eceran - 6500</v>
      </c>
    </row>
    <row r="411" spans="1:8" ht="75" hidden="1" customHeight="1" x14ac:dyDescent="0.25">
      <c r="A411" s="422" t="s">
        <v>6330</v>
      </c>
      <c r="B411" s="418" t="str">
        <f>PROPER(F411)</f>
        <v>Garmen (Incl. Jewelry &amp; Accessories)</v>
      </c>
      <c r="C411" s="418" t="str">
        <f>E411</f>
        <v xml:space="preserve">Perdagangan Eceran Tekstil, Pakaian Jadi, Alas Kaki, dan Barang Keperluan Pribadi </v>
      </c>
      <c r="D411" s="419" t="s">
        <v>5063</v>
      </c>
      <c r="E411" s="420" t="str">
        <f>VLOOKUP($D411,'Tabel Map Industry'!$A$2:$H$464,2,0)</f>
        <v xml:space="preserve">Perdagangan Eceran Tekstil, Pakaian Jadi, Alas Kaki, dan Barang Keperluan Pribadi </v>
      </c>
      <c r="F411" s="421" t="str">
        <f>VLOOKUP($D411,'Tabel Map Industry'!$A$2:$H$464,3,0)</f>
        <v>GARMEN (Incl. Jewelry &amp; Accessories)</v>
      </c>
      <c r="G411" s="421" t="str">
        <f>VLOOKUP($D411,'Tabel Map Industry'!$A$2:$H$464,4,0)</f>
        <v>Perdagangan Eceran Tekstil, Pakaian Jadi, Alas Kaki, dan Barang Keperluan Pribadi  - 523200</v>
      </c>
      <c r="H411" s="421" t="str">
        <f>VLOOKUP($D411,'Tabel Map Industry'!$A$2:$H$464,8,0)</f>
        <v>Perdagangan Eceran - 6500</v>
      </c>
    </row>
    <row r="412" spans="1:8" ht="75" hidden="1" customHeight="1" x14ac:dyDescent="0.25">
      <c r="A412" s="417" t="s">
        <v>6324</v>
      </c>
      <c r="B412" s="423" t="str">
        <f>PROPER(F412)</f>
        <v>Garmen (Incl. Jewelry &amp; Accessories)</v>
      </c>
      <c r="C412" s="423" t="str">
        <f>E412</f>
        <v xml:space="preserve">Perdagangan Besar Tekstil, Pakaian Jadi, dan Kulit </v>
      </c>
      <c r="D412" s="424" t="s">
        <v>5074</v>
      </c>
      <c r="E412" s="425" t="str">
        <f>VLOOKUP($D412,'Tabel Map Industry'!$A$2:$H$464,2,0)</f>
        <v xml:space="preserve">Perdagangan Besar Tekstil, Pakaian Jadi, dan Kulit </v>
      </c>
      <c r="F412" s="426" t="str">
        <f>VLOOKUP($D412,'Tabel Map Industry'!$A$2:$H$464,3,0)</f>
        <v>GARMEN (Incl. Jewelry &amp; Accessories)</v>
      </c>
      <c r="G412" s="426" t="str">
        <f>VLOOKUP($D412,'Tabel Map Industry'!$A$2:$H$464,4,0)</f>
        <v>Perdagangan Besar Tekstil, Pakaian Jadi, dan Kulit  - 513100</v>
      </c>
      <c r="H412" s="426" t="str">
        <f>VLOOKUP($D412,'Tabel Map Industry'!$A$2:$H$464,8,0)</f>
        <v>Distribusi lainnya - 6490</v>
      </c>
    </row>
    <row r="413" spans="1:8" ht="75" hidden="1" customHeight="1" x14ac:dyDescent="0.25">
      <c r="A413" s="422" t="s">
        <v>6330</v>
      </c>
      <c r="B413" s="418" t="s">
        <v>6405</v>
      </c>
      <c r="C413" s="418" t="s">
        <v>6406</v>
      </c>
      <c r="D413" s="419" t="s">
        <v>5166</v>
      </c>
      <c r="E413" s="420" t="str">
        <f>VLOOKUP($D413,'Tabel Map Industry'!$A$2:$H$464,2,0)</f>
        <v xml:space="preserve">Perdagangan Eceran Perlengkapan Rumah Tangga dan Perlengkapan Dapur </v>
      </c>
      <c r="F413" s="421" t="str">
        <f>VLOOKUP($D413,'Tabel Map Industry'!$A$2:$H$464,3,0)</f>
        <v>HOME APPLIANCES</v>
      </c>
      <c r="G413" s="421" t="str">
        <f>VLOOKUP($D413,'Tabel Map Industry'!$A$2:$H$464,4,0)</f>
        <v>Perdagangan Eceran Perlengkapan Rumah Tangga dan Perlengkapan Dapur  - 523300</v>
      </c>
      <c r="H413" s="421" t="str">
        <f>VLOOKUP($D413,'Tabel Map Industry'!$A$2:$H$464,8,0)</f>
        <v>Perdagangan Eceran - 6500</v>
      </c>
    </row>
    <row r="414" spans="1:8" ht="75" hidden="1" customHeight="1" x14ac:dyDescent="0.25">
      <c r="A414" s="417" t="s">
        <v>6330</v>
      </c>
      <c r="B414" s="423" t="s">
        <v>6367</v>
      </c>
      <c r="C414" s="423" t="s">
        <v>6368</v>
      </c>
      <c r="D414" s="424" t="s">
        <v>5163</v>
      </c>
      <c r="E414" s="425" t="str">
        <f>VLOOKUP($D414,'Tabel Map Industry'!$A$2:$H$464,2,0)</f>
        <v xml:space="preserve">Perdagangan Besar Barang-barang Keperluan Rumah Tangga lainnya </v>
      </c>
      <c r="F414" s="426" t="str">
        <f>VLOOKUP($D414,'Tabel Map Industry'!$A$2:$H$464,3,0)</f>
        <v>HOME APPLIANCES</v>
      </c>
      <c r="G414" s="426" t="str">
        <f>VLOOKUP($D414,'Tabel Map Industry'!$A$2:$H$464,4,0)</f>
        <v>Perdagangan Besar Barang-barang Keperluan Rumah Tangga lainnya  - 513900</v>
      </c>
      <c r="H414" s="426" t="str">
        <f>VLOOKUP($D414,'Tabel Map Industry'!$A$2:$H$464,8,0)</f>
        <v>Distribusi lainnya - 6490</v>
      </c>
    </row>
    <row r="415" spans="1:8" ht="75" hidden="1" customHeight="1" x14ac:dyDescent="0.25">
      <c r="A415" s="422" t="s">
        <v>6330</v>
      </c>
      <c r="B415" s="418" t="s">
        <v>6399</v>
      </c>
      <c r="C415" s="418" t="s">
        <v>6400</v>
      </c>
      <c r="D415" s="419" t="s">
        <v>5166</v>
      </c>
      <c r="E415" s="420" t="str">
        <f>VLOOKUP($D415,'Tabel Map Industry'!$A$2:$H$464,2,0)</f>
        <v xml:space="preserve">Perdagangan Eceran Perlengkapan Rumah Tangga dan Perlengkapan Dapur </v>
      </c>
      <c r="F415" s="421" t="str">
        <f>VLOOKUP($D415,'Tabel Map Industry'!$A$2:$H$464,3,0)</f>
        <v>HOME APPLIANCES</v>
      </c>
      <c r="G415" s="421" t="str">
        <f>VLOOKUP($D415,'Tabel Map Industry'!$A$2:$H$464,4,0)</f>
        <v>Perdagangan Eceran Perlengkapan Rumah Tangga dan Perlengkapan Dapur  - 523300</v>
      </c>
      <c r="H415" s="421" t="str">
        <f>VLOOKUP($D415,'Tabel Map Industry'!$A$2:$H$464,8,0)</f>
        <v>Perdagangan Eceran - 6500</v>
      </c>
    </row>
    <row r="416" spans="1:8" ht="75" hidden="1" customHeight="1" x14ac:dyDescent="0.25">
      <c r="A416" s="417" t="s">
        <v>6330</v>
      </c>
      <c r="B416" s="423" t="s">
        <v>6401</v>
      </c>
      <c r="C416" s="423" t="s">
        <v>6402</v>
      </c>
      <c r="D416" s="424" t="s">
        <v>5166</v>
      </c>
      <c r="E416" s="425" t="str">
        <f>VLOOKUP($D416,'Tabel Map Industry'!$A$2:$H$464,2,0)</f>
        <v xml:space="preserve">Perdagangan Eceran Perlengkapan Rumah Tangga dan Perlengkapan Dapur </v>
      </c>
      <c r="F416" s="426" t="str">
        <f>VLOOKUP($D416,'Tabel Map Industry'!$A$2:$H$464,3,0)</f>
        <v>HOME APPLIANCES</v>
      </c>
      <c r="G416" s="426" t="str">
        <f>VLOOKUP($D416,'Tabel Map Industry'!$A$2:$H$464,4,0)</f>
        <v>Perdagangan Eceran Perlengkapan Rumah Tangga dan Perlengkapan Dapur  - 523300</v>
      </c>
      <c r="H416" s="426" t="str">
        <f>VLOOKUP($D416,'Tabel Map Industry'!$A$2:$H$464,8,0)</f>
        <v>Perdagangan Eceran - 6500</v>
      </c>
    </row>
    <row r="417" spans="1:8" ht="75" hidden="1" customHeight="1" x14ac:dyDescent="0.25">
      <c r="A417" s="422" t="s">
        <v>6330</v>
      </c>
      <c r="B417" s="418" t="s">
        <v>6415</v>
      </c>
      <c r="C417" s="418" t="s">
        <v>6416</v>
      </c>
      <c r="D417" s="419" t="s">
        <v>5166</v>
      </c>
      <c r="E417" s="420" t="str">
        <f>VLOOKUP($D417,'Tabel Map Industry'!$A$2:$H$464,2,0)</f>
        <v xml:space="preserve">Perdagangan Eceran Perlengkapan Rumah Tangga dan Perlengkapan Dapur </v>
      </c>
      <c r="F417" s="421" t="str">
        <f>VLOOKUP($D417,'Tabel Map Industry'!$A$2:$H$464,3,0)</f>
        <v>HOME APPLIANCES</v>
      </c>
      <c r="G417" s="421" t="str">
        <f>VLOOKUP($D417,'Tabel Map Industry'!$A$2:$H$464,4,0)</f>
        <v>Perdagangan Eceran Perlengkapan Rumah Tangga dan Perlengkapan Dapur  - 523300</v>
      </c>
      <c r="H417" s="421" t="str">
        <f>VLOOKUP($D417,'Tabel Map Industry'!$A$2:$H$464,8,0)</f>
        <v>Perdagangan Eceran - 6500</v>
      </c>
    </row>
    <row r="418" spans="1:8" ht="75" hidden="1" customHeight="1" x14ac:dyDescent="0.25">
      <c r="A418" s="417" t="s">
        <v>6330</v>
      </c>
      <c r="B418" s="423" t="s">
        <v>6464</v>
      </c>
      <c r="C418" s="423" t="s">
        <v>6465</v>
      </c>
      <c r="D418" s="424" t="s">
        <v>5166</v>
      </c>
      <c r="E418" s="425" t="str">
        <f>VLOOKUP($D418,'Tabel Map Industry'!$A$2:$H$464,2,0)</f>
        <v xml:space="preserve">Perdagangan Eceran Perlengkapan Rumah Tangga dan Perlengkapan Dapur </v>
      </c>
      <c r="F418" s="426" t="str">
        <f>VLOOKUP($D418,'Tabel Map Industry'!$A$2:$H$464,3,0)</f>
        <v>HOME APPLIANCES</v>
      </c>
      <c r="G418" s="426" t="str">
        <f>VLOOKUP($D418,'Tabel Map Industry'!$A$2:$H$464,4,0)</f>
        <v>Perdagangan Eceran Perlengkapan Rumah Tangga dan Perlengkapan Dapur  - 523300</v>
      </c>
      <c r="H418" s="426" t="str">
        <f>VLOOKUP($D418,'Tabel Map Industry'!$A$2:$H$464,8,0)</f>
        <v>Perdagangan Eceran - 6500</v>
      </c>
    </row>
    <row r="419" spans="1:8" ht="75" hidden="1" customHeight="1" x14ac:dyDescent="0.25">
      <c r="A419" s="422" t="s">
        <v>6330</v>
      </c>
      <c r="B419" s="418" t="s">
        <v>6337</v>
      </c>
      <c r="C419" s="418" t="s">
        <v>6499</v>
      </c>
      <c r="D419" s="419" t="s">
        <v>5240</v>
      </c>
      <c r="E419" s="420" t="str">
        <f>VLOOKUP($D419,'Tabel Map Industry'!$A$2:$H$464,2,0)</f>
        <v xml:space="preserve">Perdagangan Eceran Kertas, Barang-barang dari Kertas, Alat Tulis, Barang Cetakan, Alat Olahraga, Alat Musik, Alat Fotografi, Komputer </v>
      </c>
      <c r="F419" s="421" t="str">
        <f>VLOOKUP($D419,'Tabel Map Industry'!$A$2:$H$464,3,0)</f>
        <v>HOME APPLIANCES</v>
      </c>
      <c r="G419" s="421" t="str">
        <f>VLOOKUP($D419,'Tabel Map Industry'!$A$2:$H$464,4,0)</f>
        <v>Perdagangan Eceran Kertas, Barang-barang dari Kertas, Alat Tulis, Barang Cetakan, Alat Olahraga, Alat Musik, Alat Fotografi, Komputer  - 523600</v>
      </c>
      <c r="H419" s="421" t="str">
        <f>VLOOKUP($D419,'Tabel Map Industry'!$A$2:$H$464,8,0)</f>
        <v>Perdagangan Eceran - 6500</v>
      </c>
    </row>
    <row r="420" spans="1:8" ht="75" hidden="1" customHeight="1" x14ac:dyDescent="0.25">
      <c r="A420" s="417" t="s">
        <v>6330</v>
      </c>
      <c r="B420" s="423" t="s">
        <v>6520</v>
      </c>
      <c r="C420" s="423" t="s">
        <v>6521</v>
      </c>
      <c r="D420" s="424" t="s">
        <v>5166</v>
      </c>
      <c r="E420" s="425" t="str">
        <f>VLOOKUP($D420,'Tabel Map Industry'!$A$2:$H$464,2,0)</f>
        <v xml:space="preserve">Perdagangan Eceran Perlengkapan Rumah Tangga dan Perlengkapan Dapur </v>
      </c>
      <c r="F420" s="426" t="str">
        <f>VLOOKUP($D420,'Tabel Map Industry'!$A$2:$H$464,3,0)</f>
        <v>HOME APPLIANCES</v>
      </c>
      <c r="G420" s="426" t="str">
        <f>VLOOKUP($D420,'Tabel Map Industry'!$A$2:$H$464,4,0)</f>
        <v>Perdagangan Eceran Perlengkapan Rumah Tangga dan Perlengkapan Dapur  - 523300</v>
      </c>
      <c r="H420" s="426" t="str">
        <f>VLOOKUP($D420,'Tabel Map Industry'!$A$2:$H$464,8,0)</f>
        <v>Perdagangan Eceran - 6500</v>
      </c>
    </row>
    <row r="421" spans="1:8" ht="75" hidden="1" customHeight="1" x14ac:dyDescent="0.25">
      <c r="A421" s="422" t="s">
        <v>6330</v>
      </c>
      <c r="B421" s="418" t="s">
        <v>6527</v>
      </c>
      <c r="C421" s="418" t="s">
        <v>6528</v>
      </c>
      <c r="D421" s="419" t="s">
        <v>5166</v>
      </c>
      <c r="E421" s="420" t="str">
        <f>VLOOKUP($D421,'Tabel Map Industry'!$A$2:$H$464,2,0)</f>
        <v xml:space="preserve">Perdagangan Eceran Perlengkapan Rumah Tangga dan Perlengkapan Dapur </v>
      </c>
      <c r="F421" s="421" t="str">
        <f>VLOOKUP($D421,'Tabel Map Industry'!$A$2:$H$464,3,0)</f>
        <v>HOME APPLIANCES</v>
      </c>
      <c r="G421" s="421" t="str">
        <f>VLOOKUP($D421,'Tabel Map Industry'!$A$2:$H$464,4,0)</f>
        <v>Perdagangan Eceran Perlengkapan Rumah Tangga dan Perlengkapan Dapur  - 523300</v>
      </c>
      <c r="H421" s="421" t="str">
        <f>VLOOKUP($D421,'Tabel Map Industry'!$A$2:$H$464,8,0)</f>
        <v>Perdagangan Eceran - 6500</v>
      </c>
    </row>
    <row r="422" spans="1:8" ht="75" hidden="1" customHeight="1" x14ac:dyDescent="0.25">
      <c r="A422" s="417" t="s">
        <v>6330</v>
      </c>
      <c r="B422" s="423" t="s">
        <v>6570</v>
      </c>
      <c r="C422" s="423" t="s">
        <v>6571</v>
      </c>
      <c r="D422" s="424" t="s">
        <v>5166</v>
      </c>
      <c r="E422" s="425" t="str">
        <f>VLOOKUP($D422,'Tabel Map Industry'!$A$2:$H$464,2,0)</f>
        <v xml:space="preserve">Perdagangan Eceran Perlengkapan Rumah Tangga dan Perlengkapan Dapur </v>
      </c>
      <c r="F422" s="426" t="str">
        <f>VLOOKUP($D422,'Tabel Map Industry'!$A$2:$H$464,3,0)</f>
        <v>HOME APPLIANCES</v>
      </c>
      <c r="G422" s="426" t="str">
        <f>VLOOKUP($D422,'Tabel Map Industry'!$A$2:$H$464,4,0)</f>
        <v>Perdagangan Eceran Perlengkapan Rumah Tangga dan Perlengkapan Dapur  - 523300</v>
      </c>
      <c r="H422" s="426" t="str">
        <f>VLOOKUP($D422,'Tabel Map Industry'!$A$2:$H$464,8,0)</f>
        <v>Perdagangan Eceran - 6500</v>
      </c>
    </row>
    <row r="423" spans="1:8" ht="75" hidden="1" customHeight="1" x14ac:dyDescent="0.25">
      <c r="A423" s="422" t="s">
        <v>6330</v>
      </c>
      <c r="B423" s="418" t="s">
        <v>6568</v>
      </c>
      <c r="C423" s="418" t="s">
        <v>6573</v>
      </c>
      <c r="D423" s="419" t="s">
        <v>5166</v>
      </c>
      <c r="E423" s="420" t="str">
        <f>VLOOKUP($D423,'Tabel Map Industry'!$A$2:$H$464,2,0)</f>
        <v xml:space="preserve">Perdagangan Eceran Perlengkapan Rumah Tangga dan Perlengkapan Dapur </v>
      </c>
      <c r="F423" s="421" t="str">
        <f>VLOOKUP($D423,'Tabel Map Industry'!$A$2:$H$464,3,0)</f>
        <v>HOME APPLIANCES</v>
      </c>
      <c r="G423" s="421" t="str">
        <f>VLOOKUP($D423,'Tabel Map Industry'!$A$2:$H$464,4,0)</f>
        <v>Perdagangan Eceran Perlengkapan Rumah Tangga dan Perlengkapan Dapur  - 523300</v>
      </c>
      <c r="H423" s="421" t="str">
        <f>VLOOKUP($D423,'Tabel Map Industry'!$A$2:$H$464,8,0)</f>
        <v>Perdagangan Eceran - 6500</v>
      </c>
    </row>
    <row r="424" spans="1:8" ht="75" hidden="1" customHeight="1" x14ac:dyDescent="0.25">
      <c r="A424" s="417" t="s">
        <v>6330</v>
      </c>
      <c r="B424" s="423" t="s">
        <v>6579</v>
      </c>
      <c r="C424" s="423" t="s">
        <v>6580</v>
      </c>
      <c r="D424" s="424" t="s">
        <v>5240</v>
      </c>
      <c r="E424" s="425" t="str">
        <f>VLOOKUP($D424,'Tabel Map Industry'!$A$2:$H$464,2,0)</f>
        <v xml:space="preserve">Perdagangan Eceran Kertas, Barang-barang dari Kertas, Alat Tulis, Barang Cetakan, Alat Olahraga, Alat Musik, Alat Fotografi, Komputer </v>
      </c>
      <c r="F424" s="426" t="str">
        <f>VLOOKUP($D424,'Tabel Map Industry'!$A$2:$H$464,3,0)</f>
        <v>HOME APPLIANCES</v>
      </c>
      <c r="G424" s="426" t="str">
        <f>VLOOKUP($D424,'Tabel Map Industry'!$A$2:$H$464,4,0)</f>
        <v>Perdagangan Eceran Kertas, Barang-barang dari Kertas, Alat Tulis, Barang Cetakan, Alat Olahraga, Alat Musik, Alat Fotografi, Komputer  - 523600</v>
      </c>
      <c r="H424" s="426" t="str">
        <f>VLOOKUP($D424,'Tabel Map Industry'!$A$2:$H$464,8,0)</f>
        <v>Perdagangan Eceran - 6500</v>
      </c>
    </row>
    <row r="425" spans="1:8" ht="75" hidden="1" customHeight="1" x14ac:dyDescent="0.25">
      <c r="A425" s="422" t="s">
        <v>6324</v>
      </c>
      <c r="B425" s="418" t="s">
        <v>6577</v>
      </c>
      <c r="C425" s="418" t="s">
        <v>6587</v>
      </c>
      <c r="D425" s="419" t="s">
        <v>5240</v>
      </c>
      <c r="E425" s="420" t="str">
        <f>VLOOKUP($D425,'Tabel Map Industry'!$A$2:$H$464,2,0)</f>
        <v xml:space="preserve">Perdagangan Eceran Kertas, Barang-barang dari Kertas, Alat Tulis, Barang Cetakan, Alat Olahraga, Alat Musik, Alat Fotografi, Komputer </v>
      </c>
      <c r="F425" s="421" t="str">
        <f>VLOOKUP($D425,'Tabel Map Industry'!$A$2:$H$464,3,0)</f>
        <v>HOME APPLIANCES</v>
      </c>
      <c r="G425" s="421" t="str">
        <f>VLOOKUP($D425,'Tabel Map Industry'!$A$2:$H$464,4,0)</f>
        <v>Perdagangan Eceran Kertas, Barang-barang dari Kertas, Alat Tulis, Barang Cetakan, Alat Olahraga, Alat Musik, Alat Fotografi, Komputer  - 523600</v>
      </c>
      <c r="H425" s="421" t="str">
        <f>VLOOKUP($D425,'Tabel Map Industry'!$A$2:$H$464,8,0)</f>
        <v>Perdagangan Eceran - 6500</v>
      </c>
    </row>
    <row r="426" spans="1:8" ht="75" hidden="1" customHeight="1" x14ac:dyDescent="0.25">
      <c r="A426" s="417" t="s">
        <v>6330</v>
      </c>
      <c r="B426" s="423" t="s">
        <v>6597</v>
      </c>
      <c r="C426" s="423" t="s">
        <v>6598</v>
      </c>
      <c r="D426" s="424" t="s">
        <v>5240</v>
      </c>
      <c r="E426" s="425" t="str">
        <f>VLOOKUP($D426,'Tabel Map Industry'!$A$2:$H$464,2,0)</f>
        <v xml:space="preserve">Perdagangan Eceran Kertas, Barang-barang dari Kertas, Alat Tulis, Barang Cetakan, Alat Olahraga, Alat Musik, Alat Fotografi, Komputer </v>
      </c>
      <c r="F426" s="426" t="str">
        <f>VLOOKUP($D426,'Tabel Map Industry'!$A$2:$H$464,3,0)</f>
        <v>HOME APPLIANCES</v>
      </c>
      <c r="G426" s="426" t="str">
        <f>VLOOKUP($D426,'Tabel Map Industry'!$A$2:$H$464,4,0)</f>
        <v>Perdagangan Eceran Kertas, Barang-barang dari Kertas, Alat Tulis, Barang Cetakan, Alat Olahraga, Alat Musik, Alat Fotografi, Komputer  - 523600</v>
      </c>
      <c r="H426" s="426" t="str">
        <f>VLOOKUP($D426,'Tabel Map Industry'!$A$2:$H$464,8,0)</f>
        <v>Perdagangan Eceran - 6500</v>
      </c>
    </row>
    <row r="427" spans="1:8" ht="75" hidden="1" customHeight="1" x14ac:dyDescent="0.25">
      <c r="A427" s="422" t="s">
        <v>6330</v>
      </c>
      <c r="B427" s="418" t="s">
        <v>6591</v>
      </c>
      <c r="C427" s="418" t="s">
        <v>6610</v>
      </c>
      <c r="D427" s="419" t="s">
        <v>5240</v>
      </c>
      <c r="E427" s="420" t="str">
        <f>VLOOKUP($D427,'Tabel Map Industry'!$A$2:$H$464,2,0)</f>
        <v xml:space="preserve">Perdagangan Eceran Kertas, Barang-barang dari Kertas, Alat Tulis, Barang Cetakan, Alat Olahraga, Alat Musik, Alat Fotografi, Komputer </v>
      </c>
      <c r="F427" s="421" t="str">
        <f>VLOOKUP($D427,'Tabel Map Industry'!$A$2:$H$464,3,0)</f>
        <v>HOME APPLIANCES</v>
      </c>
      <c r="G427" s="421" t="str">
        <f>VLOOKUP($D427,'Tabel Map Industry'!$A$2:$H$464,4,0)</f>
        <v>Perdagangan Eceran Kertas, Barang-barang dari Kertas, Alat Tulis, Barang Cetakan, Alat Olahraga, Alat Musik, Alat Fotografi, Komputer  - 523600</v>
      </c>
      <c r="H427" s="421" t="str">
        <f>VLOOKUP($D427,'Tabel Map Industry'!$A$2:$H$464,8,0)</f>
        <v>Perdagangan Eceran - 6500</v>
      </c>
    </row>
    <row r="428" spans="1:8" ht="75" hidden="1" customHeight="1" x14ac:dyDescent="0.25">
      <c r="A428" s="417" t="s">
        <v>6330</v>
      </c>
      <c r="B428" s="423" t="s">
        <v>6591</v>
      </c>
      <c r="C428" s="423" t="s">
        <v>6612</v>
      </c>
      <c r="D428" s="424" t="s">
        <v>5166</v>
      </c>
      <c r="E428" s="425" t="str">
        <f>VLOOKUP($D428,'Tabel Map Industry'!$A$2:$H$464,2,0)</f>
        <v xml:space="preserve">Perdagangan Eceran Perlengkapan Rumah Tangga dan Perlengkapan Dapur </v>
      </c>
      <c r="F428" s="426" t="str">
        <f>VLOOKUP($D428,'Tabel Map Industry'!$A$2:$H$464,3,0)</f>
        <v>HOME APPLIANCES</v>
      </c>
      <c r="G428" s="426" t="str">
        <f>VLOOKUP($D428,'Tabel Map Industry'!$A$2:$H$464,4,0)</f>
        <v>Perdagangan Eceran Perlengkapan Rumah Tangga dan Perlengkapan Dapur  - 523300</v>
      </c>
      <c r="H428" s="426" t="str">
        <f>VLOOKUP($D428,'Tabel Map Industry'!$A$2:$H$464,8,0)</f>
        <v>Perdagangan Eceran - 6500</v>
      </c>
    </row>
    <row r="429" spans="1:8" ht="75" hidden="1" customHeight="1" x14ac:dyDescent="0.25">
      <c r="A429" s="422" t="s">
        <v>6324</v>
      </c>
      <c r="B429" s="418" t="s">
        <v>6625</v>
      </c>
      <c r="C429" s="418" t="s">
        <v>6626</v>
      </c>
      <c r="D429" s="419" t="s">
        <v>5166</v>
      </c>
      <c r="E429" s="420" t="str">
        <f>VLOOKUP($D429,'Tabel Map Industry'!$A$2:$H$464,2,0)</f>
        <v xml:space="preserve">Perdagangan Eceran Perlengkapan Rumah Tangga dan Perlengkapan Dapur </v>
      </c>
      <c r="F429" s="421" t="str">
        <f>VLOOKUP($D429,'Tabel Map Industry'!$A$2:$H$464,3,0)</f>
        <v>HOME APPLIANCES</v>
      </c>
      <c r="G429" s="421" t="str">
        <f>VLOOKUP($D429,'Tabel Map Industry'!$A$2:$H$464,4,0)</f>
        <v>Perdagangan Eceran Perlengkapan Rumah Tangga dan Perlengkapan Dapur  - 523300</v>
      </c>
      <c r="H429" s="421" t="str">
        <f>VLOOKUP($D429,'Tabel Map Industry'!$A$2:$H$464,8,0)</f>
        <v>Perdagangan Eceran - 6500</v>
      </c>
    </row>
    <row r="430" spans="1:8" ht="75" hidden="1" customHeight="1" x14ac:dyDescent="0.25">
      <c r="A430" s="417" t="s">
        <v>6330</v>
      </c>
      <c r="B430" s="423" t="s">
        <v>6628</v>
      </c>
      <c r="C430" s="423" t="s">
        <v>6629</v>
      </c>
      <c r="D430" s="424" t="s">
        <v>5166</v>
      </c>
      <c r="E430" s="425" t="str">
        <f>VLOOKUP($D430,'Tabel Map Industry'!$A$2:$H$464,2,0)</f>
        <v xml:space="preserve">Perdagangan Eceran Perlengkapan Rumah Tangga dan Perlengkapan Dapur </v>
      </c>
      <c r="F430" s="426" t="str">
        <f>VLOOKUP($D430,'Tabel Map Industry'!$A$2:$H$464,3,0)</f>
        <v>HOME APPLIANCES</v>
      </c>
      <c r="G430" s="426" t="str">
        <f>VLOOKUP($D430,'Tabel Map Industry'!$A$2:$H$464,4,0)</f>
        <v>Perdagangan Eceran Perlengkapan Rumah Tangga dan Perlengkapan Dapur  - 523300</v>
      </c>
      <c r="H430" s="426" t="str">
        <f>VLOOKUP($D430,'Tabel Map Industry'!$A$2:$H$464,8,0)</f>
        <v>Perdagangan Eceran - 6500</v>
      </c>
    </row>
    <row r="431" spans="1:8" ht="75" hidden="1" customHeight="1" x14ac:dyDescent="0.25">
      <c r="A431" s="422" t="s">
        <v>6330</v>
      </c>
      <c r="B431" s="418" t="s">
        <v>6581</v>
      </c>
      <c r="C431" s="418" t="s">
        <v>6632</v>
      </c>
      <c r="D431" s="419" t="s">
        <v>5166</v>
      </c>
      <c r="E431" s="420" t="str">
        <f>VLOOKUP($D431,'Tabel Map Industry'!$A$2:$H$464,2,0)</f>
        <v xml:space="preserve">Perdagangan Eceran Perlengkapan Rumah Tangga dan Perlengkapan Dapur </v>
      </c>
      <c r="F431" s="421" t="str">
        <f>VLOOKUP($D431,'Tabel Map Industry'!$A$2:$H$464,3,0)</f>
        <v>HOME APPLIANCES</v>
      </c>
      <c r="G431" s="421" t="str">
        <f>VLOOKUP($D431,'Tabel Map Industry'!$A$2:$H$464,4,0)</f>
        <v>Perdagangan Eceran Perlengkapan Rumah Tangga dan Perlengkapan Dapur  - 523300</v>
      </c>
      <c r="H431" s="421" t="str">
        <f>VLOOKUP($D431,'Tabel Map Industry'!$A$2:$H$464,8,0)</f>
        <v>Perdagangan Eceran - 6500</v>
      </c>
    </row>
    <row r="432" spans="1:8" ht="75" hidden="1" customHeight="1" x14ac:dyDescent="0.25">
      <c r="A432" s="417" t="s">
        <v>6330</v>
      </c>
      <c r="B432" s="423" t="s">
        <v>6661</v>
      </c>
      <c r="C432" s="423" t="s">
        <v>6662</v>
      </c>
      <c r="D432" s="424" t="s">
        <v>5166</v>
      </c>
      <c r="E432" s="425" t="str">
        <f>VLOOKUP($D432,'Tabel Map Industry'!$A$2:$H$464,2,0)</f>
        <v xml:space="preserve">Perdagangan Eceran Perlengkapan Rumah Tangga dan Perlengkapan Dapur </v>
      </c>
      <c r="F432" s="426" t="str">
        <f>VLOOKUP($D432,'Tabel Map Industry'!$A$2:$H$464,3,0)</f>
        <v>HOME APPLIANCES</v>
      </c>
      <c r="G432" s="426" t="str">
        <f>VLOOKUP($D432,'Tabel Map Industry'!$A$2:$H$464,4,0)</f>
        <v>Perdagangan Eceran Perlengkapan Rumah Tangga dan Perlengkapan Dapur  - 523300</v>
      </c>
      <c r="H432" s="426" t="str">
        <f>VLOOKUP($D432,'Tabel Map Industry'!$A$2:$H$464,8,0)</f>
        <v>Perdagangan Eceran - 6500</v>
      </c>
    </row>
    <row r="433" spans="1:8" ht="75" hidden="1" customHeight="1" x14ac:dyDescent="0.25">
      <c r="A433" s="422" t="s">
        <v>6330</v>
      </c>
      <c r="B433" s="418" t="s">
        <v>6665</v>
      </c>
      <c r="C433" s="418" t="s">
        <v>6666</v>
      </c>
      <c r="D433" s="419" t="s">
        <v>5166</v>
      </c>
      <c r="E433" s="420" t="str">
        <f>VLOOKUP($D433,'Tabel Map Industry'!$A$2:$H$464,2,0)</f>
        <v xml:space="preserve">Perdagangan Eceran Perlengkapan Rumah Tangga dan Perlengkapan Dapur </v>
      </c>
      <c r="F433" s="421" t="str">
        <f>VLOOKUP($D433,'Tabel Map Industry'!$A$2:$H$464,3,0)</f>
        <v>HOME APPLIANCES</v>
      </c>
      <c r="G433" s="421" t="str">
        <f>VLOOKUP($D433,'Tabel Map Industry'!$A$2:$H$464,4,0)</f>
        <v>Perdagangan Eceran Perlengkapan Rumah Tangga dan Perlengkapan Dapur  - 523300</v>
      </c>
      <c r="H433" s="421" t="str">
        <f>VLOOKUP($D433,'Tabel Map Industry'!$A$2:$H$464,8,0)</f>
        <v>Perdagangan Eceran - 6500</v>
      </c>
    </row>
    <row r="434" spans="1:8" ht="75" hidden="1" customHeight="1" x14ac:dyDescent="0.25">
      <c r="A434" s="417" t="s">
        <v>6330</v>
      </c>
      <c r="B434" s="423" t="s">
        <v>6581</v>
      </c>
      <c r="C434" s="423" t="s">
        <v>6676</v>
      </c>
      <c r="D434" s="424" t="s">
        <v>5166</v>
      </c>
      <c r="E434" s="425" t="str">
        <f>VLOOKUP($D434,'Tabel Map Industry'!$A$2:$H$464,2,0)</f>
        <v xml:space="preserve">Perdagangan Eceran Perlengkapan Rumah Tangga dan Perlengkapan Dapur </v>
      </c>
      <c r="F434" s="426" t="str">
        <f>VLOOKUP($D434,'Tabel Map Industry'!$A$2:$H$464,3,0)</f>
        <v>HOME APPLIANCES</v>
      </c>
      <c r="G434" s="426" t="str">
        <f>VLOOKUP($D434,'Tabel Map Industry'!$A$2:$H$464,4,0)</f>
        <v>Perdagangan Eceran Perlengkapan Rumah Tangga dan Perlengkapan Dapur  - 523300</v>
      </c>
      <c r="H434" s="426" t="str">
        <f>VLOOKUP($D434,'Tabel Map Industry'!$A$2:$H$464,8,0)</f>
        <v>Perdagangan Eceran - 6500</v>
      </c>
    </row>
    <row r="435" spans="1:8" ht="75" hidden="1" customHeight="1" x14ac:dyDescent="0.25">
      <c r="A435" s="422" t="s">
        <v>6330</v>
      </c>
      <c r="B435" s="418" t="s">
        <v>6685</v>
      </c>
      <c r="C435" s="418" t="s">
        <v>6686</v>
      </c>
      <c r="D435" s="419" t="s">
        <v>5166</v>
      </c>
      <c r="E435" s="420" t="str">
        <f>VLOOKUP($D435,'Tabel Map Industry'!$A$2:$H$464,2,0)</f>
        <v xml:space="preserve">Perdagangan Eceran Perlengkapan Rumah Tangga dan Perlengkapan Dapur </v>
      </c>
      <c r="F435" s="421" t="str">
        <f>VLOOKUP($D435,'Tabel Map Industry'!$A$2:$H$464,3,0)</f>
        <v>HOME APPLIANCES</v>
      </c>
      <c r="G435" s="421" t="str">
        <f>VLOOKUP($D435,'Tabel Map Industry'!$A$2:$H$464,4,0)</f>
        <v>Perdagangan Eceran Perlengkapan Rumah Tangga dan Perlengkapan Dapur  - 523300</v>
      </c>
      <c r="H435" s="421" t="str">
        <f>VLOOKUP($D435,'Tabel Map Industry'!$A$2:$H$464,8,0)</f>
        <v>Perdagangan Eceran - 6500</v>
      </c>
    </row>
    <row r="436" spans="1:8" ht="75" hidden="1" customHeight="1" x14ac:dyDescent="0.25">
      <c r="A436" s="417" t="s">
        <v>6330</v>
      </c>
      <c r="B436" s="423" t="s">
        <v>6733</v>
      </c>
      <c r="C436" s="423" t="s">
        <v>6734</v>
      </c>
      <c r="D436" s="424" t="s">
        <v>5240</v>
      </c>
      <c r="E436" s="425" t="str">
        <f>VLOOKUP($D436,'Tabel Map Industry'!$A$2:$H$464,2,0)</f>
        <v xml:space="preserve">Perdagangan Eceran Kertas, Barang-barang dari Kertas, Alat Tulis, Barang Cetakan, Alat Olahraga, Alat Musik, Alat Fotografi, Komputer </v>
      </c>
      <c r="F436" s="426" t="str">
        <f>VLOOKUP($D436,'Tabel Map Industry'!$A$2:$H$464,3,0)</f>
        <v>HOME APPLIANCES</v>
      </c>
      <c r="G436" s="426" t="str">
        <f>VLOOKUP($D436,'Tabel Map Industry'!$A$2:$H$464,4,0)</f>
        <v>Perdagangan Eceran Kertas, Barang-barang dari Kertas, Alat Tulis, Barang Cetakan, Alat Olahraga, Alat Musik, Alat Fotografi, Komputer  - 523600</v>
      </c>
      <c r="H436" s="426" t="str">
        <f>VLOOKUP($D436,'Tabel Map Industry'!$A$2:$H$464,8,0)</f>
        <v>Perdagangan Eceran - 6500</v>
      </c>
    </row>
    <row r="437" spans="1:8" ht="75" hidden="1" customHeight="1" x14ac:dyDescent="0.25">
      <c r="A437" s="422" t="s">
        <v>6330</v>
      </c>
      <c r="B437" s="418" t="s">
        <v>6581</v>
      </c>
      <c r="C437" s="418" t="s">
        <v>6735</v>
      </c>
      <c r="D437" s="419" t="s">
        <v>5166</v>
      </c>
      <c r="E437" s="420" t="str">
        <f>VLOOKUP($D437,'Tabel Map Industry'!$A$2:$H$464,2,0)</f>
        <v xml:space="preserve">Perdagangan Eceran Perlengkapan Rumah Tangga dan Perlengkapan Dapur </v>
      </c>
      <c r="F437" s="421" t="str">
        <f>VLOOKUP($D437,'Tabel Map Industry'!$A$2:$H$464,3,0)</f>
        <v>HOME APPLIANCES</v>
      </c>
      <c r="G437" s="421" t="str">
        <f>VLOOKUP($D437,'Tabel Map Industry'!$A$2:$H$464,4,0)</f>
        <v>Perdagangan Eceran Perlengkapan Rumah Tangga dan Perlengkapan Dapur  - 523300</v>
      </c>
      <c r="H437" s="421" t="str">
        <f>VLOOKUP($D437,'Tabel Map Industry'!$A$2:$H$464,8,0)</f>
        <v>Perdagangan Eceran - 6500</v>
      </c>
    </row>
    <row r="438" spans="1:8" ht="75" hidden="1" customHeight="1" x14ac:dyDescent="0.25">
      <c r="A438" s="417" t="s">
        <v>6330</v>
      </c>
      <c r="B438" s="423" t="s">
        <v>6805</v>
      </c>
      <c r="C438" s="423" t="s">
        <v>6805</v>
      </c>
      <c r="D438" s="424" t="s">
        <v>5166</v>
      </c>
      <c r="E438" s="425" t="str">
        <f>VLOOKUP($D438,'Tabel Map Industry'!$A$2:$H$464,2,0)</f>
        <v xml:space="preserve">Perdagangan Eceran Perlengkapan Rumah Tangga dan Perlengkapan Dapur </v>
      </c>
      <c r="F438" s="426" t="str">
        <f>VLOOKUP($D438,'Tabel Map Industry'!$A$2:$H$464,3,0)</f>
        <v>HOME APPLIANCES</v>
      </c>
      <c r="G438" s="426" t="str">
        <f>VLOOKUP($D438,'Tabel Map Industry'!$A$2:$H$464,4,0)</f>
        <v>Perdagangan Eceran Perlengkapan Rumah Tangga dan Perlengkapan Dapur  - 523300</v>
      </c>
      <c r="H438" s="426" t="str">
        <f>VLOOKUP($D438,'Tabel Map Industry'!$A$2:$H$464,8,0)</f>
        <v>Perdagangan Eceran - 6500</v>
      </c>
    </row>
    <row r="439" spans="1:8" ht="75" hidden="1" customHeight="1" x14ac:dyDescent="0.25">
      <c r="A439" s="422" t="s">
        <v>6330</v>
      </c>
      <c r="B439" s="418" t="s">
        <v>6847</v>
      </c>
      <c r="C439" s="418" t="s">
        <v>6848</v>
      </c>
      <c r="D439" s="419" t="s">
        <v>5240</v>
      </c>
      <c r="E439" s="420" t="str">
        <f>VLOOKUP($D439,'Tabel Map Industry'!$A$2:$H$464,2,0)</f>
        <v xml:space="preserve">Perdagangan Eceran Kertas, Barang-barang dari Kertas, Alat Tulis, Barang Cetakan, Alat Olahraga, Alat Musik, Alat Fotografi, Komputer </v>
      </c>
      <c r="F439" s="421" t="str">
        <f>VLOOKUP($D439,'Tabel Map Industry'!$A$2:$H$464,3,0)</f>
        <v>HOME APPLIANCES</v>
      </c>
      <c r="G439" s="421" t="str">
        <f>VLOOKUP($D439,'Tabel Map Industry'!$A$2:$H$464,4,0)</f>
        <v>Perdagangan Eceran Kertas, Barang-barang dari Kertas, Alat Tulis, Barang Cetakan, Alat Olahraga, Alat Musik, Alat Fotografi, Komputer  - 523600</v>
      </c>
      <c r="H439" s="421" t="str">
        <f>VLOOKUP($D439,'Tabel Map Industry'!$A$2:$H$464,8,0)</f>
        <v>Perdagangan Eceran - 6500</v>
      </c>
    </row>
    <row r="440" spans="1:8" ht="75" hidden="1" customHeight="1" x14ac:dyDescent="0.25">
      <c r="A440" s="417" t="s">
        <v>6327</v>
      </c>
      <c r="B440" s="423" t="s">
        <v>6330</v>
      </c>
      <c r="C440" s="423" t="s">
        <v>6863</v>
      </c>
      <c r="D440" s="424" t="s">
        <v>5163</v>
      </c>
      <c r="E440" s="425" t="str">
        <f>VLOOKUP($D440,'Tabel Map Industry'!$A$2:$H$464,2,0)</f>
        <v xml:space="preserve">Perdagangan Besar Barang-barang Keperluan Rumah Tangga lainnya </v>
      </c>
      <c r="F440" s="426" t="str">
        <f>VLOOKUP($D440,'Tabel Map Industry'!$A$2:$H$464,3,0)</f>
        <v>HOME APPLIANCES</v>
      </c>
      <c r="G440" s="426" t="str">
        <f>VLOOKUP($D440,'Tabel Map Industry'!$A$2:$H$464,4,0)</f>
        <v>Perdagangan Besar Barang-barang Keperluan Rumah Tangga lainnya  - 513900</v>
      </c>
      <c r="H440" s="426" t="str">
        <f>VLOOKUP($D440,'Tabel Map Industry'!$A$2:$H$464,8,0)</f>
        <v>Distribusi lainnya - 6490</v>
      </c>
    </row>
    <row r="441" spans="1:8" ht="75" hidden="1" customHeight="1" x14ac:dyDescent="0.25">
      <c r="A441" s="422" t="s">
        <v>6330</v>
      </c>
      <c r="B441" s="418" t="s">
        <v>6885</v>
      </c>
      <c r="C441" s="418" t="s">
        <v>6886</v>
      </c>
      <c r="D441" s="419" t="s">
        <v>5166</v>
      </c>
      <c r="E441" s="420" t="str">
        <f>VLOOKUP($D441,'Tabel Map Industry'!$A$2:$H$464,2,0)</f>
        <v xml:space="preserve">Perdagangan Eceran Perlengkapan Rumah Tangga dan Perlengkapan Dapur </v>
      </c>
      <c r="F441" s="421" t="str">
        <f>VLOOKUP($D441,'Tabel Map Industry'!$A$2:$H$464,3,0)</f>
        <v>HOME APPLIANCES</v>
      </c>
      <c r="G441" s="421" t="str">
        <f>VLOOKUP($D441,'Tabel Map Industry'!$A$2:$H$464,4,0)</f>
        <v>Perdagangan Eceran Perlengkapan Rumah Tangga dan Perlengkapan Dapur  - 523300</v>
      </c>
      <c r="H441" s="421" t="str">
        <f>VLOOKUP($D441,'Tabel Map Industry'!$A$2:$H$464,8,0)</f>
        <v>Perdagangan Eceran - 6500</v>
      </c>
    </row>
    <row r="442" spans="1:8" ht="75" hidden="1" customHeight="1" x14ac:dyDescent="0.25">
      <c r="A442" s="417" t="s">
        <v>6330</v>
      </c>
      <c r="B442" s="423" t="s">
        <v>6929</v>
      </c>
      <c r="C442" s="423" t="s">
        <v>6930</v>
      </c>
      <c r="D442" s="424" t="s">
        <v>5166</v>
      </c>
      <c r="E442" s="425" t="str">
        <f>VLOOKUP($D442,'Tabel Map Industry'!$A$2:$H$464,2,0)</f>
        <v xml:space="preserve">Perdagangan Eceran Perlengkapan Rumah Tangga dan Perlengkapan Dapur </v>
      </c>
      <c r="F442" s="426" t="str">
        <f>VLOOKUP($D442,'Tabel Map Industry'!$A$2:$H$464,3,0)</f>
        <v>HOME APPLIANCES</v>
      </c>
      <c r="G442" s="426" t="str">
        <f>VLOOKUP($D442,'Tabel Map Industry'!$A$2:$H$464,4,0)</f>
        <v>Perdagangan Eceran Perlengkapan Rumah Tangga dan Perlengkapan Dapur  - 523300</v>
      </c>
      <c r="H442" s="426" t="str">
        <f>VLOOKUP($D442,'Tabel Map Industry'!$A$2:$H$464,8,0)</f>
        <v>Perdagangan Eceran - 6500</v>
      </c>
    </row>
    <row r="443" spans="1:8" ht="75" hidden="1" customHeight="1" x14ac:dyDescent="0.25">
      <c r="A443" s="422" t="s">
        <v>6330</v>
      </c>
      <c r="B443" s="418" t="s">
        <v>6941</v>
      </c>
      <c r="C443" s="418" t="s">
        <v>6942</v>
      </c>
      <c r="D443" s="419" t="s">
        <v>5240</v>
      </c>
      <c r="E443" s="420" t="str">
        <f>VLOOKUP($D443,'Tabel Map Industry'!$A$2:$H$464,2,0)</f>
        <v xml:space="preserve">Perdagangan Eceran Kertas, Barang-barang dari Kertas, Alat Tulis, Barang Cetakan, Alat Olahraga, Alat Musik, Alat Fotografi, Komputer </v>
      </c>
      <c r="F443" s="421" t="str">
        <f>VLOOKUP($D443,'Tabel Map Industry'!$A$2:$H$464,3,0)</f>
        <v>HOME APPLIANCES</v>
      </c>
      <c r="G443" s="421" t="str">
        <f>VLOOKUP($D443,'Tabel Map Industry'!$A$2:$H$464,4,0)</f>
        <v>Perdagangan Eceran Kertas, Barang-barang dari Kertas, Alat Tulis, Barang Cetakan, Alat Olahraga, Alat Musik, Alat Fotografi, Komputer  - 523600</v>
      </c>
      <c r="H443" s="421" t="str">
        <f>VLOOKUP($D443,'Tabel Map Industry'!$A$2:$H$464,8,0)</f>
        <v>Perdagangan Eceran - 6500</v>
      </c>
    </row>
    <row r="444" spans="1:8" ht="75" hidden="1" customHeight="1" x14ac:dyDescent="0.25">
      <c r="A444" s="417" t="s">
        <v>6330</v>
      </c>
      <c r="B444" s="423" t="s">
        <v>6967</v>
      </c>
      <c r="C444" s="423" t="s">
        <v>6967</v>
      </c>
      <c r="D444" s="424" t="s">
        <v>5240</v>
      </c>
      <c r="E444" s="425" t="str">
        <f>VLOOKUP($D444,'Tabel Map Industry'!$A$2:$H$464,2,0)</f>
        <v xml:space="preserve">Perdagangan Eceran Kertas, Barang-barang dari Kertas, Alat Tulis, Barang Cetakan, Alat Olahraga, Alat Musik, Alat Fotografi, Komputer </v>
      </c>
      <c r="F444" s="426" t="str">
        <f>VLOOKUP($D444,'Tabel Map Industry'!$A$2:$H$464,3,0)</f>
        <v>HOME APPLIANCES</v>
      </c>
      <c r="G444" s="426" t="str">
        <f>VLOOKUP($D444,'Tabel Map Industry'!$A$2:$H$464,4,0)</f>
        <v>Perdagangan Eceran Kertas, Barang-barang dari Kertas, Alat Tulis, Barang Cetakan, Alat Olahraga, Alat Musik, Alat Fotografi, Komputer  - 523600</v>
      </c>
      <c r="H444" s="426" t="str">
        <f>VLOOKUP($D444,'Tabel Map Industry'!$A$2:$H$464,8,0)</f>
        <v>Perdagangan Eceran - 6500</v>
      </c>
    </row>
    <row r="445" spans="1:8" ht="75" hidden="1" customHeight="1" x14ac:dyDescent="0.25">
      <c r="A445" s="422" t="s">
        <v>6330</v>
      </c>
      <c r="B445" s="418" t="s">
        <v>6980</v>
      </c>
      <c r="C445" s="418" t="s">
        <v>6981</v>
      </c>
      <c r="D445" s="419" t="s">
        <v>5166</v>
      </c>
      <c r="E445" s="420" t="str">
        <f>VLOOKUP($D445,'Tabel Map Industry'!$A$2:$H$464,2,0)</f>
        <v xml:space="preserve">Perdagangan Eceran Perlengkapan Rumah Tangga dan Perlengkapan Dapur </v>
      </c>
      <c r="F445" s="421" t="str">
        <f>VLOOKUP($D445,'Tabel Map Industry'!$A$2:$H$464,3,0)</f>
        <v>HOME APPLIANCES</v>
      </c>
      <c r="G445" s="421" t="str">
        <f>VLOOKUP($D445,'Tabel Map Industry'!$A$2:$H$464,4,0)</f>
        <v>Perdagangan Eceran Perlengkapan Rumah Tangga dan Perlengkapan Dapur  - 523300</v>
      </c>
      <c r="H445" s="421" t="str">
        <f>VLOOKUP($D445,'Tabel Map Industry'!$A$2:$H$464,8,0)</f>
        <v>Perdagangan Eceran - 6500</v>
      </c>
    </row>
    <row r="446" spans="1:8" ht="75" hidden="1" customHeight="1" x14ac:dyDescent="0.25">
      <c r="A446" s="417" t="s">
        <v>6330</v>
      </c>
      <c r="B446" s="423" t="s">
        <v>6666</v>
      </c>
      <c r="C446" s="423" t="s">
        <v>6991</v>
      </c>
      <c r="D446" s="424" t="s">
        <v>5166</v>
      </c>
      <c r="E446" s="425" t="str">
        <f>VLOOKUP($D446,'Tabel Map Industry'!$A$2:$H$464,2,0)</f>
        <v xml:space="preserve">Perdagangan Eceran Perlengkapan Rumah Tangga dan Perlengkapan Dapur </v>
      </c>
      <c r="F446" s="426" t="str">
        <f>VLOOKUP($D446,'Tabel Map Industry'!$A$2:$H$464,3,0)</f>
        <v>HOME APPLIANCES</v>
      </c>
      <c r="G446" s="426" t="str">
        <f>VLOOKUP($D446,'Tabel Map Industry'!$A$2:$H$464,4,0)</f>
        <v>Perdagangan Eceran Perlengkapan Rumah Tangga dan Perlengkapan Dapur  - 523300</v>
      </c>
      <c r="H446" s="426" t="str">
        <f>VLOOKUP($D446,'Tabel Map Industry'!$A$2:$H$464,8,0)</f>
        <v>Perdagangan Eceran - 6500</v>
      </c>
    </row>
    <row r="447" spans="1:8" ht="75" hidden="1" customHeight="1" x14ac:dyDescent="0.25">
      <c r="A447" s="422" t="s">
        <v>6330</v>
      </c>
      <c r="B447" s="418" t="s">
        <v>7000</v>
      </c>
      <c r="C447" s="418" t="s">
        <v>7001</v>
      </c>
      <c r="D447" s="419" t="s">
        <v>5166</v>
      </c>
      <c r="E447" s="420" t="str">
        <f>VLOOKUP($D447,'Tabel Map Industry'!$A$2:$H$464,2,0)</f>
        <v xml:space="preserve">Perdagangan Eceran Perlengkapan Rumah Tangga dan Perlengkapan Dapur </v>
      </c>
      <c r="F447" s="421" t="str">
        <f>VLOOKUP($D447,'Tabel Map Industry'!$A$2:$H$464,3,0)</f>
        <v>HOME APPLIANCES</v>
      </c>
      <c r="G447" s="421" t="str">
        <f>VLOOKUP($D447,'Tabel Map Industry'!$A$2:$H$464,4,0)</f>
        <v>Perdagangan Eceran Perlengkapan Rumah Tangga dan Perlengkapan Dapur  - 523300</v>
      </c>
      <c r="H447" s="421" t="str">
        <f>VLOOKUP($D447,'Tabel Map Industry'!$A$2:$H$464,8,0)</f>
        <v>Perdagangan Eceran - 6500</v>
      </c>
    </row>
    <row r="448" spans="1:8" ht="75" hidden="1" customHeight="1" x14ac:dyDescent="0.25">
      <c r="A448" s="417" t="s">
        <v>6330</v>
      </c>
      <c r="B448" s="423" t="s">
        <v>7007</v>
      </c>
      <c r="C448" s="423" t="s">
        <v>7008</v>
      </c>
      <c r="D448" s="424" t="s">
        <v>5166</v>
      </c>
      <c r="E448" s="425" t="str">
        <f>VLOOKUP($D448,'Tabel Map Industry'!$A$2:$H$464,2,0)</f>
        <v xml:space="preserve">Perdagangan Eceran Perlengkapan Rumah Tangga dan Perlengkapan Dapur </v>
      </c>
      <c r="F448" s="426" t="str">
        <f>VLOOKUP($D448,'Tabel Map Industry'!$A$2:$H$464,3,0)</f>
        <v>HOME APPLIANCES</v>
      </c>
      <c r="G448" s="426" t="str">
        <f>VLOOKUP($D448,'Tabel Map Industry'!$A$2:$H$464,4,0)</f>
        <v>Perdagangan Eceran Perlengkapan Rumah Tangga dan Perlengkapan Dapur  - 523300</v>
      </c>
      <c r="H448" s="426" t="str">
        <f>VLOOKUP($D448,'Tabel Map Industry'!$A$2:$H$464,8,0)</f>
        <v>Perdagangan Eceran - 6500</v>
      </c>
    </row>
    <row r="449" spans="1:8" ht="75" hidden="1" customHeight="1" x14ac:dyDescent="0.25">
      <c r="A449" s="422" t="s">
        <v>6330</v>
      </c>
      <c r="B449" s="418" t="s">
        <v>6330</v>
      </c>
      <c r="C449" s="418" t="s">
        <v>7009</v>
      </c>
      <c r="D449" s="419" t="s">
        <v>5166</v>
      </c>
      <c r="E449" s="420" t="str">
        <f>VLOOKUP($D449,'Tabel Map Industry'!$A$2:$H$464,2,0)</f>
        <v xml:space="preserve">Perdagangan Eceran Perlengkapan Rumah Tangga dan Perlengkapan Dapur </v>
      </c>
      <c r="F449" s="421" t="str">
        <f>VLOOKUP($D449,'Tabel Map Industry'!$A$2:$H$464,3,0)</f>
        <v>HOME APPLIANCES</v>
      </c>
      <c r="G449" s="421" t="str">
        <f>VLOOKUP($D449,'Tabel Map Industry'!$A$2:$H$464,4,0)</f>
        <v>Perdagangan Eceran Perlengkapan Rumah Tangga dan Perlengkapan Dapur  - 523300</v>
      </c>
      <c r="H449" s="421" t="str">
        <f>VLOOKUP($D449,'Tabel Map Industry'!$A$2:$H$464,8,0)</f>
        <v>Perdagangan Eceran - 6500</v>
      </c>
    </row>
    <row r="450" spans="1:8" ht="75" hidden="1" customHeight="1" x14ac:dyDescent="0.25">
      <c r="A450" s="417" t="s">
        <v>6330</v>
      </c>
      <c r="B450" s="423" t="s">
        <v>7016</v>
      </c>
      <c r="C450" s="423" t="s">
        <v>7017</v>
      </c>
      <c r="D450" s="424" t="s">
        <v>5166</v>
      </c>
      <c r="E450" s="425" t="str">
        <f>VLOOKUP($D450,'Tabel Map Industry'!$A$2:$H$464,2,0)</f>
        <v xml:space="preserve">Perdagangan Eceran Perlengkapan Rumah Tangga dan Perlengkapan Dapur </v>
      </c>
      <c r="F450" s="426" t="str">
        <f>VLOOKUP($D450,'Tabel Map Industry'!$A$2:$H$464,3,0)</f>
        <v>HOME APPLIANCES</v>
      </c>
      <c r="G450" s="426" t="str">
        <f>VLOOKUP($D450,'Tabel Map Industry'!$A$2:$H$464,4,0)</f>
        <v>Perdagangan Eceran Perlengkapan Rumah Tangga dan Perlengkapan Dapur  - 523300</v>
      </c>
      <c r="H450" s="426" t="str">
        <f>VLOOKUP($D450,'Tabel Map Industry'!$A$2:$H$464,8,0)</f>
        <v>Perdagangan Eceran - 6500</v>
      </c>
    </row>
    <row r="451" spans="1:8" ht="75" hidden="1" customHeight="1" x14ac:dyDescent="0.25">
      <c r="A451" s="422" t="s">
        <v>6330</v>
      </c>
      <c r="B451" s="418" t="s">
        <v>7020</v>
      </c>
      <c r="C451" s="418" t="s">
        <v>7021</v>
      </c>
      <c r="D451" s="419" t="s">
        <v>5240</v>
      </c>
      <c r="E451" s="420" t="str">
        <f>VLOOKUP($D451,'Tabel Map Industry'!$A$2:$H$464,2,0)</f>
        <v xml:space="preserve">Perdagangan Eceran Kertas, Barang-barang dari Kertas, Alat Tulis, Barang Cetakan, Alat Olahraga, Alat Musik, Alat Fotografi, Komputer </v>
      </c>
      <c r="F451" s="421" t="str">
        <f>VLOOKUP($D451,'Tabel Map Industry'!$A$2:$H$464,3,0)</f>
        <v>HOME APPLIANCES</v>
      </c>
      <c r="G451" s="421" t="str">
        <f>VLOOKUP($D451,'Tabel Map Industry'!$A$2:$H$464,4,0)</f>
        <v>Perdagangan Eceran Kertas, Barang-barang dari Kertas, Alat Tulis, Barang Cetakan, Alat Olahraga, Alat Musik, Alat Fotografi, Komputer  - 523600</v>
      </c>
      <c r="H451" s="421" t="str">
        <f>VLOOKUP($D451,'Tabel Map Industry'!$A$2:$H$464,8,0)</f>
        <v>Perdagangan Eceran - 6500</v>
      </c>
    </row>
    <row r="452" spans="1:8" ht="75" hidden="1" customHeight="1" x14ac:dyDescent="0.25">
      <c r="A452" s="417" t="s">
        <v>6330</v>
      </c>
      <c r="B452" s="423" t="s">
        <v>7020</v>
      </c>
      <c r="C452" s="423" t="s">
        <v>7024</v>
      </c>
      <c r="D452" s="424" t="s">
        <v>5166</v>
      </c>
      <c r="E452" s="425" t="str">
        <f>VLOOKUP($D452,'Tabel Map Industry'!$A$2:$H$464,2,0)</f>
        <v xml:space="preserve">Perdagangan Eceran Perlengkapan Rumah Tangga dan Perlengkapan Dapur </v>
      </c>
      <c r="F452" s="426" t="str">
        <f>VLOOKUP($D452,'Tabel Map Industry'!$A$2:$H$464,3,0)</f>
        <v>HOME APPLIANCES</v>
      </c>
      <c r="G452" s="426" t="str">
        <f>VLOOKUP($D452,'Tabel Map Industry'!$A$2:$H$464,4,0)</f>
        <v>Perdagangan Eceran Perlengkapan Rumah Tangga dan Perlengkapan Dapur  - 523300</v>
      </c>
      <c r="H452" s="426" t="str">
        <f>VLOOKUP($D452,'Tabel Map Industry'!$A$2:$H$464,8,0)</f>
        <v>Perdagangan Eceran - 6500</v>
      </c>
    </row>
    <row r="453" spans="1:8" ht="75" hidden="1" customHeight="1" x14ac:dyDescent="0.25">
      <c r="A453" s="422" t="s">
        <v>6330</v>
      </c>
      <c r="B453" s="418" t="s">
        <v>6581</v>
      </c>
      <c r="C453" s="418" t="s">
        <v>7047</v>
      </c>
      <c r="D453" s="419" t="s">
        <v>5166</v>
      </c>
      <c r="E453" s="420" t="str">
        <f>VLOOKUP($D453,'Tabel Map Industry'!$A$2:$H$464,2,0)</f>
        <v xml:space="preserve">Perdagangan Eceran Perlengkapan Rumah Tangga dan Perlengkapan Dapur </v>
      </c>
      <c r="F453" s="421" t="str">
        <f>VLOOKUP($D453,'Tabel Map Industry'!$A$2:$H$464,3,0)</f>
        <v>HOME APPLIANCES</v>
      </c>
      <c r="G453" s="421" t="str">
        <f>VLOOKUP($D453,'Tabel Map Industry'!$A$2:$H$464,4,0)</f>
        <v>Perdagangan Eceran Perlengkapan Rumah Tangga dan Perlengkapan Dapur  - 523300</v>
      </c>
      <c r="H453" s="421" t="str">
        <f>VLOOKUP($D453,'Tabel Map Industry'!$A$2:$H$464,8,0)</f>
        <v>Perdagangan Eceran - 6500</v>
      </c>
    </row>
    <row r="454" spans="1:8" ht="75" hidden="1" customHeight="1" x14ac:dyDescent="0.25">
      <c r="A454" s="417" t="s">
        <v>6330</v>
      </c>
      <c r="B454" s="423" t="s">
        <v>7050</v>
      </c>
      <c r="C454" s="423" t="s">
        <v>7050</v>
      </c>
      <c r="D454" s="424" t="s">
        <v>5166</v>
      </c>
      <c r="E454" s="425" t="str">
        <f>VLOOKUP($D454,'Tabel Map Industry'!$A$2:$H$464,2,0)</f>
        <v xml:space="preserve">Perdagangan Eceran Perlengkapan Rumah Tangga dan Perlengkapan Dapur </v>
      </c>
      <c r="F454" s="426" t="str">
        <f>VLOOKUP($D454,'Tabel Map Industry'!$A$2:$H$464,3,0)</f>
        <v>HOME APPLIANCES</v>
      </c>
      <c r="G454" s="426" t="str">
        <f>VLOOKUP($D454,'Tabel Map Industry'!$A$2:$H$464,4,0)</f>
        <v>Perdagangan Eceran Perlengkapan Rumah Tangga dan Perlengkapan Dapur  - 523300</v>
      </c>
      <c r="H454" s="426" t="str">
        <f>VLOOKUP($D454,'Tabel Map Industry'!$A$2:$H$464,8,0)</f>
        <v>Perdagangan Eceran - 6500</v>
      </c>
    </row>
    <row r="455" spans="1:8" ht="75" hidden="1" customHeight="1" x14ac:dyDescent="0.25">
      <c r="A455" s="422" t="s">
        <v>6330</v>
      </c>
      <c r="B455" s="418" t="s">
        <v>7061</v>
      </c>
      <c r="C455" s="418" t="s">
        <v>7062</v>
      </c>
      <c r="D455" s="419" t="s">
        <v>5166</v>
      </c>
      <c r="E455" s="420" t="str">
        <f>VLOOKUP($D455,'Tabel Map Industry'!$A$2:$H$464,2,0)</f>
        <v xml:space="preserve">Perdagangan Eceran Perlengkapan Rumah Tangga dan Perlengkapan Dapur </v>
      </c>
      <c r="F455" s="421" t="str">
        <f>VLOOKUP($D455,'Tabel Map Industry'!$A$2:$H$464,3,0)</f>
        <v>HOME APPLIANCES</v>
      </c>
      <c r="G455" s="421" t="str">
        <f>VLOOKUP($D455,'Tabel Map Industry'!$A$2:$H$464,4,0)</f>
        <v>Perdagangan Eceran Perlengkapan Rumah Tangga dan Perlengkapan Dapur  - 523300</v>
      </c>
      <c r="H455" s="421" t="str">
        <f>VLOOKUP($D455,'Tabel Map Industry'!$A$2:$H$464,8,0)</f>
        <v>Perdagangan Eceran - 6500</v>
      </c>
    </row>
    <row r="456" spans="1:8" ht="75" hidden="1" customHeight="1" x14ac:dyDescent="0.25">
      <c r="A456" s="417" t="s">
        <v>6330</v>
      </c>
      <c r="B456" s="423" t="s">
        <v>7064</v>
      </c>
      <c r="C456" s="423" t="s">
        <v>7068</v>
      </c>
      <c r="D456" s="424" t="s">
        <v>5240</v>
      </c>
      <c r="E456" s="425" t="str">
        <f>VLOOKUP($D456,'Tabel Map Industry'!$A$2:$H$464,2,0)</f>
        <v xml:space="preserve">Perdagangan Eceran Kertas, Barang-barang dari Kertas, Alat Tulis, Barang Cetakan, Alat Olahraga, Alat Musik, Alat Fotografi, Komputer </v>
      </c>
      <c r="F456" s="426" t="str">
        <f>VLOOKUP($D456,'Tabel Map Industry'!$A$2:$H$464,3,0)</f>
        <v>HOME APPLIANCES</v>
      </c>
      <c r="G456" s="426" t="str">
        <f>VLOOKUP($D456,'Tabel Map Industry'!$A$2:$H$464,4,0)</f>
        <v>Perdagangan Eceran Kertas, Barang-barang dari Kertas, Alat Tulis, Barang Cetakan, Alat Olahraga, Alat Musik, Alat Fotografi, Komputer  - 523600</v>
      </c>
      <c r="H456" s="426" t="str">
        <f>VLOOKUP($D456,'Tabel Map Industry'!$A$2:$H$464,8,0)</f>
        <v>Perdagangan Eceran - 6500</v>
      </c>
    </row>
    <row r="457" spans="1:8" ht="75" hidden="1" customHeight="1" x14ac:dyDescent="0.25">
      <c r="A457" s="422" t="s">
        <v>6330</v>
      </c>
      <c r="B457" s="418" t="s">
        <v>7064</v>
      </c>
      <c r="C457" s="418" t="s">
        <v>7069</v>
      </c>
      <c r="D457" s="419" t="s">
        <v>5240</v>
      </c>
      <c r="E457" s="420" t="str">
        <f>VLOOKUP($D457,'Tabel Map Industry'!$A$2:$H$464,2,0)</f>
        <v xml:space="preserve">Perdagangan Eceran Kertas, Barang-barang dari Kertas, Alat Tulis, Barang Cetakan, Alat Olahraga, Alat Musik, Alat Fotografi, Komputer </v>
      </c>
      <c r="F457" s="421" t="str">
        <f>VLOOKUP($D457,'Tabel Map Industry'!$A$2:$H$464,3,0)</f>
        <v>HOME APPLIANCES</v>
      </c>
      <c r="G457" s="421" t="str">
        <f>VLOOKUP($D457,'Tabel Map Industry'!$A$2:$H$464,4,0)</f>
        <v>Perdagangan Eceran Kertas, Barang-barang dari Kertas, Alat Tulis, Barang Cetakan, Alat Olahraga, Alat Musik, Alat Fotografi, Komputer  - 523600</v>
      </c>
      <c r="H457" s="421" t="str">
        <f>VLOOKUP($D457,'Tabel Map Industry'!$A$2:$H$464,8,0)</f>
        <v>Perdagangan Eceran - 6500</v>
      </c>
    </row>
    <row r="458" spans="1:8" ht="75" hidden="1" customHeight="1" x14ac:dyDescent="0.25">
      <c r="A458" s="417" t="s">
        <v>6330</v>
      </c>
      <c r="B458" s="423" t="s">
        <v>7104</v>
      </c>
      <c r="C458" s="423" t="s">
        <v>7105</v>
      </c>
      <c r="D458" s="424" t="s">
        <v>5163</v>
      </c>
      <c r="E458" s="425" t="str">
        <f>VLOOKUP($D458,'Tabel Map Industry'!$A$2:$H$464,2,0)</f>
        <v xml:space="preserve">Perdagangan Besar Barang-barang Keperluan Rumah Tangga lainnya </v>
      </c>
      <c r="F458" s="426" t="str">
        <f>VLOOKUP($D458,'Tabel Map Industry'!$A$2:$H$464,3,0)</f>
        <v>HOME APPLIANCES</v>
      </c>
      <c r="G458" s="426" t="str">
        <f>VLOOKUP($D458,'Tabel Map Industry'!$A$2:$H$464,4,0)</f>
        <v>Perdagangan Besar Barang-barang Keperluan Rumah Tangga lainnya  - 513900</v>
      </c>
      <c r="H458" s="426" t="str">
        <f>VLOOKUP($D458,'Tabel Map Industry'!$A$2:$H$464,8,0)</f>
        <v>Distribusi lainnya - 6490</v>
      </c>
    </row>
    <row r="459" spans="1:8" ht="75" hidden="1" customHeight="1" x14ac:dyDescent="0.25">
      <c r="A459" s="422" t="s">
        <v>6324</v>
      </c>
      <c r="B459" s="418" t="s">
        <v>7112</v>
      </c>
      <c r="C459" s="418" t="s">
        <v>7113</v>
      </c>
      <c r="D459" s="419" t="s">
        <v>5166</v>
      </c>
      <c r="E459" s="420" t="str">
        <f>VLOOKUP($D459,'Tabel Map Industry'!$A$2:$H$464,2,0)</f>
        <v xml:space="preserve">Perdagangan Eceran Perlengkapan Rumah Tangga dan Perlengkapan Dapur </v>
      </c>
      <c r="F459" s="421" t="str">
        <f>VLOOKUP($D459,'Tabel Map Industry'!$A$2:$H$464,3,0)</f>
        <v>HOME APPLIANCES</v>
      </c>
      <c r="G459" s="421" t="str">
        <f>VLOOKUP($D459,'Tabel Map Industry'!$A$2:$H$464,4,0)</f>
        <v>Perdagangan Eceran Perlengkapan Rumah Tangga dan Perlengkapan Dapur  - 523300</v>
      </c>
      <c r="H459" s="421" t="str">
        <f>VLOOKUP($D459,'Tabel Map Industry'!$A$2:$H$464,8,0)</f>
        <v>Perdagangan Eceran - 6500</v>
      </c>
    </row>
    <row r="460" spans="1:8" ht="75" hidden="1" customHeight="1" x14ac:dyDescent="0.25">
      <c r="A460" s="417" t="s">
        <v>6330</v>
      </c>
      <c r="B460" s="423" t="s">
        <v>7117</v>
      </c>
      <c r="C460" s="423" t="s">
        <v>7118</v>
      </c>
      <c r="D460" s="424" t="s">
        <v>5166</v>
      </c>
      <c r="E460" s="425" t="str">
        <f>VLOOKUP($D460,'Tabel Map Industry'!$A$2:$H$464,2,0)</f>
        <v xml:space="preserve">Perdagangan Eceran Perlengkapan Rumah Tangga dan Perlengkapan Dapur </v>
      </c>
      <c r="F460" s="426" t="str">
        <f>VLOOKUP($D460,'Tabel Map Industry'!$A$2:$H$464,3,0)</f>
        <v>HOME APPLIANCES</v>
      </c>
      <c r="G460" s="426" t="str">
        <f>VLOOKUP($D460,'Tabel Map Industry'!$A$2:$H$464,4,0)</f>
        <v>Perdagangan Eceran Perlengkapan Rumah Tangga dan Perlengkapan Dapur  - 523300</v>
      </c>
      <c r="H460" s="426" t="str">
        <f>VLOOKUP($D460,'Tabel Map Industry'!$A$2:$H$464,8,0)</f>
        <v>Perdagangan Eceran - 6500</v>
      </c>
    </row>
    <row r="461" spans="1:8" ht="75" hidden="1" customHeight="1" x14ac:dyDescent="0.25">
      <c r="A461" s="422" t="s">
        <v>6330</v>
      </c>
      <c r="B461" s="418" t="s">
        <v>7127</v>
      </c>
      <c r="C461" s="418" t="s">
        <v>7128</v>
      </c>
      <c r="D461" s="419" t="s">
        <v>5278</v>
      </c>
      <c r="E461" s="420" t="str">
        <f>VLOOKUP($D461,'Tabel Map Industry'!$A$2:$H$464,2,0)</f>
        <v xml:space="preserve">I.5.3. Jasa Telekomunikasi </v>
      </c>
      <c r="F461" s="421" t="str">
        <f>VLOOKUP($D461,'Tabel Map Industry'!$A$2:$H$464,3,0)</f>
        <v>TELECOMMUNICATION</v>
      </c>
      <c r="G461" s="421" t="str">
        <f>VLOOKUP($D461,'Tabel Map Industry'!$A$2:$H$464,4,0)</f>
        <v>I.5.3. Jasa Telekomunikasi  - 643000</v>
      </c>
      <c r="H461" s="421" t="str">
        <f>VLOOKUP($D461,'Tabel Map Industry'!$A$2:$H$464,8,0)</f>
        <v>Komunikasi - 7400</v>
      </c>
    </row>
    <row r="462" spans="1:8" ht="75" hidden="1" customHeight="1" x14ac:dyDescent="0.25">
      <c r="A462" s="417" t="s">
        <v>6330</v>
      </c>
      <c r="B462" s="423" t="s">
        <v>7143</v>
      </c>
      <c r="C462" s="423" t="s">
        <v>7144</v>
      </c>
      <c r="D462" s="424" t="s">
        <v>5166</v>
      </c>
      <c r="E462" s="425" t="str">
        <f>VLOOKUP($D462,'Tabel Map Industry'!$A$2:$H$464,2,0)</f>
        <v xml:space="preserve">Perdagangan Eceran Perlengkapan Rumah Tangga dan Perlengkapan Dapur </v>
      </c>
      <c r="F462" s="426" t="str">
        <f>VLOOKUP($D462,'Tabel Map Industry'!$A$2:$H$464,3,0)</f>
        <v>HOME APPLIANCES</v>
      </c>
      <c r="G462" s="426" t="str">
        <f>VLOOKUP($D462,'Tabel Map Industry'!$A$2:$H$464,4,0)</f>
        <v>Perdagangan Eceran Perlengkapan Rumah Tangga dan Perlengkapan Dapur  - 523300</v>
      </c>
      <c r="H462" s="426" t="str">
        <f>VLOOKUP($D462,'Tabel Map Industry'!$A$2:$H$464,8,0)</f>
        <v>Perdagangan Eceran - 6500</v>
      </c>
    </row>
    <row r="463" spans="1:8" ht="75" hidden="1" customHeight="1" x14ac:dyDescent="0.25">
      <c r="A463" s="422" t="s">
        <v>6330</v>
      </c>
      <c r="B463" s="418" t="s">
        <v>7146</v>
      </c>
      <c r="C463" s="418" t="s">
        <v>7147</v>
      </c>
      <c r="D463" s="419" t="s">
        <v>5166</v>
      </c>
      <c r="E463" s="420" t="str">
        <f>VLOOKUP($D463,'Tabel Map Industry'!$A$2:$H$464,2,0)</f>
        <v xml:space="preserve">Perdagangan Eceran Perlengkapan Rumah Tangga dan Perlengkapan Dapur </v>
      </c>
      <c r="F463" s="421" t="str">
        <f>VLOOKUP($D463,'Tabel Map Industry'!$A$2:$H$464,3,0)</f>
        <v>HOME APPLIANCES</v>
      </c>
      <c r="G463" s="421" t="str">
        <f>VLOOKUP($D463,'Tabel Map Industry'!$A$2:$H$464,4,0)</f>
        <v>Perdagangan Eceran Perlengkapan Rumah Tangga dan Perlengkapan Dapur  - 523300</v>
      </c>
      <c r="H463" s="421" t="str">
        <f>VLOOKUP($D463,'Tabel Map Industry'!$A$2:$H$464,8,0)</f>
        <v>Perdagangan Eceran - 6500</v>
      </c>
    </row>
    <row r="464" spans="1:8" ht="75" hidden="1" customHeight="1" x14ac:dyDescent="0.25">
      <c r="A464" s="417" t="s">
        <v>6330</v>
      </c>
      <c r="B464" s="423" t="s">
        <v>7163</v>
      </c>
      <c r="C464" s="423" t="s">
        <v>6579</v>
      </c>
      <c r="D464" s="424" t="s">
        <v>5240</v>
      </c>
      <c r="E464" s="425" t="str">
        <f>VLOOKUP($D464,'Tabel Map Industry'!$A$2:$H$464,2,0)</f>
        <v xml:space="preserve">Perdagangan Eceran Kertas, Barang-barang dari Kertas, Alat Tulis, Barang Cetakan, Alat Olahraga, Alat Musik, Alat Fotografi, Komputer </v>
      </c>
      <c r="F464" s="426" t="str">
        <f>VLOOKUP($D464,'Tabel Map Industry'!$A$2:$H$464,3,0)</f>
        <v>HOME APPLIANCES</v>
      </c>
      <c r="G464" s="426" t="str">
        <f>VLOOKUP($D464,'Tabel Map Industry'!$A$2:$H$464,4,0)</f>
        <v>Perdagangan Eceran Kertas, Barang-barang dari Kertas, Alat Tulis, Barang Cetakan, Alat Olahraga, Alat Musik, Alat Fotografi, Komputer  - 523600</v>
      </c>
      <c r="H464" s="426" t="str">
        <f>VLOOKUP($D464,'Tabel Map Industry'!$A$2:$H$464,8,0)</f>
        <v>Perdagangan Eceran - 6500</v>
      </c>
    </row>
    <row r="465" spans="1:8" ht="75" hidden="1" customHeight="1" x14ac:dyDescent="0.25">
      <c r="A465" s="422" t="s">
        <v>6330</v>
      </c>
      <c r="B465" s="418" t="s">
        <v>6877</v>
      </c>
      <c r="C465" s="418" t="s">
        <v>7170</v>
      </c>
      <c r="D465" s="419" t="s">
        <v>5278</v>
      </c>
      <c r="E465" s="420" t="str">
        <f>VLOOKUP($D465,'Tabel Map Industry'!$A$2:$H$464,2,0)</f>
        <v xml:space="preserve">I.5.3. Jasa Telekomunikasi </v>
      </c>
      <c r="F465" s="421" t="str">
        <f>VLOOKUP($D465,'Tabel Map Industry'!$A$2:$H$464,3,0)</f>
        <v>TELECOMMUNICATION</v>
      </c>
      <c r="G465" s="421" t="str">
        <f>VLOOKUP($D465,'Tabel Map Industry'!$A$2:$H$464,4,0)</f>
        <v>I.5.3. Jasa Telekomunikasi  - 643000</v>
      </c>
      <c r="H465" s="421" t="str">
        <f>VLOOKUP($D465,'Tabel Map Industry'!$A$2:$H$464,8,0)</f>
        <v>Komunikasi - 7400</v>
      </c>
    </row>
    <row r="466" spans="1:8" ht="75" hidden="1" customHeight="1" x14ac:dyDescent="0.25">
      <c r="A466" s="417" t="s">
        <v>6324</v>
      </c>
      <c r="B466" s="423" t="str">
        <f>PROPER(F466)</f>
        <v>Home Appliances</v>
      </c>
      <c r="C466" s="423" t="str">
        <f>E466</f>
        <v xml:space="preserve">Perdagangan Besar Barang-barang Keperluan Rumah Tangga lainnya </v>
      </c>
      <c r="D466" s="424" t="s">
        <v>5163</v>
      </c>
      <c r="E466" s="425" t="str">
        <f>VLOOKUP($D466,'Tabel Map Industry'!$A$2:$H$464,2,0)</f>
        <v xml:space="preserve">Perdagangan Besar Barang-barang Keperluan Rumah Tangga lainnya </v>
      </c>
      <c r="F466" s="426" t="str">
        <f>VLOOKUP($D466,'Tabel Map Industry'!$A$2:$H$464,3,0)</f>
        <v>HOME APPLIANCES</v>
      </c>
      <c r="G466" s="426" t="str">
        <f>VLOOKUP($D466,'Tabel Map Industry'!$A$2:$H$464,4,0)</f>
        <v>Perdagangan Besar Barang-barang Keperluan Rumah Tangga lainnya  - 513900</v>
      </c>
      <c r="H466" s="426" t="str">
        <f>VLOOKUP($D466,'Tabel Map Industry'!$A$2:$H$464,8,0)</f>
        <v>Distribusi lainnya - 6490</v>
      </c>
    </row>
    <row r="467" spans="1:8" ht="75" hidden="1" customHeight="1" x14ac:dyDescent="0.25">
      <c r="A467" s="422" t="s">
        <v>6330</v>
      </c>
      <c r="B467" s="418" t="str">
        <f>PROPER(F467)</f>
        <v>Home Appliances</v>
      </c>
      <c r="C467" s="418" t="str">
        <f>E467</f>
        <v xml:space="preserve">Perdagangan Eceran Perlengkapan Rumah Tangga dan Perlengkapan Dapur </v>
      </c>
      <c r="D467" s="419" t="s">
        <v>5166</v>
      </c>
      <c r="E467" s="420" t="str">
        <f>VLOOKUP($D467,'Tabel Map Industry'!$A$2:$H$464,2,0)</f>
        <v xml:space="preserve">Perdagangan Eceran Perlengkapan Rumah Tangga dan Perlengkapan Dapur </v>
      </c>
      <c r="F467" s="421" t="str">
        <f>VLOOKUP($D467,'Tabel Map Industry'!$A$2:$H$464,3,0)</f>
        <v>HOME APPLIANCES</v>
      </c>
      <c r="G467" s="421" t="str">
        <f>VLOOKUP($D467,'Tabel Map Industry'!$A$2:$H$464,4,0)</f>
        <v>Perdagangan Eceran Perlengkapan Rumah Tangga dan Perlengkapan Dapur  - 523300</v>
      </c>
      <c r="H467" s="421" t="str">
        <f>VLOOKUP($D467,'Tabel Map Industry'!$A$2:$H$464,8,0)</f>
        <v>Perdagangan Eceran - 6500</v>
      </c>
    </row>
    <row r="468" spans="1:8" ht="75" hidden="1" customHeight="1" x14ac:dyDescent="0.25">
      <c r="A468" s="417" t="s">
        <v>6330</v>
      </c>
      <c r="B468" s="423" t="s">
        <v>6577</v>
      </c>
      <c r="C468" s="423" t="s">
        <v>6578</v>
      </c>
      <c r="D468" s="424" t="s">
        <v>5166</v>
      </c>
      <c r="E468" s="425" t="str">
        <f>VLOOKUP($D468,'Tabel Map Industry'!$A$2:$H$464,2,0)</f>
        <v xml:space="preserve">Perdagangan Eceran Perlengkapan Rumah Tangga dan Perlengkapan Dapur </v>
      </c>
      <c r="F468" s="426" t="str">
        <f>VLOOKUP($D468,'Tabel Map Industry'!$A$2:$H$464,3,0)</f>
        <v>HOME APPLIANCES</v>
      </c>
      <c r="G468" s="426" t="str">
        <f>VLOOKUP($D468,'Tabel Map Industry'!$A$2:$H$464,4,0)</f>
        <v>Perdagangan Eceran Perlengkapan Rumah Tangga dan Perlengkapan Dapur  - 523300</v>
      </c>
      <c r="H468" s="426" t="str">
        <f>VLOOKUP($D468,'Tabel Map Industry'!$A$2:$H$464,8,0)</f>
        <v>Perdagangan Eceran - 6500</v>
      </c>
    </row>
    <row r="469" spans="1:8" ht="75" hidden="1" customHeight="1" x14ac:dyDescent="0.25">
      <c r="A469" s="422" t="s">
        <v>6330</v>
      </c>
      <c r="B469" s="418" t="s">
        <v>6649</v>
      </c>
      <c r="C469" s="418" t="s">
        <v>6650</v>
      </c>
      <c r="D469" s="419" t="s">
        <v>5076</v>
      </c>
      <c r="E469" s="420" t="str">
        <f>VLOOKUP($D469,'Tabel Map Industry'!$A$2:$H$464,2,0)</f>
        <v xml:space="preserve">Perdagangan Eceran Bahan Konstruksi </v>
      </c>
      <c r="F469" s="421" t="str">
        <f>VLOOKUP($D469,'Tabel Map Industry'!$A$2:$H$464,3,0)</f>
        <v>BUILDING MATERIAL</v>
      </c>
      <c r="G469" s="421" t="str">
        <f>VLOOKUP($D469,'Tabel Map Industry'!$A$2:$H$464,4,0)</f>
        <v>Perdagangan Eceran Bahan Konstruksi  - 523400</v>
      </c>
      <c r="H469" s="421" t="str">
        <f>VLOOKUP($D469,'Tabel Map Industry'!$A$2:$H$464,8,0)</f>
        <v>Perdagangan Eceran - 6500</v>
      </c>
    </row>
    <row r="470" spans="1:8" ht="75" hidden="1" customHeight="1" x14ac:dyDescent="0.25">
      <c r="A470" s="417" t="s">
        <v>6330</v>
      </c>
      <c r="B470" s="423" t="s">
        <v>6659</v>
      </c>
      <c r="C470" s="423" t="s">
        <v>6660</v>
      </c>
      <c r="D470" s="424" t="s">
        <v>5166</v>
      </c>
      <c r="E470" s="425" t="str">
        <f>VLOOKUP($D470,'Tabel Map Industry'!$A$2:$H$464,2,0)</f>
        <v xml:space="preserve">Perdagangan Eceran Perlengkapan Rumah Tangga dan Perlengkapan Dapur </v>
      </c>
      <c r="F470" s="426" t="str">
        <f>VLOOKUP($D470,'Tabel Map Industry'!$A$2:$H$464,3,0)</f>
        <v>HOME APPLIANCES</v>
      </c>
      <c r="G470" s="426" t="str">
        <f>VLOOKUP($D470,'Tabel Map Industry'!$A$2:$H$464,4,0)</f>
        <v>Perdagangan Eceran Perlengkapan Rumah Tangga dan Perlengkapan Dapur  - 523300</v>
      </c>
      <c r="H470" s="426" t="str">
        <f>VLOOKUP($D470,'Tabel Map Industry'!$A$2:$H$464,8,0)</f>
        <v>Perdagangan Eceran - 6500</v>
      </c>
    </row>
    <row r="471" spans="1:8" ht="45" hidden="1" x14ac:dyDescent="0.25">
      <c r="A471" s="422" t="s">
        <v>6330</v>
      </c>
      <c r="B471" s="418" t="s">
        <v>6869</v>
      </c>
      <c r="C471" s="418" t="s">
        <v>6870</v>
      </c>
      <c r="D471" s="419" t="s">
        <v>5166</v>
      </c>
      <c r="E471" s="420" t="str">
        <f>VLOOKUP($D471,'Tabel Map Industry'!$A$2:$H$464,2,0)</f>
        <v xml:space="preserve">Perdagangan Eceran Perlengkapan Rumah Tangga dan Perlengkapan Dapur </v>
      </c>
      <c r="F471" s="421" t="str">
        <f>VLOOKUP($D471,'Tabel Map Industry'!$A$2:$H$464,3,0)</f>
        <v>HOME APPLIANCES</v>
      </c>
      <c r="G471" s="421" t="str">
        <f>VLOOKUP($D471,'Tabel Map Industry'!$A$2:$H$464,4,0)</f>
        <v>Perdagangan Eceran Perlengkapan Rumah Tangga dan Perlengkapan Dapur  - 523300</v>
      </c>
      <c r="H471" s="421" t="str">
        <f>VLOOKUP($D471,'Tabel Map Industry'!$A$2:$H$464,8,0)</f>
        <v>Perdagangan Eceran - 6500</v>
      </c>
    </row>
    <row r="472" spans="1:8" ht="45" hidden="1" x14ac:dyDescent="0.25">
      <c r="A472" s="417" t="s">
        <v>6327</v>
      </c>
      <c r="B472" s="423" t="s">
        <v>6968</v>
      </c>
      <c r="C472" s="423" t="s">
        <v>6969</v>
      </c>
      <c r="D472" s="424" t="s">
        <v>5166</v>
      </c>
      <c r="E472" s="425" t="str">
        <f>VLOOKUP($D472,'Tabel Map Industry'!$A$2:$H$464,2,0)</f>
        <v xml:space="preserve">Perdagangan Eceran Perlengkapan Rumah Tangga dan Perlengkapan Dapur </v>
      </c>
      <c r="F472" s="426" t="str">
        <f>VLOOKUP($D472,'Tabel Map Industry'!$A$2:$H$464,3,0)</f>
        <v>HOME APPLIANCES</v>
      </c>
      <c r="G472" s="426" t="str">
        <f>VLOOKUP($D472,'Tabel Map Industry'!$A$2:$H$464,4,0)</f>
        <v>Perdagangan Eceran Perlengkapan Rumah Tangga dan Perlengkapan Dapur  - 523300</v>
      </c>
      <c r="H472" s="426" t="str">
        <f>VLOOKUP($D472,'Tabel Map Industry'!$A$2:$H$464,8,0)</f>
        <v>Perdagangan Eceran - 6500</v>
      </c>
    </row>
    <row r="473" spans="1:8" ht="45" hidden="1" x14ac:dyDescent="0.25">
      <c r="A473" s="422" t="s">
        <v>6330</v>
      </c>
      <c r="B473" s="418" t="s">
        <v>7098</v>
      </c>
      <c r="C473" s="418" t="s">
        <v>7099</v>
      </c>
      <c r="D473" s="419" t="s">
        <v>5172</v>
      </c>
      <c r="E473" s="420" t="str">
        <f>VLOOKUP($D473,'Tabel Map Industry'!$A$2:$H$464,2,0)</f>
        <v>Jasa Kesehatan Manusia - Tempat Perawatan / Pengobatan</v>
      </c>
      <c r="F473" s="421" t="str">
        <f>VLOOKUP($D473,'Tabel Map Industry'!$A$2:$H$464,3,0)</f>
        <v>HOSPITAL &amp; MEDICAL EQUIPMENT</v>
      </c>
      <c r="G473" s="421" t="str">
        <f>VLOOKUP($D473,'Tabel Map Industry'!$A$2:$H$464,4,0)</f>
        <v>Jasa Kesehatan Manusia - Tempat Perawatan / Pengobatan - 851003</v>
      </c>
      <c r="H473" s="421" t="str">
        <f>VLOOKUP($D473,'Tabel Map Industry'!$A$2:$H$464,8,0)</f>
        <v>Jasa-jasa sosial/masyarakat - Kesehatan - Tempat Perawatan/Pengobatan - 9220</v>
      </c>
    </row>
    <row r="474" spans="1:8" ht="45" hidden="1" x14ac:dyDescent="0.25">
      <c r="A474" s="417" t="s">
        <v>6327</v>
      </c>
      <c r="B474" s="423" t="str">
        <f>PROPER(F474)</f>
        <v>Hospital &amp; Medical Equipment</v>
      </c>
      <c r="C474" s="423" t="str">
        <f>E474</f>
        <v>Jasa Kesehatan Manusia - Tempat Perawatan / Pengobatan</v>
      </c>
      <c r="D474" s="424" t="s">
        <v>5172</v>
      </c>
      <c r="E474" s="425" t="str">
        <f>VLOOKUP($D474,'Tabel Map Industry'!$A$2:$H$464,2,0)</f>
        <v>Jasa Kesehatan Manusia - Tempat Perawatan / Pengobatan</v>
      </c>
      <c r="F474" s="426" t="str">
        <f>VLOOKUP($D474,'Tabel Map Industry'!$A$2:$H$464,3,0)</f>
        <v>HOSPITAL &amp; MEDICAL EQUIPMENT</v>
      </c>
      <c r="G474" s="426" t="str">
        <f>VLOOKUP($D474,'Tabel Map Industry'!$A$2:$H$464,4,0)</f>
        <v>Jasa Kesehatan Manusia - Tempat Perawatan / Pengobatan - 851003</v>
      </c>
      <c r="H474" s="426" t="str">
        <f>VLOOKUP($D474,'Tabel Map Industry'!$A$2:$H$464,8,0)</f>
        <v>Jasa-jasa sosial/masyarakat - Kesehatan - Tempat Perawatan/Pengobatan - 9220</v>
      </c>
    </row>
    <row r="475" spans="1:8" ht="30" hidden="1" x14ac:dyDescent="0.25">
      <c r="A475" s="422" t="s">
        <v>6330</v>
      </c>
      <c r="B475" s="418" t="s">
        <v>6726</v>
      </c>
      <c r="C475" s="418" t="s">
        <v>6727</v>
      </c>
      <c r="D475" s="419" t="s">
        <v>5174</v>
      </c>
      <c r="E475" s="420" t="str">
        <f>VLOOKUP($D475,'Tabel Map Industry'!$A$2:$H$464,2,0)</f>
        <v xml:space="preserve">H.1.1.1. Hotel Bintang </v>
      </c>
      <c r="F475" s="421" t="str">
        <f>VLOOKUP($D475,'Tabel Map Industry'!$A$2:$H$464,3,0)</f>
        <v>HOTEL, RESTAURANT &amp; ACCOMMODATION SERVICE</v>
      </c>
      <c r="G475" s="421" t="str">
        <f>VLOOKUP($D475,'Tabel Map Industry'!$A$2:$H$464,4,0)</f>
        <v>H.1.1.1. Hotel Bintang  - 551100</v>
      </c>
      <c r="H475" s="421" t="str">
        <f>VLOOKUP($D475,'Tabel Map Industry'!$A$2:$H$464,8,0)</f>
        <v>Hotel - 6620</v>
      </c>
    </row>
    <row r="476" spans="1:8" ht="30" hidden="1" x14ac:dyDescent="0.25">
      <c r="A476" s="417" t="s">
        <v>6327</v>
      </c>
      <c r="B476" s="423" t="s">
        <v>6397</v>
      </c>
      <c r="C476" s="423" t="s">
        <v>6398</v>
      </c>
      <c r="D476" s="424" t="s">
        <v>5184</v>
      </c>
      <c r="E476" s="425" t="str">
        <f>VLOOKUP($D476,'Tabel Map Industry'!$A$2:$H$464,2,0)</f>
        <v xml:space="preserve">Industri Perajutan Industri Perajutan </v>
      </c>
      <c r="F476" s="426" t="str">
        <f>VLOOKUP($D476,'Tabel Map Industry'!$A$2:$H$464,3,0)</f>
        <v xml:space="preserve">LEATHER &amp; TEXTILE </v>
      </c>
      <c r="G476" s="426" t="str">
        <f>VLOOKUP($D476,'Tabel Map Industry'!$A$2:$H$464,4,0)</f>
        <v>Industri Perajutan Industri Perajutan  - 173000</v>
      </c>
      <c r="H476" s="426" t="str">
        <f>VLOOKUP($D476,'Tabel Map Industry'!$A$2:$H$464,8,0)</f>
        <v>Industri - Tekstil - 3310</v>
      </c>
    </row>
    <row r="477" spans="1:8" ht="45" hidden="1" x14ac:dyDescent="0.25">
      <c r="A477" s="422" t="s">
        <v>6330</v>
      </c>
      <c r="B477" s="418" t="s">
        <v>6791</v>
      </c>
      <c r="C477" s="418" t="s">
        <v>6792</v>
      </c>
      <c r="D477" s="419" t="s">
        <v>5183</v>
      </c>
      <c r="E477" s="420" t="str">
        <f>VLOOKUP($D477,'Tabel Map Industry'!$A$2:$H$464,2,0)</f>
        <v xml:space="preserve">Industri Pemintalan, Pertenunan, Pengolahan Akhir Tekstil </v>
      </c>
      <c r="F477" s="421" t="str">
        <f>VLOOKUP($D477,'Tabel Map Industry'!$A$2:$H$464,3,0)</f>
        <v xml:space="preserve">LEATHER &amp; TEXTILE </v>
      </c>
      <c r="G477" s="421" t="str">
        <f>VLOOKUP($D477,'Tabel Map Industry'!$A$2:$H$464,4,0)</f>
        <v>Industri Pemintalan, Pertenunan, Pengolahan Akhir Tekstil  - 171000</v>
      </c>
      <c r="H477" s="421" t="str">
        <f>VLOOKUP($D477,'Tabel Map Industry'!$A$2:$H$464,8,0)</f>
        <v>Industri - Tekstil - 3310</v>
      </c>
    </row>
    <row r="478" spans="1:8" ht="30" hidden="1" x14ac:dyDescent="0.25">
      <c r="A478" s="417" t="s">
        <v>6330</v>
      </c>
      <c r="B478" s="423" t="s">
        <v>6825</v>
      </c>
      <c r="C478" s="423" t="s">
        <v>6826</v>
      </c>
      <c r="D478" s="424" t="s">
        <v>5183</v>
      </c>
      <c r="E478" s="425" t="str">
        <f>VLOOKUP($D478,'Tabel Map Industry'!$A$2:$H$464,2,0)</f>
        <v xml:space="preserve">Industri Pemintalan, Pertenunan, Pengolahan Akhir Tekstil </v>
      </c>
      <c r="F478" s="426" t="str">
        <f>VLOOKUP($D478,'Tabel Map Industry'!$A$2:$H$464,3,0)</f>
        <v xml:space="preserve">LEATHER &amp; TEXTILE </v>
      </c>
      <c r="G478" s="426" t="str">
        <f>VLOOKUP($D478,'Tabel Map Industry'!$A$2:$H$464,4,0)</f>
        <v>Industri Pemintalan, Pertenunan, Pengolahan Akhir Tekstil  - 171000</v>
      </c>
      <c r="H478" s="426" t="str">
        <f>VLOOKUP($D478,'Tabel Map Industry'!$A$2:$H$464,8,0)</f>
        <v>Industri - Tekstil - 3310</v>
      </c>
    </row>
    <row r="479" spans="1:8" ht="30" hidden="1" x14ac:dyDescent="0.25">
      <c r="A479" s="422" t="s">
        <v>6330</v>
      </c>
      <c r="B479" s="418" t="s">
        <v>6831</v>
      </c>
      <c r="C479" s="418" t="s">
        <v>6832</v>
      </c>
      <c r="D479" s="419" t="s">
        <v>5184</v>
      </c>
      <c r="E479" s="420" t="str">
        <f>VLOOKUP($D479,'Tabel Map Industry'!$A$2:$H$464,2,0)</f>
        <v xml:space="preserve">Industri Perajutan Industri Perajutan </v>
      </c>
      <c r="F479" s="421" t="str">
        <f>VLOOKUP($D479,'Tabel Map Industry'!$A$2:$H$464,3,0)</f>
        <v xml:space="preserve">LEATHER &amp; TEXTILE </v>
      </c>
      <c r="G479" s="421" t="str">
        <f>VLOOKUP($D479,'Tabel Map Industry'!$A$2:$H$464,4,0)</f>
        <v>Industri Perajutan Industri Perajutan  - 173000</v>
      </c>
      <c r="H479" s="421" t="str">
        <f>VLOOKUP($D479,'Tabel Map Industry'!$A$2:$H$464,8,0)</f>
        <v>Industri - Tekstil - 3310</v>
      </c>
    </row>
    <row r="480" spans="1:8" ht="30" hidden="1" x14ac:dyDescent="0.25">
      <c r="A480" s="417" t="s">
        <v>6330</v>
      </c>
      <c r="B480" s="423" t="s">
        <v>6395</v>
      </c>
      <c r="C480" s="423" t="s">
        <v>7164</v>
      </c>
      <c r="D480" s="424" t="s">
        <v>5184</v>
      </c>
      <c r="E480" s="425" t="str">
        <f>VLOOKUP($D480,'Tabel Map Industry'!$A$2:$H$464,2,0)</f>
        <v xml:space="preserve">Industri Perajutan Industri Perajutan </v>
      </c>
      <c r="F480" s="426" t="str">
        <f>VLOOKUP($D480,'Tabel Map Industry'!$A$2:$H$464,3,0)</f>
        <v xml:space="preserve">LEATHER &amp; TEXTILE </v>
      </c>
      <c r="G480" s="426" t="str">
        <f>VLOOKUP($D480,'Tabel Map Industry'!$A$2:$H$464,4,0)</f>
        <v>Industri Perajutan Industri Perajutan  - 173000</v>
      </c>
      <c r="H480" s="426" t="str">
        <f>VLOOKUP($D480,'Tabel Map Industry'!$A$2:$H$464,8,0)</f>
        <v>Industri - Tekstil - 3310</v>
      </c>
    </row>
    <row r="481" spans="1:8" ht="30" hidden="1" x14ac:dyDescent="0.25">
      <c r="A481" s="422" t="s">
        <v>6330</v>
      </c>
      <c r="B481" s="418" t="str">
        <f>PROPER(F481)</f>
        <v xml:space="preserve">Leather &amp; Textile </v>
      </c>
      <c r="C481" s="418" t="str">
        <f>E481</f>
        <v xml:space="preserve">Industri Perajutan Industri Perajutan </v>
      </c>
      <c r="D481" s="419" t="s">
        <v>5184</v>
      </c>
      <c r="E481" s="420" t="str">
        <f>VLOOKUP($D481,'Tabel Map Industry'!$A$2:$H$464,2,0)</f>
        <v xml:space="preserve">Industri Perajutan Industri Perajutan </v>
      </c>
      <c r="F481" s="421" t="str">
        <f>VLOOKUP($D481,'Tabel Map Industry'!$A$2:$H$464,3,0)</f>
        <v xml:space="preserve">LEATHER &amp; TEXTILE </v>
      </c>
      <c r="G481" s="421" t="str">
        <f>VLOOKUP($D481,'Tabel Map Industry'!$A$2:$H$464,4,0)</f>
        <v>Industri Perajutan Industri Perajutan  - 173000</v>
      </c>
      <c r="H481" s="421" t="str">
        <f>VLOOKUP($D481,'Tabel Map Industry'!$A$2:$H$464,8,0)</f>
        <v>Industri - Tekstil - 3310</v>
      </c>
    </row>
    <row r="482" spans="1:8" ht="45" hidden="1" x14ac:dyDescent="0.25">
      <c r="A482" s="417" t="s">
        <v>6330</v>
      </c>
      <c r="B482" s="423" t="s">
        <v>6371</v>
      </c>
      <c r="C482" s="423" t="s">
        <v>6372</v>
      </c>
      <c r="D482" s="424" t="s">
        <v>5193</v>
      </c>
      <c r="E482" s="425" t="str">
        <f>VLOOKUP($D482,'Tabel Map Industry'!$A$2:$H$464,2,0)</f>
        <v xml:space="preserve">Perdagangan Besar Bahan Bakar Gas, Cair, dan Padat, Serta Produk Sejenis </v>
      </c>
      <c r="F482" s="426" t="str">
        <f>VLOOKUP($D482,'Tabel Map Industry'!$A$2:$H$464,3,0)</f>
        <v xml:space="preserve">OIL &amp; GAS </v>
      </c>
      <c r="G482" s="426" t="str">
        <f>VLOOKUP($D482,'Tabel Map Industry'!$A$2:$H$464,4,0)</f>
        <v>Perdagangan Besar Bahan Bakar Gas, Cair, dan Padat, Serta Produk Sejenis  - 514100</v>
      </c>
      <c r="H482" s="426" t="str">
        <f>VLOOKUP($D482,'Tabel Map Industry'!$A$2:$H$464,8,0)</f>
        <v>Distribusi lainnya - 6490</v>
      </c>
    </row>
    <row r="483" spans="1:8" ht="30" hidden="1" x14ac:dyDescent="0.25">
      <c r="A483" s="422" t="s">
        <v>6330</v>
      </c>
      <c r="B483" s="418" t="s">
        <v>6374</v>
      </c>
      <c r="C483" s="418" t="s">
        <v>6375</v>
      </c>
      <c r="D483" s="419" t="s">
        <v>5194</v>
      </c>
      <c r="E483" s="420" t="str">
        <f>VLOOKUP($D483,'Tabel Map Industry'!$A$2:$H$464,2,0)</f>
        <v xml:space="preserve">Perdagangan Eceran Bahan Bakar dan Minyak Pelumas </v>
      </c>
      <c r="F483" s="421" t="str">
        <f>VLOOKUP($D483,'Tabel Map Industry'!$A$2:$H$464,3,0)</f>
        <v xml:space="preserve">OIL &amp; GAS </v>
      </c>
      <c r="G483" s="421" t="str">
        <f>VLOOKUP($D483,'Tabel Map Industry'!$A$2:$H$464,4,0)</f>
        <v>Perdagangan Eceran Bahan Bakar dan Minyak Pelumas  - 523500</v>
      </c>
      <c r="H483" s="421" t="str">
        <f>VLOOKUP($D483,'Tabel Map Industry'!$A$2:$H$464,8,0)</f>
        <v>Perdagangan Eceran - 6500</v>
      </c>
    </row>
    <row r="484" spans="1:8" ht="30" hidden="1" x14ac:dyDescent="0.25">
      <c r="A484" s="417" t="s">
        <v>6327</v>
      </c>
      <c r="B484" s="423" t="s">
        <v>6378</v>
      </c>
      <c r="C484" s="423" t="s">
        <v>6378</v>
      </c>
      <c r="D484" s="424" t="s">
        <v>5194</v>
      </c>
      <c r="E484" s="425" t="str">
        <f>VLOOKUP($D484,'Tabel Map Industry'!$A$2:$H$464,2,0)</f>
        <v xml:space="preserve">Perdagangan Eceran Bahan Bakar dan Minyak Pelumas </v>
      </c>
      <c r="F484" s="426" t="str">
        <f>VLOOKUP($D484,'Tabel Map Industry'!$A$2:$H$464,3,0)</f>
        <v xml:space="preserve">OIL &amp; GAS </v>
      </c>
      <c r="G484" s="426" t="str">
        <f>VLOOKUP($D484,'Tabel Map Industry'!$A$2:$H$464,4,0)</f>
        <v>Perdagangan Eceran Bahan Bakar dan Minyak Pelumas  - 523500</v>
      </c>
      <c r="H484" s="426" t="str">
        <f>VLOOKUP($D484,'Tabel Map Industry'!$A$2:$H$464,8,0)</f>
        <v>Perdagangan Eceran - 6500</v>
      </c>
    </row>
    <row r="485" spans="1:8" ht="30" hidden="1" x14ac:dyDescent="0.25">
      <c r="A485" s="422" t="s">
        <v>6327</v>
      </c>
      <c r="B485" s="418" t="s">
        <v>6504</v>
      </c>
      <c r="C485" s="418" t="s">
        <v>6505</v>
      </c>
      <c r="D485" s="419" t="s">
        <v>5194</v>
      </c>
      <c r="E485" s="420" t="str">
        <f>VLOOKUP($D485,'Tabel Map Industry'!$A$2:$H$464,2,0)</f>
        <v xml:space="preserve">Perdagangan Eceran Bahan Bakar dan Minyak Pelumas </v>
      </c>
      <c r="F485" s="421" t="str">
        <f>VLOOKUP($D485,'Tabel Map Industry'!$A$2:$H$464,3,0)</f>
        <v xml:space="preserve">OIL &amp; GAS </v>
      </c>
      <c r="G485" s="421" t="str">
        <f>VLOOKUP($D485,'Tabel Map Industry'!$A$2:$H$464,4,0)</f>
        <v>Perdagangan Eceran Bahan Bakar dan Minyak Pelumas  - 523500</v>
      </c>
      <c r="H485" s="421" t="str">
        <f>VLOOKUP($D485,'Tabel Map Industry'!$A$2:$H$464,8,0)</f>
        <v>Perdagangan Eceran - 6500</v>
      </c>
    </row>
    <row r="486" spans="1:8" ht="45" hidden="1" x14ac:dyDescent="0.25">
      <c r="A486" s="417" t="s">
        <v>6330</v>
      </c>
      <c r="B486" s="423" t="s">
        <v>6522</v>
      </c>
      <c r="C486" s="423" t="s">
        <v>6523</v>
      </c>
      <c r="D486" s="424" t="s">
        <v>5193</v>
      </c>
      <c r="E486" s="425" t="str">
        <f>VLOOKUP($D486,'Tabel Map Industry'!$A$2:$H$464,2,0)</f>
        <v xml:space="preserve">Perdagangan Besar Bahan Bakar Gas, Cair, dan Padat, Serta Produk Sejenis </v>
      </c>
      <c r="F486" s="426" t="str">
        <f>VLOOKUP($D486,'Tabel Map Industry'!$A$2:$H$464,3,0)</f>
        <v xml:space="preserve">OIL &amp; GAS </v>
      </c>
      <c r="G486" s="426" t="str">
        <f>VLOOKUP($D486,'Tabel Map Industry'!$A$2:$H$464,4,0)</f>
        <v>Perdagangan Besar Bahan Bakar Gas, Cair, dan Padat, Serta Produk Sejenis  - 514100</v>
      </c>
      <c r="H486" s="426" t="str">
        <f>VLOOKUP($D486,'Tabel Map Industry'!$A$2:$H$464,8,0)</f>
        <v>Distribusi lainnya - 6490</v>
      </c>
    </row>
    <row r="487" spans="1:8" ht="45" hidden="1" x14ac:dyDescent="0.25">
      <c r="A487" s="422" t="s">
        <v>6330</v>
      </c>
      <c r="B487" s="418" t="s">
        <v>6581</v>
      </c>
      <c r="C487" s="418" t="s">
        <v>6600</v>
      </c>
      <c r="D487" s="419" t="s">
        <v>5193</v>
      </c>
      <c r="E487" s="420" t="str">
        <f>VLOOKUP($D487,'Tabel Map Industry'!$A$2:$H$464,2,0)</f>
        <v xml:space="preserve">Perdagangan Besar Bahan Bakar Gas, Cair, dan Padat, Serta Produk Sejenis </v>
      </c>
      <c r="F487" s="421" t="str">
        <f>VLOOKUP($D487,'Tabel Map Industry'!$A$2:$H$464,3,0)</f>
        <v xml:space="preserve">OIL &amp; GAS </v>
      </c>
      <c r="G487" s="421" t="str">
        <f>VLOOKUP($D487,'Tabel Map Industry'!$A$2:$H$464,4,0)</f>
        <v>Perdagangan Besar Bahan Bakar Gas, Cair, dan Padat, Serta Produk Sejenis  - 514100</v>
      </c>
      <c r="H487" s="421" t="str">
        <f>VLOOKUP($D487,'Tabel Map Industry'!$A$2:$H$464,8,0)</f>
        <v>Distribusi lainnya - 6490</v>
      </c>
    </row>
    <row r="488" spans="1:8" ht="45" hidden="1" x14ac:dyDescent="0.25">
      <c r="A488" s="417" t="s">
        <v>6327</v>
      </c>
      <c r="B488" s="423" t="s">
        <v>6860</v>
      </c>
      <c r="C488" s="423" t="s">
        <v>6861</v>
      </c>
      <c r="D488" s="424" t="s">
        <v>5193</v>
      </c>
      <c r="E488" s="425" t="str">
        <f>VLOOKUP($D488,'Tabel Map Industry'!$A$2:$H$464,2,0)</f>
        <v xml:space="preserve">Perdagangan Besar Bahan Bakar Gas, Cair, dan Padat, Serta Produk Sejenis </v>
      </c>
      <c r="F488" s="426" t="str">
        <f>VLOOKUP($D488,'Tabel Map Industry'!$A$2:$H$464,3,0)</f>
        <v xml:space="preserve">OIL &amp; GAS </v>
      </c>
      <c r="G488" s="426" t="str">
        <f>VLOOKUP($D488,'Tabel Map Industry'!$A$2:$H$464,4,0)</f>
        <v>Perdagangan Besar Bahan Bakar Gas, Cair, dan Padat, Serta Produk Sejenis  - 514100</v>
      </c>
      <c r="H488" s="426" t="str">
        <f>VLOOKUP($D488,'Tabel Map Industry'!$A$2:$H$464,8,0)</f>
        <v>Distribusi lainnya - 6490</v>
      </c>
    </row>
    <row r="489" spans="1:8" ht="45" hidden="1" x14ac:dyDescent="0.25">
      <c r="A489" s="422" t="s">
        <v>6327</v>
      </c>
      <c r="B489" s="418" t="s">
        <v>6902</v>
      </c>
      <c r="C489" s="418" t="s">
        <v>6903</v>
      </c>
      <c r="D489" s="419" t="s">
        <v>5191</v>
      </c>
      <c r="E489" s="420" t="str">
        <f>VLOOKUP($D489,'Tabel Map Industry'!$A$2:$H$464,2,0)</f>
        <v xml:space="preserve">Gas </v>
      </c>
      <c r="F489" s="421" t="str">
        <f>VLOOKUP($D489,'Tabel Map Industry'!$A$2:$H$464,3,0)</f>
        <v xml:space="preserve">OIL &amp; GAS </v>
      </c>
      <c r="G489" s="421" t="str">
        <f>VLOOKUP($D489,'Tabel Map Industry'!$A$2:$H$464,4,0)</f>
        <v>Gas  - 402000</v>
      </c>
      <c r="H489" s="421" t="str">
        <f>VLOOKUP($D489,'Tabel Map Industry'!$A$2:$H$464,8,0)</f>
        <v>Gas - 4200</v>
      </c>
    </row>
    <row r="490" spans="1:8" hidden="1" x14ac:dyDescent="0.25">
      <c r="A490" s="417" t="s">
        <v>6330</v>
      </c>
      <c r="B490" s="423" t="s">
        <v>6347</v>
      </c>
      <c r="C490" s="423" t="s">
        <v>6348</v>
      </c>
      <c r="D490" s="424" t="s">
        <v>5220</v>
      </c>
      <c r="E490" s="425" t="str">
        <f>VLOOKUP($D490,'Tabel Map Industry'!$A$2:$H$464,2,0)</f>
        <v>Industri Pengolahan Lainnya</v>
      </c>
      <c r="F490" s="426" t="str">
        <f>VLOOKUP($D490,'Tabel Map Industry'!$A$2:$H$464,3,0)</f>
        <v>OTHERS INDUSTRY</v>
      </c>
      <c r="G490" s="426" t="str">
        <f>VLOOKUP($D490,'Tabel Map Industry'!$A$2:$H$464,4,0)</f>
        <v>Industri Pengolahan Lainnya - 369000</v>
      </c>
      <c r="H490" s="426" t="str">
        <f>VLOOKUP($D490,'Tabel Map Industry'!$A$2:$H$464,8,0)</f>
        <v>Industri - Lainnya - 3990</v>
      </c>
    </row>
    <row r="491" spans="1:8" ht="45" hidden="1" x14ac:dyDescent="0.25">
      <c r="A491" s="422" t="s">
        <v>6330</v>
      </c>
      <c r="B491" s="418" t="s">
        <v>6352</v>
      </c>
      <c r="C491" s="418" t="s">
        <v>6353</v>
      </c>
      <c r="D491" s="419" t="s">
        <v>5198</v>
      </c>
      <c r="E491" s="420" t="str">
        <f>VLOOKUP($D491,'Tabel Map Industry'!$A$2:$H$464,2,0)</f>
        <v xml:space="preserve">Perdagangan Eceran Barang-barang Kerajinan, Mainan Anak-anak, dan Lukisan </v>
      </c>
      <c r="F491" s="421" t="str">
        <f>VLOOKUP($D491,'Tabel Map Industry'!$A$2:$H$464,3,0)</f>
        <v>OTHERS INDUSTRY</v>
      </c>
      <c r="G491" s="421" t="str">
        <f>VLOOKUP($D491,'Tabel Map Industry'!$A$2:$H$464,4,0)</f>
        <v>Perdagangan Eceran Barang-barang Kerajinan, Mainan Anak-anak, dan Lukisan  - 523800</v>
      </c>
      <c r="H491" s="421" t="str">
        <f>VLOOKUP($D491,'Tabel Map Industry'!$A$2:$H$464,8,0)</f>
        <v>Perdagangan Eceran - 6500</v>
      </c>
    </row>
    <row r="492" spans="1:8" ht="30" hidden="1" x14ac:dyDescent="0.25">
      <c r="A492" s="417" t="s">
        <v>6330</v>
      </c>
      <c r="B492" s="423" t="s">
        <v>6379</v>
      </c>
      <c r="C492" s="423" t="s">
        <v>6380</v>
      </c>
      <c r="D492" s="424" t="s">
        <v>5207</v>
      </c>
      <c r="E492" s="425" t="str">
        <f>VLOOKUP($D492,'Tabel Map Industry'!$A$2:$H$464,2,0)</f>
        <v xml:space="preserve">Perdagangan Dalam Negeri yang Tidak Diklasifikasikan di Tempat Lain </v>
      </c>
      <c r="F492" s="426" t="str">
        <f>VLOOKUP($D492,'Tabel Map Industry'!$A$2:$H$464,3,0)</f>
        <v>OTHERS INDUSTRY</v>
      </c>
      <c r="G492" s="426" t="str">
        <f>VLOOKUP($D492,'Tabel Map Industry'!$A$2:$H$464,4,0)</f>
        <v>Perdagangan Dalam Negeri yang Tidak Diklasifikasikan di Tempat Lain  - 519009</v>
      </c>
      <c r="H492" s="426" t="str">
        <f>VLOOKUP($D492,'Tabel Map Industry'!$A$2:$H$464,8,0)</f>
        <v>Distribusi lainnya - 6490</v>
      </c>
    </row>
    <row r="493" spans="1:8" ht="45" hidden="1" x14ac:dyDescent="0.25">
      <c r="A493" s="422" t="s">
        <v>6330</v>
      </c>
      <c r="B493" s="418" t="s">
        <v>6367</v>
      </c>
      <c r="C493" s="418" t="s">
        <v>6414</v>
      </c>
      <c r="D493" s="419" t="s">
        <v>5198</v>
      </c>
      <c r="E493" s="420" t="str">
        <f>VLOOKUP($D493,'Tabel Map Industry'!$A$2:$H$464,2,0)</f>
        <v xml:space="preserve">Perdagangan Eceran Barang-barang Kerajinan, Mainan Anak-anak, dan Lukisan </v>
      </c>
      <c r="F493" s="421" t="str">
        <f>VLOOKUP($D493,'Tabel Map Industry'!$A$2:$H$464,3,0)</f>
        <v>OTHERS INDUSTRY</v>
      </c>
      <c r="G493" s="421" t="str">
        <f>VLOOKUP($D493,'Tabel Map Industry'!$A$2:$H$464,4,0)</f>
        <v>Perdagangan Eceran Barang-barang Kerajinan, Mainan Anak-anak, dan Lukisan  - 523800</v>
      </c>
      <c r="H493" s="421" t="str">
        <f>VLOOKUP($D493,'Tabel Map Industry'!$A$2:$H$464,8,0)</f>
        <v>Perdagangan Eceran - 6500</v>
      </c>
    </row>
    <row r="494" spans="1:8" ht="45" hidden="1" x14ac:dyDescent="0.25">
      <c r="A494" s="417" t="s">
        <v>6330</v>
      </c>
      <c r="B494" s="423" t="s">
        <v>6456</v>
      </c>
      <c r="C494" s="423" t="s">
        <v>6457</v>
      </c>
      <c r="D494" s="424" t="s">
        <v>5198</v>
      </c>
      <c r="E494" s="425" t="str">
        <f>VLOOKUP($D494,'Tabel Map Industry'!$A$2:$H$464,2,0)</f>
        <v xml:space="preserve">Perdagangan Eceran Barang-barang Kerajinan, Mainan Anak-anak, dan Lukisan </v>
      </c>
      <c r="F494" s="426" t="str">
        <f>VLOOKUP($D494,'Tabel Map Industry'!$A$2:$H$464,3,0)</f>
        <v>OTHERS INDUSTRY</v>
      </c>
      <c r="G494" s="426" t="str">
        <f>VLOOKUP($D494,'Tabel Map Industry'!$A$2:$H$464,4,0)</f>
        <v>Perdagangan Eceran Barang-barang Kerajinan, Mainan Anak-anak, dan Lukisan  - 523800</v>
      </c>
      <c r="H494" s="426" t="str">
        <f>VLOOKUP($D494,'Tabel Map Industry'!$A$2:$H$464,8,0)</f>
        <v>Perdagangan Eceran - 6500</v>
      </c>
    </row>
    <row r="495" spans="1:8" ht="30" hidden="1" x14ac:dyDescent="0.25">
      <c r="A495" s="422" t="s">
        <v>6324</v>
      </c>
      <c r="B495" s="418" t="s">
        <v>6458</v>
      </c>
      <c r="C495" s="418" t="s">
        <v>6459</v>
      </c>
      <c r="D495" s="419" t="s">
        <v>5220</v>
      </c>
      <c r="E495" s="420" t="str">
        <f>VLOOKUP($D495,'Tabel Map Industry'!$A$2:$H$464,2,0)</f>
        <v>Industri Pengolahan Lainnya</v>
      </c>
      <c r="F495" s="421" t="str">
        <f>VLOOKUP($D495,'Tabel Map Industry'!$A$2:$H$464,3,0)</f>
        <v>OTHERS INDUSTRY</v>
      </c>
      <c r="G495" s="421" t="str">
        <f>VLOOKUP($D495,'Tabel Map Industry'!$A$2:$H$464,4,0)</f>
        <v>Industri Pengolahan Lainnya - 369000</v>
      </c>
      <c r="H495" s="421" t="str">
        <f>VLOOKUP($D495,'Tabel Map Industry'!$A$2:$H$464,8,0)</f>
        <v>Industri - Lainnya - 3990</v>
      </c>
    </row>
    <row r="496" spans="1:8" ht="45" hidden="1" x14ac:dyDescent="0.25">
      <c r="A496" s="417" t="s">
        <v>6330</v>
      </c>
      <c r="B496" s="423" t="s">
        <v>6460</v>
      </c>
      <c r="C496" s="423" t="s">
        <v>6461</v>
      </c>
      <c r="D496" s="424" t="s">
        <v>5207</v>
      </c>
      <c r="E496" s="425" t="str">
        <f>VLOOKUP($D496,'Tabel Map Industry'!$A$2:$H$464,2,0)</f>
        <v xml:space="preserve">Perdagangan Dalam Negeri yang Tidak Diklasifikasikan di Tempat Lain </v>
      </c>
      <c r="F496" s="426" t="str">
        <f>VLOOKUP($D496,'Tabel Map Industry'!$A$2:$H$464,3,0)</f>
        <v>OTHERS INDUSTRY</v>
      </c>
      <c r="G496" s="426" t="str">
        <f>VLOOKUP($D496,'Tabel Map Industry'!$A$2:$H$464,4,0)</f>
        <v>Perdagangan Dalam Negeri yang Tidak Diklasifikasikan di Tempat Lain  - 519009</v>
      </c>
      <c r="H496" s="426" t="str">
        <f>VLOOKUP($D496,'Tabel Map Industry'!$A$2:$H$464,8,0)</f>
        <v>Distribusi lainnya - 6490</v>
      </c>
    </row>
    <row r="497" spans="1:8" ht="30" hidden="1" x14ac:dyDescent="0.25">
      <c r="A497" s="422" t="s">
        <v>6330</v>
      </c>
      <c r="B497" s="418" t="s">
        <v>6466</v>
      </c>
      <c r="C497" s="418" t="s">
        <v>6467</v>
      </c>
      <c r="D497" s="419" t="s">
        <v>5220</v>
      </c>
      <c r="E497" s="420" t="str">
        <f>VLOOKUP($D497,'Tabel Map Industry'!$A$2:$H$464,2,0)</f>
        <v>Industri Pengolahan Lainnya</v>
      </c>
      <c r="F497" s="421" t="str">
        <f>VLOOKUP($D497,'Tabel Map Industry'!$A$2:$H$464,3,0)</f>
        <v>OTHERS INDUSTRY</v>
      </c>
      <c r="G497" s="421" t="str">
        <f>VLOOKUP($D497,'Tabel Map Industry'!$A$2:$H$464,4,0)</f>
        <v>Industri Pengolahan Lainnya - 369000</v>
      </c>
      <c r="H497" s="421" t="str">
        <f>VLOOKUP($D497,'Tabel Map Industry'!$A$2:$H$464,8,0)</f>
        <v>Industri - Lainnya - 3990</v>
      </c>
    </row>
    <row r="498" spans="1:8" ht="30" hidden="1" x14ac:dyDescent="0.25">
      <c r="A498" s="417" t="s">
        <v>6330</v>
      </c>
      <c r="B498" s="423" t="s">
        <v>6486</v>
      </c>
      <c r="C498" s="423" t="s">
        <v>6487</v>
      </c>
      <c r="D498" s="424" t="s">
        <v>5207</v>
      </c>
      <c r="E498" s="425" t="str">
        <f>VLOOKUP($D498,'Tabel Map Industry'!$A$2:$H$464,2,0)</f>
        <v xml:space="preserve">Perdagangan Dalam Negeri yang Tidak Diklasifikasikan di Tempat Lain </v>
      </c>
      <c r="F498" s="426" t="str">
        <f>VLOOKUP($D498,'Tabel Map Industry'!$A$2:$H$464,3,0)</f>
        <v>OTHERS INDUSTRY</v>
      </c>
      <c r="G498" s="426" t="str">
        <f>VLOOKUP($D498,'Tabel Map Industry'!$A$2:$H$464,4,0)</f>
        <v>Perdagangan Dalam Negeri yang Tidak Diklasifikasikan di Tempat Lain  - 519009</v>
      </c>
      <c r="H498" s="426" t="str">
        <f>VLOOKUP($D498,'Tabel Map Industry'!$A$2:$H$464,8,0)</f>
        <v>Distribusi lainnya - 6490</v>
      </c>
    </row>
    <row r="499" spans="1:8" ht="30" hidden="1" x14ac:dyDescent="0.25">
      <c r="A499" s="422" t="s">
        <v>6330</v>
      </c>
      <c r="B499" s="418" t="s">
        <v>6581</v>
      </c>
      <c r="C499" s="418" t="s">
        <v>6646</v>
      </c>
      <c r="D499" s="419" t="s">
        <v>5207</v>
      </c>
      <c r="E499" s="420" t="str">
        <f>VLOOKUP($D499,'Tabel Map Industry'!$A$2:$H$464,2,0)</f>
        <v xml:space="preserve">Perdagangan Dalam Negeri yang Tidak Diklasifikasikan di Tempat Lain </v>
      </c>
      <c r="F499" s="421" t="str">
        <f>VLOOKUP($D499,'Tabel Map Industry'!$A$2:$H$464,3,0)</f>
        <v>OTHERS INDUSTRY</v>
      </c>
      <c r="G499" s="421" t="str">
        <f>VLOOKUP($D499,'Tabel Map Industry'!$A$2:$H$464,4,0)</f>
        <v>Perdagangan Dalam Negeri yang Tidak Diklasifikasikan di Tempat Lain  - 519009</v>
      </c>
      <c r="H499" s="421" t="str">
        <f>VLOOKUP($D499,'Tabel Map Industry'!$A$2:$H$464,8,0)</f>
        <v>Distribusi lainnya - 6490</v>
      </c>
    </row>
    <row r="500" spans="1:8" ht="45" hidden="1" x14ac:dyDescent="0.25">
      <c r="A500" s="417" t="s">
        <v>6327</v>
      </c>
      <c r="B500" s="423" t="s">
        <v>6688</v>
      </c>
      <c r="C500" s="423" t="s">
        <v>6689</v>
      </c>
      <c r="D500" s="424" t="s">
        <v>5201</v>
      </c>
      <c r="E500" s="425" t="str">
        <f>VLOOKUP($D500,'Tabel Map Industry'!$A$2:$H$464,2,0)</f>
        <v xml:space="preserve">Perdagangan Eceran Komoditi Lainnya (Bukan Makanan, Minuman, Atau Tembakau) </v>
      </c>
      <c r="F500" s="426" t="str">
        <f>VLOOKUP($D500,'Tabel Map Industry'!$A$2:$H$464,3,0)</f>
        <v>OTHERS INDUSTRY</v>
      </c>
      <c r="G500" s="426" t="str">
        <f>VLOOKUP($D500,'Tabel Map Industry'!$A$2:$H$464,4,0)</f>
        <v>Perdagangan Eceran Komoditi Lainnya (Bukan Makanan, Minuman, Atau Tembakau)  - 523900</v>
      </c>
      <c r="H500" s="426" t="str">
        <f>VLOOKUP($D500,'Tabel Map Industry'!$A$2:$H$464,8,0)</f>
        <v>Perdagangan Eceran - 6500</v>
      </c>
    </row>
    <row r="501" spans="1:8" ht="45" hidden="1" x14ac:dyDescent="0.25">
      <c r="A501" s="422" t="s">
        <v>6330</v>
      </c>
      <c r="B501" s="418" t="s">
        <v>6697</v>
      </c>
      <c r="C501" s="418" t="s">
        <v>6698</v>
      </c>
      <c r="D501" s="419" t="s">
        <v>5201</v>
      </c>
      <c r="E501" s="420" t="str">
        <f>VLOOKUP($D501,'Tabel Map Industry'!$A$2:$H$464,2,0)</f>
        <v xml:space="preserve">Perdagangan Eceran Komoditi Lainnya (Bukan Makanan, Minuman, Atau Tembakau) </v>
      </c>
      <c r="F501" s="421" t="str">
        <f>VLOOKUP($D501,'Tabel Map Industry'!$A$2:$H$464,3,0)</f>
        <v>OTHERS INDUSTRY</v>
      </c>
      <c r="G501" s="421" t="str">
        <f>VLOOKUP($D501,'Tabel Map Industry'!$A$2:$H$464,4,0)</f>
        <v>Perdagangan Eceran Komoditi Lainnya (Bukan Makanan, Minuman, Atau Tembakau)  - 523900</v>
      </c>
      <c r="H501" s="421" t="str">
        <f>VLOOKUP($D501,'Tabel Map Industry'!$A$2:$H$464,8,0)</f>
        <v>Perdagangan Eceran - 6500</v>
      </c>
    </row>
    <row r="502" spans="1:8" ht="45" hidden="1" x14ac:dyDescent="0.25">
      <c r="A502" s="417" t="s">
        <v>6327</v>
      </c>
      <c r="B502" s="423" t="s">
        <v>6722</v>
      </c>
      <c r="C502" s="423" t="s">
        <v>6723</v>
      </c>
      <c r="D502" s="424" t="s">
        <v>5220</v>
      </c>
      <c r="E502" s="425" t="str">
        <f>VLOOKUP($D502,'Tabel Map Industry'!$A$2:$H$464,2,0)</f>
        <v>Industri Pengolahan Lainnya</v>
      </c>
      <c r="F502" s="426" t="str">
        <f>VLOOKUP($D502,'Tabel Map Industry'!$A$2:$H$464,3,0)</f>
        <v>OTHERS INDUSTRY</v>
      </c>
      <c r="G502" s="426" t="str">
        <f>VLOOKUP($D502,'Tabel Map Industry'!$A$2:$H$464,4,0)</f>
        <v>Industri Pengolahan Lainnya - 369000</v>
      </c>
      <c r="H502" s="426" t="str">
        <f>VLOOKUP($D502,'Tabel Map Industry'!$A$2:$H$464,8,0)</f>
        <v>Industri - Lainnya - 3990</v>
      </c>
    </row>
    <row r="503" spans="1:8" ht="30" hidden="1" x14ac:dyDescent="0.25">
      <c r="A503" s="422" t="s">
        <v>6327</v>
      </c>
      <c r="B503" s="418" t="s">
        <v>6730</v>
      </c>
      <c r="C503" s="418" t="s">
        <v>6731</v>
      </c>
      <c r="D503" s="419" t="s">
        <v>5220</v>
      </c>
      <c r="E503" s="420" t="str">
        <f>VLOOKUP($D503,'Tabel Map Industry'!$A$2:$H$464,2,0)</f>
        <v>Industri Pengolahan Lainnya</v>
      </c>
      <c r="F503" s="421" t="str">
        <f>VLOOKUP($D503,'Tabel Map Industry'!$A$2:$H$464,3,0)</f>
        <v>OTHERS INDUSTRY</v>
      </c>
      <c r="G503" s="421" t="str">
        <f>VLOOKUP($D503,'Tabel Map Industry'!$A$2:$H$464,4,0)</f>
        <v>Industri Pengolahan Lainnya - 369000</v>
      </c>
      <c r="H503" s="421" t="str">
        <f>VLOOKUP($D503,'Tabel Map Industry'!$A$2:$H$464,8,0)</f>
        <v>Industri - Lainnya - 3990</v>
      </c>
    </row>
    <row r="504" spans="1:8" ht="30" hidden="1" x14ac:dyDescent="0.25">
      <c r="A504" s="417" t="s">
        <v>6327</v>
      </c>
      <c r="B504" s="423" t="s">
        <v>6581</v>
      </c>
      <c r="C504" s="423" t="s">
        <v>6379</v>
      </c>
      <c r="D504" s="424" t="s">
        <v>5207</v>
      </c>
      <c r="E504" s="425" t="str">
        <f>VLOOKUP($D504,'Tabel Map Industry'!$A$2:$H$464,2,0)</f>
        <v xml:space="preserve">Perdagangan Dalam Negeri yang Tidak Diklasifikasikan di Tempat Lain </v>
      </c>
      <c r="F504" s="426" t="str">
        <f>VLOOKUP($D504,'Tabel Map Industry'!$A$2:$H$464,3,0)</f>
        <v>OTHERS INDUSTRY</v>
      </c>
      <c r="G504" s="426" t="str">
        <f>VLOOKUP($D504,'Tabel Map Industry'!$A$2:$H$464,4,0)</f>
        <v>Perdagangan Dalam Negeri yang Tidak Diklasifikasikan di Tempat Lain  - 519009</v>
      </c>
      <c r="H504" s="426" t="str">
        <f>VLOOKUP($D504,'Tabel Map Industry'!$A$2:$H$464,8,0)</f>
        <v>Distribusi lainnya - 6490</v>
      </c>
    </row>
    <row r="505" spans="1:8" ht="30" hidden="1" x14ac:dyDescent="0.25">
      <c r="A505" s="422" t="s">
        <v>6327</v>
      </c>
      <c r="B505" s="418" t="s">
        <v>6748</v>
      </c>
      <c r="C505" s="418" t="s">
        <v>6749</v>
      </c>
      <c r="D505" s="419" t="s">
        <v>5207</v>
      </c>
      <c r="E505" s="420" t="str">
        <f>VLOOKUP($D505,'Tabel Map Industry'!$A$2:$H$464,2,0)</f>
        <v xml:space="preserve">Perdagangan Dalam Negeri yang Tidak Diklasifikasikan di Tempat Lain </v>
      </c>
      <c r="F505" s="421" t="str">
        <f>VLOOKUP($D505,'Tabel Map Industry'!$A$2:$H$464,3,0)</f>
        <v>OTHERS INDUSTRY</v>
      </c>
      <c r="G505" s="421" t="str">
        <f>VLOOKUP($D505,'Tabel Map Industry'!$A$2:$H$464,4,0)</f>
        <v>Perdagangan Dalam Negeri yang Tidak Diklasifikasikan di Tempat Lain  - 519009</v>
      </c>
      <c r="H505" s="421" t="str">
        <f>VLOOKUP($D505,'Tabel Map Industry'!$A$2:$H$464,8,0)</f>
        <v>Distribusi lainnya - 6490</v>
      </c>
    </row>
    <row r="506" spans="1:8" ht="30" hidden="1" x14ac:dyDescent="0.25">
      <c r="A506" s="417" t="s">
        <v>6327</v>
      </c>
      <c r="B506" s="423" t="s">
        <v>6756</v>
      </c>
      <c r="C506" s="423" t="s">
        <v>6757</v>
      </c>
      <c r="D506" s="424" t="s">
        <v>5207</v>
      </c>
      <c r="E506" s="425" t="str">
        <f>VLOOKUP($D506,'Tabel Map Industry'!$A$2:$H$464,2,0)</f>
        <v xml:space="preserve">Perdagangan Dalam Negeri yang Tidak Diklasifikasikan di Tempat Lain </v>
      </c>
      <c r="F506" s="426" t="str">
        <f>VLOOKUP($D506,'Tabel Map Industry'!$A$2:$H$464,3,0)</f>
        <v>OTHERS INDUSTRY</v>
      </c>
      <c r="G506" s="426" t="str">
        <f>VLOOKUP($D506,'Tabel Map Industry'!$A$2:$H$464,4,0)</f>
        <v>Perdagangan Dalam Negeri yang Tidak Diklasifikasikan di Tempat Lain  - 519009</v>
      </c>
      <c r="H506" s="426" t="str">
        <f>VLOOKUP($D506,'Tabel Map Industry'!$A$2:$H$464,8,0)</f>
        <v>Distribusi lainnya - 6490</v>
      </c>
    </row>
    <row r="507" spans="1:8" ht="45" hidden="1" x14ac:dyDescent="0.25">
      <c r="A507" s="422" t="s">
        <v>6327</v>
      </c>
      <c r="B507" s="418" t="s">
        <v>6781</v>
      </c>
      <c r="C507" s="418" t="s">
        <v>6782</v>
      </c>
      <c r="D507" s="419" t="s">
        <v>5207</v>
      </c>
      <c r="E507" s="420" t="str">
        <f>VLOOKUP($D507,'Tabel Map Industry'!$A$2:$H$464,2,0)</f>
        <v xml:space="preserve">Perdagangan Dalam Negeri yang Tidak Diklasifikasikan di Tempat Lain </v>
      </c>
      <c r="F507" s="421" t="str">
        <f>VLOOKUP($D507,'Tabel Map Industry'!$A$2:$H$464,3,0)</f>
        <v>OTHERS INDUSTRY</v>
      </c>
      <c r="G507" s="421" t="str">
        <f>VLOOKUP($D507,'Tabel Map Industry'!$A$2:$H$464,4,0)</f>
        <v>Perdagangan Dalam Negeri yang Tidak Diklasifikasikan di Tempat Lain  - 519009</v>
      </c>
      <c r="H507" s="421" t="str">
        <f>VLOOKUP($D507,'Tabel Map Industry'!$A$2:$H$464,8,0)</f>
        <v>Distribusi lainnya - 6490</v>
      </c>
    </row>
    <row r="508" spans="1:8" ht="45" hidden="1" x14ac:dyDescent="0.25">
      <c r="A508" s="417" t="s">
        <v>6330</v>
      </c>
      <c r="B508" s="423" t="s">
        <v>6818</v>
      </c>
      <c r="C508" s="423" t="s">
        <v>6819</v>
      </c>
      <c r="D508" s="424" t="s">
        <v>5207</v>
      </c>
      <c r="E508" s="425" t="str">
        <f>VLOOKUP($D508,'Tabel Map Industry'!$A$2:$H$464,2,0)</f>
        <v xml:space="preserve">Perdagangan Dalam Negeri yang Tidak Diklasifikasikan di Tempat Lain </v>
      </c>
      <c r="F508" s="426" t="str">
        <f>VLOOKUP($D508,'Tabel Map Industry'!$A$2:$H$464,3,0)</f>
        <v>OTHERS INDUSTRY</v>
      </c>
      <c r="G508" s="426" t="str">
        <f>VLOOKUP($D508,'Tabel Map Industry'!$A$2:$H$464,4,0)</f>
        <v>Perdagangan Dalam Negeri yang Tidak Diklasifikasikan di Tempat Lain  - 519009</v>
      </c>
      <c r="H508" s="426" t="str">
        <f>VLOOKUP($D508,'Tabel Map Industry'!$A$2:$H$464,8,0)</f>
        <v>Distribusi lainnya - 6490</v>
      </c>
    </row>
    <row r="509" spans="1:8" ht="30" hidden="1" x14ac:dyDescent="0.25">
      <c r="A509" s="422" t="s">
        <v>6330</v>
      </c>
      <c r="B509" s="418" t="s">
        <v>6367</v>
      </c>
      <c r="C509" s="418" t="s">
        <v>6846</v>
      </c>
      <c r="D509" s="419" t="s">
        <v>5207</v>
      </c>
      <c r="E509" s="420" t="str">
        <f>VLOOKUP($D509,'Tabel Map Industry'!$A$2:$H$464,2,0)</f>
        <v xml:space="preserve">Perdagangan Dalam Negeri yang Tidak Diklasifikasikan di Tempat Lain </v>
      </c>
      <c r="F509" s="421" t="str">
        <f>VLOOKUP($D509,'Tabel Map Industry'!$A$2:$H$464,3,0)</f>
        <v>OTHERS INDUSTRY</v>
      </c>
      <c r="G509" s="421" t="str">
        <f>VLOOKUP($D509,'Tabel Map Industry'!$A$2:$H$464,4,0)</f>
        <v>Perdagangan Dalam Negeri yang Tidak Diklasifikasikan di Tempat Lain  - 519009</v>
      </c>
      <c r="H509" s="421" t="str">
        <f>VLOOKUP($D509,'Tabel Map Industry'!$A$2:$H$464,8,0)</f>
        <v>Distribusi lainnya - 6490</v>
      </c>
    </row>
    <row r="510" spans="1:8" ht="30" hidden="1" x14ac:dyDescent="0.25">
      <c r="A510" s="417" t="s">
        <v>6327</v>
      </c>
      <c r="B510" s="423" t="s">
        <v>6851</v>
      </c>
      <c r="C510" s="423" t="s">
        <v>6852</v>
      </c>
      <c r="D510" s="424" t="s">
        <v>5207</v>
      </c>
      <c r="E510" s="425" t="str">
        <f>VLOOKUP($D510,'Tabel Map Industry'!$A$2:$H$464,2,0)</f>
        <v xml:space="preserve">Perdagangan Dalam Negeri yang Tidak Diklasifikasikan di Tempat Lain </v>
      </c>
      <c r="F510" s="426" t="str">
        <f>VLOOKUP($D510,'Tabel Map Industry'!$A$2:$H$464,3,0)</f>
        <v>OTHERS INDUSTRY</v>
      </c>
      <c r="G510" s="426" t="str">
        <f>VLOOKUP($D510,'Tabel Map Industry'!$A$2:$H$464,4,0)</f>
        <v>Perdagangan Dalam Negeri yang Tidak Diklasifikasikan di Tempat Lain  - 519009</v>
      </c>
      <c r="H510" s="426" t="str">
        <f>VLOOKUP($D510,'Tabel Map Industry'!$A$2:$H$464,8,0)</f>
        <v>Distribusi lainnya - 6490</v>
      </c>
    </row>
    <row r="511" spans="1:8" ht="90" hidden="1" x14ac:dyDescent="0.25">
      <c r="A511" s="422" t="s">
        <v>6327</v>
      </c>
      <c r="B511" s="418" t="s">
        <v>6898</v>
      </c>
      <c r="C511" s="418" t="s">
        <v>6899</v>
      </c>
      <c r="D511" s="419" t="s">
        <v>5207</v>
      </c>
      <c r="E511" s="420" t="str">
        <f>VLOOKUP($D511,'Tabel Map Industry'!$A$2:$H$464,2,0)</f>
        <v xml:space="preserve">Perdagangan Dalam Negeri yang Tidak Diklasifikasikan di Tempat Lain </v>
      </c>
      <c r="F511" s="421" t="str">
        <f>VLOOKUP($D511,'Tabel Map Industry'!$A$2:$H$464,3,0)</f>
        <v>OTHERS INDUSTRY</v>
      </c>
      <c r="G511" s="421" t="str">
        <f>VLOOKUP($D511,'Tabel Map Industry'!$A$2:$H$464,4,0)</f>
        <v>Perdagangan Dalam Negeri yang Tidak Diklasifikasikan di Tempat Lain  - 519009</v>
      </c>
      <c r="H511" s="421" t="str">
        <f>VLOOKUP($D511,'Tabel Map Industry'!$A$2:$H$464,8,0)</f>
        <v>Distribusi lainnya - 6490</v>
      </c>
    </row>
    <row r="512" spans="1:8" ht="45" hidden="1" x14ac:dyDescent="0.25">
      <c r="A512" s="417" t="s">
        <v>6327</v>
      </c>
      <c r="B512" s="423" t="s">
        <v>6906</v>
      </c>
      <c r="C512" s="423" t="s">
        <v>6907</v>
      </c>
      <c r="D512" s="424" t="s">
        <v>5207</v>
      </c>
      <c r="E512" s="425" t="str">
        <f>VLOOKUP($D512,'Tabel Map Industry'!$A$2:$H$464,2,0)</f>
        <v xml:space="preserve">Perdagangan Dalam Negeri yang Tidak Diklasifikasikan di Tempat Lain </v>
      </c>
      <c r="F512" s="426" t="str">
        <f>VLOOKUP($D512,'Tabel Map Industry'!$A$2:$H$464,3,0)</f>
        <v>OTHERS INDUSTRY</v>
      </c>
      <c r="G512" s="426" t="str">
        <f>VLOOKUP($D512,'Tabel Map Industry'!$A$2:$H$464,4,0)</f>
        <v>Perdagangan Dalam Negeri yang Tidak Diklasifikasikan di Tempat Lain  - 519009</v>
      </c>
      <c r="H512" s="426" t="str">
        <f>VLOOKUP($D512,'Tabel Map Industry'!$A$2:$H$464,8,0)</f>
        <v>Distribusi lainnya - 6490</v>
      </c>
    </row>
    <row r="513" spans="1:8" ht="30" hidden="1" x14ac:dyDescent="0.25">
      <c r="A513" s="422" t="s">
        <v>6324</v>
      </c>
      <c r="B513" s="418" t="s">
        <v>6970</v>
      </c>
      <c r="C513" s="418" t="s">
        <v>6971</v>
      </c>
      <c r="D513" s="419" t="s">
        <v>5207</v>
      </c>
      <c r="E513" s="420" t="str">
        <f>VLOOKUP($D513,'Tabel Map Industry'!$A$2:$H$464,2,0)</f>
        <v xml:space="preserve">Perdagangan Dalam Negeri yang Tidak Diklasifikasikan di Tempat Lain </v>
      </c>
      <c r="F513" s="421" t="str">
        <f>VLOOKUP($D513,'Tabel Map Industry'!$A$2:$H$464,3,0)</f>
        <v>OTHERS INDUSTRY</v>
      </c>
      <c r="G513" s="421" t="str">
        <f>VLOOKUP($D513,'Tabel Map Industry'!$A$2:$H$464,4,0)</f>
        <v>Perdagangan Dalam Negeri yang Tidak Diklasifikasikan di Tempat Lain  - 519009</v>
      </c>
      <c r="H513" s="421" t="str">
        <f>VLOOKUP($D513,'Tabel Map Industry'!$A$2:$H$464,8,0)</f>
        <v>Distribusi lainnya - 6490</v>
      </c>
    </row>
    <row r="514" spans="1:8" ht="45" hidden="1" x14ac:dyDescent="0.25">
      <c r="A514" s="417" t="s">
        <v>6327</v>
      </c>
      <c r="B514" s="423" t="s">
        <v>6992</v>
      </c>
      <c r="C514" s="423" t="s">
        <v>6993</v>
      </c>
      <c r="D514" s="424" t="s">
        <v>5201</v>
      </c>
      <c r="E514" s="425" t="str">
        <f>VLOOKUP($D514,'Tabel Map Industry'!$A$2:$H$464,2,0)</f>
        <v xml:space="preserve">Perdagangan Eceran Komoditi Lainnya (Bukan Makanan, Minuman, Atau Tembakau) </v>
      </c>
      <c r="F514" s="426" t="str">
        <f>VLOOKUP($D514,'Tabel Map Industry'!$A$2:$H$464,3,0)</f>
        <v>OTHERS INDUSTRY</v>
      </c>
      <c r="G514" s="426" t="str">
        <f>VLOOKUP($D514,'Tabel Map Industry'!$A$2:$H$464,4,0)</f>
        <v>Perdagangan Eceran Komoditi Lainnya (Bukan Makanan, Minuman, Atau Tembakau)  - 523900</v>
      </c>
      <c r="H514" s="426" t="str">
        <f>VLOOKUP($D514,'Tabel Map Industry'!$A$2:$H$464,8,0)</f>
        <v>Perdagangan Eceran - 6500</v>
      </c>
    </row>
    <row r="515" spans="1:8" ht="45" hidden="1" x14ac:dyDescent="0.25">
      <c r="A515" s="422" t="s">
        <v>6330</v>
      </c>
      <c r="B515" s="418" t="s">
        <v>7035</v>
      </c>
      <c r="C515" s="418" t="s">
        <v>7035</v>
      </c>
      <c r="D515" s="419" t="s">
        <v>5207</v>
      </c>
      <c r="E515" s="420" t="str">
        <f>VLOOKUP($D515,'Tabel Map Industry'!$A$2:$H$464,2,0)</f>
        <v xml:space="preserve">Perdagangan Dalam Negeri yang Tidak Diklasifikasikan di Tempat Lain </v>
      </c>
      <c r="F515" s="421" t="str">
        <f>VLOOKUP($D515,'Tabel Map Industry'!$A$2:$H$464,3,0)</f>
        <v>OTHERS INDUSTRY</v>
      </c>
      <c r="G515" s="421" t="str">
        <f>VLOOKUP($D515,'Tabel Map Industry'!$A$2:$H$464,4,0)</f>
        <v>Perdagangan Dalam Negeri yang Tidak Diklasifikasikan di Tempat Lain  - 519009</v>
      </c>
      <c r="H515" s="421" t="str">
        <f>VLOOKUP($D515,'Tabel Map Industry'!$A$2:$H$464,8,0)</f>
        <v>Distribusi lainnya - 6490</v>
      </c>
    </row>
    <row r="516" spans="1:8" ht="60" hidden="1" x14ac:dyDescent="0.25">
      <c r="A516" s="417" t="s">
        <v>6324</v>
      </c>
      <c r="B516" s="423" t="s">
        <v>7040</v>
      </c>
      <c r="C516" s="423" t="s">
        <v>7041</v>
      </c>
      <c r="D516" s="424" t="s">
        <v>5198</v>
      </c>
      <c r="E516" s="425" t="str">
        <f>VLOOKUP($D516,'Tabel Map Industry'!$A$2:$H$464,2,0)</f>
        <v xml:space="preserve">Perdagangan Eceran Barang-barang Kerajinan, Mainan Anak-anak, dan Lukisan </v>
      </c>
      <c r="F516" s="426" t="str">
        <f>VLOOKUP($D516,'Tabel Map Industry'!$A$2:$H$464,3,0)</f>
        <v>OTHERS INDUSTRY</v>
      </c>
      <c r="G516" s="426" t="str">
        <f>VLOOKUP($D516,'Tabel Map Industry'!$A$2:$H$464,4,0)</f>
        <v>Perdagangan Eceran Barang-barang Kerajinan, Mainan Anak-anak, dan Lukisan  - 523800</v>
      </c>
      <c r="H516" s="426" t="str">
        <f>VLOOKUP($D516,'Tabel Map Industry'!$A$2:$H$464,8,0)</f>
        <v>Perdagangan Eceran - 6500</v>
      </c>
    </row>
    <row r="517" spans="1:8" ht="30" hidden="1" x14ac:dyDescent="0.25">
      <c r="A517" s="422" t="s">
        <v>6330</v>
      </c>
      <c r="B517" s="418" t="s">
        <v>6581</v>
      </c>
      <c r="C517" s="418" t="s">
        <v>7054</v>
      </c>
      <c r="D517" s="419" t="s">
        <v>5207</v>
      </c>
      <c r="E517" s="420" t="str">
        <f>VLOOKUP($D517,'Tabel Map Industry'!$A$2:$H$464,2,0)</f>
        <v xml:space="preserve">Perdagangan Dalam Negeri yang Tidak Diklasifikasikan di Tempat Lain </v>
      </c>
      <c r="F517" s="421" t="str">
        <f>VLOOKUP($D517,'Tabel Map Industry'!$A$2:$H$464,3,0)</f>
        <v>OTHERS INDUSTRY</v>
      </c>
      <c r="G517" s="421" t="str">
        <f>VLOOKUP($D517,'Tabel Map Industry'!$A$2:$H$464,4,0)</f>
        <v>Perdagangan Dalam Negeri yang Tidak Diklasifikasikan di Tempat Lain  - 519009</v>
      </c>
      <c r="H517" s="421" t="str">
        <f>VLOOKUP($D517,'Tabel Map Industry'!$A$2:$H$464,8,0)</f>
        <v>Distribusi lainnya - 6490</v>
      </c>
    </row>
    <row r="518" spans="1:8" ht="30" hidden="1" x14ac:dyDescent="0.25">
      <c r="A518" s="417" t="s">
        <v>6330</v>
      </c>
      <c r="B518" s="423" t="s">
        <v>7096</v>
      </c>
      <c r="C518" s="423" t="s">
        <v>7097</v>
      </c>
      <c r="D518" s="424" t="s">
        <v>5206</v>
      </c>
      <c r="E518" s="425" t="str">
        <f>VLOOKUP($D518,'Tabel Map Industry'!$A$2:$H$464,2,0)</f>
        <v>Perdagangan Dalam Negeri Barang Antara Lainnya</v>
      </c>
      <c r="F518" s="426" t="str">
        <f>VLOOKUP($D518,'Tabel Map Industry'!$A$2:$H$464,3,0)</f>
        <v>OTHERS INDUSTRY</v>
      </c>
      <c r="G518" s="426" t="str">
        <f>VLOOKUP($D518,'Tabel Map Industry'!$A$2:$H$464,4,0)</f>
        <v>Perdagangan Dalam Negeri Barang Antara Lainnya - 514909</v>
      </c>
      <c r="H518" s="426" t="str">
        <f>VLOOKUP($D518,'Tabel Map Industry'!$A$2:$H$464,8,0)</f>
        <v>Distribusi lainnya - 6490</v>
      </c>
    </row>
    <row r="519" spans="1:8" ht="45" hidden="1" x14ac:dyDescent="0.25">
      <c r="A519" s="422" t="s">
        <v>6330</v>
      </c>
      <c r="B519" s="418" t="str">
        <f>PROPER(F519)</f>
        <v>Others Industry</v>
      </c>
      <c r="C519" s="418" t="str">
        <f>E519</f>
        <v xml:space="preserve">Perdagangan Eceran Barang-barang Kerajinan, Mainan Anak-anak, dan Lukisan </v>
      </c>
      <c r="D519" s="419" t="s">
        <v>5198</v>
      </c>
      <c r="E519" s="420" t="str">
        <f>VLOOKUP($D519,'Tabel Map Industry'!$A$2:$H$464,2,0)</f>
        <v xml:space="preserve">Perdagangan Eceran Barang-barang Kerajinan, Mainan Anak-anak, dan Lukisan </v>
      </c>
      <c r="F519" s="421" t="str">
        <f>VLOOKUP($D519,'Tabel Map Industry'!$A$2:$H$464,3,0)</f>
        <v>OTHERS INDUSTRY</v>
      </c>
      <c r="G519" s="421" t="str">
        <f>VLOOKUP($D519,'Tabel Map Industry'!$A$2:$H$464,4,0)</f>
        <v>Perdagangan Eceran Barang-barang Kerajinan, Mainan Anak-anak, dan Lukisan  - 523800</v>
      </c>
      <c r="H519" s="421" t="str">
        <f>VLOOKUP($D519,'Tabel Map Industry'!$A$2:$H$464,8,0)</f>
        <v>Perdagangan Eceran - 6500</v>
      </c>
    </row>
    <row r="520" spans="1:8" ht="45" hidden="1" x14ac:dyDescent="0.25">
      <c r="A520" s="417" t="s">
        <v>6330</v>
      </c>
      <c r="B520" s="423" t="str">
        <f>PROPER(F520)</f>
        <v>Others Industry</v>
      </c>
      <c r="C520" s="423" t="str">
        <f>E520</f>
        <v xml:space="preserve">Perdagangan Eceran Komoditi Lainnya (Bukan Makanan, Minuman, Atau Tembakau) </v>
      </c>
      <c r="D520" s="424" t="s">
        <v>5201</v>
      </c>
      <c r="E520" s="425" t="str">
        <f>VLOOKUP($D520,'Tabel Map Industry'!$A$2:$H$464,2,0)</f>
        <v xml:space="preserve">Perdagangan Eceran Komoditi Lainnya (Bukan Makanan, Minuman, Atau Tembakau) </v>
      </c>
      <c r="F520" s="426" t="str">
        <f>VLOOKUP($D520,'Tabel Map Industry'!$A$2:$H$464,3,0)</f>
        <v>OTHERS INDUSTRY</v>
      </c>
      <c r="G520" s="426" t="str">
        <f>VLOOKUP($D520,'Tabel Map Industry'!$A$2:$H$464,4,0)</f>
        <v>Perdagangan Eceran Komoditi Lainnya (Bukan Makanan, Minuman, Atau Tembakau)  - 523900</v>
      </c>
      <c r="H520" s="426" t="str">
        <f>VLOOKUP($D520,'Tabel Map Industry'!$A$2:$H$464,8,0)</f>
        <v>Perdagangan Eceran - 6500</v>
      </c>
    </row>
    <row r="521" spans="1:8" ht="30" hidden="1" x14ac:dyDescent="0.25">
      <c r="A521" s="422" t="s">
        <v>6330</v>
      </c>
      <c r="B521" s="418" t="str">
        <f>PROPER(F521)</f>
        <v>Others Industry</v>
      </c>
      <c r="C521" s="418" t="str">
        <f>E521</f>
        <v>Perdagangan Dalam Negeri Barang Antara Lainnya</v>
      </c>
      <c r="D521" s="419" t="s">
        <v>5206</v>
      </c>
      <c r="E521" s="420" t="str">
        <f>VLOOKUP($D521,'Tabel Map Industry'!$A$2:$H$464,2,0)</f>
        <v>Perdagangan Dalam Negeri Barang Antara Lainnya</v>
      </c>
      <c r="F521" s="421" t="str">
        <f>VLOOKUP($D521,'Tabel Map Industry'!$A$2:$H$464,3,0)</f>
        <v>OTHERS INDUSTRY</v>
      </c>
      <c r="G521" s="421" t="str">
        <f>VLOOKUP($D521,'Tabel Map Industry'!$A$2:$H$464,4,0)</f>
        <v>Perdagangan Dalam Negeri Barang Antara Lainnya - 514909</v>
      </c>
      <c r="H521" s="421" t="str">
        <f>VLOOKUP($D521,'Tabel Map Industry'!$A$2:$H$464,8,0)</f>
        <v>Distribusi lainnya - 6490</v>
      </c>
    </row>
    <row r="522" spans="1:8" ht="30" hidden="1" x14ac:dyDescent="0.25">
      <c r="A522" s="417" t="s">
        <v>6324</v>
      </c>
      <c r="B522" s="423" t="str">
        <f>PROPER(F522)</f>
        <v>Others Industry</v>
      </c>
      <c r="C522" s="423" t="str">
        <f>E522</f>
        <v xml:space="preserve">Perdagangan Dalam Negeri yang Tidak Diklasifikasikan di Tempat Lain </v>
      </c>
      <c r="D522" s="424" t="s">
        <v>5207</v>
      </c>
      <c r="E522" s="425" t="str">
        <f>VLOOKUP($D522,'Tabel Map Industry'!$A$2:$H$464,2,0)</f>
        <v xml:space="preserve">Perdagangan Dalam Negeri yang Tidak Diklasifikasikan di Tempat Lain </v>
      </c>
      <c r="F522" s="426" t="str">
        <f>VLOOKUP($D522,'Tabel Map Industry'!$A$2:$H$464,3,0)</f>
        <v>OTHERS INDUSTRY</v>
      </c>
      <c r="G522" s="426" t="str">
        <f>VLOOKUP($D522,'Tabel Map Industry'!$A$2:$H$464,4,0)</f>
        <v>Perdagangan Dalam Negeri yang Tidak Diklasifikasikan di Tempat Lain  - 519009</v>
      </c>
      <c r="H522" s="426" t="str">
        <f>VLOOKUP($D522,'Tabel Map Industry'!$A$2:$H$464,8,0)</f>
        <v>Distribusi lainnya - 6490</v>
      </c>
    </row>
    <row r="523" spans="1:8" ht="45" hidden="1" x14ac:dyDescent="0.25">
      <c r="A523" s="422" t="s">
        <v>6327</v>
      </c>
      <c r="B523" s="418" t="s">
        <v>6376</v>
      </c>
      <c r="C523" s="418" t="s">
        <v>6377</v>
      </c>
      <c r="D523" s="419" t="s">
        <v>5116</v>
      </c>
      <c r="E523" s="420" t="str">
        <f>VLOOKUP($D523,'Tabel Map Industry'!$A$2:$H$464,2,0)</f>
        <v xml:space="preserve">Industri Barang dari Kertas dan Kartan yang Tidak Diklasifikasikan di Tempat Lain </v>
      </c>
      <c r="F523" s="421" t="str">
        <f>VLOOKUP($D523,'Tabel Map Industry'!$A$2:$H$464,3,0)</f>
        <v>PLASTIC, PULP &amp; PAPER</v>
      </c>
      <c r="G523" s="421" t="str">
        <f>VLOOKUP($D523,'Tabel Map Industry'!$A$2:$H$464,4,0)</f>
        <v>Industri Barang dari Kertas dan Kartan yang Tidak Diklasifikasikan di Tempat Lain  - 210900</v>
      </c>
      <c r="H523" s="421" t="str">
        <f>VLOOKUP($D523,'Tabel Map Industry'!$A$2:$H$464,8,0)</f>
        <v>Industri - Lainnya - 3990</v>
      </c>
    </row>
    <row r="524" spans="1:8" ht="60" hidden="1" x14ac:dyDescent="0.25">
      <c r="A524" s="417" t="s">
        <v>6330</v>
      </c>
      <c r="B524" s="423" t="s">
        <v>6367</v>
      </c>
      <c r="C524" s="423" t="s">
        <v>6715</v>
      </c>
      <c r="D524" s="424" t="s">
        <v>5240</v>
      </c>
      <c r="E524" s="425" t="str">
        <f>VLOOKUP($D524,'Tabel Map Industry'!$A$2:$H$464,2,0)</f>
        <v xml:space="preserve">Perdagangan Eceran Kertas, Barang-barang dari Kertas, Alat Tulis, Barang Cetakan, Alat Olahraga, Alat Musik, Alat Fotografi, Komputer </v>
      </c>
      <c r="F524" s="426" t="str">
        <f>VLOOKUP($D524,'Tabel Map Industry'!$A$2:$H$464,3,0)</f>
        <v>HOME APPLIANCES</v>
      </c>
      <c r="G524" s="426" t="str">
        <f>VLOOKUP($D524,'Tabel Map Industry'!$A$2:$H$464,4,0)</f>
        <v>Perdagangan Eceran Kertas, Barang-barang dari Kertas, Alat Tulis, Barang Cetakan, Alat Olahraga, Alat Musik, Alat Fotografi, Komputer  - 523600</v>
      </c>
      <c r="H524" s="426" t="str">
        <f>VLOOKUP($D524,'Tabel Map Industry'!$A$2:$H$464,8,0)</f>
        <v>Perdagangan Eceran - 6500</v>
      </c>
    </row>
    <row r="525" spans="1:8" ht="30" hidden="1" x14ac:dyDescent="0.25">
      <c r="A525" s="422" t="s">
        <v>6327</v>
      </c>
      <c r="B525" s="418" t="s">
        <v>6347</v>
      </c>
      <c r="C525" s="418" t="s">
        <v>6351</v>
      </c>
      <c r="D525" s="419" t="s">
        <v>5115</v>
      </c>
      <c r="E525" s="420" t="str">
        <f>VLOOKUP($D525,'Tabel Map Industry'!$A$2:$H$464,2,0)</f>
        <v xml:space="preserve">Industri Kemasan dan Kotak dari Kertas dan Karton </v>
      </c>
      <c r="F525" s="421" t="str">
        <f>VLOOKUP($D525,'Tabel Map Industry'!$A$2:$H$464,3,0)</f>
        <v>PLASTIC, PULP &amp; PAPER</v>
      </c>
      <c r="G525" s="421" t="str">
        <f>VLOOKUP($D525,'Tabel Map Industry'!$A$2:$H$464,4,0)</f>
        <v>Industri Kemasan dan Kotak dari Kertas dan Karton  - 210200</v>
      </c>
      <c r="H525" s="421" t="str">
        <f>VLOOKUP($D525,'Tabel Map Industry'!$A$2:$H$464,8,0)</f>
        <v>Industri - Lainnya - 3990</v>
      </c>
    </row>
    <row r="526" spans="1:8" ht="45" hidden="1" x14ac:dyDescent="0.25">
      <c r="A526" s="417" t="s">
        <v>6327</v>
      </c>
      <c r="B526" s="423" t="s">
        <v>6750</v>
      </c>
      <c r="C526" s="423" t="s">
        <v>6751</v>
      </c>
      <c r="D526" s="424" t="s">
        <v>5116</v>
      </c>
      <c r="E526" s="425" t="str">
        <f>VLOOKUP($D526,'Tabel Map Industry'!$A$2:$H$464,2,0)</f>
        <v xml:space="preserve">Industri Barang dari Kertas dan Kartan yang Tidak Diklasifikasikan di Tempat Lain </v>
      </c>
      <c r="F526" s="426" t="str">
        <f>VLOOKUP($D526,'Tabel Map Industry'!$A$2:$H$464,3,0)</f>
        <v>PLASTIC, PULP &amp; PAPER</v>
      </c>
      <c r="G526" s="426" t="str">
        <f>VLOOKUP($D526,'Tabel Map Industry'!$A$2:$H$464,4,0)</f>
        <v>Industri Barang dari Kertas dan Kartan yang Tidak Diklasifikasikan di Tempat Lain  - 210900</v>
      </c>
      <c r="H526" s="426" t="str">
        <f>VLOOKUP($D526,'Tabel Map Industry'!$A$2:$H$464,8,0)</f>
        <v>Industri - Lainnya - 3990</v>
      </c>
    </row>
    <row r="527" spans="1:8" ht="60" hidden="1" x14ac:dyDescent="0.25">
      <c r="A527" s="422" t="s">
        <v>6330</v>
      </c>
      <c r="B527" s="418" t="s">
        <v>6333</v>
      </c>
      <c r="C527" s="418" t="s">
        <v>6334</v>
      </c>
      <c r="D527" s="419" t="s">
        <v>5240</v>
      </c>
      <c r="E527" s="420" t="str">
        <f>VLOOKUP($D527,'Tabel Map Industry'!$A$2:$H$464,2,0)</f>
        <v xml:space="preserve">Perdagangan Eceran Kertas, Barang-barang dari Kertas, Alat Tulis, Barang Cetakan, Alat Olahraga, Alat Musik, Alat Fotografi, Komputer </v>
      </c>
      <c r="F527" s="421" t="str">
        <f>VLOOKUP($D527,'Tabel Map Industry'!$A$2:$H$464,3,0)</f>
        <v>HOME APPLIANCES</v>
      </c>
      <c r="G527" s="421" t="str">
        <f>VLOOKUP($D527,'Tabel Map Industry'!$A$2:$H$464,4,0)</f>
        <v>Perdagangan Eceran Kertas, Barang-barang dari Kertas, Alat Tulis, Barang Cetakan, Alat Olahraga, Alat Musik, Alat Fotografi, Komputer  - 523600</v>
      </c>
      <c r="H527" s="421" t="str">
        <f>VLOOKUP($D527,'Tabel Map Industry'!$A$2:$H$464,8,0)</f>
        <v>Perdagangan Eceran - 6500</v>
      </c>
    </row>
    <row r="528" spans="1:8" ht="60" hidden="1" x14ac:dyDescent="0.25">
      <c r="A528" s="417" t="s">
        <v>6330</v>
      </c>
      <c r="B528" s="423" t="s">
        <v>6339</v>
      </c>
      <c r="C528" s="423" t="s">
        <v>6340</v>
      </c>
      <c r="D528" s="424" t="s">
        <v>5240</v>
      </c>
      <c r="E528" s="425" t="str">
        <f>VLOOKUP($D528,'Tabel Map Industry'!$A$2:$H$464,2,0)</f>
        <v xml:space="preserve">Perdagangan Eceran Kertas, Barang-barang dari Kertas, Alat Tulis, Barang Cetakan, Alat Olahraga, Alat Musik, Alat Fotografi, Komputer </v>
      </c>
      <c r="F528" s="426" t="str">
        <f>VLOOKUP($D528,'Tabel Map Industry'!$A$2:$H$464,3,0)</f>
        <v>HOME APPLIANCES</v>
      </c>
      <c r="G528" s="426" t="str">
        <f>VLOOKUP($D528,'Tabel Map Industry'!$A$2:$H$464,4,0)</f>
        <v>Perdagangan Eceran Kertas, Barang-barang dari Kertas, Alat Tulis, Barang Cetakan, Alat Olahraga, Alat Musik, Alat Fotografi, Komputer  - 523600</v>
      </c>
      <c r="H528" s="426" t="str">
        <f>VLOOKUP($D528,'Tabel Map Industry'!$A$2:$H$464,8,0)</f>
        <v>Perdagangan Eceran - 6500</v>
      </c>
    </row>
    <row r="529" spans="1:8" hidden="1" x14ac:dyDescent="0.25">
      <c r="A529" s="422"/>
      <c r="B529" s="418" t="s">
        <v>6354</v>
      </c>
      <c r="C529" s="418" t="s">
        <v>6355</v>
      </c>
      <c r="D529" s="419" t="s">
        <v>5236</v>
      </c>
      <c r="E529" s="420" t="str">
        <f>VLOOKUP($D529,'Tabel Map Industry'!$A$2:$H$464,2,0)</f>
        <v>Industri Plastik dan Karet Buatan</v>
      </c>
      <c r="F529" s="421" t="str">
        <f>VLOOKUP($D529,'Tabel Map Industry'!$A$2:$H$464,3,0)</f>
        <v>PLASTIC, PULP &amp; PAPER</v>
      </c>
      <c r="G529" s="421" t="str">
        <f>VLOOKUP($D529,'Tabel Map Industry'!$A$2:$H$464,4,0)</f>
        <v>Industri Plastik dan Karet Buatan - 241300</v>
      </c>
      <c r="H529" s="421" t="str">
        <f>VLOOKUP($D529,'Tabel Map Industry'!$A$2:$H$464,8,0)</f>
        <v>Industri - Lainnya - 3990</v>
      </c>
    </row>
    <row r="530" spans="1:8" ht="60" hidden="1" x14ac:dyDescent="0.25">
      <c r="A530" s="417"/>
      <c r="B530" s="423" t="s">
        <v>6383</v>
      </c>
      <c r="C530" s="423" t="s">
        <v>6384</v>
      </c>
      <c r="D530" s="424" t="s">
        <v>5240</v>
      </c>
      <c r="E530" s="425" t="str">
        <f>VLOOKUP($D530,'Tabel Map Industry'!$A$2:$H$464,2,0)</f>
        <v xml:space="preserve">Perdagangan Eceran Kertas, Barang-barang dari Kertas, Alat Tulis, Barang Cetakan, Alat Olahraga, Alat Musik, Alat Fotografi, Komputer </v>
      </c>
      <c r="F530" s="426" t="str">
        <f>VLOOKUP($D530,'Tabel Map Industry'!$A$2:$H$464,3,0)</f>
        <v>HOME APPLIANCES</v>
      </c>
      <c r="G530" s="426" t="str">
        <f>VLOOKUP($D530,'Tabel Map Industry'!$A$2:$H$464,4,0)</f>
        <v>Perdagangan Eceran Kertas, Barang-barang dari Kertas, Alat Tulis, Barang Cetakan, Alat Olahraga, Alat Musik, Alat Fotografi, Komputer  - 523600</v>
      </c>
      <c r="H530" s="426" t="str">
        <f>VLOOKUP($D530,'Tabel Map Industry'!$A$2:$H$464,8,0)</f>
        <v>Perdagangan Eceran - 6500</v>
      </c>
    </row>
    <row r="531" spans="1:8" ht="60" hidden="1" x14ac:dyDescent="0.25">
      <c r="A531" s="422"/>
      <c r="B531" s="418" t="s">
        <v>6385</v>
      </c>
      <c r="C531" s="418" t="s">
        <v>6386</v>
      </c>
      <c r="D531" s="419" t="s">
        <v>5240</v>
      </c>
      <c r="E531" s="420" t="str">
        <f>VLOOKUP($D531,'Tabel Map Industry'!$A$2:$H$464,2,0)</f>
        <v xml:space="preserve">Perdagangan Eceran Kertas, Barang-barang dari Kertas, Alat Tulis, Barang Cetakan, Alat Olahraga, Alat Musik, Alat Fotografi, Komputer </v>
      </c>
      <c r="F531" s="421" t="str">
        <f>VLOOKUP($D531,'Tabel Map Industry'!$A$2:$H$464,3,0)</f>
        <v>HOME APPLIANCES</v>
      </c>
      <c r="G531" s="421" t="str">
        <f>VLOOKUP($D531,'Tabel Map Industry'!$A$2:$H$464,4,0)</f>
        <v>Perdagangan Eceran Kertas, Barang-barang dari Kertas, Alat Tulis, Barang Cetakan, Alat Olahraga, Alat Musik, Alat Fotografi, Komputer  - 523600</v>
      </c>
      <c r="H531" s="421" t="str">
        <f>VLOOKUP($D531,'Tabel Map Industry'!$A$2:$H$464,8,0)</f>
        <v>Perdagangan Eceran - 6500</v>
      </c>
    </row>
    <row r="532" spans="1:8" ht="30" hidden="1" x14ac:dyDescent="0.25">
      <c r="A532" s="417"/>
      <c r="B532" s="423" t="s">
        <v>6409</v>
      </c>
      <c r="C532" s="423" t="s">
        <v>6410</v>
      </c>
      <c r="D532" s="424" t="s">
        <v>5236</v>
      </c>
      <c r="E532" s="425" t="str">
        <f>VLOOKUP($D532,'Tabel Map Industry'!$A$2:$H$464,2,0)</f>
        <v>Industri Plastik dan Karet Buatan</v>
      </c>
      <c r="F532" s="426" t="str">
        <f>VLOOKUP($D532,'Tabel Map Industry'!$A$2:$H$464,3,0)</f>
        <v>PLASTIC, PULP &amp; PAPER</v>
      </c>
      <c r="G532" s="426" t="str">
        <f>VLOOKUP($D532,'Tabel Map Industry'!$A$2:$H$464,4,0)</f>
        <v>Industri Plastik dan Karet Buatan - 241300</v>
      </c>
      <c r="H532" s="426" t="str">
        <f>VLOOKUP($D532,'Tabel Map Industry'!$A$2:$H$464,8,0)</f>
        <v>Industri - Lainnya - 3990</v>
      </c>
    </row>
    <row r="533" spans="1:8" ht="60" hidden="1" x14ac:dyDescent="0.25">
      <c r="A533" s="422"/>
      <c r="B533" s="418" t="s">
        <v>6419</v>
      </c>
      <c r="C533" s="418" t="s">
        <v>6420</v>
      </c>
      <c r="D533" s="419" t="s">
        <v>5240</v>
      </c>
      <c r="E533" s="420" t="str">
        <f>VLOOKUP($D533,'Tabel Map Industry'!$A$2:$H$464,2,0)</f>
        <v xml:space="preserve">Perdagangan Eceran Kertas, Barang-barang dari Kertas, Alat Tulis, Barang Cetakan, Alat Olahraga, Alat Musik, Alat Fotografi, Komputer </v>
      </c>
      <c r="F533" s="421" t="str">
        <f>VLOOKUP($D533,'Tabel Map Industry'!$A$2:$H$464,3,0)</f>
        <v>HOME APPLIANCES</v>
      </c>
      <c r="G533" s="421" t="str">
        <f>VLOOKUP($D533,'Tabel Map Industry'!$A$2:$H$464,4,0)</f>
        <v>Perdagangan Eceran Kertas, Barang-barang dari Kertas, Alat Tulis, Barang Cetakan, Alat Olahraga, Alat Musik, Alat Fotografi, Komputer  - 523600</v>
      </c>
      <c r="H533" s="421" t="str">
        <f>VLOOKUP($D533,'Tabel Map Industry'!$A$2:$H$464,8,0)</f>
        <v>Perdagangan Eceran - 6500</v>
      </c>
    </row>
    <row r="534" spans="1:8" ht="60" hidden="1" x14ac:dyDescent="0.25">
      <c r="A534" s="417"/>
      <c r="B534" s="423" t="s">
        <v>6439</v>
      </c>
      <c r="C534" s="423" t="s">
        <v>6440</v>
      </c>
      <c r="D534" s="424" t="s">
        <v>5240</v>
      </c>
      <c r="E534" s="425" t="str">
        <f>VLOOKUP($D534,'Tabel Map Industry'!$A$2:$H$464,2,0)</f>
        <v xml:space="preserve">Perdagangan Eceran Kertas, Barang-barang dari Kertas, Alat Tulis, Barang Cetakan, Alat Olahraga, Alat Musik, Alat Fotografi, Komputer </v>
      </c>
      <c r="F534" s="426" t="str">
        <f>VLOOKUP($D534,'Tabel Map Industry'!$A$2:$H$464,3,0)</f>
        <v>HOME APPLIANCES</v>
      </c>
      <c r="G534" s="426" t="str">
        <f>VLOOKUP($D534,'Tabel Map Industry'!$A$2:$H$464,4,0)</f>
        <v>Perdagangan Eceran Kertas, Barang-barang dari Kertas, Alat Tulis, Barang Cetakan, Alat Olahraga, Alat Musik, Alat Fotografi, Komputer  - 523600</v>
      </c>
      <c r="H534" s="426" t="str">
        <f>VLOOKUP($D534,'Tabel Map Industry'!$A$2:$H$464,8,0)</f>
        <v>Perdagangan Eceran - 6500</v>
      </c>
    </row>
    <row r="535" spans="1:8" hidden="1" x14ac:dyDescent="0.25">
      <c r="A535" s="422"/>
      <c r="B535" s="418" t="s">
        <v>6347</v>
      </c>
      <c r="C535" s="418" t="s">
        <v>6474</v>
      </c>
      <c r="D535" s="419" t="s">
        <v>5237</v>
      </c>
      <c r="E535" s="420" t="str">
        <f>VLOOKUP($D535,'Tabel Map Industry'!$A$2:$H$464,2,0)</f>
        <v xml:space="preserve">Industri Barang dari Plastik </v>
      </c>
      <c r="F535" s="421" t="str">
        <f>VLOOKUP($D535,'Tabel Map Industry'!$A$2:$H$464,3,0)</f>
        <v>PLASTIC, PULP &amp; PAPER</v>
      </c>
      <c r="G535" s="421" t="str">
        <f>VLOOKUP($D535,'Tabel Map Industry'!$A$2:$H$464,4,0)</f>
        <v>Industri Barang dari Plastik  - 252000</v>
      </c>
      <c r="H535" s="421" t="str">
        <f>VLOOKUP($D535,'Tabel Map Industry'!$A$2:$H$464,8,0)</f>
        <v>Industri - Plastik - 3630</v>
      </c>
    </row>
    <row r="536" spans="1:8" hidden="1" x14ac:dyDescent="0.25">
      <c r="A536" s="417"/>
      <c r="B536" s="423" t="s">
        <v>6515</v>
      </c>
      <c r="C536" s="423" t="s">
        <v>6516</v>
      </c>
      <c r="D536" s="424" t="s">
        <v>5237</v>
      </c>
      <c r="E536" s="425" t="str">
        <f>VLOOKUP($D536,'Tabel Map Industry'!$A$2:$H$464,2,0)</f>
        <v xml:space="preserve">Industri Barang dari Plastik </v>
      </c>
      <c r="F536" s="426" t="str">
        <f>VLOOKUP($D536,'Tabel Map Industry'!$A$2:$H$464,3,0)</f>
        <v>PLASTIC, PULP &amp; PAPER</v>
      </c>
      <c r="G536" s="426" t="str">
        <f>VLOOKUP($D536,'Tabel Map Industry'!$A$2:$H$464,4,0)</f>
        <v>Industri Barang dari Plastik  - 252000</v>
      </c>
      <c r="H536" s="426" t="str">
        <f>VLOOKUP($D536,'Tabel Map Industry'!$A$2:$H$464,8,0)</f>
        <v>Industri - Plastik - 3630</v>
      </c>
    </row>
    <row r="537" spans="1:8" ht="60" hidden="1" x14ac:dyDescent="0.25">
      <c r="A537" s="422"/>
      <c r="B537" s="418" t="s">
        <v>6623</v>
      </c>
      <c r="C537" s="418" t="s">
        <v>6624</v>
      </c>
      <c r="D537" s="419" t="s">
        <v>5240</v>
      </c>
      <c r="E537" s="420" t="str">
        <f>VLOOKUP($D537,'Tabel Map Industry'!$A$2:$H$464,2,0)</f>
        <v xml:space="preserve">Perdagangan Eceran Kertas, Barang-barang dari Kertas, Alat Tulis, Barang Cetakan, Alat Olahraga, Alat Musik, Alat Fotografi, Komputer </v>
      </c>
      <c r="F537" s="421" t="str">
        <f>VLOOKUP($D537,'Tabel Map Industry'!$A$2:$H$464,3,0)</f>
        <v>HOME APPLIANCES</v>
      </c>
      <c r="G537" s="421" t="str">
        <f>VLOOKUP($D537,'Tabel Map Industry'!$A$2:$H$464,4,0)</f>
        <v>Perdagangan Eceran Kertas, Barang-barang dari Kertas, Alat Tulis, Barang Cetakan, Alat Olahraga, Alat Musik, Alat Fotografi, Komputer  - 523600</v>
      </c>
      <c r="H537" s="421" t="str">
        <f>VLOOKUP($D537,'Tabel Map Industry'!$A$2:$H$464,8,0)</f>
        <v>Perdagangan Eceran - 6500</v>
      </c>
    </row>
    <row r="538" spans="1:8" ht="30" hidden="1" x14ac:dyDescent="0.25">
      <c r="A538" s="417"/>
      <c r="B538" s="423" t="s">
        <v>6716</v>
      </c>
      <c r="C538" s="423" t="s">
        <v>6717</v>
      </c>
      <c r="D538" s="424" t="s">
        <v>5236</v>
      </c>
      <c r="E538" s="425" t="str">
        <f>VLOOKUP($D538,'Tabel Map Industry'!$A$2:$H$464,2,0)</f>
        <v>Industri Plastik dan Karet Buatan</v>
      </c>
      <c r="F538" s="426" t="str">
        <f>VLOOKUP($D538,'Tabel Map Industry'!$A$2:$H$464,3,0)</f>
        <v>PLASTIC, PULP &amp; PAPER</v>
      </c>
      <c r="G538" s="426" t="str">
        <f>VLOOKUP($D538,'Tabel Map Industry'!$A$2:$H$464,4,0)</f>
        <v>Industri Plastik dan Karet Buatan - 241300</v>
      </c>
      <c r="H538" s="426" t="str">
        <f>VLOOKUP($D538,'Tabel Map Industry'!$A$2:$H$464,8,0)</f>
        <v>Industri - Lainnya - 3990</v>
      </c>
    </row>
    <row r="539" spans="1:8" ht="60" hidden="1" x14ac:dyDescent="0.25">
      <c r="A539" s="422"/>
      <c r="B539" s="418" t="s">
        <v>6746</v>
      </c>
      <c r="C539" s="418" t="s">
        <v>6747</v>
      </c>
      <c r="D539" s="419" t="s">
        <v>5240</v>
      </c>
      <c r="E539" s="420" t="str">
        <f>VLOOKUP($D539,'Tabel Map Industry'!$A$2:$H$464,2,0)</f>
        <v xml:space="preserve">Perdagangan Eceran Kertas, Barang-barang dari Kertas, Alat Tulis, Barang Cetakan, Alat Olahraga, Alat Musik, Alat Fotografi, Komputer </v>
      </c>
      <c r="F539" s="421" t="str">
        <f>VLOOKUP($D539,'Tabel Map Industry'!$A$2:$H$464,3,0)</f>
        <v>HOME APPLIANCES</v>
      </c>
      <c r="G539" s="421" t="str">
        <f>VLOOKUP($D539,'Tabel Map Industry'!$A$2:$H$464,4,0)</f>
        <v>Perdagangan Eceran Kertas, Barang-barang dari Kertas, Alat Tulis, Barang Cetakan, Alat Olahraga, Alat Musik, Alat Fotografi, Komputer  - 523600</v>
      </c>
      <c r="H539" s="421" t="str">
        <f>VLOOKUP($D539,'Tabel Map Industry'!$A$2:$H$464,8,0)</f>
        <v>Perdagangan Eceran - 6500</v>
      </c>
    </row>
    <row r="540" spans="1:8" ht="60" hidden="1" x14ac:dyDescent="0.25">
      <c r="A540" s="417"/>
      <c r="B540" s="423" t="s">
        <v>6765</v>
      </c>
      <c r="C540" s="423" t="s">
        <v>6765</v>
      </c>
      <c r="D540" s="424" t="s">
        <v>5240</v>
      </c>
      <c r="E540" s="425" t="str">
        <f>VLOOKUP($D540,'Tabel Map Industry'!$A$2:$H$464,2,0)</f>
        <v xml:space="preserve">Perdagangan Eceran Kertas, Barang-barang dari Kertas, Alat Tulis, Barang Cetakan, Alat Olahraga, Alat Musik, Alat Fotografi, Komputer </v>
      </c>
      <c r="F540" s="426" t="str">
        <f>VLOOKUP($D540,'Tabel Map Industry'!$A$2:$H$464,3,0)</f>
        <v>HOME APPLIANCES</v>
      </c>
      <c r="G540" s="426" t="str">
        <f>VLOOKUP($D540,'Tabel Map Industry'!$A$2:$H$464,4,0)</f>
        <v>Perdagangan Eceran Kertas, Barang-barang dari Kertas, Alat Tulis, Barang Cetakan, Alat Olahraga, Alat Musik, Alat Fotografi, Komputer  - 523600</v>
      </c>
      <c r="H540" s="426" t="str">
        <f>VLOOKUP($D540,'Tabel Map Industry'!$A$2:$H$464,8,0)</f>
        <v>Perdagangan Eceran - 6500</v>
      </c>
    </row>
    <row r="541" spans="1:8" ht="30" hidden="1" x14ac:dyDescent="0.25">
      <c r="A541" s="422"/>
      <c r="B541" s="418" t="s">
        <v>6853</v>
      </c>
      <c r="C541" s="418" t="s">
        <v>6853</v>
      </c>
      <c r="D541" s="419" t="s">
        <v>5237</v>
      </c>
      <c r="E541" s="420" t="str">
        <f>VLOOKUP($D541,'Tabel Map Industry'!$A$2:$H$464,2,0)</f>
        <v xml:space="preserve">Industri Barang dari Plastik </v>
      </c>
      <c r="F541" s="421" t="str">
        <f>VLOOKUP($D541,'Tabel Map Industry'!$A$2:$H$464,3,0)</f>
        <v>PLASTIC, PULP &amp; PAPER</v>
      </c>
      <c r="G541" s="421" t="str">
        <f>VLOOKUP($D541,'Tabel Map Industry'!$A$2:$H$464,4,0)</f>
        <v>Industri Barang dari Plastik  - 252000</v>
      </c>
      <c r="H541" s="421" t="str">
        <f>VLOOKUP($D541,'Tabel Map Industry'!$A$2:$H$464,8,0)</f>
        <v>Industri - Plastik - 3630</v>
      </c>
    </row>
    <row r="542" spans="1:8" ht="30" hidden="1" x14ac:dyDescent="0.25">
      <c r="A542" s="417"/>
      <c r="B542" s="423" t="s">
        <v>6949</v>
      </c>
      <c r="C542" s="423" t="s">
        <v>6950</v>
      </c>
      <c r="D542" s="424" t="s">
        <v>5238</v>
      </c>
      <c r="E542" s="425" t="str">
        <f>VLOOKUP($D542,'Tabel Map Industry'!$A$2:$H$464,2,0)</f>
        <v>Industri Bubur Kertas (Pulp), Kertas dan Karton / Paper Board</v>
      </c>
      <c r="F542" s="426" t="str">
        <f>VLOOKUP($D542,'Tabel Map Industry'!$A$2:$H$464,3,0)</f>
        <v>PLASTIC, PULP &amp; PAPER</v>
      </c>
      <c r="G542" s="426" t="str">
        <f>VLOOKUP($D542,'Tabel Map Industry'!$A$2:$H$464,4,0)</f>
        <v>Industri Bubur Kertas (Pulp), Kertas dan Karton / Paper Board - 210100</v>
      </c>
      <c r="H542" s="426" t="str">
        <f>VLOOKUP($D542,'Tabel Map Industry'!$A$2:$H$464,8,0)</f>
        <v>Industri - Bahan Kertas (Pulp) - 3530</v>
      </c>
    </row>
    <row r="543" spans="1:8" ht="60" hidden="1" x14ac:dyDescent="0.25">
      <c r="A543" s="422"/>
      <c r="B543" s="418" t="s">
        <v>6963</v>
      </c>
      <c r="C543" s="418" t="s">
        <v>6964</v>
      </c>
      <c r="D543" s="419" t="s">
        <v>5240</v>
      </c>
      <c r="E543" s="420" t="str">
        <f>VLOOKUP($D543,'Tabel Map Industry'!$A$2:$H$464,2,0)</f>
        <v xml:space="preserve">Perdagangan Eceran Kertas, Barang-barang dari Kertas, Alat Tulis, Barang Cetakan, Alat Olahraga, Alat Musik, Alat Fotografi, Komputer </v>
      </c>
      <c r="F543" s="421" t="str">
        <f>VLOOKUP($D543,'Tabel Map Industry'!$A$2:$H$464,3,0)</f>
        <v>HOME APPLIANCES</v>
      </c>
      <c r="G543" s="421" t="str">
        <f>VLOOKUP($D543,'Tabel Map Industry'!$A$2:$H$464,4,0)</f>
        <v>Perdagangan Eceran Kertas, Barang-barang dari Kertas, Alat Tulis, Barang Cetakan, Alat Olahraga, Alat Musik, Alat Fotografi, Komputer  - 523600</v>
      </c>
      <c r="H543" s="421" t="str">
        <f>VLOOKUP($D543,'Tabel Map Industry'!$A$2:$H$464,8,0)</f>
        <v>Perdagangan Eceran - 6500</v>
      </c>
    </row>
    <row r="544" spans="1:8" ht="30" hidden="1" x14ac:dyDescent="0.25">
      <c r="A544" s="417"/>
      <c r="B544" s="423" t="s">
        <v>7011</v>
      </c>
      <c r="C544" s="423" t="s">
        <v>7012</v>
      </c>
      <c r="D544" s="424" t="s">
        <v>5236</v>
      </c>
      <c r="E544" s="425" t="str">
        <f>VLOOKUP($D544,'Tabel Map Industry'!$A$2:$H$464,2,0)</f>
        <v>Industri Plastik dan Karet Buatan</v>
      </c>
      <c r="F544" s="426" t="str">
        <f>VLOOKUP($D544,'Tabel Map Industry'!$A$2:$H$464,3,0)</f>
        <v>PLASTIC, PULP &amp; PAPER</v>
      </c>
      <c r="G544" s="426" t="str">
        <f>VLOOKUP($D544,'Tabel Map Industry'!$A$2:$H$464,4,0)</f>
        <v>Industri Plastik dan Karet Buatan - 241300</v>
      </c>
      <c r="H544" s="426" t="str">
        <f>VLOOKUP($D544,'Tabel Map Industry'!$A$2:$H$464,8,0)</f>
        <v>Industri - Lainnya - 3990</v>
      </c>
    </row>
    <row r="545" spans="1:8" ht="60" hidden="1" x14ac:dyDescent="0.25">
      <c r="A545" s="422"/>
      <c r="B545" s="418" t="s">
        <v>6581</v>
      </c>
      <c r="C545" s="418" t="s">
        <v>6383</v>
      </c>
      <c r="D545" s="419" t="s">
        <v>5240</v>
      </c>
      <c r="E545" s="420" t="str">
        <f>VLOOKUP($D545,'Tabel Map Industry'!$A$2:$H$464,2,0)</f>
        <v xml:space="preserve">Perdagangan Eceran Kertas, Barang-barang dari Kertas, Alat Tulis, Barang Cetakan, Alat Olahraga, Alat Musik, Alat Fotografi, Komputer </v>
      </c>
      <c r="F545" s="421" t="str">
        <f>VLOOKUP($D545,'Tabel Map Industry'!$A$2:$H$464,3,0)</f>
        <v>HOME APPLIANCES</v>
      </c>
      <c r="G545" s="421" t="str">
        <f>VLOOKUP($D545,'Tabel Map Industry'!$A$2:$H$464,4,0)</f>
        <v>Perdagangan Eceran Kertas, Barang-barang dari Kertas, Alat Tulis, Barang Cetakan, Alat Olahraga, Alat Musik, Alat Fotografi, Komputer  - 523600</v>
      </c>
      <c r="H545" s="421" t="str">
        <f>VLOOKUP($D545,'Tabel Map Industry'!$A$2:$H$464,8,0)</f>
        <v>Perdagangan Eceran - 6500</v>
      </c>
    </row>
    <row r="546" spans="1:8" hidden="1" x14ac:dyDescent="0.25">
      <c r="A546" s="417"/>
      <c r="B546" s="423" t="s">
        <v>7135</v>
      </c>
      <c r="C546" s="423" t="s">
        <v>7136</v>
      </c>
      <c r="D546" s="424" t="s">
        <v>5237</v>
      </c>
      <c r="E546" s="425" t="str">
        <f>VLOOKUP($D546,'Tabel Map Industry'!$A$2:$H$464,2,0)</f>
        <v xml:space="preserve">Industri Barang dari Plastik </v>
      </c>
      <c r="F546" s="426" t="str">
        <f>VLOOKUP($D546,'Tabel Map Industry'!$A$2:$H$464,3,0)</f>
        <v>PLASTIC, PULP &amp; PAPER</v>
      </c>
      <c r="G546" s="426" t="str">
        <f>VLOOKUP($D546,'Tabel Map Industry'!$A$2:$H$464,4,0)</f>
        <v>Industri Barang dari Plastik  - 252000</v>
      </c>
      <c r="H546" s="426" t="str">
        <f>VLOOKUP($D546,'Tabel Map Industry'!$A$2:$H$464,8,0)</f>
        <v>Industri - Plastik - 3630</v>
      </c>
    </row>
    <row r="547" spans="1:8" ht="30" hidden="1" x14ac:dyDescent="0.25">
      <c r="A547" s="422"/>
      <c r="B547" s="418" t="s">
        <v>7154</v>
      </c>
      <c r="C547" s="418" t="s">
        <v>7155</v>
      </c>
      <c r="D547" s="419" t="s">
        <v>5237</v>
      </c>
      <c r="E547" s="420" t="str">
        <f>VLOOKUP($D547,'Tabel Map Industry'!$A$2:$H$464,2,0)</f>
        <v xml:space="preserve">Industri Barang dari Plastik </v>
      </c>
      <c r="F547" s="421" t="str">
        <f>VLOOKUP($D547,'Tabel Map Industry'!$A$2:$H$464,3,0)</f>
        <v>PLASTIC, PULP &amp; PAPER</v>
      </c>
      <c r="G547" s="421" t="str">
        <f>VLOOKUP($D547,'Tabel Map Industry'!$A$2:$H$464,4,0)</f>
        <v>Industri Barang dari Plastik  - 252000</v>
      </c>
      <c r="H547" s="421" t="str">
        <f>VLOOKUP($D547,'Tabel Map Industry'!$A$2:$H$464,8,0)</f>
        <v>Industri - Plastik - 3630</v>
      </c>
    </row>
    <row r="548" spans="1:8" ht="60" hidden="1" x14ac:dyDescent="0.25">
      <c r="A548" s="417"/>
      <c r="B548" s="423" t="s">
        <v>7161</v>
      </c>
      <c r="C548" s="423" t="s">
        <v>7162</v>
      </c>
      <c r="D548" s="424" t="s">
        <v>5240</v>
      </c>
      <c r="E548" s="425" t="str">
        <f>VLOOKUP($D548,'Tabel Map Industry'!$A$2:$H$464,2,0)</f>
        <v xml:space="preserve">Perdagangan Eceran Kertas, Barang-barang dari Kertas, Alat Tulis, Barang Cetakan, Alat Olahraga, Alat Musik, Alat Fotografi, Komputer </v>
      </c>
      <c r="F548" s="426" t="str">
        <f>VLOOKUP($D548,'Tabel Map Industry'!$A$2:$H$464,3,0)</f>
        <v>HOME APPLIANCES</v>
      </c>
      <c r="G548" s="426" t="str">
        <f>VLOOKUP($D548,'Tabel Map Industry'!$A$2:$H$464,4,0)</f>
        <v>Perdagangan Eceran Kertas, Barang-barang dari Kertas, Alat Tulis, Barang Cetakan, Alat Olahraga, Alat Musik, Alat Fotografi, Komputer  - 523600</v>
      </c>
      <c r="H548" s="426" t="str">
        <f>VLOOKUP($D548,'Tabel Map Industry'!$A$2:$H$464,8,0)</f>
        <v>Perdagangan Eceran - 6500</v>
      </c>
    </row>
    <row r="549" spans="1:8" ht="30" hidden="1" x14ac:dyDescent="0.25">
      <c r="A549" s="422"/>
      <c r="B549" s="418" t="str">
        <f>PROPER(F549)</f>
        <v>Plastic, Pulp &amp; Paper</v>
      </c>
      <c r="C549" s="418" t="str">
        <f>E549</f>
        <v>Industri Plastik dan Karet Buatan</v>
      </c>
      <c r="D549" s="419" t="s">
        <v>5236</v>
      </c>
      <c r="E549" s="420" t="str">
        <f>VLOOKUP($D549,'Tabel Map Industry'!$A$2:$H$464,2,0)</f>
        <v>Industri Plastik dan Karet Buatan</v>
      </c>
      <c r="F549" s="421" t="str">
        <f>VLOOKUP($D549,'Tabel Map Industry'!$A$2:$H$464,3,0)</f>
        <v>PLASTIC, PULP &amp; PAPER</v>
      </c>
      <c r="G549" s="421" t="str">
        <f>VLOOKUP($D549,'Tabel Map Industry'!$A$2:$H$464,4,0)</f>
        <v>Industri Plastik dan Karet Buatan - 241300</v>
      </c>
      <c r="H549" s="421" t="str">
        <f>VLOOKUP($D549,'Tabel Map Industry'!$A$2:$H$464,8,0)</f>
        <v>Industri - Lainnya - 3990</v>
      </c>
    </row>
    <row r="550" spans="1:8" ht="30" hidden="1" x14ac:dyDescent="0.25">
      <c r="A550" s="417"/>
      <c r="B550" s="423" t="str">
        <f>PROPER(F550)</f>
        <v>Plastic, Pulp &amp; Paper</v>
      </c>
      <c r="C550" s="423" t="str">
        <f>E550</f>
        <v xml:space="preserve">Industri Barang dari Plastik </v>
      </c>
      <c r="D550" s="424" t="s">
        <v>5237</v>
      </c>
      <c r="E550" s="425" t="str">
        <f>VLOOKUP($D550,'Tabel Map Industry'!$A$2:$H$464,2,0)</f>
        <v xml:space="preserve">Industri Barang dari Plastik </v>
      </c>
      <c r="F550" s="426" t="str">
        <f>VLOOKUP($D550,'Tabel Map Industry'!$A$2:$H$464,3,0)</f>
        <v>PLASTIC, PULP &amp; PAPER</v>
      </c>
      <c r="G550" s="426" t="str">
        <f>VLOOKUP($D550,'Tabel Map Industry'!$A$2:$H$464,4,0)</f>
        <v>Industri Barang dari Plastik  - 252000</v>
      </c>
      <c r="H550" s="426" t="str">
        <f>VLOOKUP($D550,'Tabel Map Industry'!$A$2:$H$464,8,0)</f>
        <v>Industri - Plastik - 3630</v>
      </c>
    </row>
    <row r="551" spans="1:8" ht="60" hidden="1" x14ac:dyDescent="0.25">
      <c r="A551" s="422"/>
      <c r="B551" s="418" t="str">
        <f>PROPER(F551)</f>
        <v>Home Appliances</v>
      </c>
      <c r="C551" s="418" t="str">
        <f>E551</f>
        <v xml:space="preserve">Perdagangan Eceran Kertas, Barang-barang dari Kertas, Alat Tulis, Barang Cetakan, Alat Olahraga, Alat Musik, Alat Fotografi, Komputer </v>
      </c>
      <c r="D551" s="419" t="s">
        <v>5240</v>
      </c>
      <c r="E551" s="420" t="str">
        <f>VLOOKUP($D551,'Tabel Map Industry'!$A$2:$H$464,2,0)</f>
        <v xml:space="preserve">Perdagangan Eceran Kertas, Barang-barang dari Kertas, Alat Tulis, Barang Cetakan, Alat Olahraga, Alat Musik, Alat Fotografi, Komputer </v>
      </c>
      <c r="F551" s="421" t="str">
        <f>VLOOKUP($D551,'Tabel Map Industry'!$A$2:$H$464,3,0)</f>
        <v>HOME APPLIANCES</v>
      </c>
      <c r="G551" s="421" t="str">
        <f>VLOOKUP($D551,'Tabel Map Industry'!$A$2:$H$464,4,0)</f>
        <v>Perdagangan Eceran Kertas, Barang-barang dari Kertas, Alat Tulis, Barang Cetakan, Alat Olahraga, Alat Musik, Alat Fotografi, Komputer  - 523600</v>
      </c>
      <c r="H551" s="421" t="str">
        <f>VLOOKUP($D551,'Tabel Map Industry'!$A$2:$H$464,8,0)</f>
        <v>Perdagangan Eceran - 6500</v>
      </c>
    </row>
    <row r="552" spans="1:8" ht="75" hidden="1" x14ac:dyDescent="0.25">
      <c r="A552" s="417"/>
      <c r="B552" s="423" t="s">
        <v>6387</v>
      </c>
      <c r="C552" s="423" t="s">
        <v>6388</v>
      </c>
      <c r="D552" s="424" t="s">
        <v>5249</v>
      </c>
      <c r="E552" s="425" t="str">
        <f>VLOOKUP($D552,'Tabel Map Industry'!$A$2:$H$464,2,0)</f>
        <v xml:space="preserve">Industri Percetakan dan Kegiatan yang Berkaitan Dengan Pencetakan Termasuk Reproduksi / Cetak Ulang) </v>
      </c>
      <c r="F552" s="426" t="str">
        <f>VLOOKUP($D552,'Tabel Map Industry'!$A$2:$H$464,3,0)</f>
        <v>PRINTING, MEDIA &amp; ADVERTISING</v>
      </c>
      <c r="G552" s="426" t="str">
        <f>VLOOKUP($D552,'Tabel Map Industry'!$A$2:$H$464,4,0)</f>
        <v>Industri Percetakan dan Kegiatan yang Berkaitan Dengan Pencetakan Termasuk Reproduksi / Cetak Ulang)  - 222000</v>
      </c>
      <c r="H552" s="426" t="str">
        <f>VLOOKUP($D552,'Tabel Map Industry'!$A$2:$H$464,8,0)</f>
        <v>Industri - Kertas dan Hasil-hasil Kertas - 3510</v>
      </c>
    </row>
    <row r="553" spans="1:8" ht="45" hidden="1" x14ac:dyDescent="0.25">
      <c r="A553" s="422"/>
      <c r="B553" s="418" t="s">
        <v>6393</v>
      </c>
      <c r="C553" s="418" t="s">
        <v>6394</v>
      </c>
      <c r="D553" s="419" t="s">
        <v>5249</v>
      </c>
      <c r="E553" s="420" t="str">
        <f>VLOOKUP($D553,'Tabel Map Industry'!$A$2:$H$464,2,0)</f>
        <v xml:space="preserve">Industri Percetakan dan Kegiatan yang Berkaitan Dengan Pencetakan Termasuk Reproduksi / Cetak Ulang) </v>
      </c>
      <c r="F553" s="421" t="str">
        <f>VLOOKUP($D553,'Tabel Map Industry'!$A$2:$H$464,3,0)</f>
        <v>PRINTING, MEDIA &amp; ADVERTISING</v>
      </c>
      <c r="G553" s="421" t="str">
        <f>VLOOKUP($D553,'Tabel Map Industry'!$A$2:$H$464,4,0)</f>
        <v>Industri Percetakan dan Kegiatan yang Berkaitan Dengan Pencetakan Termasuk Reproduksi / Cetak Ulang)  - 222000</v>
      </c>
      <c r="H553" s="421" t="str">
        <f>VLOOKUP($D553,'Tabel Map Industry'!$A$2:$H$464,8,0)</f>
        <v>Industri - Kertas dan Hasil-hasil Kertas - 3510</v>
      </c>
    </row>
    <row r="554" spans="1:8" ht="45" hidden="1" x14ac:dyDescent="0.25">
      <c r="A554" s="417"/>
      <c r="B554" s="423" t="s">
        <v>6511</v>
      </c>
      <c r="C554" s="423" t="s">
        <v>6512</v>
      </c>
      <c r="D554" s="424" t="s">
        <v>5249</v>
      </c>
      <c r="E554" s="425" t="str">
        <f>VLOOKUP($D554,'Tabel Map Industry'!$A$2:$H$464,2,0)</f>
        <v xml:space="preserve">Industri Percetakan dan Kegiatan yang Berkaitan Dengan Pencetakan Termasuk Reproduksi / Cetak Ulang) </v>
      </c>
      <c r="F554" s="426" t="str">
        <f>VLOOKUP($D554,'Tabel Map Industry'!$A$2:$H$464,3,0)</f>
        <v>PRINTING, MEDIA &amp; ADVERTISING</v>
      </c>
      <c r="G554" s="426" t="str">
        <f>VLOOKUP($D554,'Tabel Map Industry'!$A$2:$H$464,4,0)</f>
        <v>Industri Percetakan dan Kegiatan yang Berkaitan Dengan Pencetakan Termasuk Reproduksi / Cetak Ulang)  - 222000</v>
      </c>
      <c r="H554" s="426" t="str">
        <f>VLOOKUP($D554,'Tabel Map Industry'!$A$2:$H$464,8,0)</f>
        <v>Industri - Kertas dan Hasil-hasil Kertas - 3510</v>
      </c>
    </row>
    <row r="555" spans="1:8" ht="45" hidden="1" x14ac:dyDescent="0.25">
      <c r="A555" s="422"/>
      <c r="B555" s="418" t="s">
        <v>6387</v>
      </c>
      <c r="C555" s="418" t="s">
        <v>6709</v>
      </c>
      <c r="D555" s="419" t="s">
        <v>5249</v>
      </c>
      <c r="E555" s="420" t="str">
        <f>VLOOKUP($D555,'Tabel Map Industry'!$A$2:$H$464,2,0)</f>
        <v xml:space="preserve">Industri Percetakan dan Kegiatan yang Berkaitan Dengan Pencetakan Termasuk Reproduksi / Cetak Ulang) </v>
      </c>
      <c r="F555" s="421" t="str">
        <f>VLOOKUP($D555,'Tabel Map Industry'!$A$2:$H$464,3,0)</f>
        <v>PRINTING, MEDIA &amp; ADVERTISING</v>
      </c>
      <c r="G555" s="421" t="str">
        <f>VLOOKUP($D555,'Tabel Map Industry'!$A$2:$H$464,4,0)</f>
        <v>Industri Percetakan dan Kegiatan yang Berkaitan Dengan Pencetakan Termasuk Reproduksi / Cetak Ulang)  - 222000</v>
      </c>
      <c r="H555" s="421" t="str">
        <f>VLOOKUP($D555,'Tabel Map Industry'!$A$2:$H$464,8,0)</f>
        <v>Industri - Kertas dan Hasil-hasil Kertas - 3510</v>
      </c>
    </row>
    <row r="556" spans="1:8" ht="45" hidden="1" x14ac:dyDescent="0.25">
      <c r="A556" s="417"/>
      <c r="B556" s="423" t="s">
        <v>6387</v>
      </c>
      <c r="C556" s="423" t="s">
        <v>6719</v>
      </c>
      <c r="D556" s="424" t="s">
        <v>5249</v>
      </c>
      <c r="E556" s="425" t="str">
        <f>VLOOKUP($D556,'Tabel Map Industry'!$A$2:$H$464,2,0)</f>
        <v xml:space="preserve">Industri Percetakan dan Kegiatan yang Berkaitan Dengan Pencetakan Termasuk Reproduksi / Cetak Ulang) </v>
      </c>
      <c r="F556" s="426" t="str">
        <f>VLOOKUP($D556,'Tabel Map Industry'!$A$2:$H$464,3,0)</f>
        <v>PRINTING, MEDIA &amp; ADVERTISING</v>
      </c>
      <c r="G556" s="426" t="str">
        <f>VLOOKUP($D556,'Tabel Map Industry'!$A$2:$H$464,4,0)</f>
        <v>Industri Percetakan dan Kegiatan yang Berkaitan Dengan Pencetakan Termasuk Reproduksi / Cetak Ulang)  - 222000</v>
      </c>
      <c r="H556" s="426" t="str">
        <f>VLOOKUP($D556,'Tabel Map Industry'!$A$2:$H$464,8,0)</f>
        <v>Industri - Kertas dan Hasil-hasil Kertas - 3510</v>
      </c>
    </row>
    <row r="557" spans="1:8" ht="45" hidden="1" x14ac:dyDescent="0.25">
      <c r="A557" s="422"/>
      <c r="B557" s="418" t="s">
        <v>6935</v>
      </c>
      <c r="C557" s="418" t="s">
        <v>6936</v>
      </c>
      <c r="D557" s="419" t="s">
        <v>5249</v>
      </c>
      <c r="E557" s="420" t="str">
        <f>VLOOKUP($D557,'Tabel Map Industry'!$A$2:$H$464,2,0)</f>
        <v xml:space="preserve">Industri Percetakan dan Kegiatan yang Berkaitan Dengan Pencetakan Termasuk Reproduksi / Cetak Ulang) </v>
      </c>
      <c r="F557" s="421" t="str">
        <f>VLOOKUP($D557,'Tabel Map Industry'!$A$2:$H$464,3,0)</f>
        <v>PRINTING, MEDIA &amp; ADVERTISING</v>
      </c>
      <c r="G557" s="421" t="str">
        <f>VLOOKUP($D557,'Tabel Map Industry'!$A$2:$H$464,4,0)</f>
        <v>Industri Percetakan dan Kegiatan yang Berkaitan Dengan Pencetakan Termasuk Reproduksi / Cetak Ulang)  - 222000</v>
      </c>
      <c r="H557" s="421" t="str">
        <f>VLOOKUP($D557,'Tabel Map Industry'!$A$2:$H$464,8,0)</f>
        <v>Industri - Kertas dan Hasil-hasil Kertas - 3510</v>
      </c>
    </row>
    <row r="558" spans="1:8" ht="45" hidden="1" x14ac:dyDescent="0.25">
      <c r="A558" s="417"/>
      <c r="B558" s="423" t="s">
        <v>6961</v>
      </c>
      <c r="C558" s="423" t="s">
        <v>6962</v>
      </c>
      <c r="D558" s="424" t="s">
        <v>5249</v>
      </c>
      <c r="E558" s="425" t="str">
        <f>VLOOKUP($D558,'Tabel Map Industry'!$A$2:$H$464,2,0)</f>
        <v xml:space="preserve">Industri Percetakan dan Kegiatan yang Berkaitan Dengan Pencetakan Termasuk Reproduksi / Cetak Ulang) </v>
      </c>
      <c r="F558" s="426" t="str">
        <f>VLOOKUP($D558,'Tabel Map Industry'!$A$2:$H$464,3,0)</f>
        <v>PRINTING, MEDIA &amp; ADVERTISING</v>
      </c>
      <c r="G558" s="426" t="str">
        <f>VLOOKUP($D558,'Tabel Map Industry'!$A$2:$H$464,4,0)</f>
        <v>Industri Percetakan dan Kegiatan yang Berkaitan Dengan Pencetakan Termasuk Reproduksi / Cetak Ulang)  - 222000</v>
      </c>
      <c r="H558" s="426" t="str">
        <f>VLOOKUP($D558,'Tabel Map Industry'!$A$2:$H$464,8,0)</f>
        <v>Industri - Kertas dan Hasil-hasil Kertas - 3510</v>
      </c>
    </row>
    <row r="559" spans="1:8" ht="45" hidden="1" x14ac:dyDescent="0.25">
      <c r="A559" s="422"/>
      <c r="B559" s="418" t="s">
        <v>6998</v>
      </c>
      <c r="C559" s="418" t="s">
        <v>6999</v>
      </c>
      <c r="D559" s="419" t="s">
        <v>5249</v>
      </c>
      <c r="E559" s="420" t="str">
        <f>VLOOKUP($D559,'Tabel Map Industry'!$A$2:$H$464,2,0)</f>
        <v xml:space="preserve">Industri Percetakan dan Kegiatan yang Berkaitan Dengan Pencetakan Termasuk Reproduksi / Cetak Ulang) </v>
      </c>
      <c r="F559" s="421" t="str">
        <f>VLOOKUP($D559,'Tabel Map Industry'!$A$2:$H$464,3,0)</f>
        <v>PRINTING, MEDIA &amp; ADVERTISING</v>
      </c>
      <c r="G559" s="421" t="str">
        <f>VLOOKUP($D559,'Tabel Map Industry'!$A$2:$H$464,4,0)</f>
        <v>Industri Percetakan dan Kegiatan yang Berkaitan Dengan Pencetakan Termasuk Reproduksi / Cetak Ulang)  - 222000</v>
      </c>
      <c r="H559" s="421" t="str">
        <f>VLOOKUP($D559,'Tabel Map Industry'!$A$2:$H$464,8,0)</f>
        <v>Industri - Kertas dan Hasil-hasil Kertas - 3510</v>
      </c>
    </row>
    <row r="560" spans="1:8" ht="45" hidden="1" x14ac:dyDescent="0.25">
      <c r="A560" s="417"/>
      <c r="B560" s="423" t="s">
        <v>6998</v>
      </c>
      <c r="C560" s="423" t="s">
        <v>7057</v>
      </c>
      <c r="D560" s="424" t="s">
        <v>5249</v>
      </c>
      <c r="E560" s="425" t="str">
        <f>VLOOKUP($D560,'Tabel Map Industry'!$A$2:$H$464,2,0)</f>
        <v xml:space="preserve">Industri Percetakan dan Kegiatan yang Berkaitan Dengan Pencetakan Termasuk Reproduksi / Cetak Ulang) </v>
      </c>
      <c r="F560" s="426" t="str">
        <f>VLOOKUP($D560,'Tabel Map Industry'!$A$2:$H$464,3,0)</f>
        <v>PRINTING, MEDIA &amp; ADVERTISING</v>
      </c>
      <c r="G560" s="426" t="str">
        <f>VLOOKUP($D560,'Tabel Map Industry'!$A$2:$H$464,4,0)</f>
        <v>Industri Percetakan dan Kegiatan yang Berkaitan Dengan Pencetakan Termasuk Reproduksi / Cetak Ulang)  - 222000</v>
      </c>
      <c r="H560" s="426" t="str">
        <f>VLOOKUP($D560,'Tabel Map Industry'!$A$2:$H$464,8,0)</f>
        <v>Industri - Kertas dan Hasil-hasil Kertas - 3510</v>
      </c>
    </row>
    <row r="561" spans="1:8" ht="45" hidden="1" x14ac:dyDescent="0.25">
      <c r="A561" s="422"/>
      <c r="B561" s="418" t="s">
        <v>7165</v>
      </c>
      <c r="C561" s="418" t="s">
        <v>7166</v>
      </c>
      <c r="D561" s="419" t="s">
        <v>5249</v>
      </c>
      <c r="E561" s="420" t="str">
        <f>VLOOKUP($D561,'Tabel Map Industry'!$A$2:$H$464,2,0)</f>
        <v xml:space="preserve">Industri Percetakan dan Kegiatan yang Berkaitan Dengan Pencetakan Termasuk Reproduksi / Cetak Ulang) </v>
      </c>
      <c r="F561" s="421" t="str">
        <f>VLOOKUP($D561,'Tabel Map Industry'!$A$2:$H$464,3,0)</f>
        <v>PRINTING, MEDIA &amp; ADVERTISING</v>
      </c>
      <c r="G561" s="421" t="str">
        <f>VLOOKUP($D561,'Tabel Map Industry'!$A$2:$H$464,4,0)</f>
        <v>Industri Percetakan dan Kegiatan yang Berkaitan Dengan Pencetakan Termasuk Reproduksi / Cetak Ulang)  - 222000</v>
      </c>
      <c r="H561" s="421" t="str">
        <f>VLOOKUP($D561,'Tabel Map Industry'!$A$2:$H$464,8,0)</f>
        <v>Industri - Kertas dan Hasil-hasil Kertas - 3510</v>
      </c>
    </row>
    <row r="562" spans="1:8" ht="45" hidden="1" x14ac:dyDescent="0.25">
      <c r="A562" s="417"/>
      <c r="B562" s="423" t="str">
        <f>PROPER(F562)</f>
        <v>Printing, Media &amp; Advertising</v>
      </c>
      <c r="C562" s="423" t="str">
        <f>E562</f>
        <v xml:space="preserve">Industri Percetakan dan Kegiatan yang Berkaitan Dengan Pencetakan Termasuk Reproduksi / Cetak Ulang) </v>
      </c>
      <c r="D562" s="424" t="s">
        <v>5249</v>
      </c>
      <c r="E562" s="425" t="str">
        <f>VLOOKUP($D562,'Tabel Map Industry'!$A$2:$H$464,2,0)</f>
        <v xml:space="preserve">Industri Percetakan dan Kegiatan yang Berkaitan Dengan Pencetakan Termasuk Reproduksi / Cetak Ulang) </v>
      </c>
      <c r="F562" s="426" t="str">
        <f>VLOOKUP($D562,'Tabel Map Industry'!$A$2:$H$464,3,0)</f>
        <v>PRINTING, MEDIA &amp; ADVERTISING</v>
      </c>
      <c r="G562" s="426" t="str">
        <f>VLOOKUP($D562,'Tabel Map Industry'!$A$2:$H$464,4,0)</f>
        <v>Industri Percetakan dan Kegiatan yang Berkaitan Dengan Pencetakan Termasuk Reproduksi / Cetak Ulang)  - 222000</v>
      </c>
      <c r="H562" s="426" t="str">
        <f>VLOOKUP($D562,'Tabel Map Industry'!$A$2:$H$464,8,0)</f>
        <v>Industri - Kertas dan Hasil-hasil Kertas - 3510</v>
      </c>
    </row>
    <row r="563" spans="1:8" ht="30" hidden="1" x14ac:dyDescent="0.25">
      <c r="A563" s="422"/>
      <c r="B563" s="418" t="s">
        <v>6349</v>
      </c>
      <c r="C563" s="418" t="s">
        <v>6350</v>
      </c>
      <c r="D563" s="419" t="s">
        <v>5267</v>
      </c>
      <c r="E563" s="420" t="str">
        <f>VLOOKUP($D563,'Tabel Map Industry'!$A$2:$H$464,2,0)</f>
        <v xml:space="preserve">K.2.1.1. Persewaan Alat TRANSPORTsi Darat </v>
      </c>
      <c r="F563" s="421" t="str">
        <f>VLOOKUP($D563,'Tabel Map Industry'!$A$2:$H$464,3,0)</f>
        <v>RENTAL SERVICE</v>
      </c>
      <c r="G563" s="421" t="str">
        <f>VLOOKUP($D563,'Tabel Map Industry'!$A$2:$H$464,4,0)</f>
        <v>K.2.1.1. Persewaan Alat TRANSPORTsi Darat  - 711100</v>
      </c>
      <c r="H563" s="421" t="str">
        <f>VLOOKUP($D563,'Tabel Map Industry'!$A$2:$H$464,8,0)</f>
        <v>Jasa-jasa Dunia Usaha - Lainnya - 8900</v>
      </c>
    </row>
    <row r="564" spans="1:8" ht="45" hidden="1" x14ac:dyDescent="0.25">
      <c r="A564" s="417"/>
      <c r="B564" s="423" t="s">
        <v>6506</v>
      </c>
      <c r="C564" s="423" t="s">
        <v>6507</v>
      </c>
      <c r="D564" s="424" t="s">
        <v>5267</v>
      </c>
      <c r="E564" s="425" t="str">
        <f>VLOOKUP($D564,'Tabel Map Industry'!$A$2:$H$464,2,0)</f>
        <v xml:space="preserve">K.2.1.1. Persewaan Alat TRANSPORTsi Darat </v>
      </c>
      <c r="F564" s="426" t="str">
        <f>VLOOKUP($D564,'Tabel Map Industry'!$A$2:$H$464,3,0)</f>
        <v>RENTAL SERVICE</v>
      </c>
      <c r="G564" s="426" t="str">
        <f>VLOOKUP($D564,'Tabel Map Industry'!$A$2:$H$464,4,0)</f>
        <v>K.2.1.1. Persewaan Alat TRANSPORTsi Darat  - 711100</v>
      </c>
      <c r="H564" s="426" t="str">
        <f>VLOOKUP($D564,'Tabel Map Industry'!$A$2:$H$464,8,0)</f>
        <v>Jasa-jasa Dunia Usaha - Lainnya - 8900</v>
      </c>
    </row>
    <row r="565" spans="1:8" ht="75" hidden="1" x14ac:dyDescent="0.25">
      <c r="A565" s="422"/>
      <c r="B565" s="418" t="s">
        <v>6517</v>
      </c>
      <c r="C565" s="418" t="s">
        <v>6518</v>
      </c>
      <c r="D565" s="419" t="s">
        <v>5267</v>
      </c>
      <c r="E565" s="420" t="str">
        <f>VLOOKUP($D565,'Tabel Map Industry'!$A$2:$H$464,2,0)</f>
        <v xml:space="preserve">K.2.1.1. Persewaan Alat TRANSPORTsi Darat </v>
      </c>
      <c r="F565" s="421" t="str">
        <f>VLOOKUP($D565,'Tabel Map Industry'!$A$2:$H$464,3,0)</f>
        <v>RENTAL SERVICE</v>
      </c>
      <c r="G565" s="421" t="str">
        <f>VLOOKUP($D565,'Tabel Map Industry'!$A$2:$H$464,4,0)</f>
        <v>K.2.1.1. Persewaan Alat TRANSPORTsi Darat  - 711100</v>
      </c>
      <c r="H565" s="421" t="str">
        <f>VLOOKUP($D565,'Tabel Map Industry'!$A$2:$H$464,8,0)</f>
        <v>Jasa-jasa Dunia Usaha - Lainnya - 8900</v>
      </c>
    </row>
    <row r="566" spans="1:8" ht="45" hidden="1" x14ac:dyDescent="0.25">
      <c r="A566" s="417"/>
      <c r="B566" s="423" t="s">
        <v>6754</v>
      </c>
      <c r="C566" s="423" t="s">
        <v>6755</v>
      </c>
      <c r="D566" s="424" t="s">
        <v>5272</v>
      </c>
      <c r="E566" s="425" t="str">
        <f>VLOOKUP($D566,'Tabel Map Industry'!$A$2:$H$464,2,0)</f>
        <v xml:space="preserve">K.2.2.4. Persewaan Mesin Lainnya dan Peralatannya yang Tidak Diklasifikasikan di Tempat Lain </v>
      </c>
      <c r="F566" s="426" t="str">
        <f>VLOOKUP($D566,'Tabel Map Industry'!$A$2:$H$464,3,0)</f>
        <v>RENTAL SERVICE</v>
      </c>
      <c r="G566" s="426" t="str">
        <f>VLOOKUP($D566,'Tabel Map Industry'!$A$2:$H$464,4,0)</f>
        <v>K.2.2.4. Persewaan Mesin Lainnya dan Peralatannya yang Tidak Diklasifikasikan di Tempat Lain  - 712900</v>
      </c>
      <c r="H566" s="426" t="str">
        <f>VLOOKUP($D566,'Tabel Map Industry'!$A$2:$H$464,8,0)</f>
        <v>Jasa-jasa Dunia Usaha - Lainnya - 8900</v>
      </c>
    </row>
    <row r="567" spans="1:8" ht="75" hidden="1" x14ac:dyDescent="0.25">
      <c r="A567" s="422"/>
      <c r="B567" s="418" t="s">
        <v>6896</v>
      </c>
      <c r="C567" s="418" t="s">
        <v>6897</v>
      </c>
      <c r="D567" s="419" t="s">
        <v>5270</v>
      </c>
      <c r="E567" s="420" t="str">
        <f>VLOOKUP($D567,'Tabel Map Industry'!$A$2:$H$464,2,0)</f>
        <v>K.2.2.2. Persewaan Mesin Konstruksi dan Teknik Sipil dan Peralatannya</v>
      </c>
      <c r="F567" s="421" t="str">
        <f>VLOOKUP($D567,'Tabel Map Industry'!$A$2:$H$464,3,0)</f>
        <v>RENTAL SERVICE</v>
      </c>
      <c r="G567" s="421" t="str">
        <f>VLOOKUP($D567,'Tabel Map Industry'!$A$2:$H$464,4,0)</f>
        <v>K.2.2.2. Persewaan Mesin Konstruksi dan Teknik Sipil dan Peralatannya - 712200</v>
      </c>
      <c r="H567" s="421" t="str">
        <f>VLOOKUP($D567,'Tabel Map Industry'!$A$2:$H$464,8,0)</f>
        <v>Jasa-jasa Dunia Usaha - Lainnya - 8900</v>
      </c>
    </row>
    <row r="568" spans="1:8" ht="75" hidden="1" x14ac:dyDescent="0.25">
      <c r="A568" s="417"/>
      <c r="B568" s="423" t="s">
        <v>6900</v>
      </c>
      <c r="C568" s="423" t="s">
        <v>6901</v>
      </c>
      <c r="D568" s="424" t="s">
        <v>5267</v>
      </c>
      <c r="E568" s="425" t="str">
        <f>VLOOKUP($D568,'Tabel Map Industry'!$A$2:$H$464,2,0)</f>
        <v xml:space="preserve">K.2.1.1. Persewaan Alat TRANSPORTsi Darat </v>
      </c>
      <c r="F568" s="426" t="str">
        <f>VLOOKUP($D568,'Tabel Map Industry'!$A$2:$H$464,3,0)</f>
        <v>RENTAL SERVICE</v>
      </c>
      <c r="G568" s="426" t="str">
        <f>VLOOKUP($D568,'Tabel Map Industry'!$A$2:$H$464,4,0)</f>
        <v>K.2.1.1. Persewaan Alat TRANSPORTsi Darat  - 711100</v>
      </c>
      <c r="H568" s="426" t="str">
        <f>VLOOKUP($D568,'Tabel Map Industry'!$A$2:$H$464,8,0)</f>
        <v>Jasa-jasa Dunia Usaha - Lainnya - 8900</v>
      </c>
    </row>
    <row r="569" spans="1:8" ht="75" hidden="1" x14ac:dyDescent="0.25">
      <c r="A569" s="422"/>
      <c r="B569" s="418" t="s">
        <v>6943</v>
      </c>
      <c r="C569" s="418" t="s">
        <v>6944</v>
      </c>
      <c r="D569" s="419" t="s">
        <v>5272</v>
      </c>
      <c r="E569" s="420" t="str">
        <f>VLOOKUP($D569,'Tabel Map Industry'!$A$2:$H$464,2,0)</f>
        <v xml:space="preserve">K.2.2.4. Persewaan Mesin Lainnya dan Peralatannya yang Tidak Diklasifikasikan di Tempat Lain </v>
      </c>
      <c r="F569" s="421" t="str">
        <f>VLOOKUP($D569,'Tabel Map Industry'!$A$2:$H$464,3,0)</f>
        <v>RENTAL SERVICE</v>
      </c>
      <c r="G569" s="421" t="str">
        <f>VLOOKUP($D569,'Tabel Map Industry'!$A$2:$H$464,4,0)</f>
        <v>K.2.2.4. Persewaan Mesin Lainnya dan Peralatannya yang Tidak Diklasifikasikan di Tempat Lain  - 712900</v>
      </c>
      <c r="H569" s="421" t="str">
        <f>VLOOKUP($D569,'Tabel Map Industry'!$A$2:$H$464,8,0)</f>
        <v>Jasa-jasa Dunia Usaha - Lainnya - 8900</v>
      </c>
    </row>
    <row r="570" spans="1:8" ht="30" hidden="1" x14ac:dyDescent="0.25">
      <c r="A570" s="417"/>
      <c r="B570" s="423" t="s">
        <v>7120</v>
      </c>
      <c r="C570" s="423" t="s">
        <v>7121</v>
      </c>
      <c r="D570" s="424" t="s">
        <v>5275</v>
      </c>
      <c r="E570" s="425" t="str">
        <f>VLOOKUP($D570,'Tabel Map Industry'!$A$2:$H$464,2,0)</f>
        <v>K.2.1.2. Persewaan Alat TRANSPORTsi Air</v>
      </c>
      <c r="F570" s="426" t="str">
        <f>VLOOKUP($D570,'Tabel Map Industry'!$A$2:$H$464,3,0)</f>
        <v>RENTAL SERVICE</v>
      </c>
      <c r="G570" s="426" t="str">
        <f>VLOOKUP($D570,'Tabel Map Industry'!$A$2:$H$464,4,0)</f>
        <v>K.2.1.2. Persewaan Alat TRANSPORTsi Air - 711200</v>
      </c>
      <c r="H570" s="426" t="str">
        <f>VLOOKUP($D570,'Tabel Map Industry'!$A$2:$H$464,8,0)</f>
        <v>Jasa-jasa Dunia Usaha - Lainnya - 8900</v>
      </c>
    </row>
    <row r="571" spans="1:8" ht="30" hidden="1" x14ac:dyDescent="0.25">
      <c r="A571" s="422"/>
      <c r="B571" s="418" t="str">
        <f>PROPER(F571)</f>
        <v>Rental Service</v>
      </c>
      <c r="C571" s="418" t="str">
        <f>E571</f>
        <v>K.2.1.2. Persewaan Alat TRANSPORTsi Air</v>
      </c>
      <c r="D571" s="419" t="s">
        <v>5275</v>
      </c>
      <c r="E571" s="420" t="str">
        <f>VLOOKUP($D571,'Tabel Map Industry'!$A$2:$H$464,2,0)</f>
        <v>K.2.1.2. Persewaan Alat TRANSPORTsi Air</v>
      </c>
      <c r="F571" s="421" t="str">
        <f>VLOOKUP($D571,'Tabel Map Industry'!$A$2:$H$464,3,0)</f>
        <v>RENTAL SERVICE</v>
      </c>
      <c r="G571" s="421" t="str">
        <f>VLOOKUP($D571,'Tabel Map Industry'!$A$2:$H$464,4,0)</f>
        <v>K.2.1.2. Persewaan Alat TRANSPORTsi Air - 711200</v>
      </c>
      <c r="H571" s="421" t="str">
        <f>VLOOKUP($D571,'Tabel Map Industry'!$A$2:$H$464,8,0)</f>
        <v>Jasa-jasa Dunia Usaha - Lainnya - 8900</v>
      </c>
    </row>
    <row r="572" spans="1:8" ht="75" hidden="1" x14ac:dyDescent="0.25">
      <c r="A572" s="417"/>
      <c r="B572" s="423" t="s">
        <v>6877</v>
      </c>
      <c r="C572" s="423" t="s">
        <v>6878</v>
      </c>
      <c r="D572" s="424" t="s">
        <v>5277</v>
      </c>
      <c r="E572" s="425" t="str">
        <f>VLOOKUP($D572,'Tabel Map Industry'!$A$2:$H$464,2,0)</f>
        <v xml:space="preserve">I.5.2. Jaringan Telekomunikasi </v>
      </c>
      <c r="F572" s="426" t="str">
        <f>VLOOKUP($D572,'Tabel Map Industry'!$A$2:$H$464,3,0)</f>
        <v>TELECOMMUNICATION</v>
      </c>
      <c r="G572" s="426" t="str">
        <f>VLOOKUP($D572,'Tabel Map Industry'!$A$2:$H$464,4,0)</f>
        <v>I.5.2. Jaringan Telekomunikasi  - 642000</v>
      </c>
      <c r="H572" s="426" t="str">
        <f>VLOOKUP($D572,'Tabel Map Industry'!$A$2:$H$464,8,0)</f>
        <v>Komunikasi - 7400</v>
      </c>
    </row>
    <row r="573" spans="1:8" ht="30" hidden="1" x14ac:dyDescent="0.25">
      <c r="A573" s="422"/>
      <c r="B573" s="418" t="s">
        <v>6421</v>
      </c>
      <c r="C573" s="418" t="s">
        <v>6422</v>
      </c>
      <c r="D573" s="419" t="s">
        <v>5291</v>
      </c>
      <c r="E573" s="420" t="str">
        <f>VLOOKUP($D573,'Tabel Map Industry'!$A$2:$H$464,2,0)</f>
        <v xml:space="preserve">I.4.5. Jasa Pengiriman dan Pengepakan </v>
      </c>
      <c r="F573" s="421" t="str">
        <f>VLOOKUP($D573,'Tabel Map Industry'!$A$2:$H$464,3,0)</f>
        <v>TRANSPORTATION AND COURIER SERVICE</v>
      </c>
      <c r="G573" s="421" t="str">
        <f>VLOOKUP($D573,'Tabel Map Industry'!$A$2:$H$464,4,0)</f>
        <v>I.4.5. Jasa Pengiriman dan Pengepakan  - 635000</v>
      </c>
      <c r="H573" s="421" t="str">
        <f>VLOOKUP($D573,'Tabel Map Industry'!$A$2:$H$464,8,0)</f>
        <v>Jasa-jasa Dunia Usaha - Lainnya - 8900</v>
      </c>
    </row>
    <row r="574" spans="1:8" ht="30" hidden="1" x14ac:dyDescent="0.25">
      <c r="A574" s="417"/>
      <c r="B574" s="423" t="s">
        <v>6431</v>
      </c>
      <c r="C574" s="423" t="s">
        <v>6432</v>
      </c>
      <c r="D574" s="424" t="s">
        <v>5292</v>
      </c>
      <c r="E574" s="425" t="str">
        <f>VLOOKUP($D574,'Tabel Map Industry'!$A$2:$H$464,2,0)</f>
        <v xml:space="preserve">I.2.1.1. Angkutan Laut Domestik </v>
      </c>
      <c r="F574" s="426" t="str">
        <f>VLOOKUP($D574,'Tabel Map Industry'!$A$2:$H$464,3,0)</f>
        <v>TRANSPORTATION AND COURIER SERVICE</v>
      </c>
      <c r="G574" s="426" t="str">
        <f>VLOOKUP($D574,'Tabel Map Industry'!$A$2:$H$464,4,0)</f>
        <v>I.2.1.1. Angkutan Laut Domestik  - 611100</v>
      </c>
      <c r="H574" s="426" t="str">
        <f>VLOOKUP($D574,'Tabel Map Industry'!$A$2:$H$464,8,0)</f>
        <v>Pengangkutan Umum Laut - 7130</v>
      </c>
    </row>
    <row r="575" spans="1:8" ht="45" hidden="1" x14ac:dyDescent="0.25">
      <c r="A575" s="422"/>
      <c r="B575" s="418" t="s">
        <v>6433</v>
      </c>
      <c r="C575" s="418" t="s">
        <v>6434</v>
      </c>
      <c r="D575" s="419" t="s">
        <v>5291</v>
      </c>
      <c r="E575" s="420" t="str">
        <f>VLOOKUP($D575,'Tabel Map Industry'!$A$2:$H$464,2,0)</f>
        <v xml:space="preserve">I.4.5. Jasa Pengiriman dan Pengepakan </v>
      </c>
      <c r="F575" s="421" t="str">
        <f>VLOOKUP($D575,'Tabel Map Industry'!$A$2:$H$464,3,0)</f>
        <v>TRANSPORTATION AND COURIER SERVICE</v>
      </c>
      <c r="G575" s="421" t="str">
        <f>VLOOKUP($D575,'Tabel Map Industry'!$A$2:$H$464,4,0)</f>
        <v>I.4.5. Jasa Pengiriman dan Pengepakan  - 635000</v>
      </c>
      <c r="H575" s="421" t="str">
        <f>VLOOKUP($D575,'Tabel Map Industry'!$A$2:$H$464,8,0)</f>
        <v>Jasa-jasa Dunia Usaha - Lainnya - 8900</v>
      </c>
    </row>
    <row r="576" spans="1:8" ht="30" hidden="1" x14ac:dyDescent="0.25">
      <c r="A576" s="417"/>
      <c r="B576" s="423" t="s">
        <v>6574</v>
      </c>
      <c r="C576" s="423" t="s">
        <v>6575</v>
      </c>
      <c r="D576" s="424" t="s">
        <v>5287</v>
      </c>
      <c r="E576" s="425" t="str">
        <f>VLOOKUP($D576,'Tabel Map Industry'!$A$2:$H$464,2,0)</f>
        <v xml:space="preserve">I.1.2.3. Angkutan Jalan Untuk Barang </v>
      </c>
      <c r="F576" s="426" t="str">
        <f>VLOOKUP($D576,'Tabel Map Industry'!$A$2:$H$464,3,0)</f>
        <v>TRANSPORTATION AND COURIER SERVICE</v>
      </c>
      <c r="G576" s="426" t="str">
        <f>VLOOKUP($D576,'Tabel Map Industry'!$A$2:$H$464,4,0)</f>
        <v>I.1.2.3. Angkutan Jalan Untuk Barang  - 602300</v>
      </c>
      <c r="H576" s="426" t="str">
        <f>VLOOKUP($D576,'Tabel Map Industry'!$A$2:$H$464,8,0)</f>
        <v>Pengangkutan, Pergudangan, Komunikasi - 7000</v>
      </c>
    </row>
    <row r="577" spans="1:8" ht="30" hidden="1" x14ac:dyDescent="0.25">
      <c r="A577" s="422"/>
      <c r="B577" s="418" t="s">
        <v>6647</v>
      </c>
      <c r="C577" s="418" t="s">
        <v>6648</v>
      </c>
      <c r="D577" s="419" t="s">
        <v>5286</v>
      </c>
      <c r="E577" s="420" t="str">
        <f>VLOOKUP($D577,'Tabel Map Industry'!$A$2:$H$464,2,0)</f>
        <v xml:space="preserve">I.1.2.2. Angkutan Jalan Tidak Dalam Trayek Untuk Penumpang </v>
      </c>
      <c r="F577" s="421" t="str">
        <f>VLOOKUP($D577,'Tabel Map Industry'!$A$2:$H$464,3,0)</f>
        <v>TRANSPORTATION AND COURIER SERVICE</v>
      </c>
      <c r="G577" s="421" t="str">
        <f>VLOOKUP($D577,'Tabel Map Industry'!$A$2:$H$464,4,0)</f>
        <v>I.1.2.2. Angkutan Jalan Tidak Dalam Trayek Untuk Penumpang  - 602200</v>
      </c>
      <c r="H577" s="421" t="str">
        <f>VLOOKUP($D577,'Tabel Map Industry'!$A$2:$H$464,8,0)</f>
        <v>Jasa-jasa Dunia Usaha - Lainnya - 8900</v>
      </c>
    </row>
    <row r="578" spans="1:8" ht="30" hidden="1" x14ac:dyDescent="0.25">
      <c r="A578" s="417"/>
      <c r="B578" s="423" t="s">
        <v>6824</v>
      </c>
      <c r="C578" s="423" t="s">
        <v>6824</v>
      </c>
      <c r="D578" s="424" t="s">
        <v>5291</v>
      </c>
      <c r="E578" s="425" t="str">
        <f>VLOOKUP($D578,'Tabel Map Industry'!$A$2:$H$464,2,0)</f>
        <v xml:space="preserve">I.4.5. Jasa Pengiriman dan Pengepakan </v>
      </c>
      <c r="F578" s="426" t="str">
        <f>VLOOKUP($D578,'Tabel Map Industry'!$A$2:$H$464,3,0)</f>
        <v>TRANSPORTATION AND COURIER SERVICE</v>
      </c>
      <c r="G578" s="426" t="str">
        <f>VLOOKUP($D578,'Tabel Map Industry'!$A$2:$H$464,4,0)</f>
        <v>I.4.5. Jasa Pengiriman dan Pengepakan  - 635000</v>
      </c>
      <c r="H578" s="426" t="str">
        <f>VLOOKUP($D578,'Tabel Map Industry'!$A$2:$H$464,8,0)</f>
        <v>Jasa-jasa Dunia Usaha - Lainnya - 8900</v>
      </c>
    </row>
    <row r="579" spans="1:8" ht="30" hidden="1" x14ac:dyDescent="0.25">
      <c r="A579" s="422"/>
      <c r="B579" s="418" t="s">
        <v>6957</v>
      </c>
      <c r="C579" s="418" t="s">
        <v>6958</v>
      </c>
      <c r="D579" s="419" t="s">
        <v>5285</v>
      </c>
      <c r="E579" s="420" t="str">
        <f>VLOOKUP($D579,'Tabel Map Industry'!$A$2:$H$464,2,0)</f>
        <v>I.1.2.1. Angkutan Jalan Dalam Trayek Untuk Penumpang</v>
      </c>
      <c r="F579" s="421" t="str">
        <f>VLOOKUP($D579,'Tabel Map Industry'!$A$2:$H$464,3,0)</f>
        <v>TRANSPORTATION AND COURIER SERVICE</v>
      </c>
      <c r="G579" s="421" t="str">
        <f>VLOOKUP($D579,'Tabel Map Industry'!$A$2:$H$464,4,0)</f>
        <v>I.1.2.1. Angkutan Jalan Dalam Trayek Untuk Penumpang - 602100</v>
      </c>
      <c r="H579" s="421" t="str">
        <f>VLOOKUP($D579,'Tabel Map Industry'!$A$2:$H$464,8,0)</f>
        <v>Jasa-jasa Dunia Usaha - Lainnya - 8900</v>
      </c>
    </row>
    <row r="580" spans="1:8" ht="45" hidden="1" x14ac:dyDescent="0.25">
      <c r="A580" s="417"/>
      <c r="B580" s="423" t="s">
        <v>6978</v>
      </c>
      <c r="C580" s="423" t="s">
        <v>6979</v>
      </c>
      <c r="D580" s="424" t="s">
        <v>5286</v>
      </c>
      <c r="E580" s="425" t="str">
        <f>VLOOKUP($D580,'Tabel Map Industry'!$A$2:$H$464,2,0)</f>
        <v xml:space="preserve">I.1.2.2. Angkutan Jalan Tidak Dalam Trayek Untuk Penumpang </v>
      </c>
      <c r="F580" s="426" t="str">
        <f>VLOOKUP($D580,'Tabel Map Industry'!$A$2:$H$464,3,0)</f>
        <v>TRANSPORTATION AND COURIER SERVICE</v>
      </c>
      <c r="G580" s="426" t="str">
        <f>VLOOKUP($D580,'Tabel Map Industry'!$A$2:$H$464,4,0)</f>
        <v>I.1.2.2. Angkutan Jalan Tidak Dalam Trayek Untuk Penumpang  - 602200</v>
      </c>
      <c r="H580" s="426" t="str">
        <f>VLOOKUP($D580,'Tabel Map Industry'!$A$2:$H$464,8,0)</f>
        <v>Jasa-jasa Dunia Usaha - Lainnya - 8900</v>
      </c>
    </row>
    <row r="581" spans="1:8" ht="75" hidden="1" x14ac:dyDescent="0.25">
      <c r="A581" s="422"/>
      <c r="B581" s="418" t="s">
        <v>7102</v>
      </c>
      <c r="C581" s="418" t="s">
        <v>7103</v>
      </c>
      <c r="D581" s="419" t="s">
        <v>5287</v>
      </c>
      <c r="E581" s="420" t="str">
        <f>VLOOKUP($D581,'Tabel Map Industry'!$A$2:$H$464,2,0)</f>
        <v xml:space="preserve">I.1.2.3. Angkutan Jalan Untuk Barang </v>
      </c>
      <c r="F581" s="421" t="str">
        <f>VLOOKUP($D581,'Tabel Map Industry'!$A$2:$H$464,3,0)</f>
        <v>TRANSPORTATION AND COURIER SERVICE</v>
      </c>
      <c r="G581" s="421" t="str">
        <f>VLOOKUP($D581,'Tabel Map Industry'!$A$2:$H$464,4,0)</f>
        <v>I.1.2.3. Angkutan Jalan Untuk Barang  - 602300</v>
      </c>
      <c r="H581" s="421" t="str">
        <f>VLOOKUP($D581,'Tabel Map Industry'!$A$2:$H$464,8,0)</f>
        <v>Pengangkutan, Pergudangan, Komunikasi - 7000</v>
      </c>
    </row>
    <row r="582" spans="1:8" ht="75" hidden="1" x14ac:dyDescent="0.25">
      <c r="A582" s="417"/>
      <c r="B582" s="423" t="s">
        <v>7106</v>
      </c>
      <c r="C582" s="423" t="s">
        <v>7107</v>
      </c>
      <c r="D582" s="424" t="s">
        <v>5285</v>
      </c>
      <c r="E582" s="425" t="str">
        <f>VLOOKUP($D582,'Tabel Map Industry'!$A$2:$H$464,2,0)</f>
        <v>I.1.2.1. Angkutan Jalan Dalam Trayek Untuk Penumpang</v>
      </c>
      <c r="F582" s="426" t="str">
        <f>VLOOKUP($D582,'Tabel Map Industry'!$A$2:$H$464,3,0)</f>
        <v>TRANSPORTATION AND COURIER SERVICE</v>
      </c>
      <c r="G582" s="426" t="str">
        <f>VLOOKUP($D582,'Tabel Map Industry'!$A$2:$H$464,4,0)</f>
        <v>I.1.2.1. Angkutan Jalan Dalam Trayek Untuk Penumpang - 602100</v>
      </c>
      <c r="H582" s="426" t="str">
        <f>VLOOKUP($D582,'Tabel Map Industry'!$A$2:$H$464,8,0)</f>
        <v>Jasa-jasa Dunia Usaha - Lainnya - 8900</v>
      </c>
    </row>
    <row r="583" spans="1:8" ht="45" hidden="1" x14ac:dyDescent="0.25">
      <c r="A583" s="422"/>
      <c r="B583" s="418" t="str">
        <f>PROPER(F583)</f>
        <v>Transportation And Courier Service</v>
      </c>
      <c r="C583" s="418" t="str">
        <f>E583</f>
        <v>I.1.2.1. Angkutan Jalan Dalam Trayek Untuk Penumpang</v>
      </c>
      <c r="D583" s="419" t="s">
        <v>5285</v>
      </c>
      <c r="E583" s="420" t="str">
        <f>VLOOKUP($D583,'Tabel Map Industry'!$A$2:$H$464,2,0)</f>
        <v>I.1.2.1. Angkutan Jalan Dalam Trayek Untuk Penumpang</v>
      </c>
      <c r="F583" s="421" t="str">
        <f>VLOOKUP($D583,'Tabel Map Industry'!$A$2:$H$464,3,0)</f>
        <v>TRANSPORTATION AND COURIER SERVICE</v>
      </c>
      <c r="G583" s="421" t="str">
        <f>VLOOKUP($D583,'Tabel Map Industry'!$A$2:$H$464,4,0)</f>
        <v>I.1.2.1. Angkutan Jalan Dalam Trayek Untuk Penumpang - 602100</v>
      </c>
      <c r="H583" s="421" t="str">
        <f>VLOOKUP($D583,'Tabel Map Industry'!$A$2:$H$464,8,0)</f>
        <v>Jasa-jasa Dunia Usaha - Lainnya - 8900</v>
      </c>
    </row>
    <row r="584" spans="1:8" ht="45" hidden="1" x14ac:dyDescent="0.25">
      <c r="A584" s="417"/>
      <c r="B584" s="423" t="str">
        <f>PROPER(F584)</f>
        <v>Transportation And Courier Service</v>
      </c>
      <c r="C584" s="423" t="str">
        <f>E584</f>
        <v xml:space="preserve">I.1.2.3. Angkutan Jalan Untuk Barang </v>
      </c>
      <c r="D584" s="424" t="s">
        <v>5287</v>
      </c>
      <c r="E584" s="425" t="str">
        <f>VLOOKUP($D584,'Tabel Map Industry'!$A$2:$H$464,2,0)</f>
        <v xml:space="preserve">I.1.2.3. Angkutan Jalan Untuk Barang </v>
      </c>
      <c r="F584" s="426" t="str">
        <f>VLOOKUP($D584,'Tabel Map Industry'!$A$2:$H$464,3,0)</f>
        <v>TRANSPORTATION AND COURIER SERVICE</v>
      </c>
      <c r="G584" s="426" t="str">
        <f>VLOOKUP($D584,'Tabel Map Industry'!$A$2:$H$464,4,0)</f>
        <v>I.1.2.3. Angkutan Jalan Untuk Barang  - 602300</v>
      </c>
      <c r="H584" s="426" t="str">
        <f>VLOOKUP($D584,'Tabel Map Industry'!$A$2:$H$464,8,0)</f>
        <v>Pengangkutan, Pergudangan, Komunikasi - 7000</v>
      </c>
    </row>
    <row r="585" spans="1:8" ht="30" hidden="1" x14ac:dyDescent="0.25">
      <c r="A585" s="422"/>
      <c r="B585" s="418" t="s">
        <v>6529</v>
      </c>
      <c r="C585" s="418" t="s">
        <v>6530</v>
      </c>
      <c r="D585" s="419" t="s">
        <v>5298</v>
      </c>
      <c r="E585" s="420" t="str">
        <f>VLOOKUP($D585,'Tabel Map Industry'!$A$2:$H$464,2,0)</f>
        <v xml:space="preserve">Industri Kayu Lapis, Veneer, dan Sejenisnya </v>
      </c>
      <c r="F585" s="421" t="str">
        <f>VLOOKUP($D585,'Tabel Map Industry'!$A$2:$H$464,3,0)</f>
        <v>WOOD PRODUCT</v>
      </c>
      <c r="G585" s="421" t="str">
        <f>VLOOKUP($D585,'Tabel Map Industry'!$A$2:$H$464,4,0)</f>
        <v>Industri Kayu Lapis, Veneer, dan Sejenisnya  - 202100</v>
      </c>
      <c r="H585" s="421" t="str">
        <f>VLOOKUP($D585,'Tabel Map Industry'!$A$2:$H$464,8,0)</f>
        <v>Industri - Kayu Lainnya - 3490</v>
      </c>
    </row>
    <row r="586" spans="1:8" ht="30" hidden="1" x14ac:dyDescent="0.25">
      <c r="A586" s="417"/>
      <c r="B586" s="423" t="s">
        <v>6640</v>
      </c>
      <c r="C586" s="423" t="s">
        <v>6641</v>
      </c>
      <c r="D586" s="424" t="s">
        <v>5303</v>
      </c>
      <c r="E586" s="425" t="str">
        <f>VLOOKUP($D586,'Tabel Map Industry'!$A$2:$H$464,2,0)</f>
        <v xml:space="preserve">Industri Furnitur </v>
      </c>
      <c r="F586" s="426" t="str">
        <f>VLOOKUP($D586,'Tabel Map Industry'!$A$2:$H$464,3,0)</f>
        <v>WOOD PRODUCT</v>
      </c>
      <c r="G586" s="426" t="str">
        <f>VLOOKUP($D586,'Tabel Map Industry'!$A$2:$H$464,4,0)</f>
        <v>Industri Furnitur  - 361000</v>
      </c>
      <c r="H586" s="426" t="str">
        <f>VLOOKUP($D586,'Tabel Map Industry'!$A$2:$H$464,8,0)</f>
        <v>Industri - Lainnya - 3990</v>
      </c>
    </row>
    <row r="587" spans="1:8" ht="30" hidden="1" x14ac:dyDescent="0.25">
      <c r="A587" s="422"/>
      <c r="B587" s="418" t="s">
        <v>6693</v>
      </c>
      <c r="C587" s="418" t="s">
        <v>6694</v>
      </c>
      <c r="D587" s="419" t="s">
        <v>5303</v>
      </c>
      <c r="E587" s="420" t="str">
        <f>VLOOKUP($D587,'Tabel Map Industry'!$A$2:$H$464,2,0)</f>
        <v xml:space="preserve">Industri Furnitur </v>
      </c>
      <c r="F587" s="421" t="str">
        <f>VLOOKUP($D587,'Tabel Map Industry'!$A$2:$H$464,3,0)</f>
        <v>WOOD PRODUCT</v>
      </c>
      <c r="G587" s="421" t="str">
        <f>VLOOKUP($D587,'Tabel Map Industry'!$A$2:$H$464,4,0)</f>
        <v>Industri Furnitur  - 361000</v>
      </c>
      <c r="H587" s="421" t="str">
        <f>VLOOKUP($D587,'Tabel Map Industry'!$A$2:$H$464,8,0)</f>
        <v>Industri - Lainnya - 3990</v>
      </c>
    </row>
    <row r="588" spans="1:8" ht="30" hidden="1" x14ac:dyDescent="0.25">
      <c r="A588" s="417"/>
      <c r="B588" s="423" t="s">
        <v>6807</v>
      </c>
      <c r="C588" s="423" t="s">
        <v>6808</v>
      </c>
      <c r="D588" s="424" t="s">
        <v>5298</v>
      </c>
      <c r="E588" s="425" t="str">
        <f>VLOOKUP($D588,'Tabel Map Industry'!$A$2:$H$464,2,0)</f>
        <v xml:space="preserve">Industri Kayu Lapis, Veneer, dan Sejenisnya </v>
      </c>
      <c r="F588" s="426" t="str">
        <f>VLOOKUP($D588,'Tabel Map Industry'!$A$2:$H$464,3,0)</f>
        <v>WOOD PRODUCT</v>
      </c>
      <c r="G588" s="426" t="str">
        <f>VLOOKUP($D588,'Tabel Map Industry'!$A$2:$H$464,4,0)</f>
        <v>Industri Kayu Lapis, Veneer, dan Sejenisnya  - 202100</v>
      </c>
      <c r="H588" s="426" t="str">
        <f>VLOOKUP($D588,'Tabel Map Industry'!$A$2:$H$464,8,0)</f>
        <v>Industri - Kayu Lainnya - 3490</v>
      </c>
    </row>
    <row r="589" spans="1:8" ht="45" hidden="1" x14ac:dyDescent="0.25">
      <c r="A589" s="422"/>
      <c r="B589" s="418" t="s">
        <v>6830</v>
      </c>
      <c r="C589" s="418" t="s">
        <v>6830</v>
      </c>
      <c r="D589" s="419" t="s">
        <v>5303</v>
      </c>
      <c r="E589" s="420" t="str">
        <f>VLOOKUP($D589,'Tabel Map Industry'!$A$2:$H$464,2,0)</f>
        <v xml:space="preserve">Industri Furnitur </v>
      </c>
      <c r="F589" s="421" t="str">
        <f>VLOOKUP($D589,'Tabel Map Industry'!$A$2:$H$464,3,0)</f>
        <v>WOOD PRODUCT</v>
      </c>
      <c r="G589" s="421" t="str">
        <f>VLOOKUP($D589,'Tabel Map Industry'!$A$2:$H$464,4,0)</f>
        <v>Industri Furnitur  - 361000</v>
      </c>
      <c r="H589" s="421" t="str">
        <f>VLOOKUP($D589,'Tabel Map Industry'!$A$2:$H$464,8,0)</f>
        <v>Industri - Lainnya - 3990</v>
      </c>
    </row>
    <row r="590" spans="1:8" ht="30" hidden="1" x14ac:dyDescent="0.25">
      <c r="A590" s="417"/>
      <c r="B590" s="423" t="s">
        <v>6939</v>
      </c>
      <c r="C590" s="423" t="s">
        <v>6940</v>
      </c>
      <c r="D590" s="424" t="s">
        <v>5298</v>
      </c>
      <c r="E590" s="425" t="str">
        <f>VLOOKUP($D590,'Tabel Map Industry'!$A$2:$H$464,2,0)</f>
        <v xml:space="preserve">Industri Kayu Lapis, Veneer, dan Sejenisnya </v>
      </c>
      <c r="F590" s="426" t="str">
        <f>VLOOKUP($D590,'Tabel Map Industry'!$A$2:$H$464,3,0)</f>
        <v>WOOD PRODUCT</v>
      </c>
      <c r="G590" s="426" t="str">
        <f>VLOOKUP($D590,'Tabel Map Industry'!$A$2:$H$464,4,0)</f>
        <v>Industri Kayu Lapis, Veneer, dan Sejenisnya  - 202100</v>
      </c>
      <c r="H590" s="426" t="str">
        <f>VLOOKUP($D590,'Tabel Map Industry'!$A$2:$H$464,8,0)</f>
        <v>Industri - Kayu Lainnya - 3490</v>
      </c>
    </row>
    <row r="591" spans="1:8" ht="30" hidden="1" x14ac:dyDescent="0.25">
      <c r="A591" s="422"/>
      <c r="B591" s="418" t="s">
        <v>6959</v>
      </c>
      <c r="C591" s="418" t="s">
        <v>6960</v>
      </c>
      <c r="D591" s="419" t="s">
        <v>5298</v>
      </c>
      <c r="E591" s="420" t="str">
        <f>VLOOKUP($D591,'Tabel Map Industry'!$A$2:$H$464,2,0)</f>
        <v xml:space="preserve">Industri Kayu Lapis, Veneer, dan Sejenisnya </v>
      </c>
      <c r="F591" s="421" t="str">
        <f>VLOOKUP($D591,'Tabel Map Industry'!$A$2:$H$464,3,0)</f>
        <v>WOOD PRODUCT</v>
      </c>
      <c r="G591" s="421" t="str">
        <f>VLOOKUP($D591,'Tabel Map Industry'!$A$2:$H$464,4,0)</f>
        <v>Industri Kayu Lapis, Veneer, dan Sejenisnya  - 202100</v>
      </c>
      <c r="H591" s="421" t="str">
        <f>VLOOKUP($D591,'Tabel Map Industry'!$A$2:$H$464,8,0)</f>
        <v>Industri - Kayu Lainnya - 3490</v>
      </c>
    </row>
    <row r="592" spans="1:8" ht="30" hidden="1" x14ac:dyDescent="0.25">
      <c r="A592" s="417"/>
      <c r="B592" s="423" t="s">
        <v>7029</v>
      </c>
      <c r="C592" s="423" t="s">
        <v>7030</v>
      </c>
      <c r="D592" s="424" t="s">
        <v>5303</v>
      </c>
      <c r="E592" s="425" t="str">
        <f>VLOOKUP($D592,'Tabel Map Industry'!$A$2:$H$464,2,0)</f>
        <v xml:space="preserve">Industri Furnitur </v>
      </c>
      <c r="F592" s="426" t="str">
        <f>VLOOKUP($D592,'Tabel Map Industry'!$A$2:$H$464,3,0)</f>
        <v>WOOD PRODUCT</v>
      </c>
      <c r="G592" s="426" t="str">
        <f>VLOOKUP($D592,'Tabel Map Industry'!$A$2:$H$464,4,0)</f>
        <v>Industri Furnitur  - 361000</v>
      </c>
      <c r="H592" s="426" t="str">
        <f>VLOOKUP($D592,'Tabel Map Industry'!$A$2:$H$464,8,0)</f>
        <v>Industri - Lainnya - 3990</v>
      </c>
    </row>
    <row r="593" spans="2:8" ht="45" hidden="1" x14ac:dyDescent="0.25">
      <c r="B593" s="418" t="str">
        <f>PROPER(F593)</f>
        <v>Animals, Fisheries And Farming</v>
      </c>
      <c r="C593" s="418" t="str">
        <f>E593</f>
        <v xml:space="preserve">Pembibitan dan Budidaya Sapi Potong </v>
      </c>
      <c r="D593" s="419" t="s">
        <v>4842</v>
      </c>
      <c r="E593" s="420" t="str">
        <f>VLOOKUP($D593,'Tabel Map Industry'!$A$2:$H$464,2,0)</f>
        <v xml:space="preserve">Pembibitan dan Budidaya Sapi Potong </v>
      </c>
      <c r="F593" s="421" t="str">
        <f>VLOOKUP($D593,'Tabel Map Industry'!$A$2:$H$464,3,0)</f>
        <v>ANIMALS, FISHERIES AND FARMING</v>
      </c>
      <c r="G593" s="421" t="str">
        <f>VLOOKUP($D593,'Tabel Map Industry'!$A$2:$H$464,4,0)</f>
        <v>Pembibitan dan Budidaya Sapi Potong  - 012110</v>
      </c>
      <c r="H593" s="421" t="str">
        <f>VLOOKUP($D593,'Tabel Map Industry'!$A$2:$H$464,8,0)</f>
        <v>Peternakan Sapi - 1172</v>
      </c>
    </row>
    <row r="594" spans="2:8" ht="45" hidden="1" x14ac:dyDescent="0.25">
      <c r="B594" s="423" t="str">
        <f t="shared" ref="B594:B657" si="2">PROPER(F594)</f>
        <v>Animals, Fisheries And Farming</v>
      </c>
      <c r="C594" s="423" t="str">
        <f t="shared" ref="C594:C657" si="3">E594</f>
        <v xml:space="preserve">Pembibitan dan Budidaya Domba dan Kambing Potong </v>
      </c>
      <c r="D594" s="424" t="s">
        <v>4843</v>
      </c>
      <c r="E594" s="425" t="str">
        <f>VLOOKUP($D594,'Tabel Map Industry'!$A$2:$H$464,2,0)</f>
        <v xml:space="preserve">Pembibitan dan Budidaya Domba dan Kambing Potong </v>
      </c>
      <c r="F594" s="426" t="str">
        <f>VLOOKUP($D594,'Tabel Map Industry'!$A$2:$H$464,3,0)</f>
        <v>ANIMALS, FISHERIES AND FARMING</v>
      </c>
      <c r="G594" s="426" t="str">
        <f>VLOOKUP($D594,'Tabel Map Industry'!$A$2:$H$464,4,0)</f>
        <v>Pembibitan dan Budidaya Domba dan Kambing Potong  - 012191</v>
      </c>
      <c r="H594" s="426" t="str">
        <f>VLOOKUP($D594,'Tabel Map Industry'!$A$2:$H$464,8,0)</f>
        <v>Peternakan lainnya - 1179</v>
      </c>
    </row>
    <row r="595" spans="2:8" ht="45" hidden="1" x14ac:dyDescent="0.25">
      <c r="B595" s="418" t="str">
        <f t="shared" si="2"/>
        <v>Animals, Fisheries And Farming</v>
      </c>
      <c r="C595" s="418" t="str">
        <f t="shared" si="3"/>
        <v>Pembibitan dan Budidaya Ternak Perah</v>
      </c>
      <c r="D595" s="419" t="s">
        <v>4844</v>
      </c>
      <c r="E595" s="420" t="str">
        <f>VLOOKUP($D595,'Tabel Map Industry'!$A$2:$H$464,2,0)</f>
        <v>Pembibitan dan Budidaya Ternak Perah</v>
      </c>
      <c r="F595" s="421" t="str">
        <f>VLOOKUP($D595,'Tabel Map Industry'!$A$2:$H$464,3,0)</f>
        <v>ANIMALS, FISHERIES AND FARMING</v>
      </c>
      <c r="G595" s="421" t="str">
        <f>VLOOKUP($D595,'Tabel Map Industry'!$A$2:$H$464,4,0)</f>
        <v>Pembibitan dan Budidaya Ternak Perah - 012192</v>
      </c>
      <c r="H595" s="421" t="str">
        <f>VLOOKUP($D595,'Tabel Map Industry'!$A$2:$H$464,8,0)</f>
        <v>Peternakan lainnya - 1179</v>
      </c>
    </row>
    <row r="596" spans="2:8" ht="45" hidden="1" x14ac:dyDescent="0.25">
      <c r="B596" s="423" t="str">
        <f t="shared" si="2"/>
        <v>Animals, Fisheries And Farming</v>
      </c>
      <c r="C596" s="423" t="str">
        <f t="shared" si="3"/>
        <v>Pembibitan dan Budidaya Babi</v>
      </c>
      <c r="D596" s="424" t="s">
        <v>4845</v>
      </c>
      <c r="E596" s="425" t="str">
        <f>VLOOKUP($D596,'Tabel Map Industry'!$A$2:$H$464,2,0)</f>
        <v>Pembibitan dan Budidaya Babi</v>
      </c>
      <c r="F596" s="426" t="str">
        <f>VLOOKUP($D596,'Tabel Map Industry'!$A$2:$H$464,3,0)</f>
        <v>ANIMALS, FISHERIES AND FARMING</v>
      </c>
      <c r="G596" s="426" t="str">
        <f>VLOOKUP($D596,'Tabel Map Industry'!$A$2:$H$464,4,0)</f>
        <v>Pembibitan dan Budidaya Babi - 012210</v>
      </c>
      <c r="H596" s="426" t="str">
        <f>VLOOKUP($D596,'Tabel Map Industry'!$A$2:$H$464,8,0)</f>
        <v>Peternakan lainnya - 1179</v>
      </c>
    </row>
    <row r="597" spans="2:8" ht="45" hidden="1" x14ac:dyDescent="0.25">
      <c r="B597" s="418" t="str">
        <f t="shared" si="2"/>
        <v>Animals, Fisheries And Farming</v>
      </c>
      <c r="C597" s="418" t="str">
        <f t="shared" si="3"/>
        <v xml:space="preserve">Kombinasi Pertanian Atau Perkebunan Dengan Peternakan (Mixed Farming) </v>
      </c>
      <c r="D597" s="419" t="s">
        <v>4847</v>
      </c>
      <c r="E597" s="420" t="str">
        <f>VLOOKUP($D597,'Tabel Map Industry'!$A$2:$H$464,2,0)</f>
        <v xml:space="preserve">Kombinasi Pertanian Atau Perkebunan Dengan Peternakan (Mixed Farming) </v>
      </c>
      <c r="F597" s="421" t="str">
        <f>VLOOKUP($D597,'Tabel Map Industry'!$A$2:$H$464,3,0)</f>
        <v>ANIMALS, FISHERIES AND FARMING</v>
      </c>
      <c r="G597" s="421" t="str">
        <f>VLOOKUP($D597,'Tabel Map Industry'!$A$2:$H$464,4,0)</f>
        <v>Kombinasi Pertanian Atau Perkebunan Dengan Peternakan (Mixed Farming)  - 013000</v>
      </c>
      <c r="H597" s="421" t="str">
        <f>VLOOKUP($D597,'Tabel Map Industry'!$A$2:$H$464,8,0)</f>
        <v>Peternakan lainnya - 1179</v>
      </c>
    </row>
    <row r="598" spans="2:8" ht="45" hidden="1" x14ac:dyDescent="0.25">
      <c r="B598" s="423" t="str">
        <f t="shared" si="2"/>
        <v>Animals, Fisheries And Farming</v>
      </c>
      <c r="C598" s="423" t="str">
        <f t="shared" si="3"/>
        <v xml:space="preserve">Perburuan Penangkapan dan Penangkaran Satwa Liar </v>
      </c>
      <c r="D598" s="424" t="s">
        <v>4848</v>
      </c>
      <c r="E598" s="425" t="str">
        <f>VLOOKUP($D598,'Tabel Map Industry'!$A$2:$H$464,2,0)</f>
        <v xml:space="preserve">Perburuan Penangkapan dan Penangkaran Satwa Liar </v>
      </c>
      <c r="F598" s="426" t="str">
        <f>VLOOKUP($D598,'Tabel Map Industry'!$A$2:$H$464,3,0)</f>
        <v>ANIMALS, FISHERIES AND FARMING</v>
      </c>
      <c r="G598" s="426" t="str">
        <f>VLOOKUP($D598,'Tabel Map Industry'!$A$2:$H$464,4,0)</f>
        <v>Perburuan Penangkapan dan Penangkaran Satwa Liar  - 015000</v>
      </c>
      <c r="H598" s="426" t="str">
        <f>VLOOKUP($D598,'Tabel Map Industry'!$A$2:$H$464,8,0)</f>
        <v>Perburuan - 1200</v>
      </c>
    </row>
    <row r="599" spans="2:8" ht="45" hidden="1" x14ac:dyDescent="0.25">
      <c r="B599" s="418" t="str">
        <f t="shared" si="2"/>
        <v>Animals, Fisheries And Farming</v>
      </c>
      <c r="C599" s="418" t="str">
        <f t="shared" si="3"/>
        <v xml:space="preserve">Industri Pemotongan Hewan </v>
      </c>
      <c r="D599" s="419" t="s">
        <v>4849</v>
      </c>
      <c r="E599" s="420" t="str">
        <f>VLOOKUP($D599,'Tabel Map Industry'!$A$2:$H$464,2,0)</f>
        <v xml:space="preserve">Industri Pemotongan Hewan </v>
      </c>
      <c r="F599" s="421" t="str">
        <f>VLOOKUP($D599,'Tabel Map Industry'!$A$2:$H$464,3,0)</f>
        <v>ANIMALS, FISHERIES AND FARMING</v>
      </c>
      <c r="G599" s="421" t="str">
        <f>VLOOKUP($D599,'Tabel Map Industry'!$A$2:$H$464,4,0)</f>
        <v>Industri Pemotongan Hewan  - 151110</v>
      </c>
      <c r="H599" s="421" t="str">
        <f>VLOOKUP($D599,'Tabel Map Industry'!$A$2:$H$464,8,0)</f>
        <v>Industri - Lainnya - 3990</v>
      </c>
    </row>
    <row r="600" spans="2:8" ht="45" hidden="1" x14ac:dyDescent="0.25">
      <c r="B600" s="423" t="str">
        <f t="shared" si="2"/>
        <v>Animals, Fisheries And Farming</v>
      </c>
      <c r="C600" s="423" t="str">
        <f t="shared" si="3"/>
        <v>Perdagangan Ekspor Binatang Hidup</v>
      </c>
      <c r="D600" s="424" t="s">
        <v>4851</v>
      </c>
      <c r="E600" s="425" t="str">
        <f>VLOOKUP($D600,'Tabel Map Industry'!$A$2:$H$464,2,0)</f>
        <v>Perdagangan Ekspor Binatang Hidup</v>
      </c>
      <c r="F600" s="426" t="str">
        <f>VLOOKUP($D600,'Tabel Map Industry'!$A$2:$H$464,3,0)</f>
        <v>ANIMALS, FISHERIES AND FARMING</v>
      </c>
      <c r="G600" s="426" t="str">
        <f>VLOOKUP($D600,'Tabel Map Industry'!$A$2:$H$464,4,0)</f>
        <v>Perdagangan Ekspor Binatang Hidup - 532120</v>
      </c>
      <c r="H600" s="426" t="str">
        <f>VLOOKUP($D600,'Tabel Map Industry'!$A$2:$H$464,8,0)</f>
        <v>Ekspor Bahan Baku Hewan Hidup &amp; Hasilnya - 6116</v>
      </c>
    </row>
    <row r="601" spans="2:8" ht="45" hidden="1" x14ac:dyDescent="0.25">
      <c r="B601" s="418" t="str">
        <f t="shared" si="2"/>
        <v>Animals, Fisheries And Farming</v>
      </c>
      <c r="C601" s="418" t="str">
        <f t="shared" si="3"/>
        <v>Penangkapan Ikan Tuna</v>
      </c>
      <c r="D601" s="419" t="s">
        <v>4852</v>
      </c>
      <c r="E601" s="420" t="str">
        <f>VLOOKUP($D601,'Tabel Map Industry'!$A$2:$H$464,2,0)</f>
        <v>Penangkapan Ikan Tuna</v>
      </c>
      <c r="F601" s="421" t="str">
        <f>VLOOKUP($D601,'Tabel Map Industry'!$A$2:$H$464,3,0)</f>
        <v>ANIMALS, FISHERIES AND FARMING</v>
      </c>
      <c r="G601" s="421" t="str">
        <f>VLOOKUP($D601,'Tabel Map Industry'!$A$2:$H$464,4,0)</f>
        <v>Penangkapan Ikan Tuna - 050111</v>
      </c>
      <c r="H601" s="421" t="str">
        <f>VLOOKUP($D601,'Tabel Map Industry'!$A$2:$H$464,8,0)</f>
        <v>Perikanan Laut - Lainnya - 1163</v>
      </c>
    </row>
    <row r="602" spans="2:8" ht="45" hidden="1" x14ac:dyDescent="0.25">
      <c r="B602" s="423" t="str">
        <f t="shared" si="2"/>
        <v>Animals, Fisheries And Farming</v>
      </c>
      <c r="C602" s="423" t="str">
        <f t="shared" si="3"/>
        <v>Penangkapan Ikan Lainnya</v>
      </c>
      <c r="D602" s="424" t="s">
        <v>4853</v>
      </c>
      <c r="E602" s="425" t="str">
        <f>VLOOKUP($D602,'Tabel Map Industry'!$A$2:$H$464,2,0)</f>
        <v>Penangkapan Ikan Lainnya</v>
      </c>
      <c r="F602" s="426" t="str">
        <f>VLOOKUP($D602,'Tabel Map Industry'!$A$2:$H$464,3,0)</f>
        <v>ANIMALS, FISHERIES AND FARMING</v>
      </c>
      <c r="G602" s="426" t="str">
        <f>VLOOKUP($D602,'Tabel Map Industry'!$A$2:$H$464,4,0)</f>
        <v>Penangkapan Ikan Lainnya - 050119</v>
      </c>
      <c r="H602" s="426" t="str">
        <f>VLOOKUP($D602,'Tabel Map Industry'!$A$2:$H$464,8,0)</f>
        <v>Perikanan Laut - Lainnya - 1163</v>
      </c>
    </row>
    <row r="603" spans="2:8" ht="45" hidden="1" x14ac:dyDescent="0.25">
      <c r="B603" s="418" t="str">
        <f t="shared" si="2"/>
        <v>Animals, Fisheries And Farming</v>
      </c>
      <c r="C603" s="418" t="str">
        <f t="shared" si="3"/>
        <v xml:space="preserve">Penangkapan Udang Laut </v>
      </c>
      <c r="D603" s="419" t="s">
        <v>4854</v>
      </c>
      <c r="E603" s="420" t="str">
        <f>VLOOKUP($D603,'Tabel Map Industry'!$A$2:$H$464,2,0)</f>
        <v xml:space="preserve">Penangkapan Udang Laut </v>
      </c>
      <c r="F603" s="421" t="str">
        <f>VLOOKUP($D603,'Tabel Map Industry'!$A$2:$H$464,3,0)</f>
        <v>ANIMALS, FISHERIES AND FARMING</v>
      </c>
      <c r="G603" s="421" t="str">
        <f>VLOOKUP($D603,'Tabel Map Industry'!$A$2:$H$464,4,0)</f>
        <v>Penangkapan Udang Laut  - 050121</v>
      </c>
      <c r="H603" s="421" t="str">
        <f>VLOOKUP($D603,'Tabel Map Industry'!$A$2:$H$464,8,0)</f>
        <v>Perikanan Laut - Udang - 1161</v>
      </c>
    </row>
    <row r="604" spans="2:8" ht="45" hidden="1" x14ac:dyDescent="0.25">
      <c r="B604" s="423" t="str">
        <f t="shared" si="2"/>
        <v>Animals, Fisheries And Farming</v>
      </c>
      <c r="C604" s="423" t="str">
        <f t="shared" si="3"/>
        <v>Penangkapan Crustacea Lainnya di Laut</v>
      </c>
      <c r="D604" s="424" t="s">
        <v>4855</v>
      </c>
      <c r="E604" s="425" t="str">
        <f>VLOOKUP($D604,'Tabel Map Industry'!$A$2:$H$464,2,0)</f>
        <v>Penangkapan Crustacea Lainnya di Laut</v>
      </c>
      <c r="F604" s="426" t="str">
        <f>VLOOKUP($D604,'Tabel Map Industry'!$A$2:$H$464,3,0)</f>
        <v>ANIMALS, FISHERIES AND FARMING</v>
      </c>
      <c r="G604" s="426" t="str">
        <f>VLOOKUP($D604,'Tabel Map Industry'!$A$2:$H$464,4,0)</f>
        <v>Penangkapan Crustacea Lainnya di Laut - 050122</v>
      </c>
      <c r="H604" s="426" t="str">
        <f>VLOOKUP($D604,'Tabel Map Industry'!$A$2:$H$464,8,0)</f>
        <v>Perikanan Laut - Lainnya - 1163</v>
      </c>
    </row>
    <row r="605" spans="2:8" ht="45" hidden="1" x14ac:dyDescent="0.25">
      <c r="B605" s="418" t="str">
        <f t="shared" si="2"/>
        <v>Animals, Fisheries And Farming</v>
      </c>
      <c r="C605" s="418" t="str">
        <f t="shared" si="3"/>
        <v>Lainnya</v>
      </c>
      <c r="D605" s="419" t="s">
        <v>4856</v>
      </c>
      <c r="E605" s="420" t="str">
        <f>VLOOKUP($D605,'Tabel Map Industry'!$A$2:$H$464,2,0)</f>
        <v>Lainnya</v>
      </c>
      <c r="F605" s="421" t="str">
        <f>VLOOKUP($D605,'Tabel Map Industry'!$A$2:$H$464,3,0)</f>
        <v>ANIMALS, FISHERIES AND FARMING</v>
      </c>
      <c r="G605" s="421" t="str">
        <f>VLOOKUP($D605,'Tabel Map Industry'!$A$2:$H$464,4,0)</f>
        <v>Lainnya (penangkapan biota laut) - 050190</v>
      </c>
      <c r="H605" s="421" t="str">
        <f>VLOOKUP($D605,'Tabel Map Industry'!$A$2:$H$464,8,0)</f>
        <v>Perikanan Laut - Lainnya - 1163</v>
      </c>
    </row>
    <row r="606" spans="2:8" ht="45" hidden="1" x14ac:dyDescent="0.25">
      <c r="B606" s="423" t="str">
        <f t="shared" si="2"/>
        <v>Animals, Fisheries And Farming</v>
      </c>
      <c r="C606" s="423" t="str">
        <f t="shared" si="3"/>
        <v>Budidaya Biota Laut Udang</v>
      </c>
      <c r="D606" s="424" t="s">
        <v>4857</v>
      </c>
      <c r="E606" s="425" t="str">
        <f>VLOOKUP($D606,'Tabel Map Industry'!$A$2:$H$464,2,0)</f>
        <v>Budidaya Biota Laut Udang</v>
      </c>
      <c r="F606" s="426" t="str">
        <f>VLOOKUP($D606,'Tabel Map Industry'!$A$2:$H$464,3,0)</f>
        <v>ANIMALS, FISHERIES AND FARMING</v>
      </c>
      <c r="G606" s="426" t="str">
        <f>VLOOKUP($D606,'Tabel Map Industry'!$A$2:$H$464,4,0)</f>
        <v>Budidaya Biota Laut Udang - 050211</v>
      </c>
      <c r="H606" s="426" t="str">
        <f>VLOOKUP($D606,'Tabel Map Industry'!$A$2:$H$464,8,0)</f>
        <v>Perikanan Laut - Lainnya - 1163</v>
      </c>
    </row>
    <row r="607" spans="2:8" ht="45" hidden="1" x14ac:dyDescent="0.25">
      <c r="B607" s="418" t="str">
        <f t="shared" si="2"/>
        <v>Animals, Fisheries And Farming</v>
      </c>
      <c r="C607" s="418" t="str">
        <f t="shared" si="3"/>
        <v>Budidaya Biota Laut Tuna</v>
      </c>
      <c r="D607" s="419" t="s">
        <v>4858</v>
      </c>
      <c r="E607" s="420" t="str">
        <f>VLOOKUP($D607,'Tabel Map Industry'!$A$2:$H$464,2,0)</f>
        <v>Budidaya Biota Laut Tuna</v>
      </c>
      <c r="F607" s="421" t="str">
        <f>VLOOKUP($D607,'Tabel Map Industry'!$A$2:$H$464,3,0)</f>
        <v>ANIMALS, FISHERIES AND FARMING</v>
      </c>
      <c r="G607" s="421" t="str">
        <f>VLOOKUP($D607,'Tabel Map Industry'!$A$2:$H$464,4,0)</f>
        <v>Budidaya Biota Laut Tuna - 050212</v>
      </c>
      <c r="H607" s="421" t="str">
        <f>VLOOKUP($D607,'Tabel Map Industry'!$A$2:$H$464,8,0)</f>
        <v>Perikanan Laut - Lainnya - 1163</v>
      </c>
    </row>
    <row r="608" spans="2:8" ht="45" hidden="1" x14ac:dyDescent="0.25">
      <c r="B608" s="423" t="str">
        <f t="shared" si="2"/>
        <v>Animals, Fisheries And Farming</v>
      </c>
      <c r="C608" s="423" t="str">
        <f t="shared" si="3"/>
        <v>Budidaya Biota Laut Rumput Laut</v>
      </c>
      <c r="D608" s="424" t="s">
        <v>4859</v>
      </c>
      <c r="E608" s="425" t="str">
        <f>VLOOKUP($D608,'Tabel Map Industry'!$A$2:$H$464,2,0)</f>
        <v>Budidaya Biota Laut Rumput Laut</v>
      </c>
      <c r="F608" s="426" t="str">
        <f>VLOOKUP($D608,'Tabel Map Industry'!$A$2:$H$464,3,0)</f>
        <v>ANIMALS, FISHERIES AND FARMING</v>
      </c>
      <c r="G608" s="426" t="str">
        <f>VLOOKUP($D608,'Tabel Map Industry'!$A$2:$H$464,4,0)</f>
        <v>Budidaya Biota Laut Rumput Laut - 050213</v>
      </c>
      <c r="H608" s="426" t="str">
        <f>VLOOKUP($D608,'Tabel Map Industry'!$A$2:$H$464,8,0)</f>
        <v>Perikanan Laut - Lainnya - 1163</v>
      </c>
    </row>
    <row r="609" spans="2:8" ht="45" hidden="1" x14ac:dyDescent="0.25">
      <c r="B609" s="418" t="str">
        <f t="shared" si="2"/>
        <v>Animals, Fisheries And Farming</v>
      </c>
      <c r="C609" s="418" t="str">
        <f t="shared" si="3"/>
        <v>Budidaya Biota Laut Lainnya</v>
      </c>
      <c r="D609" s="419" t="s">
        <v>4860</v>
      </c>
      <c r="E609" s="420" t="str">
        <f>VLOOKUP($D609,'Tabel Map Industry'!$A$2:$H$464,2,0)</f>
        <v>Budidaya Biota Laut Lainnya</v>
      </c>
      <c r="F609" s="421" t="str">
        <f>VLOOKUP($D609,'Tabel Map Industry'!$A$2:$H$464,3,0)</f>
        <v>ANIMALS, FISHERIES AND FARMING</v>
      </c>
      <c r="G609" s="421" t="str">
        <f>VLOOKUP($D609,'Tabel Map Industry'!$A$2:$H$464,4,0)</f>
        <v>Budidaya Biota Laut Lainnya - 050219</v>
      </c>
      <c r="H609" s="421" t="str">
        <f>VLOOKUP($D609,'Tabel Map Industry'!$A$2:$H$464,8,0)</f>
        <v>Perikanan Laut - Lainnya - 1163</v>
      </c>
    </row>
    <row r="610" spans="2:8" ht="45" hidden="1" x14ac:dyDescent="0.25">
      <c r="B610" s="423" t="str">
        <f t="shared" si="2"/>
        <v>Animals, Fisheries And Farming</v>
      </c>
      <c r="C610" s="423" t="str">
        <f t="shared" si="3"/>
        <v xml:space="preserve">Pembenihan Biota Laut </v>
      </c>
      <c r="D610" s="424" t="s">
        <v>4861</v>
      </c>
      <c r="E610" s="425" t="str">
        <f>VLOOKUP($D610,'Tabel Map Industry'!$A$2:$H$464,2,0)</f>
        <v xml:space="preserve">Pembenihan Biota Laut </v>
      </c>
      <c r="F610" s="426" t="str">
        <f>VLOOKUP($D610,'Tabel Map Industry'!$A$2:$H$464,3,0)</f>
        <v>ANIMALS, FISHERIES AND FARMING</v>
      </c>
      <c r="G610" s="426" t="str">
        <f>VLOOKUP($D610,'Tabel Map Industry'!$A$2:$H$464,4,0)</f>
        <v>Pembenihan Biota Laut  - 050220</v>
      </c>
      <c r="H610" s="426" t="str">
        <f>VLOOKUP($D610,'Tabel Map Industry'!$A$2:$H$464,8,0)</f>
        <v>Perikanan Laut - Lainnya - 1163</v>
      </c>
    </row>
    <row r="611" spans="2:8" ht="45" hidden="1" x14ac:dyDescent="0.25">
      <c r="B611" s="418" t="str">
        <f t="shared" si="2"/>
        <v>Animals, Fisheries And Farming</v>
      </c>
      <c r="C611" s="418" t="str">
        <f t="shared" si="3"/>
        <v xml:space="preserve">Penangkapan Ikan di Perairan Umum </v>
      </c>
      <c r="D611" s="419" t="s">
        <v>4862</v>
      </c>
      <c r="E611" s="420" t="str">
        <f>VLOOKUP($D611,'Tabel Map Industry'!$A$2:$H$464,2,0)</f>
        <v xml:space="preserve">Penangkapan Ikan di Perairan Umum </v>
      </c>
      <c r="F611" s="421" t="str">
        <f>VLOOKUP($D611,'Tabel Map Industry'!$A$2:$H$464,3,0)</f>
        <v>ANIMALS, FISHERIES AND FARMING</v>
      </c>
      <c r="G611" s="421" t="str">
        <f>VLOOKUP($D611,'Tabel Map Industry'!$A$2:$H$464,4,0)</f>
        <v>Penangkapan Ikan di Perairan Umum  - 050310</v>
      </c>
      <c r="H611" s="421" t="str">
        <f>VLOOKUP($D611,'Tabel Map Industry'!$A$2:$H$464,8,0)</f>
        <v>Perikanan Laut - Lainnya - 1163</v>
      </c>
    </row>
    <row r="612" spans="2:8" ht="45" hidden="1" x14ac:dyDescent="0.25">
      <c r="B612" s="423" t="str">
        <f t="shared" si="2"/>
        <v>Animals, Fisheries And Farming</v>
      </c>
      <c r="C612" s="423" t="str">
        <f t="shared" si="3"/>
        <v xml:space="preserve">Penangkapan Crustacea, Mollusca, dan Biota Lainnya di Perairan Umum </v>
      </c>
      <c r="D612" s="424" t="s">
        <v>4863</v>
      </c>
      <c r="E612" s="425" t="str">
        <f>VLOOKUP($D612,'Tabel Map Industry'!$A$2:$H$464,2,0)</f>
        <v xml:space="preserve">Penangkapan Crustacea, Mollusca, dan Biota Lainnya di Perairan Umum </v>
      </c>
      <c r="F612" s="426" t="str">
        <f>VLOOKUP($D612,'Tabel Map Industry'!$A$2:$H$464,3,0)</f>
        <v>ANIMALS, FISHERIES AND FARMING</v>
      </c>
      <c r="G612" s="426" t="str">
        <f>VLOOKUP($D612,'Tabel Map Industry'!$A$2:$H$464,4,0)</f>
        <v>Penangkapan Crustacea, Mollusca, dan Biota Lainnya di Perairan Umum  - 050320</v>
      </c>
      <c r="H612" s="426" t="str">
        <f>VLOOKUP($D612,'Tabel Map Industry'!$A$2:$H$464,8,0)</f>
        <v>Perikanan Laut - Lainnya - 1163</v>
      </c>
    </row>
    <row r="613" spans="2:8" ht="45" hidden="1" x14ac:dyDescent="0.25">
      <c r="B613" s="418" t="str">
        <f t="shared" si="2"/>
        <v>Animals, Fisheries And Farming</v>
      </c>
      <c r="C613" s="418" t="str">
        <f t="shared" si="3"/>
        <v>Budidaya Biota Air Tawar Udang</v>
      </c>
      <c r="D613" s="419" t="s">
        <v>4864</v>
      </c>
      <c r="E613" s="420" t="str">
        <f>VLOOKUP($D613,'Tabel Map Industry'!$A$2:$H$464,2,0)</f>
        <v>Budidaya Biota Air Tawar Udang</v>
      </c>
      <c r="F613" s="421" t="str">
        <f>VLOOKUP($D613,'Tabel Map Industry'!$A$2:$H$464,3,0)</f>
        <v>ANIMALS, FISHERIES AND FARMING</v>
      </c>
      <c r="G613" s="421" t="str">
        <f>VLOOKUP($D613,'Tabel Map Industry'!$A$2:$H$464,4,0)</f>
        <v>Budidaya Biota Air Tawar Udang - 050411</v>
      </c>
      <c r="H613" s="421" t="str">
        <f>VLOOKUP($D613,'Tabel Map Industry'!$A$2:$H$464,8,0)</f>
        <v>Perikanan Darat - Udang - 1164</v>
      </c>
    </row>
    <row r="614" spans="2:8" ht="45" hidden="1" x14ac:dyDescent="0.25">
      <c r="B614" s="423" t="str">
        <f t="shared" si="2"/>
        <v>Animals, Fisheries And Farming</v>
      </c>
      <c r="C614" s="423" t="str">
        <f t="shared" si="3"/>
        <v>Budidaya Biota Air Tawar Lainnya</v>
      </c>
      <c r="D614" s="424" t="s">
        <v>4865</v>
      </c>
      <c r="E614" s="425" t="str">
        <f>VLOOKUP($D614,'Tabel Map Industry'!$A$2:$H$464,2,0)</f>
        <v>Budidaya Biota Air Tawar Lainnya</v>
      </c>
      <c r="F614" s="426" t="str">
        <f>VLOOKUP($D614,'Tabel Map Industry'!$A$2:$H$464,3,0)</f>
        <v>ANIMALS, FISHERIES AND FARMING</v>
      </c>
      <c r="G614" s="426" t="str">
        <f>VLOOKUP($D614,'Tabel Map Industry'!$A$2:$H$464,4,0)</f>
        <v>Budidaya Biota Air Tawar Lainnya - 050419</v>
      </c>
      <c r="H614" s="426" t="str">
        <f>VLOOKUP($D614,'Tabel Map Industry'!$A$2:$H$464,8,0)</f>
        <v>Perikanan Darat - Lainnya - 1166</v>
      </c>
    </row>
    <row r="615" spans="2:8" ht="45" hidden="1" x14ac:dyDescent="0.25">
      <c r="B615" s="418" t="str">
        <f t="shared" si="2"/>
        <v>Animals, Fisheries And Farming</v>
      </c>
      <c r="C615" s="418" t="str">
        <f t="shared" si="3"/>
        <v>Budidaya Biota Air Payau Udang</v>
      </c>
      <c r="D615" s="419" t="s">
        <v>4866</v>
      </c>
      <c r="E615" s="420" t="str">
        <f>VLOOKUP($D615,'Tabel Map Industry'!$A$2:$H$464,2,0)</f>
        <v>Budidaya Biota Air Payau Udang</v>
      </c>
      <c r="F615" s="421" t="str">
        <f>VLOOKUP($D615,'Tabel Map Industry'!$A$2:$H$464,3,0)</f>
        <v>ANIMALS, FISHERIES AND FARMING</v>
      </c>
      <c r="G615" s="421" t="str">
        <f>VLOOKUP($D615,'Tabel Map Industry'!$A$2:$H$464,4,0)</f>
        <v>Budidaya Biota Air Payau Udang - 050421</v>
      </c>
      <c r="H615" s="421" t="str">
        <f>VLOOKUP($D615,'Tabel Map Industry'!$A$2:$H$464,8,0)</f>
        <v>Perikanan Payau - Udang - 1167</v>
      </c>
    </row>
    <row r="616" spans="2:8" ht="45" hidden="1" x14ac:dyDescent="0.25">
      <c r="B616" s="423" t="str">
        <f t="shared" si="2"/>
        <v>Animals, Fisheries And Farming</v>
      </c>
      <c r="C616" s="423" t="str">
        <f t="shared" si="3"/>
        <v>Budidaya Biota Air Payau Lainnya</v>
      </c>
      <c r="D616" s="424" t="s">
        <v>4867</v>
      </c>
      <c r="E616" s="425" t="str">
        <f>VLOOKUP($D616,'Tabel Map Industry'!$A$2:$H$464,2,0)</f>
        <v>Budidaya Biota Air Payau Lainnya</v>
      </c>
      <c r="F616" s="426" t="str">
        <f>VLOOKUP($D616,'Tabel Map Industry'!$A$2:$H$464,3,0)</f>
        <v>ANIMALS, FISHERIES AND FARMING</v>
      </c>
      <c r="G616" s="426" t="str">
        <f>VLOOKUP($D616,'Tabel Map Industry'!$A$2:$H$464,4,0)</f>
        <v>Budidaya Biota Air Payau Lainnya - 050429</v>
      </c>
      <c r="H616" s="426" t="str">
        <f>VLOOKUP($D616,'Tabel Map Industry'!$A$2:$H$464,8,0)</f>
        <v>Perikanan Darat - Lainnya - 1166</v>
      </c>
    </row>
    <row r="617" spans="2:8" ht="45" hidden="1" x14ac:dyDescent="0.25">
      <c r="B617" s="418" t="str">
        <f t="shared" si="2"/>
        <v>Animals, Fisheries And Farming</v>
      </c>
      <c r="C617" s="418" t="str">
        <f t="shared" si="3"/>
        <v xml:space="preserve">Pembenihan Biota Air Tawar dan Air Payau </v>
      </c>
      <c r="D617" s="419" t="s">
        <v>4868</v>
      </c>
      <c r="E617" s="420" t="str">
        <f>VLOOKUP($D617,'Tabel Map Industry'!$A$2:$H$464,2,0)</f>
        <v xml:space="preserve">Pembenihan Biota Air Tawar dan Air Payau </v>
      </c>
      <c r="F617" s="421" t="str">
        <f>VLOOKUP($D617,'Tabel Map Industry'!$A$2:$H$464,3,0)</f>
        <v>ANIMALS, FISHERIES AND FARMING</v>
      </c>
      <c r="G617" s="421" t="str">
        <f>VLOOKUP($D617,'Tabel Map Industry'!$A$2:$H$464,4,0)</f>
        <v>Pembenihan Biota Air Tawar dan Air Payau  - 050490</v>
      </c>
      <c r="H617" s="421" t="str">
        <f>VLOOKUP($D617,'Tabel Map Industry'!$A$2:$H$464,8,0)</f>
        <v>Perikanan Payau - Lainnya - 1169</v>
      </c>
    </row>
    <row r="618" spans="2:8" ht="45" hidden="1" x14ac:dyDescent="0.25">
      <c r="B618" s="423" t="str">
        <f t="shared" si="2"/>
        <v>Animals, Fisheries And Farming</v>
      </c>
      <c r="C618" s="423" t="str">
        <f t="shared" si="3"/>
        <v xml:space="preserve">Jasa Sarana Produksi Perikanan Laut </v>
      </c>
      <c r="D618" s="424" t="s">
        <v>4869</v>
      </c>
      <c r="E618" s="425" t="str">
        <f>VLOOKUP($D618,'Tabel Map Industry'!$A$2:$H$464,2,0)</f>
        <v xml:space="preserve">Jasa Sarana Produksi Perikanan Laut </v>
      </c>
      <c r="F618" s="426" t="str">
        <f>VLOOKUP($D618,'Tabel Map Industry'!$A$2:$H$464,3,0)</f>
        <v>ANIMALS, FISHERIES AND FARMING</v>
      </c>
      <c r="G618" s="426" t="str">
        <f>VLOOKUP($D618,'Tabel Map Industry'!$A$2:$H$464,4,0)</f>
        <v>Jasa Sarana Produksi Perikanan Laut  - 050510</v>
      </c>
      <c r="H618" s="426" t="str">
        <f>VLOOKUP($D618,'Tabel Map Industry'!$A$2:$H$464,8,0)</f>
        <v>Sarana Perikanan - 1360</v>
      </c>
    </row>
    <row r="619" spans="2:8" ht="45" hidden="1" x14ac:dyDescent="0.25">
      <c r="B619" s="418" t="str">
        <f t="shared" si="2"/>
        <v>Animals, Fisheries And Farming</v>
      </c>
      <c r="C619" s="418" t="str">
        <f t="shared" si="3"/>
        <v xml:space="preserve">Jasa Sarana Produksi Perikanan Darat </v>
      </c>
      <c r="D619" s="419" t="s">
        <v>4870</v>
      </c>
      <c r="E619" s="420" t="str">
        <f>VLOOKUP($D619,'Tabel Map Industry'!$A$2:$H$464,2,0)</f>
        <v xml:space="preserve">Jasa Sarana Produksi Perikanan Darat </v>
      </c>
      <c r="F619" s="421" t="str">
        <f>VLOOKUP($D619,'Tabel Map Industry'!$A$2:$H$464,3,0)</f>
        <v>ANIMALS, FISHERIES AND FARMING</v>
      </c>
      <c r="G619" s="421" t="str">
        <f>VLOOKUP($D619,'Tabel Map Industry'!$A$2:$H$464,4,0)</f>
        <v>Jasa Sarana Produksi Perikanan Darat  - 050580</v>
      </c>
      <c r="H619" s="421" t="str">
        <f>VLOOKUP($D619,'Tabel Map Industry'!$A$2:$H$464,8,0)</f>
        <v>Sarana Perikanan - 1360</v>
      </c>
    </row>
    <row r="620" spans="2:8" ht="45" hidden="1" x14ac:dyDescent="0.25">
      <c r="B620" s="423" t="str">
        <f t="shared" si="2"/>
        <v>Animals, Fisheries And Farming</v>
      </c>
      <c r="C620" s="423" t="str">
        <f t="shared" si="3"/>
        <v>Jasa Perikanan Lainnya</v>
      </c>
      <c r="D620" s="424" t="s">
        <v>4871</v>
      </c>
      <c r="E620" s="425" t="str">
        <f>VLOOKUP($D620,'Tabel Map Industry'!$A$2:$H$464,2,0)</f>
        <v>Jasa Perikanan Lainnya</v>
      </c>
      <c r="F620" s="426" t="str">
        <f>VLOOKUP($D620,'Tabel Map Industry'!$A$2:$H$464,3,0)</f>
        <v>ANIMALS, FISHERIES AND FARMING</v>
      </c>
      <c r="G620" s="426" t="str">
        <f>VLOOKUP($D620,'Tabel Map Industry'!$A$2:$H$464,4,0)</f>
        <v>Jasa Perikanan Lainnya - 050590</v>
      </c>
      <c r="H620" s="426" t="str">
        <f>VLOOKUP($D620,'Tabel Map Industry'!$A$2:$H$464,8,0)</f>
        <v>Sarana Perikanan - 1360</v>
      </c>
    </row>
    <row r="621" spans="2:8" ht="45" hidden="1" x14ac:dyDescent="0.25">
      <c r="B621" s="418" t="str">
        <f t="shared" si="2"/>
        <v>Animals, Fisheries And Farming</v>
      </c>
      <c r="C621" s="418" t="str">
        <f t="shared" si="3"/>
        <v>Perdagangan Besar Dalam Negeri Hasil Perikanan</v>
      </c>
      <c r="D621" s="419" t="s">
        <v>4872</v>
      </c>
      <c r="E621" s="420" t="str">
        <f>VLOOKUP($D621,'Tabel Map Industry'!$A$2:$H$464,2,0)</f>
        <v>Perdagangan Besar Dalam Negeri Hasil Perikanan</v>
      </c>
      <c r="F621" s="421" t="str">
        <f>VLOOKUP($D621,'Tabel Map Industry'!$A$2:$H$464,3,0)</f>
        <v>ANIMALS, FISHERIES AND FARMING</v>
      </c>
      <c r="G621" s="421" t="str">
        <f>VLOOKUP($D621,'Tabel Map Industry'!$A$2:$H$464,4,0)</f>
        <v>Perdagangan Besar Dalam Negeri Hasil Perikanan - 512130</v>
      </c>
      <c r="H621" s="421" t="str">
        <f>VLOOKUP($D621,'Tabel Map Industry'!$A$2:$H$464,8,0)</f>
        <v>Pembelian &amp; Pengumpulan Brg. Dagangan Dlm.Neg. : Hewan hidup &amp; Hasilnya - 6325</v>
      </c>
    </row>
    <row r="622" spans="2:8" ht="45" hidden="1" x14ac:dyDescent="0.25">
      <c r="B622" s="423" t="str">
        <f t="shared" si="2"/>
        <v>Animals, Fisheries And Farming</v>
      </c>
      <c r="C622" s="423" t="str">
        <f t="shared" si="3"/>
        <v xml:space="preserve">Pertanian Padi </v>
      </c>
      <c r="D622" s="424" t="s">
        <v>4875</v>
      </c>
      <c r="E622" s="425" t="str">
        <f>VLOOKUP($D622,'Tabel Map Industry'!$A$2:$H$464,2,0)</f>
        <v xml:space="preserve">Pertanian Padi </v>
      </c>
      <c r="F622" s="426" t="str">
        <f>VLOOKUP($D622,'Tabel Map Industry'!$A$2:$H$464,3,0)</f>
        <v>ANIMALS, FISHERIES AND FARMING</v>
      </c>
      <c r="G622" s="426" t="str">
        <f>VLOOKUP($D622,'Tabel Map Industry'!$A$2:$H$464,4,0)</f>
        <v>Pertanian Padi  - 011110</v>
      </c>
      <c r="H622" s="426" t="str">
        <f>VLOOKUP($D622,'Tabel Map Industry'!$A$2:$H$464,8,0)</f>
        <v>Tanaman Pangan - Padi - 1111</v>
      </c>
    </row>
    <row r="623" spans="2:8" ht="45" hidden="1" x14ac:dyDescent="0.25">
      <c r="B623" s="418" t="str">
        <f t="shared" si="2"/>
        <v>Animals, Fisheries And Farming</v>
      </c>
      <c r="C623" s="418" t="str">
        <f t="shared" si="3"/>
        <v>Pertanian Palawija Jagung</v>
      </c>
      <c r="D623" s="419" t="s">
        <v>4876</v>
      </c>
      <c r="E623" s="420" t="str">
        <f>VLOOKUP($D623,'Tabel Map Industry'!$A$2:$H$464,2,0)</f>
        <v>Pertanian Palawija Jagung</v>
      </c>
      <c r="F623" s="421" t="str">
        <f>VLOOKUP($D623,'Tabel Map Industry'!$A$2:$H$464,3,0)</f>
        <v>ANIMALS, FISHERIES AND FARMING</v>
      </c>
      <c r="G623" s="421" t="str">
        <f>VLOOKUP($D623,'Tabel Map Industry'!$A$2:$H$464,4,0)</f>
        <v>Pertanian Palawija Jagung - 011121</v>
      </c>
      <c r="H623" s="421" t="str">
        <f>VLOOKUP($D623,'Tabel Map Industry'!$A$2:$H$464,8,0)</f>
        <v>Tanaman Pangan - Palawija -  Jagung - 1117</v>
      </c>
    </row>
    <row r="624" spans="2:8" ht="45" hidden="1" x14ac:dyDescent="0.25">
      <c r="B624" s="423" t="str">
        <f t="shared" si="2"/>
        <v>Animals, Fisheries And Farming</v>
      </c>
      <c r="C624" s="423" t="str">
        <f t="shared" si="3"/>
        <v>Pertanian Palawija Ketela pohon</v>
      </c>
      <c r="D624" s="424" t="s">
        <v>4877</v>
      </c>
      <c r="E624" s="425" t="str">
        <f>VLOOKUP($D624,'Tabel Map Industry'!$A$2:$H$464,2,0)</f>
        <v>Pertanian Palawija Ketela pohon</v>
      </c>
      <c r="F624" s="426" t="str">
        <f>VLOOKUP($D624,'Tabel Map Industry'!$A$2:$H$464,3,0)</f>
        <v>ANIMALS, FISHERIES AND FARMING</v>
      </c>
      <c r="G624" s="426" t="str">
        <f>VLOOKUP($D624,'Tabel Map Industry'!$A$2:$H$464,4,0)</f>
        <v>Pertanian Palawija Ketela pohon - 011122</v>
      </c>
      <c r="H624" s="426" t="str">
        <f>VLOOKUP($D624,'Tabel Map Industry'!$A$2:$H$464,8,0)</f>
        <v>Tanaman Pangan - Palawija -  lainnya - 1119</v>
      </c>
    </row>
    <row r="625" spans="2:8" ht="45" hidden="1" x14ac:dyDescent="0.25">
      <c r="B625" s="418" t="str">
        <f t="shared" si="2"/>
        <v>Animals, Fisheries And Farming</v>
      </c>
      <c r="C625" s="418" t="str">
        <f t="shared" si="3"/>
        <v>Pertanian Palawija Ubi jalar</v>
      </c>
      <c r="D625" s="419" t="s">
        <v>4878</v>
      </c>
      <c r="E625" s="420" t="str">
        <f>VLOOKUP($D625,'Tabel Map Industry'!$A$2:$H$464,2,0)</f>
        <v>Pertanian Palawija Ubi jalar</v>
      </c>
      <c r="F625" s="421" t="str">
        <f>VLOOKUP($D625,'Tabel Map Industry'!$A$2:$H$464,3,0)</f>
        <v>ANIMALS, FISHERIES AND FARMING</v>
      </c>
      <c r="G625" s="421" t="str">
        <f>VLOOKUP($D625,'Tabel Map Industry'!$A$2:$H$464,4,0)</f>
        <v>Pertanian Palawija Ubi jalar - 011123</v>
      </c>
      <c r="H625" s="421" t="str">
        <f>VLOOKUP($D625,'Tabel Map Industry'!$A$2:$H$464,8,0)</f>
        <v>Tanaman Pangan - Palawija - Umbi-umbian - 1116</v>
      </c>
    </row>
    <row r="626" spans="2:8" ht="45" hidden="1" x14ac:dyDescent="0.25">
      <c r="B626" s="423" t="str">
        <f t="shared" si="2"/>
        <v>Animals, Fisheries And Farming</v>
      </c>
      <c r="C626" s="423" t="str">
        <f t="shared" si="3"/>
        <v>Pertanian Palawija Umbi-umbian lainnya</v>
      </c>
      <c r="D626" s="424" t="s">
        <v>4879</v>
      </c>
      <c r="E626" s="425" t="str">
        <f>VLOOKUP($D626,'Tabel Map Industry'!$A$2:$H$464,2,0)</f>
        <v>Pertanian Palawija Umbi-umbian lainnya</v>
      </c>
      <c r="F626" s="426" t="str">
        <f>VLOOKUP($D626,'Tabel Map Industry'!$A$2:$H$464,3,0)</f>
        <v>ANIMALS, FISHERIES AND FARMING</v>
      </c>
      <c r="G626" s="426" t="str">
        <f>VLOOKUP($D626,'Tabel Map Industry'!$A$2:$H$464,4,0)</f>
        <v>Pertanian Palawija Umbi-umbian lainnya - 011124</v>
      </c>
      <c r="H626" s="426" t="str">
        <f>VLOOKUP($D626,'Tabel Map Industry'!$A$2:$H$464,8,0)</f>
        <v>Tanaman Pangan - Palawija - Umbi-umbian - 1116</v>
      </c>
    </row>
    <row r="627" spans="2:8" ht="45" hidden="1" x14ac:dyDescent="0.25">
      <c r="B627" s="418" t="str">
        <f t="shared" si="2"/>
        <v>Animals, Fisheries And Farming</v>
      </c>
      <c r="C627" s="418" t="str">
        <f t="shared" si="3"/>
        <v>Pertanian Palawija Kacang tanah</v>
      </c>
      <c r="D627" s="419" t="s">
        <v>4880</v>
      </c>
      <c r="E627" s="420" t="str">
        <f>VLOOKUP($D627,'Tabel Map Industry'!$A$2:$H$464,2,0)</f>
        <v>Pertanian Palawija Kacang tanah</v>
      </c>
      <c r="F627" s="421" t="str">
        <f>VLOOKUP($D627,'Tabel Map Industry'!$A$2:$H$464,3,0)</f>
        <v>ANIMALS, FISHERIES AND FARMING</v>
      </c>
      <c r="G627" s="421" t="str">
        <f>VLOOKUP($D627,'Tabel Map Industry'!$A$2:$H$464,4,0)</f>
        <v>Pertanian Palawija Kacang tanah - 011125</v>
      </c>
      <c r="H627" s="421" t="str">
        <f>VLOOKUP($D627,'Tabel Map Industry'!$A$2:$H$464,8,0)</f>
        <v>Tanaman Pangan - Palawija - Kacang-kacangan - 1115</v>
      </c>
    </row>
    <row r="628" spans="2:8" ht="45" hidden="1" x14ac:dyDescent="0.25">
      <c r="B628" s="423" t="str">
        <f t="shared" si="2"/>
        <v>Animals, Fisheries And Farming</v>
      </c>
      <c r="C628" s="423" t="str">
        <f t="shared" si="3"/>
        <v>Pertanian Palawija Kedele</v>
      </c>
      <c r="D628" s="424" t="s">
        <v>4881</v>
      </c>
      <c r="E628" s="425" t="str">
        <f>VLOOKUP($D628,'Tabel Map Industry'!$A$2:$H$464,2,0)</f>
        <v>Pertanian Palawija Kedele</v>
      </c>
      <c r="F628" s="426" t="str">
        <f>VLOOKUP($D628,'Tabel Map Industry'!$A$2:$H$464,3,0)</f>
        <v>ANIMALS, FISHERIES AND FARMING</v>
      </c>
      <c r="G628" s="426" t="str">
        <f>VLOOKUP($D628,'Tabel Map Industry'!$A$2:$H$464,4,0)</f>
        <v>Pertanian Palawija Kedele - 011126</v>
      </c>
      <c r="H628" s="426" t="str">
        <f>VLOOKUP($D628,'Tabel Map Industry'!$A$2:$H$464,8,0)</f>
        <v>Tanaman Pangan - Palawija - Kacang-kacangan - 1115</v>
      </c>
    </row>
    <row r="629" spans="2:8" ht="45" hidden="1" x14ac:dyDescent="0.25">
      <c r="B629" s="418" t="str">
        <f t="shared" si="2"/>
        <v>Animals, Fisheries And Farming</v>
      </c>
      <c r="C629" s="418" t="str">
        <f t="shared" si="3"/>
        <v>Pertanian Palawija Kacang-kacangan lainnya</v>
      </c>
      <c r="D629" s="419" t="s">
        <v>4882</v>
      </c>
      <c r="E629" s="420" t="str">
        <f>VLOOKUP($D629,'Tabel Map Industry'!$A$2:$H$464,2,0)</f>
        <v>Pertanian Palawija Kacang-kacangan lainnya</v>
      </c>
      <c r="F629" s="421" t="str">
        <f>VLOOKUP($D629,'Tabel Map Industry'!$A$2:$H$464,3,0)</f>
        <v>ANIMALS, FISHERIES AND FARMING</v>
      </c>
      <c r="G629" s="421" t="str">
        <f>VLOOKUP($D629,'Tabel Map Industry'!$A$2:$H$464,4,0)</f>
        <v>Pertanian Palawija Kacang-kacangan lainnya - 011129</v>
      </c>
      <c r="H629" s="421" t="str">
        <f>VLOOKUP($D629,'Tabel Map Industry'!$A$2:$H$464,8,0)</f>
        <v>Tanaman Pangan - Palawija - Kacang-kacangan - 1115</v>
      </c>
    </row>
    <row r="630" spans="2:8" ht="45" hidden="1" x14ac:dyDescent="0.25">
      <c r="B630" s="423" t="str">
        <f t="shared" si="2"/>
        <v>Animals, Fisheries And Farming</v>
      </c>
      <c r="C630" s="423" t="str">
        <f t="shared" si="3"/>
        <v xml:space="preserve">Perkebunan Tebu dan Tanaman Pemanis Lainnya </v>
      </c>
      <c r="D630" s="424" t="s">
        <v>4883</v>
      </c>
      <c r="E630" s="425" t="str">
        <f>VLOOKUP($D630,'Tabel Map Industry'!$A$2:$H$464,2,0)</f>
        <v xml:space="preserve">Perkebunan Tebu dan Tanaman Pemanis Lainnya </v>
      </c>
      <c r="F630" s="426" t="str">
        <f>VLOOKUP($D630,'Tabel Map Industry'!$A$2:$H$464,3,0)</f>
        <v>ANIMALS, FISHERIES AND FARMING</v>
      </c>
      <c r="G630" s="426" t="str">
        <f>VLOOKUP($D630,'Tabel Map Industry'!$A$2:$H$464,4,0)</f>
        <v>Perkebunan Tebu dan Tanaman Pemanis Lainnya  - 011130</v>
      </c>
      <c r="H630" s="426" t="str">
        <f>VLOOKUP($D630,'Tabel Map Industry'!$A$2:$H$464,8,0)</f>
        <v>Perkebunan Tebu - 1148</v>
      </c>
    </row>
    <row r="631" spans="2:8" ht="45" hidden="1" x14ac:dyDescent="0.25">
      <c r="B631" s="418" t="str">
        <f t="shared" si="2"/>
        <v>Animals, Fisheries And Farming</v>
      </c>
      <c r="C631" s="418" t="str">
        <f t="shared" si="3"/>
        <v xml:space="preserve">Perkebunan Tanaman Minyak Atsiri </v>
      </c>
      <c r="D631" s="419" t="s">
        <v>4884</v>
      </c>
      <c r="E631" s="420" t="str">
        <f>VLOOKUP($D631,'Tabel Map Industry'!$A$2:$H$464,2,0)</f>
        <v xml:space="preserve">Perkebunan Tanaman Minyak Atsiri </v>
      </c>
      <c r="F631" s="421" t="str">
        <f>VLOOKUP($D631,'Tabel Map Industry'!$A$2:$H$464,3,0)</f>
        <v>ANIMALS, FISHERIES AND FARMING</v>
      </c>
      <c r="G631" s="421" t="str">
        <f>VLOOKUP($D631,'Tabel Map Industry'!$A$2:$H$464,4,0)</f>
        <v>Perkebunan Tanaman Minyak Atsiri  - 011180</v>
      </c>
      <c r="H631" s="421" t="str">
        <f>VLOOKUP($D631,'Tabel Map Industry'!$A$2:$H$464,8,0)</f>
        <v>Perkebunan lainnya - 1159</v>
      </c>
    </row>
    <row r="632" spans="2:8" ht="45" hidden="1" x14ac:dyDescent="0.25">
      <c r="B632" s="423" t="str">
        <f t="shared" si="2"/>
        <v>Animals, Fisheries And Farming</v>
      </c>
      <c r="C632" s="423" t="str">
        <f t="shared" si="3"/>
        <v xml:space="preserve">Perkebunan Tanaman Lainnya yang Tidak Diklasifikasikan di Tempat Lain </v>
      </c>
      <c r="D632" s="424" t="s">
        <v>4885</v>
      </c>
      <c r="E632" s="425" t="str">
        <f>VLOOKUP($D632,'Tabel Map Industry'!$A$2:$H$464,2,0)</f>
        <v xml:space="preserve">Perkebunan Tanaman Lainnya yang Tidak Diklasifikasikan di Tempat Lain </v>
      </c>
      <c r="F632" s="426" t="str">
        <f>VLOOKUP($D632,'Tabel Map Industry'!$A$2:$H$464,3,0)</f>
        <v>ANIMALS, FISHERIES AND FARMING</v>
      </c>
      <c r="G632" s="426" t="str">
        <f>VLOOKUP($D632,'Tabel Map Industry'!$A$2:$H$464,4,0)</f>
        <v>Perkebunan Tanaman Lainnya yang Tidak Diklasifikasikan di Tempat Lain  - 011190</v>
      </c>
      <c r="H632" s="426" t="str">
        <f>VLOOKUP($D632,'Tabel Map Industry'!$A$2:$H$464,8,0)</f>
        <v>Perkebunan lainnya - 1159</v>
      </c>
    </row>
    <row r="633" spans="2:8" ht="45" hidden="1" x14ac:dyDescent="0.25">
      <c r="B633" s="418" t="str">
        <f t="shared" si="2"/>
        <v>Animals, Fisheries And Farming</v>
      </c>
      <c r="C633" s="418" t="str">
        <f t="shared" si="3"/>
        <v>Pertanian Hortikultura Sayuran yang dipanen Sekali Bawang Merah</v>
      </c>
      <c r="D633" s="419" t="s">
        <v>4886</v>
      </c>
      <c r="E633" s="420" t="str">
        <f>VLOOKUP($D633,'Tabel Map Industry'!$A$2:$H$464,2,0)</f>
        <v>Pertanian Hortikultura Sayuran yang dipanen Sekali Bawang Merah</v>
      </c>
      <c r="F633" s="421" t="str">
        <f>VLOOKUP($D633,'Tabel Map Industry'!$A$2:$H$464,3,0)</f>
        <v>ANIMALS, FISHERIES AND FARMING</v>
      </c>
      <c r="G633" s="421" t="str">
        <f>VLOOKUP($D633,'Tabel Map Industry'!$A$2:$H$464,4,0)</f>
        <v>Pertanian Hortikultura Sayuran yang dipanen Sekali Bawang Merah - 011211</v>
      </c>
      <c r="H633" s="421" t="str">
        <f>VLOOKUP($D633,'Tabel Map Industry'!$A$2:$H$464,8,0)</f>
        <v>Tanaman Pangan - Hortikultura - 1130</v>
      </c>
    </row>
    <row r="634" spans="2:8" ht="45" hidden="1" x14ac:dyDescent="0.25">
      <c r="B634" s="423" t="str">
        <f t="shared" si="2"/>
        <v>Animals, Fisheries And Farming</v>
      </c>
      <c r="C634" s="423" t="str">
        <f t="shared" si="3"/>
        <v>Pertanian Hortikultura Sayuran yang dipanen Sekali Lainnya</v>
      </c>
      <c r="D634" s="424" t="s">
        <v>4887</v>
      </c>
      <c r="E634" s="425" t="str">
        <f>VLOOKUP($D634,'Tabel Map Industry'!$A$2:$H$464,2,0)</f>
        <v>Pertanian Hortikultura Sayuran yang dipanen Sekali Lainnya</v>
      </c>
      <c r="F634" s="426" t="str">
        <f>VLOOKUP($D634,'Tabel Map Industry'!$A$2:$H$464,3,0)</f>
        <v>ANIMALS, FISHERIES AND FARMING</v>
      </c>
      <c r="G634" s="426" t="str">
        <f>VLOOKUP($D634,'Tabel Map Industry'!$A$2:$H$464,4,0)</f>
        <v>Pertanian Hortikultura Sayuran yang dipanen Sekali Lainnya - 011219</v>
      </c>
      <c r="H634" s="426" t="str">
        <f>VLOOKUP($D634,'Tabel Map Industry'!$A$2:$H$464,8,0)</f>
        <v>Tanaman Pangan - Hortikultura - 1130</v>
      </c>
    </row>
    <row r="635" spans="2:8" ht="45" hidden="1" x14ac:dyDescent="0.25">
      <c r="B635" s="418" t="str">
        <f t="shared" si="2"/>
        <v>Animals, Fisheries And Farming</v>
      </c>
      <c r="C635" s="418" t="str">
        <f t="shared" si="3"/>
        <v xml:space="preserve">Pertanian Hortikultura Sayuran yang dipanen Lebih dari Sekali </v>
      </c>
      <c r="D635" s="419" t="s">
        <v>4888</v>
      </c>
      <c r="E635" s="420" t="str">
        <f>VLOOKUP($D635,'Tabel Map Industry'!$A$2:$H$464,2,0)</f>
        <v xml:space="preserve">Pertanian Hortikultura Sayuran yang dipanen Lebih dari Sekali </v>
      </c>
      <c r="F635" s="421" t="str">
        <f>VLOOKUP($D635,'Tabel Map Industry'!$A$2:$H$464,3,0)</f>
        <v>ANIMALS, FISHERIES AND FARMING</v>
      </c>
      <c r="G635" s="421" t="str">
        <f>VLOOKUP($D635,'Tabel Map Industry'!$A$2:$H$464,4,0)</f>
        <v>Pertanian Hortikultura Sayuran yang dipanen Lebih dari Sekali  - 011220</v>
      </c>
      <c r="H635" s="421" t="str">
        <f>VLOOKUP($D635,'Tabel Map Industry'!$A$2:$H$464,8,0)</f>
        <v>Tanaman Pangan - Hortikultura - 1130</v>
      </c>
    </row>
    <row r="636" spans="2:8" ht="45" hidden="1" x14ac:dyDescent="0.25">
      <c r="B636" s="423" t="str">
        <f t="shared" si="2"/>
        <v>Animals, Fisheries And Farming</v>
      </c>
      <c r="C636" s="423" t="str">
        <f t="shared" si="3"/>
        <v>Pertanian Hortikultura Bunga-bungaan Anggrek</v>
      </c>
      <c r="D636" s="424" t="s">
        <v>4889</v>
      </c>
      <c r="E636" s="425" t="str">
        <f>VLOOKUP($D636,'Tabel Map Industry'!$A$2:$H$464,2,0)</f>
        <v>Pertanian Hortikultura Bunga-bungaan Anggrek</v>
      </c>
      <c r="F636" s="426" t="str">
        <f>VLOOKUP($D636,'Tabel Map Industry'!$A$2:$H$464,3,0)</f>
        <v>ANIMALS, FISHERIES AND FARMING</v>
      </c>
      <c r="G636" s="426" t="str">
        <f>VLOOKUP($D636,'Tabel Map Industry'!$A$2:$H$464,4,0)</f>
        <v>Pertanian Hortikultura Bunga-bungaan Anggrek - 011231</v>
      </c>
      <c r="H636" s="426" t="str">
        <f>VLOOKUP($D636,'Tabel Map Industry'!$A$2:$H$464,8,0)</f>
        <v>Tanaman Pangan - Hortikultura - 1130</v>
      </c>
    </row>
    <row r="637" spans="2:8" ht="45" hidden="1" x14ac:dyDescent="0.25">
      <c r="B637" s="418" t="str">
        <f t="shared" si="2"/>
        <v>Animals, Fisheries And Farming</v>
      </c>
      <c r="C637" s="418" t="str">
        <f t="shared" si="3"/>
        <v>Pertanian Hortikultura Bunga-bungaan Lainnya</v>
      </c>
      <c r="D637" s="419" t="s">
        <v>4890</v>
      </c>
      <c r="E637" s="420" t="str">
        <f>VLOOKUP($D637,'Tabel Map Industry'!$A$2:$H$464,2,0)</f>
        <v>Pertanian Hortikultura Bunga-bungaan Lainnya</v>
      </c>
      <c r="F637" s="421" t="str">
        <f>VLOOKUP($D637,'Tabel Map Industry'!$A$2:$H$464,3,0)</f>
        <v>ANIMALS, FISHERIES AND FARMING</v>
      </c>
      <c r="G637" s="421" t="str">
        <f>VLOOKUP($D637,'Tabel Map Industry'!$A$2:$H$464,4,0)</f>
        <v>Pertanian Hortikultura Bunga-bungaan Lainnya - 011239</v>
      </c>
      <c r="H637" s="421" t="str">
        <f>VLOOKUP($D637,'Tabel Map Industry'!$A$2:$H$464,8,0)</f>
        <v>Tanaman Pangan - Hortikultura - 1130</v>
      </c>
    </row>
    <row r="638" spans="2:8" ht="45" hidden="1" x14ac:dyDescent="0.25">
      <c r="B638" s="423" t="str">
        <f t="shared" si="2"/>
        <v>Animals, Fisheries And Farming</v>
      </c>
      <c r="C638" s="423" t="str">
        <f t="shared" si="3"/>
        <v xml:space="preserve">Pertanian Tanaman Hias Lainnya </v>
      </c>
      <c r="D638" s="424" t="s">
        <v>4891</v>
      </c>
      <c r="E638" s="425" t="str">
        <f>VLOOKUP($D638,'Tabel Map Industry'!$A$2:$H$464,2,0)</f>
        <v xml:space="preserve">Pertanian Tanaman Hias Lainnya </v>
      </c>
      <c r="F638" s="426" t="str">
        <f>VLOOKUP($D638,'Tabel Map Industry'!$A$2:$H$464,3,0)</f>
        <v>ANIMALS, FISHERIES AND FARMING</v>
      </c>
      <c r="G638" s="426" t="str">
        <f>VLOOKUP($D638,'Tabel Map Industry'!$A$2:$H$464,4,0)</f>
        <v>Pertanian Tanaman Hias Lainnya  - 011240</v>
      </c>
      <c r="H638" s="426" t="str">
        <f>VLOOKUP($D638,'Tabel Map Industry'!$A$2:$H$464,8,0)</f>
        <v>Perkebunan lainnya - 1159</v>
      </c>
    </row>
    <row r="639" spans="2:8" ht="45" hidden="1" x14ac:dyDescent="0.25">
      <c r="B639" s="418" t="str">
        <f t="shared" si="2"/>
        <v>Animals, Fisheries And Farming</v>
      </c>
      <c r="C639" s="418" t="str">
        <f t="shared" si="3"/>
        <v xml:space="preserve">Pembibitan dan Pembenihan Hortikultura Sayuran dan Bunga-bungaan </v>
      </c>
      <c r="D639" s="419" t="s">
        <v>4892</v>
      </c>
      <c r="E639" s="420" t="str">
        <f>VLOOKUP($D639,'Tabel Map Industry'!$A$2:$H$464,2,0)</f>
        <v xml:space="preserve">Pembibitan dan Pembenihan Hortikultura Sayuran dan Bunga-bungaan </v>
      </c>
      <c r="F639" s="421" t="str">
        <f>VLOOKUP($D639,'Tabel Map Industry'!$A$2:$H$464,3,0)</f>
        <v>ANIMALS, FISHERIES AND FARMING</v>
      </c>
      <c r="G639" s="421" t="str">
        <f>VLOOKUP($D639,'Tabel Map Industry'!$A$2:$H$464,4,0)</f>
        <v>Pembibitan dan Pembenihan Hortikultura Sayuran dan Bunga-bungaan  - 011250</v>
      </c>
      <c r="H639" s="421" t="str">
        <f>VLOOKUP($D639,'Tabel Map Industry'!$A$2:$H$464,8,0)</f>
        <v>Tanaman Pangan - Hortikultura - 1130</v>
      </c>
    </row>
    <row r="640" spans="2:8" ht="45" hidden="1" x14ac:dyDescent="0.25">
      <c r="B640" s="423" t="str">
        <f t="shared" si="2"/>
        <v>Animals, Fisheries And Farming</v>
      </c>
      <c r="C640" s="423" t="str">
        <f t="shared" si="3"/>
        <v>Pertanian Buah-buahan Musiman Jeruk</v>
      </c>
      <c r="D640" s="424" t="s">
        <v>4893</v>
      </c>
      <c r="E640" s="425" t="str">
        <f>VLOOKUP($D640,'Tabel Map Industry'!$A$2:$H$464,2,0)</f>
        <v>Pertanian Buah-buahan Musiman Jeruk</v>
      </c>
      <c r="F640" s="426" t="str">
        <f>VLOOKUP($D640,'Tabel Map Industry'!$A$2:$H$464,3,0)</f>
        <v>ANIMALS, FISHERIES AND FARMING</v>
      </c>
      <c r="G640" s="426" t="str">
        <f>VLOOKUP($D640,'Tabel Map Industry'!$A$2:$H$464,4,0)</f>
        <v>Pertanian Buah-buahan Musiman Jeruk - 011311</v>
      </c>
      <c r="H640" s="426" t="str">
        <f>VLOOKUP($D640,'Tabel Map Industry'!$A$2:$H$464,8,0)</f>
        <v>Perkebunan lainnya - 1159</v>
      </c>
    </row>
    <row r="641" spans="2:8" ht="45" hidden="1" x14ac:dyDescent="0.25">
      <c r="B641" s="418" t="str">
        <f t="shared" si="2"/>
        <v>Animals, Fisheries And Farming</v>
      </c>
      <c r="C641" s="418" t="str">
        <f t="shared" si="3"/>
        <v>Pertanian Buah-buahan Musiman Lainnya</v>
      </c>
      <c r="D641" s="419" t="s">
        <v>4894</v>
      </c>
      <c r="E641" s="420" t="str">
        <f>VLOOKUP($D641,'Tabel Map Industry'!$A$2:$H$464,2,0)</f>
        <v>Pertanian Buah-buahan Musiman Lainnya</v>
      </c>
      <c r="F641" s="421" t="str">
        <f>VLOOKUP($D641,'Tabel Map Industry'!$A$2:$H$464,3,0)</f>
        <v>ANIMALS, FISHERIES AND FARMING</v>
      </c>
      <c r="G641" s="421" t="str">
        <f>VLOOKUP($D641,'Tabel Map Industry'!$A$2:$H$464,4,0)</f>
        <v>Pertanian Buah-buahan Musiman Lainnya - 011319</v>
      </c>
      <c r="H641" s="421" t="str">
        <f>VLOOKUP($D641,'Tabel Map Industry'!$A$2:$H$464,8,0)</f>
        <v>Perkebunan lainnya - 1159</v>
      </c>
    </row>
    <row r="642" spans="2:8" ht="45" hidden="1" x14ac:dyDescent="0.25">
      <c r="B642" s="423" t="str">
        <f t="shared" si="2"/>
        <v>Animals, Fisheries And Farming</v>
      </c>
      <c r="C642" s="423" t="str">
        <f t="shared" si="3"/>
        <v>Pertanian Buah-buahan Sepanjang Tahun Pisang</v>
      </c>
      <c r="D642" s="424" t="s">
        <v>4895</v>
      </c>
      <c r="E642" s="425" t="str">
        <f>VLOOKUP($D642,'Tabel Map Industry'!$A$2:$H$464,2,0)</f>
        <v>Pertanian Buah-buahan Sepanjang Tahun Pisang</v>
      </c>
      <c r="F642" s="426" t="str">
        <f>VLOOKUP($D642,'Tabel Map Industry'!$A$2:$H$464,3,0)</f>
        <v>ANIMALS, FISHERIES AND FARMING</v>
      </c>
      <c r="G642" s="426" t="str">
        <f>VLOOKUP($D642,'Tabel Map Industry'!$A$2:$H$464,4,0)</f>
        <v>Pertanian Buah-buahan Sepanjang Tahun Pisang - 011321</v>
      </c>
      <c r="H642" s="426" t="str">
        <f>VLOOKUP($D642,'Tabel Map Industry'!$A$2:$H$464,8,0)</f>
        <v>Perkebunan lainnya - 1159</v>
      </c>
    </row>
    <row r="643" spans="2:8" ht="45" hidden="1" x14ac:dyDescent="0.25">
      <c r="B643" s="418" t="str">
        <f t="shared" si="2"/>
        <v>Animals, Fisheries And Farming</v>
      </c>
      <c r="C643" s="418" t="str">
        <f t="shared" si="3"/>
        <v>Pertanian Buah-buahan Sepanjang Tahun Lainnya</v>
      </c>
      <c r="D643" s="419" t="s">
        <v>4896</v>
      </c>
      <c r="E643" s="420" t="str">
        <f>VLOOKUP($D643,'Tabel Map Industry'!$A$2:$H$464,2,0)</f>
        <v>Pertanian Buah-buahan Sepanjang Tahun Lainnya</v>
      </c>
      <c r="F643" s="421" t="str">
        <f>VLOOKUP($D643,'Tabel Map Industry'!$A$2:$H$464,3,0)</f>
        <v>ANIMALS, FISHERIES AND FARMING</v>
      </c>
      <c r="G643" s="421" t="str">
        <f>VLOOKUP($D643,'Tabel Map Industry'!$A$2:$H$464,4,0)</f>
        <v>Pertanian Buah-buahan Sepanjang Tahun Lainnya - 011329</v>
      </c>
      <c r="H643" s="421" t="str">
        <f>VLOOKUP($D643,'Tabel Map Industry'!$A$2:$H$464,8,0)</f>
        <v>Perkebunan lainnya - 1159</v>
      </c>
    </row>
    <row r="644" spans="2:8" ht="45" hidden="1" x14ac:dyDescent="0.25">
      <c r="B644" s="423" t="str">
        <f t="shared" si="2"/>
        <v>Animals, Fisheries And Farming</v>
      </c>
      <c r="C644" s="423" t="str">
        <f t="shared" si="3"/>
        <v xml:space="preserve">Perkebunan Kelapa </v>
      </c>
      <c r="D644" s="424" t="s">
        <v>4897</v>
      </c>
      <c r="E644" s="425" t="str">
        <f>VLOOKUP($D644,'Tabel Map Industry'!$A$2:$H$464,2,0)</f>
        <v xml:space="preserve">Perkebunan Kelapa </v>
      </c>
      <c r="F644" s="426" t="str">
        <f>VLOOKUP($D644,'Tabel Map Industry'!$A$2:$H$464,3,0)</f>
        <v>ANIMALS, FISHERIES AND FARMING</v>
      </c>
      <c r="G644" s="426" t="str">
        <f>VLOOKUP($D644,'Tabel Map Industry'!$A$2:$H$464,4,0)</f>
        <v>Perkebunan Kelapa  - 011330</v>
      </c>
      <c r="H644" s="426" t="str">
        <f>VLOOKUP($D644,'Tabel Map Industry'!$A$2:$H$464,8,0)</f>
        <v>Perkebunan Kelapa - 1142</v>
      </c>
    </row>
    <row r="645" spans="2:8" ht="30" x14ac:dyDescent="0.25">
      <c r="B645" s="418" t="str">
        <f t="shared" si="2"/>
        <v>Automotive &amp; Component</v>
      </c>
      <c r="C645" s="418" t="str">
        <f t="shared" si="3"/>
        <v>Industri Kendaraan Bermotor Roda Empat Atau Lebih</v>
      </c>
      <c r="D645" s="419" t="s">
        <v>4898</v>
      </c>
      <c r="E645" s="420" t="str">
        <f>VLOOKUP($D645,'Tabel Map Industry'!$A$2:$H$464,2,0)</f>
        <v>Industri Kendaraan Bermotor Roda Empat Atau Lebih</v>
      </c>
      <c r="F645" s="421" t="str">
        <f>VLOOKUP($D645,'Tabel Map Industry'!$A$2:$H$464,3,0)</f>
        <v>AUTOMOTIVE &amp; COMPONENT</v>
      </c>
      <c r="G645" s="421" t="str">
        <f>VLOOKUP($D645,'Tabel Map Industry'!$A$2:$H$464,4,0)</f>
        <v>Industri Kendaraan Bermotor Roda Empat Atau Lebih - 341000</v>
      </c>
      <c r="H645" s="421" t="str">
        <f>VLOOKUP($D645,'Tabel Map Industry'!$A$2:$H$464,8,0)</f>
        <v>Industri - Lainnya - 3990</v>
      </c>
    </row>
    <row r="646" spans="2:8" ht="30" x14ac:dyDescent="0.25">
      <c r="B646" s="423" t="str">
        <f t="shared" si="2"/>
        <v>Automotive &amp; Component</v>
      </c>
      <c r="C646" s="423" t="str">
        <f t="shared" si="3"/>
        <v>Industri Karoseri Kendaraan Bermotor Roda Empat Atau Lebih</v>
      </c>
      <c r="D646" s="424" t="s">
        <v>4899</v>
      </c>
      <c r="E646" s="425" t="str">
        <f>VLOOKUP($D646,'Tabel Map Industry'!$A$2:$H$464,2,0)</f>
        <v>Industri Karoseri Kendaraan Bermotor Roda Empat Atau Lebih</v>
      </c>
      <c r="F646" s="426" t="str">
        <f>VLOOKUP($D646,'Tabel Map Industry'!$A$2:$H$464,3,0)</f>
        <v>AUTOMOTIVE &amp; COMPONENT</v>
      </c>
      <c r="G646" s="426" t="str">
        <f>VLOOKUP($D646,'Tabel Map Industry'!$A$2:$H$464,4,0)</f>
        <v>Industri Karoseri Kendaraan Bermotor Roda Empat Atau Lebih - 342000</v>
      </c>
      <c r="H646" s="426" t="str">
        <f>VLOOKUP($D646,'Tabel Map Industry'!$A$2:$H$464,8,0)</f>
        <v>Industri - Lainnya - 3990</v>
      </c>
    </row>
    <row r="647" spans="2:8" ht="45" x14ac:dyDescent="0.25">
      <c r="B647" s="418" t="str">
        <f t="shared" si="2"/>
        <v>Automotive &amp; Component</v>
      </c>
      <c r="C647" s="418" t="str">
        <f t="shared" si="3"/>
        <v xml:space="preserve">Industri Kendaraan Bermotor Roda Dua dan Tiga Serta Komponen dan Perlengkapannya </v>
      </c>
      <c r="D647" s="419" t="s">
        <v>4901</v>
      </c>
      <c r="E647" s="420" t="str">
        <f>VLOOKUP($D647,'Tabel Map Industry'!$A$2:$H$464,2,0)</f>
        <v xml:space="preserve">Industri Kendaraan Bermotor Roda Dua dan Tiga Serta Komponen dan Perlengkapannya </v>
      </c>
      <c r="F647" s="421" t="str">
        <f>VLOOKUP($D647,'Tabel Map Industry'!$A$2:$H$464,3,0)</f>
        <v>AUTOMOTIVE &amp; COMPONENT</v>
      </c>
      <c r="G647" s="421" t="str">
        <f>VLOOKUP($D647,'Tabel Map Industry'!$A$2:$H$464,4,0)</f>
        <v>Industri Kendaraan Bermotor Roda Dua dan Tiga Serta Komponen dan Perlengkapannya  - 359100</v>
      </c>
      <c r="H647" s="421" t="str">
        <f>VLOOKUP($D647,'Tabel Map Industry'!$A$2:$H$464,8,0)</f>
        <v>Industri - Lainnya - 3990</v>
      </c>
    </row>
    <row r="648" spans="2:8" ht="60" x14ac:dyDescent="0.25">
      <c r="B648" s="423" t="str">
        <f t="shared" si="2"/>
        <v>Automotive &amp; Component</v>
      </c>
      <c r="C648" s="423" t="str">
        <f t="shared" si="3"/>
        <v>Rumah Tangga untuk Pemilikan Kendaraan Bermotor - Rumah Tangga untuk Pemilikan Mobil Roda Empat</v>
      </c>
      <c r="D648" s="424" t="s">
        <v>4906</v>
      </c>
      <c r="E648" s="425" t="str">
        <f>VLOOKUP($D648,'Tabel Map Industry'!$A$2:$H$464,2,0)</f>
        <v>Rumah Tangga untuk Pemilikan Kendaraan Bermotor - Rumah Tangga untuk Pemilikan Mobil Roda Empat</v>
      </c>
      <c r="F648" s="426" t="str">
        <f>VLOOKUP($D648,'Tabel Map Industry'!$A$2:$H$464,3,0)</f>
        <v>AUTOMOTIVE &amp; COMPONENT</v>
      </c>
      <c r="G648" s="426" t="str">
        <f>VLOOKUP($D648,'Tabel Map Industry'!$A$2:$H$464,4,0)</f>
        <v>Rumah Tangga untuk Pemilikan Kendaraan Bermotor - Rumah Tangga untuk Pemilikan Mobil Roda Empat - 002100</v>
      </c>
      <c r="H648" s="426" t="str">
        <f>VLOOKUP($D648,'Tabel Map Industry'!$A$2:$H$464,8,0)</f>
        <v>Kendaraan Bermotor Roda 4 - 9962</v>
      </c>
    </row>
    <row r="649" spans="2:8" ht="60" x14ac:dyDescent="0.25">
      <c r="B649" s="418" t="str">
        <f t="shared" si="2"/>
        <v>Automotive &amp; Component</v>
      </c>
      <c r="C649" s="418" t="str">
        <f t="shared" si="3"/>
        <v>Rumah Tangga untuk Pemilikan Kendaraan Bermotor - Rumah Tangga untuk Pemilikan Sepeda Bermotor</v>
      </c>
      <c r="D649" s="419" t="s">
        <v>4907</v>
      </c>
      <c r="E649" s="420" t="str">
        <f>VLOOKUP($D649,'Tabel Map Industry'!$A$2:$H$464,2,0)</f>
        <v>Rumah Tangga untuk Pemilikan Kendaraan Bermotor - Rumah Tangga untuk Pemilikan Sepeda Bermotor</v>
      </c>
      <c r="F649" s="421" t="str">
        <f>VLOOKUP($D649,'Tabel Map Industry'!$A$2:$H$464,3,0)</f>
        <v>AUTOMOTIVE &amp; COMPONENT</v>
      </c>
      <c r="G649" s="421" t="str">
        <f>VLOOKUP($D649,'Tabel Map Industry'!$A$2:$H$464,4,0)</f>
        <v>Rumah Tangga untuk Pemilikan Kendaraan Bermotor - Rumah Tangga untuk Pemilikan Sepeda Bermotor - 002200</v>
      </c>
      <c r="H649" s="421" t="str">
        <f>VLOOKUP($D649,'Tabel Map Industry'!$A$2:$H$464,8,0)</f>
        <v>Kendaraan Bermotor Roda 2 - 9963</v>
      </c>
    </row>
    <row r="650" spans="2:8" ht="60" x14ac:dyDescent="0.25">
      <c r="B650" s="423" t="str">
        <f t="shared" si="2"/>
        <v>Automotive &amp; Component</v>
      </c>
      <c r="C650" s="423" t="str">
        <f t="shared" si="3"/>
        <v>Rumah Tangga untuk Pemilikan Kendaraan Bermotor - Rumah Tangga untuk Pemilikan Truk dan Kendaraan Bermotor Roda Enam atau Lebih</v>
      </c>
      <c r="D650" s="424" t="s">
        <v>4908</v>
      </c>
      <c r="E650" s="425" t="str">
        <f>VLOOKUP($D650,'Tabel Map Industry'!$A$2:$H$464,2,0)</f>
        <v>Rumah Tangga untuk Pemilikan Kendaraan Bermotor - Rumah Tangga untuk Pemilikan Truk dan Kendaraan Bermotor Roda Enam atau Lebih</v>
      </c>
      <c r="F650" s="426" t="str">
        <f>VLOOKUP($D650,'Tabel Map Industry'!$A$2:$H$464,3,0)</f>
        <v>AUTOMOTIVE &amp; COMPONENT</v>
      </c>
      <c r="G650" s="426" t="str">
        <f>VLOOKUP($D650,'Tabel Map Industry'!$A$2:$H$464,4,0)</f>
        <v>Rumah Tangga untuk Pemilikan Kendaraan Bermotor - Rumah Tangga untuk Pemilikan Truk dan Kendaraan Bermotor Roda Enam atau Lebih - 002300</v>
      </c>
      <c r="H650" s="426" t="str">
        <f>VLOOKUP($D650,'Tabel Map Industry'!$A$2:$H$464,8,0)</f>
        <v>Kendaraan Bermotor Roda &gt; 4 - 9961</v>
      </c>
    </row>
    <row r="651" spans="2:8" ht="60" x14ac:dyDescent="0.25">
      <c r="B651" s="418" t="str">
        <f t="shared" si="2"/>
        <v>Automotive &amp; Component</v>
      </c>
      <c r="C651" s="418" t="str">
        <f t="shared" si="3"/>
        <v>Rumah Tangga untuk Pemilikan Kendaraan Bermotor - Rumah Tangga untuk Pemilikan Kendaraan Bermotor Lainnya</v>
      </c>
      <c r="D651" s="419" t="s">
        <v>4909</v>
      </c>
      <c r="E651" s="420" t="str">
        <f>VLOOKUP($D651,'Tabel Map Industry'!$A$2:$H$464,2,0)</f>
        <v>Rumah Tangga untuk Pemilikan Kendaraan Bermotor - Rumah Tangga untuk Pemilikan Kendaraan Bermotor Lainnya</v>
      </c>
      <c r="F651" s="421" t="str">
        <f>VLOOKUP($D651,'Tabel Map Industry'!$A$2:$H$464,3,0)</f>
        <v>AUTOMOTIVE &amp; COMPONENT</v>
      </c>
      <c r="G651" s="421" t="str">
        <f>VLOOKUP($D651,'Tabel Map Industry'!$A$2:$H$464,4,0)</f>
        <v>Rumah Tangga untuk Pemilikan Kendaraan Bermotor - Rumah Tangga untuk Pemilikan Kendaraan Bermotor Lainnya - 002900</v>
      </c>
      <c r="H651" s="421" t="str">
        <f>VLOOKUP($D651,'Tabel Map Industry'!$A$2:$H$464,8,0)</f>
        <v>Lain-lain - Kendaraan - 9960</v>
      </c>
    </row>
    <row r="652" spans="2:8" ht="30" hidden="1" x14ac:dyDescent="0.25">
      <c r="B652" s="423" t="str">
        <f t="shared" si="2"/>
        <v>Building Material</v>
      </c>
      <c r="C652" s="423" t="str">
        <f t="shared" si="3"/>
        <v>Perdagangan Dalam Negeri Bahan-bahan Konstruksi Lainnya</v>
      </c>
      <c r="D652" s="424" t="s">
        <v>5012</v>
      </c>
      <c r="E652" s="425" t="str">
        <f>VLOOKUP($D652,'Tabel Map Industry'!$A$2:$H$464,2,0)</f>
        <v>Perdagangan Dalam Negeri Bahan-bahan Konstruksi Lainnya</v>
      </c>
      <c r="F652" s="426" t="str">
        <f>VLOOKUP($D652,'Tabel Map Industry'!$A$2:$H$464,3,0)</f>
        <v>BUILDING MATERIAL</v>
      </c>
      <c r="G652" s="426" t="str">
        <f>VLOOKUP($D652,'Tabel Map Industry'!$A$2:$H$464,4,0)</f>
        <v>Perdagangan Dalam Negeri Bahan-bahan Konstruksi Lainnya - 514309</v>
      </c>
      <c r="H652" s="426" t="str">
        <f>VLOOKUP($D652,'Tabel Map Industry'!$A$2:$H$464,8,0)</f>
        <v>Distribusi lainnya - 6490</v>
      </c>
    </row>
    <row r="653" spans="2:8" ht="45" hidden="1" x14ac:dyDescent="0.25">
      <c r="B653" s="418" t="str">
        <f t="shared" si="2"/>
        <v>Chemical &amp; Pharmaceutical</v>
      </c>
      <c r="C653" s="418" t="str">
        <f t="shared" si="3"/>
        <v xml:space="preserve">Industri Bahan Baku Pemberantas Hama dan Pemberantas Hama Termasuk Zat Pengatur Tumbuh </v>
      </c>
      <c r="D653" s="419" t="s">
        <v>4910</v>
      </c>
      <c r="E653" s="420" t="str">
        <f>VLOOKUP($D653,'Tabel Map Industry'!$A$2:$H$464,2,0)</f>
        <v xml:space="preserve">Industri Bahan Baku Pemberantas Hama dan Pemberantas Hama Termasuk Zat Pengatur Tumbuh </v>
      </c>
      <c r="F653" s="421" t="str">
        <f>VLOOKUP($D653,'Tabel Map Industry'!$A$2:$H$464,3,0)</f>
        <v>CHEMICAL &amp; PHARMACEUTICAL</v>
      </c>
      <c r="G653" s="421" t="str">
        <f>VLOOKUP($D653,'Tabel Map Industry'!$A$2:$H$464,4,0)</f>
        <v>Industri Bahan Baku Pemberantas Hama dan Pemberantas Hama Termasuk Zat Pengatur Tumbuh  - 242100</v>
      </c>
      <c r="H653" s="421" t="str">
        <f>VLOOKUP($D653,'Tabel Map Industry'!$A$2:$H$464,8,0)</f>
        <v>Industri - Lainnya - 3990</v>
      </c>
    </row>
    <row r="654" spans="2:8" ht="30" hidden="1" x14ac:dyDescent="0.25">
      <c r="B654" s="423" t="str">
        <f t="shared" si="2"/>
        <v>Chemical &amp; Pharmaceutical</v>
      </c>
      <c r="C654" s="423" t="str">
        <f t="shared" si="3"/>
        <v xml:space="preserve">Industri Minyak Atsiri </v>
      </c>
      <c r="D654" s="424" t="s">
        <v>4912</v>
      </c>
      <c r="E654" s="425" t="str">
        <f>VLOOKUP($D654,'Tabel Map Industry'!$A$2:$H$464,2,0)</f>
        <v xml:space="preserve">Industri Minyak Atsiri </v>
      </c>
      <c r="F654" s="426" t="str">
        <f>VLOOKUP($D654,'Tabel Map Industry'!$A$2:$H$464,3,0)</f>
        <v>CHEMICAL &amp; PHARMACEUTICAL</v>
      </c>
      <c r="G654" s="426" t="str">
        <f>VLOOKUP($D654,'Tabel Map Industry'!$A$2:$H$464,4,0)</f>
        <v>Industri Minyak Atsiri  - 242940</v>
      </c>
      <c r="H654" s="426" t="str">
        <f>VLOOKUP($D654,'Tabel Map Industry'!$A$2:$H$464,8,0)</f>
        <v>Industri - Minyak Atsiri - 3680</v>
      </c>
    </row>
    <row r="655" spans="2:8" ht="30" hidden="1" x14ac:dyDescent="0.25">
      <c r="B655" s="418" t="str">
        <f t="shared" si="2"/>
        <v>Chemical &amp; Pharmaceutical</v>
      </c>
      <c r="C655" s="418" t="str">
        <f t="shared" si="3"/>
        <v xml:space="preserve">Industri Serat Buatan </v>
      </c>
      <c r="D655" s="419" t="s">
        <v>4914</v>
      </c>
      <c r="E655" s="420" t="str">
        <f>VLOOKUP($D655,'Tabel Map Industry'!$A$2:$H$464,2,0)</f>
        <v xml:space="preserve">Industri Serat Buatan </v>
      </c>
      <c r="F655" s="421" t="str">
        <f>VLOOKUP($D655,'Tabel Map Industry'!$A$2:$H$464,3,0)</f>
        <v>CHEMICAL &amp; PHARMACEUTICAL</v>
      </c>
      <c r="G655" s="421" t="str">
        <f>VLOOKUP($D655,'Tabel Map Industry'!$A$2:$H$464,4,0)</f>
        <v>Industri Serat Buatan  - 243000</v>
      </c>
      <c r="H655" s="421" t="str">
        <f>VLOOKUP($D655,'Tabel Map Industry'!$A$2:$H$464,8,0)</f>
        <v>Industri - Lainnya - 3990</v>
      </c>
    </row>
    <row r="656" spans="2:8" ht="30" hidden="1" x14ac:dyDescent="0.25">
      <c r="B656" s="423" t="str">
        <f t="shared" si="2"/>
        <v>Chemical &amp; Pharmaceutical</v>
      </c>
      <c r="C656" s="423" t="str">
        <f t="shared" si="3"/>
        <v xml:space="preserve">Industri Pupuk </v>
      </c>
      <c r="D656" s="424" t="s">
        <v>4916</v>
      </c>
      <c r="E656" s="425" t="str">
        <f>VLOOKUP($D656,'Tabel Map Industry'!$A$2:$H$464,2,0)</f>
        <v xml:space="preserve">Industri Pupuk </v>
      </c>
      <c r="F656" s="426" t="str">
        <f>VLOOKUP($D656,'Tabel Map Industry'!$A$2:$H$464,3,0)</f>
        <v>CHEMICAL &amp; PHARMACEUTICAL</v>
      </c>
      <c r="G656" s="426" t="str">
        <f>VLOOKUP($D656,'Tabel Map Industry'!$A$2:$H$464,4,0)</f>
        <v>Industri Pupuk  - 241200</v>
      </c>
      <c r="H656" s="426" t="str">
        <f>VLOOKUP($D656,'Tabel Map Industry'!$A$2:$H$464,8,0)</f>
        <v>Industri - Pupuk/Obat Hama - 3610</v>
      </c>
    </row>
    <row r="657" spans="2:8" ht="30" hidden="1" x14ac:dyDescent="0.25">
      <c r="B657" s="418" t="str">
        <f t="shared" si="2"/>
        <v>Chemical &amp; Pharmaceutical</v>
      </c>
      <c r="C657" s="418" t="str">
        <f t="shared" si="3"/>
        <v>Perdagangan Impor Pupuk dan Obat Hama</v>
      </c>
      <c r="D657" s="419" t="s">
        <v>4917</v>
      </c>
      <c r="E657" s="420" t="str">
        <f>VLOOKUP($D657,'Tabel Map Industry'!$A$2:$H$464,2,0)</f>
        <v>Perdagangan Impor Pupuk dan Obat Hama</v>
      </c>
      <c r="F657" s="421" t="str">
        <f>VLOOKUP($D657,'Tabel Map Industry'!$A$2:$H$464,3,0)</f>
        <v>CHEMICAL &amp; PHARMACEUTICAL</v>
      </c>
      <c r="G657" s="421" t="str">
        <f>VLOOKUP($D657,'Tabel Map Industry'!$A$2:$H$464,4,0)</f>
        <v>Perdagangan Impor Pupuk dan Obat Hama - 544901</v>
      </c>
      <c r="H657" s="421" t="str">
        <f>VLOOKUP($D657,'Tabel Map Industry'!$A$2:$H$464,8,0)</f>
        <v>Impor Bukan dlm.rangka Bantuan Luar Negeri - Pupuk dan Obat Hama - 6221</v>
      </c>
    </row>
    <row r="658" spans="2:8" ht="45" hidden="1" x14ac:dyDescent="0.25">
      <c r="B658" s="423" t="str">
        <f t="shared" ref="B658:B721" si="4">PROPER(F658)</f>
        <v>Chemical &amp; Pharmaceutical</v>
      </c>
      <c r="C658" s="423" t="str">
        <f t="shared" ref="C658:C721" si="5">E658</f>
        <v xml:space="preserve">Perdagangan Eceran Kaki Lima Bahan Kimia, Frmasi, Kosmetik, dan Alat Laboratorium </v>
      </c>
      <c r="D658" s="424" t="s">
        <v>4919</v>
      </c>
      <c r="E658" s="425" t="str">
        <f>VLOOKUP($D658,'Tabel Map Industry'!$A$2:$H$464,2,0)</f>
        <v xml:space="preserve">Perdagangan Eceran Kaki Lima Bahan Kimia, Frmasi, Kosmetik, dan Alat Laboratorium </v>
      </c>
      <c r="F658" s="426" t="str">
        <f>VLOOKUP($D658,'Tabel Map Industry'!$A$2:$H$464,3,0)</f>
        <v>CHEMICAL &amp; PHARMACEUTICAL</v>
      </c>
      <c r="G658" s="426" t="str">
        <f>VLOOKUP($D658,'Tabel Map Industry'!$A$2:$H$464,4,0)</f>
        <v>Perdagangan Eceran Kaki Lima Bahan Kimia, Farmasi, Kosmetik, dan Alat Laboratorium  - 525300</v>
      </c>
      <c r="H658" s="426" t="str">
        <f>VLOOKUP($D658,'Tabel Map Industry'!$A$2:$H$464,8,0)</f>
        <v>Perdagangan Eceran - 6500</v>
      </c>
    </row>
    <row r="659" spans="2:8" ht="30" hidden="1" x14ac:dyDescent="0.25">
      <c r="B659" s="418" t="str">
        <f t="shared" si="4"/>
        <v>Chemical &amp; Pharmaceutical</v>
      </c>
      <c r="C659" s="418" t="str">
        <f t="shared" si="5"/>
        <v xml:space="preserve">Perkebunan Tanaman Obat / Bahan Farmasi </v>
      </c>
      <c r="D659" s="419" t="s">
        <v>4921</v>
      </c>
      <c r="E659" s="420" t="str">
        <f>VLOOKUP($D659,'Tabel Map Industry'!$A$2:$H$464,2,0)</f>
        <v xml:space="preserve">Perkebunan Tanaman Obat / Bahan Farmasi </v>
      </c>
      <c r="F659" s="421" t="str">
        <f>VLOOKUP($D659,'Tabel Map Industry'!$A$2:$H$464,3,0)</f>
        <v>CHEMICAL &amp; PHARMACEUTICAL</v>
      </c>
      <c r="G659" s="421" t="str">
        <f>VLOOKUP($D659,'Tabel Map Industry'!$A$2:$H$464,4,0)</f>
        <v>Perkebunan Tanaman Obat / Bahan Farmasi  - 011170</v>
      </c>
      <c r="H659" s="421" t="str">
        <f>VLOOKUP($D659,'Tabel Map Industry'!$A$2:$H$464,8,0)</f>
        <v>Perkebunan lainnya - 1159</v>
      </c>
    </row>
    <row r="660" spans="2:8" ht="30" hidden="1" x14ac:dyDescent="0.25">
      <c r="B660" s="423" t="str">
        <f t="shared" si="4"/>
        <v>Chemical &amp; Pharmaceutical</v>
      </c>
      <c r="C660" s="423" t="str">
        <f t="shared" si="5"/>
        <v xml:space="preserve">Industri Farmasi dan Jamu </v>
      </c>
      <c r="D660" s="424" t="s">
        <v>4922</v>
      </c>
      <c r="E660" s="425" t="str">
        <f>VLOOKUP($D660,'Tabel Map Industry'!$A$2:$H$464,2,0)</f>
        <v xml:space="preserve">Industri Farmasi dan Jamu </v>
      </c>
      <c r="F660" s="426" t="str">
        <f>VLOOKUP($D660,'Tabel Map Industry'!$A$2:$H$464,3,0)</f>
        <v>CHEMICAL &amp; PHARMACEUTICAL</v>
      </c>
      <c r="G660" s="426" t="str">
        <f>VLOOKUP($D660,'Tabel Map Industry'!$A$2:$H$464,4,0)</f>
        <v>Industri Farmasi dan Jamu  - 242300</v>
      </c>
      <c r="H660" s="426" t="str">
        <f>VLOOKUP($D660,'Tabel Map Industry'!$A$2:$H$464,8,0)</f>
        <v>Industri - Farmasi - 3620</v>
      </c>
    </row>
    <row r="661" spans="2:8" ht="30" hidden="1" x14ac:dyDescent="0.25">
      <c r="B661" s="418" t="str">
        <f t="shared" si="4"/>
        <v>Chemical &amp; Pharmaceutical</v>
      </c>
      <c r="C661" s="418" t="str">
        <f t="shared" si="5"/>
        <v>Perdagangan Impor Farmasi</v>
      </c>
      <c r="D661" s="419" t="s">
        <v>4923</v>
      </c>
      <c r="E661" s="420" t="str">
        <f>VLOOKUP($D661,'Tabel Map Industry'!$A$2:$H$464,2,0)</f>
        <v>Perdagangan Impor Farmasi</v>
      </c>
      <c r="F661" s="421" t="str">
        <f>VLOOKUP($D661,'Tabel Map Industry'!$A$2:$H$464,3,0)</f>
        <v>CHEMICAL &amp; PHARMACEUTICAL</v>
      </c>
      <c r="G661" s="421" t="str">
        <f>VLOOKUP($D661,'Tabel Map Industry'!$A$2:$H$464,4,0)</f>
        <v>Perdagangan Impor Farmasi - 544902</v>
      </c>
      <c r="H661" s="421" t="str">
        <f>VLOOKUP($D661,'Tabel Map Industry'!$A$2:$H$464,8,0)</f>
        <v>Impor Bukan dlm.rangka Bantuan Luar Negeri - Farmasi - 6230</v>
      </c>
    </row>
    <row r="662" spans="2:8" ht="30" x14ac:dyDescent="0.25">
      <c r="B662" s="423" t="str">
        <f t="shared" si="4"/>
        <v>Coal, Mining &amp; Quarrying</v>
      </c>
      <c r="C662" s="423" t="str">
        <f t="shared" si="5"/>
        <v>Pertambangan Batubara, Penggalian Gambut, dan Gasifikasi Batubara</v>
      </c>
      <c r="D662" s="424" t="s">
        <v>4924</v>
      </c>
      <c r="E662" s="425" t="str">
        <f>VLOOKUP($D662,'Tabel Map Industry'!$A$2:$H$464,2,0)</f>
        <v>Pertambangan Batubara, Penggalian Gambut, dan Gasifikasi Batubara</v>
      </c>
      <c r="F662" s="426" t="str">
        <f>VLOOKUP($D662,'Tabel Map Industry'!$A$2:$H$464,3,0)</f>
        <v>COAL, MINING &amp; QUARRYING</v>
      </c>
      <c r="G662" s="426" t="str">
        <f>VLOOKUP($D662,'Tabel Map Industry'!$A$2:$H$464,4,0)</f>
        <v>Pertambangan Batubara, Penggalian Gambut, dan Gasifikasi Batubara - 101000</v>
      </c>
      <c r="H662" s="426" t="str">
        <f>VLOOKUP($D662,'Tabel Map Industry'!$A$2:$H$464,8,0)</f>
        <v>Pertambangan Batubara - 2300</v>
      </c>
    </row>
    <row r="663" spans="2:8" ht="30" x14ac:dyDescent="0.25">
      <c r="B663" s="418" t="str">
        <f t="shared" si="4"/>
        <v>Coal, Mining &amp; Quarrying</v>
      </c>
      <c r="C663" s="418" t="str">
        <f t="shared" si="5"/>
        <v xml:space="preserve">Pembuatan Briket Batubara </v>
      </c>
      <c r="D663" s="419" t="s">
        <v>4925</v>
      </c>
      <c r="E663" s="420" t="str">
        <f>VLOOKUP($D663,'Tabel Map Industry'!$A$2:$H$464,2,0)</f>
        <v xml:space="preserve">Pembuatan Briket Batubara </v>
      </c>
      <c r="F663" s="421" t="str">
        <f>VLOOKUP($D663,'Tabel Map Industry'!$A$2:$H$464,3,0)</f>
        <v>COAL, MINING &amp; QUARRYING</v>
      </c>
      <c r="G663" s="421" t="str">
        <f>VLOOKUP($D663,'Tabel Map Industry'!$A$2:$H$464,4,0)</f>
        <v>Pembuatan Briket Batubara  - 102000</v>
      </c>
      <c r="H663" s="421" t="str">
        <f>VLOOKUP($D663,'Tabel Map Industry'!$A$2:$H$464,8,0)</f>
        <v>Pertambangan Batubara - 2300</v>
      </c>
    </row>
    <row r="664" spans="2:8" ht="30" x14ac:dyDescent="0.25">
      <c r="B664" s="423" t="str">
        <f t="shared" si="4"/>
        <v>Coal, Mining &amp; Quarrying</v>
      </c>
      <c r="C664" s="423" t="str">
        <f t="shared" si="5"/>
        <v xml:space="preserve">Industri Barang-barang dari Batubara </v>
      </c>
      <c r="D664" s="424" t="s">
        <v>4926</v>
      </c>
      <c r="E664" s="425" t="str">
        <f>VLOOKUP($D664,'Tabel Map Industry'!$A$2:$H$464,2,0)</f>
        <v xml:space="preserve">Industri Barang-barang dari Batubara </v>
      </c>
      <c r="F664" s="426" t="str">
        <f>VLOOKUP($D664,'Tabel Map Industry'!$A$2:$H$464,3,0)</f>
        <v>COAL, MINING &amp; QUARRYING</v>
      </c>
      <c r="G664" s="426" t="str">
        <f>VLOOKUP($D664,'Tabel Map Industry'!$A$2:$H$464,4,0)</f>
        <v>Industri Barang-barang dari Batubara  - 231000</v>
      </c>
      <c r="H664" s="426" t="str">
        <f>VLOOKUP($D664,'Tabel Map Industry'!$A$2:$H$464,8,0)</f>
        <v>Industri - Percetakan dan Penerbitan - 3520</v>
      </c>
    </row>
    <row r="665" spans="2:8" ht="30" x14ac:dyDescent="0.25">
      <c r="B665" s="418" t="str">
        <f t="shared" si="4"/>
        <v>Coal, Mining &amp; Quarrying</v>
      </c>
      <c r="C665" s="418" t="str">
        <f t="shared" si="5"/>
        <v>Perdagangan Ekspor Batu Bara (incl. local trading)</v>
      </c>
      <c r="D665" s="419" t="s">
        <v>4927</v>
      </c>
      <c r="E665" s="420" t="str">
        <f>VLOOKUP($D665,'Tabel Map Industry'!$A$2:$H$464,2,0)</f>
        <v>Perdagangan Ekspor Batu Bara (incl. local trading)</v>
      </c>
      <c r="F665" s="421" t="str">
        <f>VLOOKUP($D665,'Tabel Map Industry'!$A$2:$H$464,3,0)</f>
        <v>COAL, MINING &amp; QUARRYING</v>
      </c>
      <c r="G665" s="421" t="str">
        <f>VLOOKUP($D665,'Tabel Map Industry'!$A$2:$H$464,4,0)</f>
        <v>Perdagangan Ekspor Batu Bara (incl. local trading) - 534203</v>
      </c>
      <c r="H665" s="421" t="str">
        <f>VLOOKUP($D665,'Tabel Map Industry'!$A$2:$H$464,8,0)</f>
        <v>Ekspor Bahan Baku Batubara - 6119</v>
      </c>
    </row>
    <row r="666" spans="2:8" ht="30" x14ac:dyDescent="0.25">
      <c r="B666" s="423" t="str">
        <f t="shared" si="4"/>
        <v>Coal, Mining &amp; Quarrying</v>
      </c>
      <c r="C666" s="423" t="str">
        <f t="shared" si="5"/>
        <v xml:space="preserve">Pertambangan Bijih Uranium dan Thorium </v>
      </c>
      <c r="D666" s="424" t="s">
        <v>4928</v>
      </c>
      <c r="E666" s="425" t="str">
        <f>VLOOKUP($D666,'Tabel Map Industry'!$A$2:$H$464,2,0)</f>
        <v xml:space="preserve">Pertambangan Bijih Uranium dan Thorium </v>
      </c>
      <c r="F666" s="426" t="str">
        <f>VLOOKUP($D666,'Tabel Map Industry'!$A$2:$H$464,3,0)</f>
        <v>COAL, MINING &amp; QUARRYING</v>
      </c>
      <c r="G666" s="426" t="str">
        <f>VLOOKUP($D666,'Tabel Map Industry'!$A$2:$H$464,4,0)</f>
        <v>Pertambangan Bijih Uranium dan Thorium  - 120000</v>
      </c>
      <c r="H666" s="426" t="str">
        <f>VLOOKUP($D666,'Tabel Map Industry'!$A$2:$H$464,8,0)</f>
        <v>Pertambangan Barang Tambang Lainnya - 2900</v>
      </c>
    </row>
    <row r="667" spans="2:8" ht="30" x14ac:dyDescent="0.25">
      <c r="B667" s="418" t="str">
        <f t="shared" si="4"/>
        <v>Coal, Mining &amp; Quarrying</v>
      </c>
      <c r="C667" s="418" t="str">
        <f t="shared" si="5"/>
        <v xml:space="preserve">Pertambangan Pasir Besi dan Bijih Besi </v>
      </c>
      <c r="D667" s="419" t="s">
        <v>4929</v>
      </c>
      <c r="E667" s="420" t="str">
        <f>VLOOKUP($D667,'Tabel Map Industry'!$A$2:$H$464,2,0)</f>
        <v xml:space="preserve">Pertambangan Pasir Besi dan Bijih Besi </v>
      </c>
      <c r="F667" s="421" t="str">
        <f>VLOOKUP($D667,'Tabel Map Industry'!$A$2:$H$464,3,0)</f>
        <v>COAL, MINING &amp; QUARRYING</v>
      </c>
      <c r="G667" s="421" t="str">
        <f>VLOOKUP($D667,'Tabel Map Industry'!$A$2:$H$464,4,0)</f>
        <v>Pertambangan Pasir Besi dan Bijih Besi  - 131000</v>
      </c>
      <c r="H667" s="421" t="str">
        <f>VLOOKUP($D667,'Tabel Map Industry'!$A$2:$H$464,8,0)</f>
        <v>Pertambangan Barang Tambang Lainnya - 2900</v>
      </c>
    </row>
    <row r="668" spans="2:8" ht="30" x14ac:dyDescent="0.25">
      <c r="B668" s="423" t="str">
        <f t="shared" si="4"/>
        <v>Coal, Mining &amp; Quarrying</v>
      </c>
      <c r="C668" s="423" t="str">
        <f t="shared" si="5"/>
        <v xml:space="preserve">Pertambangan Bijih Timah </v>
      </c>
      <c r="D668" s="424" t="s">
        <v>4930</v>
      </c>
      <c r="E668" s="425" t="str">
        <f>VLOOKUP($D668,'Tabel Map Industry'!$A$2:$H$464,2,0)</f>
        <v xml:space="preserve">Pertambangan Bijih Timah </v>
      </c>
      <c r="F668" s="426" t="str">
        <f>VLOOKUP($D668,'Tabel Map Industry'!$A$2:$H$464,3,0)</f>
        <v>COAL, MINING &amp; QUARRYING</v>
      </c>
      <c r="G668" s="426" t="str">
        <f>VLOOKUP($D668,'Tabel Map Industry'!$A$2:$H$464,4,0)</f>
        <v>Pertambangan Bijih Timah  - 132010</v>
      </c>
      <c r="H668" s="426" t="str">
        <f>VLOOKUP($D668,'Tabel Map Industry'!$A$2:$H$464,8,0)</f>
        <v>Pertambangan Biji Logam - Timah - 2210</v>
      </c>
    </row>
    <row r="669" spans="2:8" ht="30" x14ac:dyDescent="0.25">
      <c r="B669" s="418" t="str">
        <f t="shared" si="4"/>
        <v>Coal, Mining &amp; Quarrying</v>
      </c>
      <c r="C669" s="418" t="str">
        <f t="shared" si="5"/>
        <v xml:space="preserve">Pertambangan Bijih Bauksit </v>
      </c>
      <c r="D669" s="419" t="s">
        <v>4931</v>
      </c>
      <c r="E669" s="420" t="str">
        <f>VLOOKUP($D669,'Tabel Map Industry'!$A$2:$H$464,2,0)</f>
        <v xml:space="preserve">Pertambangan Bijih Bauksit </v>
      </c>
      <c r="F669" s="421" t="str">
        <f>VLOOKUP($D669,'Tabel Map Industry'!$A$2:$H$464,3,0)</f>
        <v>COAL, MINING &amp; QUARRYING</v>
      </c>
      <c r="G669" s="421" t="str">
        <f>VLOOKUP($D669,'Tabel Map Industry'!$A$2:$H$464,4,0)</f>
        <v>Pertambangan Bijih Bauksit  - 132020</v>
      </c>
      <c r="H669" s="421" t="str">
        <f>VLOOKUP($D669,'Tabel Map Industry'!$A$2:$H$464,8,0)</f>
        <v>Pertambangan Biji Logam - Bauksit - 2230</v>
      </c>
    </row>
    <row r="670" spans="2:8" ht="30" x14ac:dyDescent="0.25">
      <c r="B670" s="423" t="str">
        <f t="shared" si="4"/>
        <v>Coal, Mining &amp; Quarrying</v>
      </c>
      <c r="C670" s="423" t="str">
        <f t="shared" si="5"/>
        <v xml:space="preserve">Pertambangan Bijih Tembaga </v>
      </c>
      <c r="D670" s="424" t="s">
        <v>4932</v>
      </c>
      <c r="E670" s="425" t="str">
        <f>VLOOKUP($D670,'Tabel Map Industry'!$A$2:$H$464,2,0)</f>
        <v xml:space="preserve">Pertambangan Bijih Tembaga </v>
      </c>
      <c r="F670" s="426" t="str">
        <f>VLOOKUP($D670,'Tabel Map Industry'!$A$2:$H$464,3,0)</f>
        <v>COAL, MINING &amp; QUARRYING</v>
      </c>
      <c r="G670" s="426" t="str">
        <f>VLOOKUP($D670,'Tabel Map Industry'!$A$2:$H$464,4,0)</f>
        <v>Pertambangan Bijih Tembaga  - 132030</v>
      </c>
      <c r="H670" s="426" t="str">
        <f>VLOOKUP($D670,'Tabel Map Industry'!$A$2:$H$464,8,0)</f>
        <v>Pertambangan Biji Logam - Tembaga - 2240</v>
      </c>
    </row>
    <row r="671" spans="2:8" ht="30" x14ac:dyDescent="0.25">
      <c r="B671" s="418" t="str">
        <f t="shared" si="4"/>
        <v>Coal, Mining &amp; Quarrying</v>
      </c>
      <c r="C671" s="418" t="str">
        <f t="shared" si="5"/>
        <v xml:space="preserve">Pertambangan Bijih Nikel </v>
      </c>
      <c r="D671" s="419" t="s">
        <v>4933</v>
      </c>
      <c r="E671" s="420" t="str">
        <f>VLOOKUP($D671,'Tabel Map Industry'!$A$2:$H$464,2,0)</f>
        <v xml:space="preserve">Pertambangan Bijih Nikel </v>
      </c>
      <c r="F671" s="421" t="str">
        <f>VLOOKUP($D671,'Tabel Map Industry'!$A$2:$H$464,3,0)</f>
        <v>COAL, MINING &amp; QUARRYING</v>
      </c>
      <c r="G671" s="421" t="str">
        <f>VLOOKUP($D671,'Tabel Map Industry'!$A$2:$H$464,4,0)</f>
        <v>Pertambangan Bijih Nikel  - 132040</v>
      </c>
      <c r="H671" s="421" t="str">
        <f>VLOOKUP($D671,'Tabel Map Industry'!$A$2:$H$464,8,0)</f>
        <v>Pertambangan Biji Logam - Nikel - 2220</v>
      </c>
    </row>
    <row r="672" spans="2:8" ht="30" x14ac:dyDescent="0.25">
      <c r="B672" s="423" t="str">
        <f t="shared" si="4"/>
        <v>Coal, Mining &amp; Quarrying</v>
      </c>
      <c r="C672" s="423" t="str">
        <f t="shared" si="5"/>
        <v>Pertambangan Emas</v>
      </c>
      <c r="D672" s="424" t="s">
        <v>4934</v>
      </c>
      <c r="E672" s="425" t="str">
        <f>VLOOKUP($D672,'Tabel Map Industry'!$A$2:$H$464,2,0)</f>
        <v>Pertambangan Emas</v>
      </c>
      <c r="F672" s="426" t="str">
        <f>VLOOKUP($D672,'Tabel Map Industry'!$A$2:$H$464,3,0)</f>
        <v>COAL, MINING &amp; QUARRYING</v>
      </c>
      <c r="G672" s="426" t="str">
        <f>VLOOKUP($D672,'Tabel Map Industry'!$A$2:$H$464,4,0)</f>
        <v>Pertambangan Emas - 132061</v>
      </c>
      <c r="H672" s="426" t="str">
        <f>VLOOKUP($D672,'Tabel Map Industry'!$A$2:$H$464,8,0)</f>
        <v>Pertambangan Biji Logam - Lainnya - 2290</v>
      </c>
    </row>
    <row r="673" spans="2:8" ht="30" x14ac:dyDescent="0.25">
      <c r="B673" s="418" t="str">
        <f t="shared" si="4"/>
        <v>Coal, Mining &amp; Quarrying</v>
      </c>
      <c r="C673" s="418" t="str">
        <f t="shared" si="5"/>
        <v xml:space="preserve">Pertambangan Perak </v>
      </c>
      <c r="D673" s="419" t="s">
        <v>4935</v>
      </c>
      <c r="E673" s="420" t="str">
        <f>VLOOKUP($D673,'Tabel Map Industry'!$A$2:$H$464,2,0)</f>
        <v xml:space="preserve">Pertambangan Perak </v>
      </c>
      <c r="F673" s="421" t="str">
        <f>VLOOKUP($D673,'Tabel Map Industry'!$A$2:$H$464,3,0)</f>
        <v>COAL, MINING &amp; QUARRYING</v>
      </c>
      <c r="G673" s="421" t="str">
        <f>VLOOKUP($D673,'Tabel Map Industry'!$A$2:$H$464,4,0)</f>
        <v>Pertambangan Perak  - 132062</v>
      </c>
      <c r="H673" s="421" t="str">
        <f>VLOOKUP($D673,'Tabel Map Industry'!$A$2:$H$464,8,0)</f>
        <v>Pertambangan Biji Logam - Lainnya - 2290</v>
      </c>
    </row>
    <row r="674" spans="2:8" ht="30" x14ac:dyDescent="0.25">
      <c r="B674" s="423" t="str">
        <f t="shared" si="4"/>
        <v>Coal, Mining &amp; Quarrying</v>
      </c>
      <c r="C674" s="423" t="str">
        <f t="shared" si="5"/>
        <v xml:space="preserve">Bahan Galian Lainnya yang Tidak Mengandung Bijih Besi </v>
      </c>
      <c r="D674" s="424" t="s">
        <v>4936</v>
      </c>
      <c r="E674" s="425" t="str">
        <f>VLOOKUP($D674,'Tabel Map Industry'!$A$2:$H$464,2,0)</f>
        <v xml:space="preserve">Bahan Galian Lainnya yang Tidak Mengandung Bijih Besi </v>
      </c>
      <c r="F674" s="426" t="str">
        <f>VLOOKUP($D674,'Tabel Map Industry'!$A$2:$H$464,3,0)</f>
        <v>COAL, MINING &amp; QUARRYING</v>
      </c>
      <c r="G674" s="426" t="str">
        <f>VLOOKUP($D674,'Tabel Map Industry'!$A$2:$H$464,4,0)</f>
        <v>Bahan Galian Lainnya yang Tidak Mengandung Bijih Besi  - 132090</v>
      </c>
      <c r="H674" s="426" t="str">
        <f>VLOOKUP($D674,'Tabel Map Industry'!$A$2:$H$464,8,0)</f>
        <v>Pertambangan Barang Tambang Lainnya - 2900</v>
      </c>
    </row>
    <row r="675" spans="2:8" ht="30" x14ac:dyDescent="0.25">
      <c r="B675" s="418" t="str">
        <f t="shared" si="4"/>
        <v>Coal, Mining &amp; Quarrying</v>
      </c>
      <c r="C675" s="418" t="str">
        <f t="shared" si="5"/>
        <v>Penggalian Batu-batuan, Tanah Liat dan Pasir</v>
      </c>
      <c r="D675" s="419" t="s">
        <v>4937</v>
      </c>
      <c r="E675" s="420" t="str">
        <f>VLOOKUP($D675,'Tabel Map Industry'!$A$2:$H$464,2,0)</f>
        <v>Penggalian Batu-batuan, Tanah Liat dan Pasir</v>
      </c>
      <c r="F675" s="421" t="str">
        <f>VLOOKUP($D675,'Tabel Map Industry'!$A$2:$H$464,3,0)</f>
        <v>COAL, MINING &amp; QUARRYING</v>
      </c>
      <c r="G675" s="421" t="str">
        <f>VLOOKUP($D675,'Tabel Map Industry'!$A$2:$H$464,4,0)</f>
        <v>Penggalian Batu-batuan, Tanah Liat dan Pasir - 141000</v>
      </c>
      <c r="H675" s="421" t="str">
        <f>VLOOKUP($D675,'Tabel Map Industry'!$A$2:$H$464,8,0)</f>
        <v>Pertambangan Barang Tambang Lainnya - 2900</v>
      </c>
    </row>
    <row r="676" spans="2:8" ht="30" x14ac:dyDescent="0.25">
      <c r="B676" s="423" t="str">
        <f t="shared" si="4"/>
        <v>Coal, Mining &amp; Quarrying</v>
      </c>
      <c r="C676" s="423" t="str">
        <f t="shared" si="5"/>
        <v xml:space="preserve">Pertambangan Mineral, Bahan Kimia dan Bahan Pupuk </v>
      </c>
      <c r="D676" s="424" t="s">
        <v>4938</v>
      </c>
      <c r="E676" s="425" t="str">
        <f>VLOOKUP($D676,'Tabel Map Industry'!$A$2:$H$464,2,0)</f>
        <v xml:space="preserve">Pertambangan Mineral, Bahan Kimia dan Bahan Pupuk </v>
      </c>
      <c r="F676" s="426" t="str">
        <f>VLOOKUP($D676,'Tabel Map Industry'!$A$2:$H$464,3,0)</f>
        <v>COAL, MINING &amp; QUARRYING</v>
      </c>
      <c r="G676" s="426" t="str">
        <f>VLOOKUP($D676,'Tabel Map Industry'!$A$2:$H$464,4,0)</f>
        <v>Pertambangan Mineral, Bahan Kimia dan Bahan Pupuk  - 142100</v>
      </c>
      <c r="H676" s="426" t="str">
        <f>VLOOKUP($D676,'Tabel Map Industry'!$A$2:$H$464,8,0)</f>
        <v>Pertambangan Barang Tambang Lainnya - 2900</v>
      </c>
    </row>
    <row r="677" spans="2:8" ht="30" x14ac:dyDescent="0.25">
      <c r="B677" s="418" t="str">
        <f t="shared" si="4"/>
        <v>Coal, Mining &amp; Quarrying</v>
      </c>
      <c r="C677" s="418" t="str">
        <f t="shared" si="5"/>
        <v xml:space="preserve">Ekstraksi Garam </v>
      </c>
      <c r="D677" s="419" t="s">
        <v>4939</v>
      </c>
      <c r="E677" s="420" t="str">
        <f>VLOOKUP($D677,'Tabel Map Industry'!$A$2:$H$464,2,0)</f>
        <v xml:space="preserve">Ekstraksi Garam </v>
      </c>
      <c r="F677" s="421" t="str">
        <f>VLOOKUP($D677,'Tabel Map Industry'!$A$2:$H$464,3,0)</f>
        <v>COAL, MINING &amp; QUARRYING</v>
      </c>
      <c r="G677" s="421" t="str">
        <f>VLOOKUP($D677,'Tabel Map Industry'!$A$2:$H$464,4,0)</f>
        <v>Ekstraksi Garam  - 142200</v>
      </c>
      <c r="H677" s="421" t="str">
        <f>VLOOKUP($D677,'Tabel Map Industry'!$A$2:$H$464,8,0)</f>
        <v>Pertambangan Barang Tambang Lainnya - 2900</v>
      </c>
    </row>
    <row r="678" spans="2:8" ht="30" x14ac:dyDescent="0.25">
      <c r="B678" s="423" t="str">
        <f t="shared" si="4"/>
        <v>Coal, Mining &amp; Quarrying</v>
      </c>
      <c r="C678" s="423" t="str">
        <f t="shared" si="5"/>
        <v>Pertambangan dan Penggalian Lainnya</v>
      </c>
      <c r="D678" s="424" t="s">
        <v>4940</v>
      </c>
      <c r="E678" s="425" t="str">
        <f>VLOOKUP($D678,'Tabel Map Industry'!$A$2:$H$464,2,0)</f>
        <v>Pertambangan dan Penggalian Lainnya</v>
      </c>
      <c r="F678" s="426" t="str">
        <f>VLOOKUP($D678,'Tabel Map Industry'!$A$2:$H$464,3,0)</f>
        <v>COAL, MINING &amp; QUARRYING</v>
      </c>
      <c r="G678" s="426" t="str">
        <f>VLOOKUP($D678,'Tabel Map Industry'!$A$2:$H$464,4,0)</f>
        <v>Pertambangan dan Penggalian Lainnya - 142900</v>
      </c>
      <c r="H678" s="426" t="str">
        <f>VLOOKUP($D678,'Tabel Map Industry'!$A$2:$H$464,8,0)</f>
        <v>Pertambangan Barang Tambang Lainnya - 2900</v>
      </c>
    </row>
    <row r="679" spans="2:8" ht="30" x14ac:dyDescent="0.25">
      <c r="B679" s="418" t="str">
        <f t="shared" si="4"/>
        <v>Coal, Mining &amp; Quarrying</v>
      </c>
      <c r="C679" s="418" t="str">
        <f t="shared" si="5"/>
        <v xml:space="preserve">Industri Barang-barang dari Asbes </v>
      </c>
      <c r="D679" s="419" t="s">
        <v>4942</v>
      </c>
      <c r="E679" s="420" t="str">
        <f>VLOOKUP($D679,'Tabel Map Industry'!$A$2:$H$464,2,0)</f>
        <v xml:space="preserve">Industri Barang-barang dari Asbes </v>
      </c>
      <c r="F679" s="421" t="str">
        <f>VLOOKUP($D679,'Tabel Map Industry'!$A$2:$H$464,3,0)</f>
        <v>COAL, MINING &amp; QUARRYING</v>
      </c>
      <c r="G679" s="421" t="str">
        <f>VLOOKUP($D679,'Tabel Map Industry'!$A$2:$H$464,4,0)</f>
        <v>Industri Barang-barang dari Asbes  - 266000</v>
      </c>
      <c r="H679" s="421" t="str">
        <f>VLOOKUP($D679,'Tabel Map Industry'!$A$2:$H$464,8,0)</f>
        <v>Industri - Lainnya - 3990</v>
      </c>
    </row>
    <row r="680" spans="2:8" ht="30" x14ac:dyDescent="0.25">
      <c r="B680" s="423" t="str">
        <f t="shared" si="4"/>
        <v>Coal, Mining &amp; Quarrying</v>
      </c>
      <c r="C680" s="423" t="str">
        <f t="shared" si="5"/>
        <v>Perdagangan Ekspor Hasil Tambang Setengah Jadi</v>
      </c>
      <c r="D680" s="424" t="s">
        <v>4944</v>
      </c>
      <c r="E680" s="425" t="str">
        <f>VLOOKUP($D680,'Tabel Map Industry'!$A$2:$H$464,2,0)</f>
        <v>Perdagangan Ekspor Hasil Tambang Setengah Jadi</v>
      </c>
      <c r="F680" s="426" t="str">
        <f>VLOOKUP($D680,'Tabel Map Industry'!$A$2:$H$464,3,0)</f>
        <v>COAL, MINING &amp; QUARRYING</v>
      </c>
      <c r="G680" s="426" t="str">
        <f>VLOOKUP($D680,'Tabel Map Industry'!$A$2:$H$464,4,0)</f>
        <v>Perdagangan Ekspor Hasil Tambang Setengah Jadi - 539023</v>
      </c>
      <c r="H680" s="426" t="str">
        <f>VLOOKUP($D680,'Tabel Map Industry'!$A$2:$H$464,8,0)</f>
        <v>Ekspor Barang Setengah Jadi Hasil Tambang - 6142</v>
      </c>
    </row>
    <row r="681" spans="2:8" ht="30" hidden="1" x14ac:dyDescent="0.25">
      <c r="B681" s="418" t="str">
        <f t="shared" si="4"/>
        <v>Comodity Industry</v>
      </c>
      <c r="C681" s="418" t="str">
        <f t="shared" si="5"/>
        <v>Perdagangan Tembakau</v>
      </c>
      <c r="D681" s="419" t="s">
        <v>4945</v>
      </c>
      <c r="E681" s="420" t="str">
        <f>VLOOKUP($D681,'Tabel Map Industry'!$A$2:$H$464,2,0)</f>
        <v>Perdagangan Tembakau</v>
      </c>
      <c r="F681" s="421" t="str">
        <f>VLOOKUP($D681,'Tabel Map Industry'!$A$2:$H$464,3,0)</f>
        <v>COMODITY INDUSTRY</v>
      </c>
      <c r="G681" s="421" t="str">
        <f>VLOOKUP($D681,'Tabel Map Industry'!$A$2:$H$464,4,0)</f>
        <v>Perdagangan Tembakau - 512112</v>
      </c>
      <c r="H681" s="421" t="str">
        <f>VLOOKUP($D681,'Tabel Map Industry'!$A$2:$H$464,8,0)</f>
        <v>Pembelian &amp; Pengumpulan Brg. Dagangan Dlm.Neg. : Tembakau - 6322</v>
      </c>
    </row>
    <row r="682" spans="2:8" ht="30" hidden="1" x14ac:dyDescent="0.25">
      <c r="B682" s="423" t="str">
        <f t="shared" si="4"/>
        <v>Comodity Industry</v>
      </c>
      <c r="C682" s="423" t="str">
        <f t="shared" si="5"/>
        <v>Perdagangan Cengkeh</v>
      </c>
      <c r="D682" s="424" t="s">
        <v>4946</v>
      </c>
      <c r="E682" s="425" t="str">
        <f>VLOOKUP($D682,'Tabel Map Industry'!$A$2:$H$464,2,0)</f>
        <v>Perdagangan Cengkeh</v>
      </c>
      <c r="F682" s="426" t="str">
        <f>VLOOKUP($D682,'Tabel Map Industry'!$A$2:$H$464,3,0)</f>
        <v>COMODITY INDUSTRY</v>
      </c>
      <c r="G682" s="426" t="str">
        <f>VLOOKUP($D682,'Tabel Map Industry'!$A$2:$H$464,4,0)</f>
        <v>Perdagangan Cengkeh - 512114</v>
      </c>
      <c r="H682" s="426" t="str">
        <f>VLOOKUP($D682,'Tabel Map Industry'!$A$2:$H$464,8,0)</f>
        <v>Pembelian &amp; Pengumpulan Brg. Dagangan Dlm.Neg. : Cengkeh - 6320</v>
      </c>
    </row>
    <row r="683" spans="2:8" ht="30" hidden="1" x14ac:dyDescent="0.25">
      <c r="B683" s="418" t="str">
        <f t="shared" si="4"/>
        <v>Comodity Industry</v>
      </c>
      <c r="C683" s="418" t="str">
        <f t="shared" si="5"/>
        <v>Perdagangan Ekspor Tembakau</v>
      </c>
      <c r="D683" s="419" t="s">
        <v>4947</v>
      </c>
      <c r="E683" s="420" t="str">
        <f>VLOOKUP($D683,'Tabel Map Industry'!$A$2:$H$464,2,0)</f>
        <v>Perdagangan Ekspor Tembakau</v>
      </c>
      <c r="F683" s="421" t="str">
        <f>VLOOKUP($D683,'Tabel Map Industry'!$A$2:$H$464,3,0)</f>
        <v>COMODITY INDUSTRY</v>
      </c>
      <c r="G683" s="421" t="str">
        <f>VLOOKUP($D683,'Tabel Map Industry'!$A$2:$H$464,4,0)</f>
        <v>Perdagangan Ekspor Tembakau - 532204</v>
      </c>
      <c r="H683" s="421" t="str">
        <f>VLOOKUP($D683,'Tabel Map Industry'!$A$2:$H$464,8,0)</f>
        <v>Ekspor Barang Setengah Jadi Tembakau - 6133</v>
      </c>
    </row>
    <row r="684" spans="2:8" ht="30" hidden="1" x14ac:dyDescent="0.25">
      <c r="B684" s="423" t="str">
        <f t="shared" si="4"/>
        <v>Comodity Industry</v>
      </c>
      <c r="C684" s="423" t="str">
        <f t="shared" si="5"/>
        <v>Perdagangan Ekspor Tembakau</v>
      </c>
      <c r="D684" s="424" t="s">
        <v>4948</v>
      </c>
      <c r="E684" s="425" t="str">
        <f>VLOOKUP($D684,'Tabel Map Industry'!$A$2:$H$464,2,0)</f>
        <v>Perdagangan Ekspor Tembakau</v>
      </c>
      <c r="F684" s="426" t="str">
        <f>VLOOKUP($D684,'Tabel Map Industry'!$A$2:$H$464,3,0)</f>
        <v>COMODITY INDUSTRY</v>
      </c>
      <c r="G684" s="426" t="str">
        <f>VLOOKUP($D684,'Tabel Map Industry'!$A$2:$H$464,4,0)</f>
        <v>Perdagangan Ekspor Tembakau - 539013</v>
      </c>
      <c r="H684" s="426" t="str">
        <f>VLOOKUP($D684,'Tabel Map Industry'!$A$2:$H$464,8,0)</f>
        <v>Ekspor Barang Setengah Jadi Tembakau - 6133</v>
      </c>
    </row>
    <row r="685" spans="2:8" ht="30" hidden="1" x14ac:dyDescent="0.25">
      <c r="B685" s="418" t="str">
        <f t="shared" si="4"/>
        <v>Comodity Industry</v>
      </c>
      <c r="C685" s="418" t="str">
        <f t="shared" si="5"/>
        <v>Perdagangan Impor Cengkeh</v>
      </c>
      <c r="D685" s="419" t="s">
        <v>4949</v>
      </c>
      <c r="E685" s="420" t="str">
        <f>VLOOKUP($D685,'Tabel Map Industry'!$A$2:$H$464,2,0)</f>
        <v>Perdagangan Impor Cengkeh</v>
      </c>
      <c r="F685" s="421" t="str">
        <f>VLOOKUP($D685,'Tabel Map Industry'!$A$2:$H$464,3,0)</f>
        <v>COMODITY INDUSTRY</v>
      </c>
      <c r="G685" s="421" t="str">
        <f>VLOOKUP($D685,'Tabel Map Industry'!$A$2:$H$464,4,0)</f>
        <v>Perdagangan Impor Cengkeh - 542101</v>
      </c>
      <c r="H685" s="421" t="str">
        <f>VLOOKUP($D685,'Tabel Map Industry'!$A$2:$H$464,8,0)</f>
        <v>Impor Bukan dlm.rangka Bantuan Luar Negeri - Cengkeh - 6224</v>
      </c>
    </row>
    <row r="686" spans="2:8" ht="30" hidden="1" x14ac:dyDescent="0.25">
      <c r="B686" s="423" t="str">
        <f t="shared" si="4"/>
        <v>Comodity Industry</v>
      </c>
      <c r="C686" s="423" t="str">
        <f t="shared" si="5"/>
        <v>Industri Minyak Goreng dari Kelapa Sawit Mentah</v>
      </c>
      <c r="D686" s="424" t="s">
        <v>4950</v>
      </c>
      <c r="E686" s="425" t="str">
        <f>VLOOKUP($D686,'Tabel Map Industry'!$A$2:$H$464,2,0)</f>
        <v>Industri Minyak Goreng dari Kelapa Sawit Mentah</v>
      </c>
      <c r="F686" s="426" t="str">
        <f>VLOOKUP($D686,'Tabel Map Industry'!$A$2:$H$464,3,0)</f>
        <v>COMODITY INDUSTRY</v>
      </c>
      <c r="G686" s="426" t="str">
        <f>VLOOKUP($D686,'Tabel Map Industry'!$A$2:$H$464,4,0)</f>
        <v>Industri Minyak Goreng dari Kelapa Sawit Mentah - 151440</v>
      </c>
      <c r="H686" s="426" t="str">
        <f>VLOOKUP($D686,'Tabel Map Industry'!$A$2:$H$464,8,0)</f>
        <v>Industri - Minyak Kelapa Sawit Mentah - 3141</v>
      </c>
    </row>
    <row r="687" spans="2:8" ht="30" hidden="1" x14ac:dyDescent="0.25">
      <c r="B687" s="418" t="str">
        <f t="shared" si="4"/>
        <v>Comodity Industry</v>
      </c>
      <c r="C687" s="418" t="str">
        <f t="shared" si="5"/>
        <v xml:space="preserve">Industri Minyak Goreng dari Biji Kelapa Sawit </v>
      </c>
      <c r="D687" s="419" t="s">
        <v>4951</v>
      </c>
      <c r="E687" s="420" t="str">
        <f>VLOOKUP($D687,'Tabel Map Industry'!$A$2:$H$464,2,0)</f>
        <v xml:space="preserve">Industri Minyak Goreng dari Biji Kelapa Sawit </v>
      </c>
      <c r="F687" s="421" t="str">
        <f>VLOOKUP($D687,'Tabel Map Industry'!$A$2:$H$464,3,0)</f>
        <v>COMODITY INDUSTRY</v>
      </c>
      <c r="G687" s="421" t="str">
        <f>VLOOKUP($D687,'Tabel Map Industry'!$A$2:$H$464,4,0)</f>
        <v>Industri Minyak Goreng dari Biji Kelapa Sawit  - 151450</v>
      </c>
      <c r="H687" s="421" t="str">
        <f>VLOOKUP($D687,'Tabel Map Industry'!$A$2:$H$464,8,0)</f>
        <v>Industri - Minyak Biji Kelapa Sawit - 3142</v>
      </c>
    </row>
    <row r="688" spans="2:8" ht="30" hidden="1" x14ac:dyDescent="0.25">
      <c r="B688" s="423" t="str">
        <f t="shared" si="4"/>
        <v>Comodity Industry</v>
      </c>
      <c r="C688" s="423" t="str">
        <f t="shared" si="5"/>
        <v>Perdagangan Ekspor Biji Kelapa Sawit</v>
      </c>
      <c r="D688" s="424" t="s">
        <v>4954</v>
      </c>
      <c r="E688" s="425" t="str">
        <f>VLOOKUP($D688,'Tabel Map Industry'!$A$2:$H$464,2,0)</f>
        <v>Perdagangan Ekspor Biji Kelapa Sawit</v>
      </c>
      <c r="F688" s="426" t="str">
        <f>VLOOKUP($D688,'Tabel Map Industry'!$A$2:$H$464,3,0)</f>
        <v>COMODITY INDUSTRY</v>
      </c>
      <c r="G688" s="426" t="str">
        <f>VLOOKUP($D688,'Tabel Map Industry'!$A$2:$H$464,4,0)</f>
        <v>Perdagangan Ekspor Biji Kelapa Sawit - 532111</v>
      </c>
      <c r="H688" s="426" t="str">
        <f>VLOOKUP($D688,'Tabel Map Industry'!$A$2:$H$464,8,0)</f>
        <v>Ekspor Barang Setengah Jadi Biji Kelapa Sawit - 6137</v>
      </c>
    </row>
    <row r="689" spans="2:8" ht="30" hidden="1" x14ac:dyDescent="0.25">
      <c r="B689" s="418" t="str">
        <f t="shared" si="4"/>
        <v>Comodity Industry</v>
      </c>
      <c r="C689" s="418" t="str">
        <f t="shared" si="5"/>
        <v>Perdagangan Ekspor Minyak Kelapa Sawit Mentah</v>
      </c>
      <c r="D689" s="419" t="s">
        <v>4955</v>
      </c>
      <c r="E689" s="420" t="str">
        <f>VLOOKUP($D689,'Tabel Map Industry'!$A$2:$H$464,2,0)</f>
        <v>Perdagangan Ekspor Minyak Kelapa Sawit Mentah</v>
      </c>
      <c r="F689" s="421" t="str">
        <f>VLOOKUP($D689,'Tabel Map Industry'!$A$2:$H$464,3,0)</f>
        <v>COMODITY INDUSTRY</v>
      </c>
      <c r="G689" s="421" t="str">
        <f>VLOOKUP($D689,'Tabel Map Industry'!$A$2:$H$464,4,0)</f>
        <v>Perdagangan Ekspor Minyak Kelapa Sawit Mentah - 539016</v>
      </c>
      <c r="H689" s="421" t="str">
        <f>VLOOKUP($D689,'Tabel Map Industry'!$A$2:$H$464,8,0)</f>
        <v>Ekspor Barang Setengah Jadi Minyak Kelapa Sawit Mentah - 6136</v>
      </c>
    </row>
    <row r="690" spans="2:8" ht="30" hidden="1" x14ac:dyDescent="0.25">
      <c r="B690" s="423" t="str">
        <f t="shared" si="4"/>
        <v>Comodity Industry</v>
      </c>
      <c r="C690" s="423" t="str">
        <f t="shared" si="5"/>
        <v>Perdagangan Ekspor Minyak Biji Kelapa Sawit</v>
      </c>
      <c r="D690" s="424" t="s">
        <v>4956</v>
      </c>
      <c r="E690" s="425" t="str">
        <f>VLOOKUP($D690,'Tabel Map Industry'!$A$2:$H$464,2,0)</f>
        <v>Perdagangan Ekspor Minyak Biji Kelapa Sawit</v>
      </c>
      <c r="F690" s="426" t="str">
        <f>VLOOKUP($D690,'Tabel Map Industry'!$A$2:$H$464,3,0)</f>
        <v>COMODITY INDUSTRY</v>
      </c>
      <c r="G690" s="426" t="str">
        <f>VLOOKUP($D690,'Tabel Map Industry'!$A$2:$H$464,4,0)</f>
        <v>Perdagangan Ekspor Minyak Biji Kelapa Sawit - 539017</v>
      </c>
      <c r="H690" s="426" t="str">
        <f>VLOOKUP($D690,'Tabel Map Industry'!$A$2:$H$464,8,0)</f>
        <v>Ekspor Barang Setengah Jadi Biji Kelapa Sawit - 6137</v>
      </c>
    </row>
    <row r="691" spans="2:8" ht="30" hidden="1" x14ac:dyDescent="0.25">
      <c r="B691" s="418" t="str">
        <f t="shared" si="4"/>
        <v>Comodity Industry</v>
      </c>
      <c r="C691" s="418" t="str">
        <f t="shared" si="5"/>
        <v>Perdagangan Jagung</v>
      </c>
      <c r="D691" s="419" t="s">
        <v>4961</v>
      </c>
      <c r="E691" s="420" t="str">
        <f>VLOOKUP($D691,'Tabel Map Industry'!$A$2:$H$464,2,0)</f>
        <v>Perdagangan Jagung</v>
      </c>
      <c r="F691" s="421" t="str">
        <f>VLOOKUP($D691,'Tabel Map Industry'!$A$2:$H$464,3,0)</f>
        <v>COMODITY INDUSTRY</v>
      </c>
      <c r="G691" s="421" t="str">
        <f>VLOOKUP($D691,'Tabel Map Industry'!$A$2:$H$464,4,0)</f>
        <v>Perdagangan Jagung - 512111</v>
      </c>
      <c r="H691" s="421" t="str">
        <f>VLOOKUP($D691,'Tabel Map Industry'!$A$2:$H$464,8,0)</f>
        <v>Pembelian &amp; Pengumpulan Brg. Dagangan Dlm.Neg. : Jagung - 6312</v>
      </c>
    </row>
    <row r="692" spans="2:8" ht="30" hidden="1" x14ac:dyDescent="0.25">
      <c r="B692" s="423" t="str">
        <f t="shared" si="4"/>
        <v>Comodity Industry</v>
      </c>
      <c r="C692" s="423" t="str">
        <f t="shared" si="5"/>
        <v>Perdagangan Lada</v>
      </c>
      <c r="D692" s="424" t="s">
        <v>4962</v>
      </c>
      <c r="E692" s="425" t="str">
        <f>VLOOKUP($D692,'Tabel Map Industry'!$A$2:$H$464,2,0)</f>
        <v>Perdagangan Lada</v>
      </c>
      <c r="F692" s="426" t="str">
        <f>VLOOKUP($D692,'Tabel Map Industry'!$A$2:$H$464,3,0)</f>
        <v>COMODITY INDUSTRY</v>
      </c>
      <c r="G692" s="426" t="str">
        <f>VLOOKUP($D692,'Tabel Map Industry'!$A$2:$H$464,4,0)</f>
        <v>Perdagangan Lada - 512115</v>
      </c>
      <c r="H692" s="426" t="str">
        <f>VLOOKUP($D692,'Tabel Map Industry'!$A$2:$H$464,8,0)</f>
        <v>Pembelian &amp; Pengumpulan Brg. Dagangan Dlm.Neg. : Lada - 6321</v>
      </c>
    </row>
    <row r="693" spans="2:8" ht="30" hidden="1" x14ac:dyDescent="0.25">
      <c r="B693" s="418" t="str">
        <f t="shared" si="4"/>
        <v>Comodity Industry</v>
      </c>
      <c r="C693" s="418" t="str">
        <f t="shared" si="5"/>
        <v>Perdagangan Ekspor Teh</v>
      </c>
      <c r="D693" s="419" t="s">
        <v>4963</v>
      </c>
      <c r="E693" s="420" t="str">
        <f>VLOOKUP($D693,'Tabel Map Industry'!$A$2:$H$464,2,0)</f>
        <v>Perdagangan Ekspor Teh</v>
      </c>
      <c r="F693" s="421" t="str">
        <f>VLOOKUP($D693,'Tabel Map Industry'!$A$2:$H$464,3,0)</f>
        <v>COMODITY INDUSTRY</v>
      </c>
      <c r="G693" s="421" t="str">
        <f>VLOOKUP($D693,'Tabel Map Industry'!$A$2:$H$464,4,0)</f>
        <v>Perdagangan Ekspor Teh - 532202</v>
      </c>
      <c r="H693" s="421" t="str">
        <f>VLOOKUP($D693,'Tabel Map Industry'!$A$2:$H$464,8,0)</f>
        <v>Ekspor Barang Jadi Teh - 6162</v>
      </c>
    </row>
    <row r="694" spans="2:8" ht="30" hidden="1" x14ac:dyDescent="0.25">
      <c r="B694" s="423" t="str">
        <f t="shared" si="4"/>
        <v>Comodity Industry</v>
      </c>
      <c r="C694" s="423" t="str">
        <f t="shared" si="5"/>
        <v>Perdagangan Ekspor Kopi Bubuk</v>
      </c>
      <c r="D694" s="424" t="s">
        <v>4964</v>
      </c>
      <c r="E694" s="425" t="str">
        <f>VLOOKUP($D694,'Tabel Map Industry'!$A$2:$H$464,2,0)</f>
        <v>Perdagangan Ekspor Kopi Bubuk</v>
      </c>
      <c r="F694" s="426" t="str">
        <f>VLOOKUP($D694,'Tabel Map Industry'!$A$2:$H$464,3,0)</f>
        <v>COMODITY INDUSTRY</v>
      </c>
      <c r="G694" s="426" t="str">
        <f>VLOOKUP($D694,'Tabel Map Industry'!$A$2:$H$464,4,0)</f>
        <v>Perdagangan Ekspor Kopi Bubuk - 532203</v>
      </c>
      <c r="H694" s="426" t="str">
        <f>VLOOKUP($D694,'Tabel Map Industry'!$A$2:$H$464,8,0)</f>
        <v>Ekspor Barang Jadi Kopi Bubuk - 6163</v>
      </c>
    </row>
    <row r="695" spans="2:8" ht="30" hidden="1" x14ac:dyDescent="0.25">
      <c r="B695" s="418" t="str">
        <f t="shared" si="4"/>
        <v>Comodity Industry</v>
      </c>
      <c r="C695" s="418" t="str">
        <f t="shared" si="5"/>
        <v>Perdagangan Ekspor Bijih Timah</v>
      </c>
      <c r="D695" s="419" t="s">
        <v>4965</v>
      </c>
      <c r="E695" s="420" t="str">
        <f>VLOOKUP($D695,'Tabel Map Industry'!$A$2:$H$464,2,0)</f>
        <v>Perdagangan Ekspor Bijih Timah</v>
      </c>
      <c r="F695" s="421" t="str">
        <f>VLOOKUP($D695,'Tabel Map Industry'!$A$2:$H$464,3,0)</f>
        <v>COMODITY INDUSTRY</v>
      </c>
      <c r="G695" s="421" t="str">
        <f>VLOOKUP($D695,'Tabel Map Industry'!$A$2:$H$464,4,0)</f>
        <v>Perdagangan Ekspor Bijih Timah - 534201</v>
      </c>
      <c r="H695" s="421" t="str">
        <f>VLOOKUP($D695,'Tabel Map Industry'!$A$2:$H$464,8,0)</f>
        <v>Ekspor Bahan Baku Bijih Timah - 6117</v>
      </c>
    </row>
    <row r="696" spans="2:8" ht="30" hidden="1" x14ac:dyDescent="0.25">
      <c r="B696" s="423" t="str">
        <f t="shared" si="4"/>
        <v>Comodity Industry</v>
      </c>
      <c r="C696" s="423" t="str">
        <f t="shared" si="5"/>
        <v>Perdagangan Ekspor Kopi Bijian</v>
      </c>
      <c r="D696" s="424" t="s">
        <v>4966</v>
      </c>
      <c r="E696" s="425" t="str">
        <f>VLOOKUP($D696,'Tabel Map Industry'!$A$2:$H$464,2,0)</f>
        <v>Perdagangan Ekspor Kopi Bijian</v>
      </c>
      <c r="F696" s="426" t="str">
        <f>VLOOKUP($D696,'Tabel Map Industry'!$A$2:$H$464,3,0)</f>
        <v>COMODITY INDUSTRY</v>
      </c>
      <c r="G696" s="426" t="str">
        <f>VLOOKUP($D696,'Tabel Map Industry'!$A$2:$H$464,4,0)</f>
        <v>Perdagangan Ekspor Kopi Bijian - 539012</v>
      </c>
      <c r="H696" s="426" t="str">
        <f>VLOOKUP($D696,'Tabel Map Industry'!$A$2:$H$464,8,0)</f>
        <v>Ekspor Barang Setengah Jadi Kopi Biji - 6132</v>
      </c>
    </row>
    <row r="697" spans="2:8" ht="30" hidden="1" x14ac:dyDescent="0.25">
      <c r="B697" s="418" t="str">
        <f t="shared" si="4"/>
        <v>Comodity Industry</v>
      </c>
      <c r="C697" s="418" t="str">
        <f t="shared" si="5"/>
        <v>Perdagangan Ekspor Lada</v>
      </c>
      <c r="D697" s="419" t="s">
        <v>4967</v>
      </c>
      <c r="E697" s="420" t="str">
        <f>VLOOKUP($D697,'Tabel Map Industry'!$A$2:$H$464,2,0)</f>
        <v>Perdagangan Ekspor Lada</v>
      </c>
      <c r="F697" s="421" t="str">
        <f>VLOOKUP($D697,'Tabel Map Industry'!$A$2:$H$464,3,0)</f>
        <v>COMODITY INDUSTRY</v>
      </c>
      <c r="G697" s="421" t="str">
        <f>VLOOKUP($D697,'Tabel Map Industry'!$A$2:$H$464,4,0)</f>
        <v>Perdagangan Ekspor Lada - 539015</v>
      </c>
      <c r="H697" s="421" t="str">
        <f>VLOOKUP($D697,'Tabel Map Industry'!$A$2:$H$464,8,0)</f>
        <v>Ekspor Barang Setengah Jadi Lada - 6135</v>
      </c>
    </row>
    <row r="698" spans="2:8" ht="30" hidden="1" x14ac:dyDescent="0.25">
      <c r="B698" s="423" t="str">
        <f t="shared" si="4"/>
        <v>Comodity Industry</v>
      </c>
      <c r="C698" s="423" t="str">
        <f t="shared" si="5"/>
        <v>Perdagangan Ekspor Bungkil Kopra</v>
      </c>
      <c r="D698" s="424" t="s">
        <v>4968</v>
      </c>
      <c r="E698" s="425" t="str">
        <f>VLOOKUP($D698,'Tabel Map Industry'!$A$2:$H$464,2,0)</f>
        <v>Perdagangan Ekspor Bungkil Kopra</v>
      </c>
      <c r="F698" s="426" t="str">
        <f>VLOOKUP($D698,'Tabel Map Industry'!$A$2:$H$464,3,0)</f>
        <v>COMODITY INDUSTRY</v>
      </c>
      <c r="G698" s="426" t="str">
        <f>VLOOKUP($D698,'Tabel Map Industry'!$A$2:$H$464,4,0)</f>
        <v>Perdagangan Ekspor Bungkil Kopra - 539018</v>
      </c>
      <c r="H698" s="426" t="str">
        <f>VLOOKUP($D698,'Tabel Map Industry'!$A$2:$H$464,8,0)</f>
        <v>Ekspor Barang Setengah Jadi Bungkil Kopra - 6138</v>
      </c>
    </row>
    <row r="699" spans="2:8" ht="30" hidden="1" x14ac:dyDescent="0.25">
      <c r="B699" s="418" t="str">
        <f t="shared" si="4"/>
        <v>Comodity Industry</v>
      </c>
      <c r="C699" s="418" t="str">
        <f t="shared" si="5"/>
        <v>Perdagangan Impor Biji Gandum</v>
      </c>
      <c r="D699" s="419" t="s">
        <v>4969</v>
      </c>
      <c r="E699" s="420" t="str">
        <f>VLOOKUP($D699,'Tabel Map Industry'!$A$2:$H$464,2,0)</f>
        <v>Perdagangan Impor Biji Gandum</v>
      </c>
      <c r="F699" s="421" t="str">
        <f>VLOOKUP($D699,'Tabel Map Industry'!$A$2:$H$464,3,0)</f>
        <v>COMODITY INDUSTRY</v>
      </c>
      <c r="G699" s="421" t="str">
        <f>VLOOKUP($D699,'Tabel Map Industry'!$A$2:$H$464,4,0)</f>
        <v>Perdagangan Impor Biji Gandum - 542102</v>
      </c>
      <c r="H699" s="421" t="str">
        <f>VLOOKUP($D699,'Tabel Map Industry'!$A$2:$H$464,8,0)</f>
        <v>Impor Bukan dlm.rangka Bantuan Luar Negeri - Biji Gandum - 6227</v>
      </c>
    </row>
    <row r="700" spans="2:8" ht="30" hidden="1" x14ac:dyDescent="0.25">
      <c r="B700" s="423" t="str">
        <f t="shared" si="4"/>
        <v>Comodity Industry</v>
      </c>
      <c r="C700" s="423" t="str">
        <f t="shared" si="5"/>
        <v>Perdagangan Impor Jagung</v>
      </c>
      <c r="D700" s="424" t="s">
        <v>4970</v>
      </c>
      <c r="E700" s="425" t="str">
        <f>VLOOKUP($D700,'Tabel Map Industry'!$A$2:$H$464,2,0)</f>
        <v>Perdagangan Impor Jagung</v>
      </c>
      <c r="F700" s="426" t="str">
        <f>VLOOKUP($D700,'Tabel Map Industry'!$A$2:$H$464,3,0)</f>
        <v>COMODITY INDUSTRY</v>
      </c>
      <c r="G700" s="426" t="str">
        <f>VLOOKUP($D700,'Tabel Map Industry'!$A$2:$H$464,4,0)</f>
        <v>Perdagangan Impor Jagung - 542103</v>
      </c>
      <c r="H700" s="426" t="str">
        <f>VLOOKUP($D700,'Tabel Map Industry'!$A$2:$H$464,8,0)</f>
        <v>Impor Bukan dlm.rangka Bantuan Luar Negeri - Jagung - 6228</v>
      </c>
    </row>
    <row r="701" spans="2:8" ht="30" hidden="1" x14ac:dyDescent="0.25">
      <c r="B701" s="418" t="str">
        <f t="shared" si="4"/>
        <v>Comodity Industry</v>
      </c>
      <c r="C701" s="418" t="str">
        <f t="shared" si="5"/>
        <v>Perdagangan Impor Kacang Kedelai</v>
      </c>
      <c r="D701" s="419" t="s">
        <v>4971</v>
      </c>
      <c r="E701" s="420" t="str">
        <f>VLOOKUP($D701,'Tabel Map Industry'!$A$2:$H$464,2,0)</f>
        <v>Perdagangan Impor Kacang Kedelai</v>
      </c>
      <c r="F701" s="421" t="str">
        <f>VLOOKUP($D701,'Tabel Map Industry'!$A$2:$H$464,3,0)</f>
        <v>COMODITY INDUSTRY</v>
      </c>
      <c r="G701" s="421" t="str">
        <f>VLOOKUP($D701,'Tabel Map Industry'!$A$2:$H$464,4,0)</f>
        <v>Perdagangan Impor Kacang Kedelai - 542104</v>
      </c>
      <c r="H701" s="421" t="str">
        <f>VLOOKUP($D701,'Tabel Map Industry'!$A$2:$H$464,8,0)</f>
        <v>Impor Bukan dlm.rangka Bantuan Luar Negeri - Kacang Kedele - 6229</v>
      </c>
    </row>
    <row r="702" spans="2:8" ht="30" hidden="1" x14ac:dyDescent="0.25">
      <c r="B702" s="423" t="str">
        <f t="shared" si="4"/>
        <v>Comodity Industry</v>
      </c>
      <c r="C702" s="423" t="str">
        <f t="shared" si="5"/>
        <v>Perdagangan Impor Beras</v>
      </c>
      <c r="D702" s="424" t="s">
        <v>4972</v>
      </c>
      <c r="E702" s="425" t="str">
        <f>VLOOKUP($D702,'Tabel Map Industry'!$A$2:$H$464,2,0)</f>
        <v>Perdagangan Impor Beras</v>
      </c>
      <c r="F702" s="426" t="str">
        <f>VLOOKUP($D702,'Tabel Map Industry'!$A$2:$H$464,3,0)</f>
        <v>COMODITY INDUSTRY</v>
      </c>
      <c r="G702" s="426" t="str">
        <f>VLOOKUP($D702,'Tabel Map Industry'!$A$2:$H$464,4,0)</f>
        <v>Perdagangan Impor Beras - 542201</v>
      </c>
      <c r="H702" s="426" t="str">
        <f>VLOOKUP($D702,'Tabel Map Industry'!$A$2:$H$464,8,0)</f>
        <v>Impor Bukan dlm.rangka Bantuan Luar Negeri - Beras - 6225</v>
      </c>
    </row>
    <row r="703" spans="2:8" ht="30" hidden="1" x14ac:dyDescent="0.25">
      <c r="B703" s="418" t="str">
        <f t="shared" si="4"/>
        <v>Comodity Industry</v>
      </c>
      <c r="C703" s="418" t="str">
        <f t="shared" si="5"/>
        <v>Perdagangan Impor Gula</v>
      </c>
      <c r="D703" s="419" t="s">
        <v>4973</v>
      </c>
      <c r="E703" s="420" t="str">
        <f>VLOOKUP($D703,'Tabel Map Industry'!$A$2:$H$464,2,0)</f>
        <v>Perdagangan Impor Gula</v>
      </c>
      <c r="F703" s="421" t="str">
        <f>VLOOKUP($D703,'Tabel Map Industry'!$A$2:$H$464,3,0)</f>
        <v>COMODITY INDUSTRY</v>
      </c>
      <c r="G703" s="421" t="str">
        <f>VLOOKUP($D703,'Tabel Map Industry'!$A$2:$H$464,4,0)</f>
        <v>Perdagangan Impor Gula - 542202</v>
      </c>
      <c r="H703" s="421" t="str">
        <f>VLOOKUP($D703,'Tabel Map Industry'!$A$2:$H$464,8,0)</f>
        <v>Impor Bukan dlm.rangka Bantuan Luar Negeri - Gula - 6226</v>
      </c>
    </row>
    <row r="704" spans="2:8" ht="30" hidden="1" x14ac:dyDescent="0.25">
      <c r="B704" s="423" t="str">
        <f t="shared" si="4"/>
        <v>Comodity Industry</v>
      </c>
      <c r="C704" s="423" t="str">
        <f t="shared" si="5"/>
        <v>Perdagangan Dalam Negeri Gula</v>
      </c>
      <c r="D704" s="424" t="s">
        <v>4975</v>
      </c>
      <c r="E704" s="425" t="str">
        <f>VLOOKUP($D704,'Tabel Map Industry'!$A$2:$H$464,2,0)</f>
        <v>Perdagangan Dalam Negeri Gula</v>
      </c>
      <c r="F704" s="426" t="str">
        <f>VLOOKUP($D704,'Tabel Map Industry'!$A$2:$H$464,3,0)</f>
        <v>COMODITY INDUSTRY</v>
      </c>
      <c r="G704" s="426" t="str">
        <f>VLOOKUP($D704,'Tabel Map Industry'!$A$2:$H$464,4,0)</f>
        <v>Perdagangan Dalam Negeri Gula - 512202</v>
      </c>
      <c r="H704" s="426" t="str">
        <f>VLOOKUP($D704,'Tabel Map Industry'!$A$2:$H$464,8,0)</f>
        <v>Pembelian &amp; Pengumpulan Brg. Dagangan Dlm.Neg. : Stok Gula - 6314</v>
      </c>
    </row>
    <row r="705" spans="2:8" ht="30" hidden="1" x14ac:dyDescent="0.25">
      <c r="B705" s="418" t="str">
        <f t="shared" si="4"/>
        <v>Comodity Industry</v>
      </c>
      <c r="C705" s="418" t="str">
        <f t="shared" si="5"/>
        <v>Perdagangan Dalam Negeri Kopi</v>
      </c>
      <c r="D705" s="419" t="s">
        <v>4976</v>
      </c>
      <c r="E705" s="420" t="str">
        <f>VLOOKUP($D705,'Tabel Map Industry'!$A$2:$H$464,2,0)</f>
        <v>Perdagangan Dalam Negeri Kopi</v>
      </c>
      <c r="F705" s="421" t="str">
        <f>VLOOKUP($D705,'Tabel Map Industry'!$A$2:$H$464,3,0)</f>
        <v>COMODITY INDUSTRY</v>
      </c>
      <c r="G705" s="421" t="str">
        <f>VLOOKUP($D705,'Tabel Map Industry'!$A$2:$H$464,4,0)</f>
        <v>Perdagangan Dalam Negeri Kopi - 512203</v>
      </c>
      <c r="H705" s="421" t="str">
        <f>VLOOKUP($D705,'Tabel Map Industry'!$A$2:$H$464,8,0)</f>
        <v>Pembelian &amp; Pengumpulan Brg. Dagangan Dlm.Neg. : Kopi - 6323</v>
      </c>
    </row>
    <row r="706" spans="2:8" ht="30" hidden="1" x14ac:dyDescent="0.25">
      <c r="B706" s="423" t="str">
        <f t="shared" si="4"/>
        <v>Comodity Industry</v>
      </c>
      <c r="C706" s="423" t="str">
        <f t="shared" si="5"/>
        <v>Perdagangan Dalam Negeri Teh</v>
      </c>
      <c r="D706" s="424" t="s">
        <v>4977</v>
      </c>
      <c r="E706" s="425" t="str">
        <f>VLOOKUP($D706,'Tabel Map Industry'!$A$2:$H$464,2,0)</f>
        <v>Perdagangan Dalam Negeri Teh</v>
      </c>
      <c r="F706" s="426" t="str">
        <f>VLOOKUP($D706,'Tabel Map Industry'!$A$2:$H$464,3,0)</f>
        <v>COMODITY INDUSTRY</v>
      </c>
      <c r="G706" s="426" t="str">
        <f>VLOOKUP($D706,'Tabel Map Industry'!$A$2:$H$464,4,0)</f>
        <v>Perdagangan Dalam Negeri Teh - 512204</v>
      </c>
      <c r="H706" s="426" t="str">
        <f>VLOOKUP($D706,'Tabel Map Industry'!$A$2:$H$464,8,0)</f>
        <v>Pembelian &amp; Pengumpulan Brg. Dagangan Dlm.Neg. : Teh - 6324</v>
      </c>
    </row>
    <row r="707" spans="2:8" ht="30" hidden="1" x14ac:dyDescent="0.25">
      <c r="B707" s="418" t="str">
        <f t="shared" si="4"/>
        <v>Comodity Industry</v>
      </c>
      <c r="C707" s="418" t="str">
        <f t="shared" si="5"/>
        <v>Perdagangan Dalam Negeri Kopra</v>
      </c>
      <c r="D707" s="419" t="s">
        <v>4978</v>
      </c>
      <c r="E707" s="420" t="str">
        <f>VLOOKUP($D707,'Tabel Map Industry'!$A$2:$H$464,2,0)</f>
        <v>Perdagangan Dalam Negeri Kopra</v>
      </c>
      <c r="F707" s="421" t="str">
        <f>VLOOKUP($D707,'Tabel Map Industry'!$A$2:$H$464,3,0)</f>
        <v>COMODITY INDUSTRY</v>
      </c>
      <c r="G707" s="421" t="str">
        <f>VLOOKUP($D707,'Tabel Map Industry'!$A$2:$H$464,4,0)</f>
        <v>Perdagangan Dalam Negeri Kopra - 512207</v>
      </c>
      <c r="H707" s="421" t="str">
        <f>VLOOKUP($D707,'Tabel Map Industry'!$A$2:$H$464,8,0)</f>
        <v>Pembelian &amp; Pengumpulan Brg. Dagangan Dlm.Neg. : Kopra - 6319</v>
      </c>
    </row>
    <row r="708" spans="2:8" ht="30" hidden="1" x14ac:dyDescent="0.25">
      <c r="B708" s="423" t="str">
        <f t="shared" si="4"/>
        <v>Comodity Industry</v>
      </c>
      <c r="C708" s="423" t="str">
        <f t="shared" si="5"/>
        <v>Perdagangan Ekspor Bahan Baku Hasil Pertanian Lainnya</v>
      </c>
      <c r="D708" s="424" t="s">
        <v>4981</v>
      </c>
      <c r="E708" s="425" t="str">
        <f>VLOOKUP($D708,'Tabel Map Industry'!$A$2:$H$464,2,0)</f>
        <v>Perdagangan Ekspor Bahan Baku Hasil Pertanian Lainnya</v>
      </c>
      <c r="F708" s="426" t="str">
        <f>VLOOKUP($D708,'Tabel Map Industry'!$A$2:$H$464,3,0)</f>
        <v>COMODITY INDUSTRY</v>
      </c>
      <c r="G708" s="426" t="str">
        <f>VLOOKUP($D708,'Tabel Map Industry'!$A$2:$H$464,4,0)</f>
        <v>Perdagangan Ekspor Bahan Baku Hasil Pertanian Lainnya - 532119</v>
      </c>
      <c r="H708" s="426" t="str">
        <f>VLOOKUP($D708,'Tabel Map Industry'!$A$2:$H$464,8,0)</f>
        <v>Ekspor Bahan Baku Hasil Tanaman Pangan &amp; Perkebunan - 6115</v>
      </c>
    </row>
    <row r="709" spans="2:8" ht="45" hidden="1" x14ac:dyDescent="0.25">
      <c r="B709" s="418" t="str">
        <f t="shared" si="4"/>
        <v>Comodity Industry</v>
      </c>
      <c r="C709" s="418" t="str">
        <f t="shared" si="5"/>
        <v>Perdagangan Ekspor Hasil Pertanian, Perkebunan, dan Kehutanan Lainnya</v>
      </c>
      <c r="D709" s="419" t="s">
        <v>4982</v>
      </c>
      <c r="E709" s="420" t="str">
        <f>VLOOKUP($D709,'Tabel Map Industry'!$A$2:$H$464,2,0)</f>
        <v>Perdagangan Ekspor Hasil Pertanian, Perkebunan, dan Kehutanan Lainnya</v>
      </c>
      <c r="F709" s="421" t="str">
        <f>VLOOKUP($D709,'Tabel Map Industry'!$A$2:$H$464,3,0)</f>
        <v>COMODITY INDUSTRY</v>
      </c>
      <c r="G709" s="421" t="str">
        <f>VLOOKUP($D709,'Tabel Map Industry'!$A$2:$H$464,4,0)</f>
        <v>Perdagangan Ekspor Hasil Pertanian, Perkebunan, dan Kehutanan Lainnya - 539019</v>
      </c>
      <c r="H709" s="421" t="str">
        <f>VLOOKUP($D709,'Tabel Map Industry'!$A$2:$H$464,8,0)</f>
        <v>Ekspor Barang Setengah Jadi Hasil Tnm.Pangan &amp; Perkebunan Lainnya - 6139</v>
      </c>
    </row>
    <row r="710" spans="2:8" ht="45" hidden="1" x14ac:dyDescent="0.25">
      <c r="B710" s="423" t="str">
        <f t="shared" si="4"/>
        <v>Comodity Industry</v>
      </c>
      <c r="C710" s="423" t="str">
        <f t="shared" si="5"/>
        <v>Perdagangan Impor Bahan Baku Hasil Pertanian, dan Binatang Hidup Lainnya</v>
      </c>
      <c r="D710" s="424" t="s">
        <v>4983</v>
      </c>
      <c r="E710" s="425" t="str">
        <f>VLOOKUP($D710,'Tabel Map Industry'!$A$2:$H$464,2,0)</f>
        <v>Perdagangan Impor Bahan Baku Hasil Pertanian, dan Binatang Hidup Lainnya</v>
      </c>
      <c r="F710" s="426" t="str">
        <f>VLOOKUP($D710,'Tabel Map Industry'!$A$2:$H$464,3,0)</f>
        <v>COMODITY INDUSTRY</v>
      </c>
      <c r="G710" s="426" t="str">
        <f>VLOOKUP($D710,'Tabel Map Industry'!$A$2:$H$464,4,0)</f>
        <v>Perdagangan Impor Bahan Baku Hasil Pertanian, dan Binatang Hidup Lainnya - 542109</v>
      </c>
      <c r="H710" s="426" t="str">
        <f>VLOOKUP($D710,'Tabel Map Industry'!$A$2:$H$464,8,0)</f>
        <v>Impor dlm.rangka Bantuan Luar Negeri - Lainnya - 6219</v>
      </c>
    </row>
    <row r="711" spans="2:8" ht="30" hidden="1" x14ac:dyDescent="0.25">
      <c r="B711" s="418" t="str">
        <f t="shared" si="4"/>
        <v>Comodity Industry</v>
      </c>
      <c r="C711" s="418" t="str">
        <f t="shared" si="5"/>
        <v>Perdagangan Kapas</v>
      </c>
      <c r="D711" s="419" t="s">
        <v>4984</v>
      </c>
      <c r="E711" s="420" t="str">
        <f>VLOOKUP($D711,'Tabel Map Industry'!$A$2:$H$464,2,0)</f>
        <v>Perdagangan Kapas</v>
      </c>
      <c r="F711" s="421" t="str">
        <f>VLOOKUP($D711,'Tabel Map Industry'!$A$2:$H$464,3,0)</f>
        <v>COMODITY INDUSTRY</v>
      </c>
      <c r="G711" s="421" t="str">
        <f>VLOOKUP($D711,'Tabel Map Industry'!$A$2:$H$464,4,0)</f>
        <v>Perdagangan Kapas - 512117</v>
      </c>
      <c r="H711" s="421" t="str">
        <f>VLOOKUP($D711,'Tabel Map Industry'!$A$2:$H$464,8,0)</f>
        <v>Pembelian &amp; Pengumpulan Brg. Dagangan Dlm.Neg. : Kapas - 6318</v>
      </c>
    </row>
    <row r="712" spans="2:8" ht="30" hidden="1" x14ac:dyDescent="0.25">
      <c r="B712" s="423" t="str">
        <f t="shared" si="4"/>
        <v>Comodity Industry</v>
      </c>
      <c r="C712" s="423" t="str">
        <f t="shared" si="5"/>
        <v xml:space="preserve">lndustri Pengeringan dan Pengolahan Tembakau </v>
      </c>
      <c r="D712" s="424" t="s">
        <v>5064</v>
      </c>
      <c r="E712" s="425" t="str">
        <f>VLOOKUP($D712,'Tabel Map Industry'!$A$2:$H$464,2,0)</f>
        <v xml:space="preserve">lndustri Pengeringan dan Pengolahan Tembakau </v>
      </c>
      <c r="F712" s="426" t="str">
        <f>VLOOKUP($D712,'Tabel Map Industry'!$A$2:$H$464,3,0)</f>
        <v>COMODITY INDUSTRY</v>
      </c>
      <c r="G712" s="426" t="str">
        <f>VLOOKUP($D712,'Tabel Map Industry'!$A$2:$H$464,4,0)</f>
        <v>lndustri Pengeringan dan Pengolahan Tembakau  - 160010</v>
      </c>
      <c r="H712" s="426" t="str">
        <f>VLOOKUP($D712,'Tabel Map Industry'!$A$2:$H$464,8,0)</f>
        <v>Industri - Tembakau - 3170</v>
      </c>
    </row>
    <row r="713" spans="2:8" ht="30" hidden="1" x14ac:dyDescent="0.25">
      <c r="B713" s="418" t="str">
        <f t="shared" si="4"/>
        <v>Construction</v>
      </c>
      <c r="C713" s="418" t="str">
        <f t="shared" si="5"/>
        <v>Konstruksi Gedung Perbelanjaan Lainnya</v>
      </c>
      <c r="D713" s="419" t="s">
        <v>4985</v>
      </c>
      <c r="E713" s="420" t="str">
        <f>VLOOKUP($D713,'Tabel Map Industry'!$A$2:$H$464,2,0)</f>
        <v>Konstruksi Gedung Perbelanjaan Lainnya</v>
      </c>
      <c r="F713" s="421" t="str">
        <f>VLOOKUP($D713,'Tabel Map Industry'!$A$2:$H$464,3,0)</f>
        <v>CONSTRUCTION</v>
      </c>
      <c r="G713" s="421" t="str">
        <f>VLOOKUP($D713,'Tabel Map Industry'!$A$2:$H$464,4,0)</f>
        <v>Konstruksi Gedung Perbelanjaan Lainnya - 452149</v>
      </c>
      <c r="H713" s="421" t="str">
        <f>VLOOKUP($D713,'Tabel Map Industry'!$A$2:$H$464,8,0)</f>
        <v>Konstruksi - Lainnya - 5990</v>
      </c>
    </row>
    <row r="714" spans="2:8" ht="30" hidden="1" x14ac:dyDescent="0.25">
      <c r="B714" s="423" t="str">
        <f t="shared" si="4"/>
        <v>Construction</v>
      </c>
      <c r="C714" s="423" t="str">
        <f t="shared" si="5"/>
        <v>Penyiapan Tanah Pemukiman Transmigrasi (PTPT)</v>
      </c>
      <c r="D714" s="424" t="s">
        <v>4986</v>
      </c>
      <c r="E714" s="425" t="str">
        <f>VLOOKUP($D714,'Tabel Map Industry'!$A$2:$H$464,2,0)</f>
        <v>Penyiapan Tanah Pemukiman Transmigrasi (PTPT)</v>
      </c>
      <c r="F714" s="426" t="str">
        <f>VLOOKUP($D714,'Tabel Map Industry'!$A$2:$H$464,3,0)</f>
        <v>CONSTRUCTION</v>
      </c>
      <c r="G714" s="426" t="str">
        <f>VLOOKUP($D714,'Tabel Map Industry'!$A$2:$H$464,4,0)</f>
        <v>Penyiapan Tanah Pemukiman Transmigrasi (PTPT) - 451001</v>
      </c>
      <c r="H714" s="426" t="str">
        <f>VLOOKUP($D714,'Tabel Map Industry'!$A$2:$H$464,8,0)</f>
        <v>Konstruksi - Penyiapan Tanah Pemukiman Transmigrasi - 5300</v>
      </c>
    </row>
    <row r="715" spans="2:8" hidden="1" x14ac:dyDescent="0.25">
      <c r="B715" s="418" t="str">
        <f t="shared" si="4"/>
        <v>Construction</v>
      </c>
      <c r="C715" s="418" t="str">
        <f t="shared" si="5"/>
        <v>Pencetakan Lahan Sawah</v>
      </c>
      <c r="D715" s="419" t="s">
        <v>4987</v>
      </c>
      <c r="E715" s="420" t="str">
        <f>VLOOKUP($D715,'Tabel Map Industry'!$A$2:$H$464,2,0)</f>
        <v>Pencetakan Lahan Sawah</v>
      </c>
      <c r="F715" s="421" t="str">
        <f>VLOOKUP($D715,'Tabel Map Industry'!$A$2:$H$464,3,0)</f>
        <v>CONSTRUCTION</v>
      </c>
      <c r="G715" s="421" t="str">
        <f>VLOOKUP($D715,'Tabel Map Industry'!$A$2:$H$464,4,0)</f>
        <v>Pencetakan Lahan Sawah - 451002</v>
      </c>
      <c r="H715" s="421" t="str">
        <f>VLOOKUP($D715,'Tabel Map Industry'!$A$2:$H$464,8,0)</f>
        <v>Konstruksi - Pencetakan Sawah - 5400</v>
      </c>
    </row>
    <row r="716" spans="2:8" ht="30" hidden="1" x14ac:dyDescent="0.25">
      <c r="B716" s="423" t="str">
        <f t="shared" si="4"/>
        <v>Construction</v>
      </c>
      <c r="C716" s="423" t="str">
        <f t="shared" si="5"/>
        <v>Konstruksi Perumahan Sederhana - Bank Tabungan Negara</v>
      </c>
      <c r="D716" s="424" t="s">
        <v>4989</v>
      </c>
      <c r="E716" s="425" t="str">
        <f>VLOOKUP($D716,'Tabel Map Industry'!$A$2:$H$464,2,0)</f>
        <v>Konstruksi Perumahan Sederhana - Bank Tabungan Negara</v>
      </c>
      <c r="F716" s="426" t="str">
        <f>VLOOKUP($D716,'Tabel Map Industry'!$A$2:$H$464,3,0)</f>
        <v>CONSTRUCTION</v>
      </c>
      <c r="G716" s="426" t="str">
        <f>VLOOKUP($D716,'Tabel Map Industry'!$A$2:$H$464,4,0)</f>
        <v>Konstruksi Perumahan Sederhana - Bank Tabungan Negara - 452111</v>
      </c>
      <c r="H716" s="426" t="str">
        <f>VLOOKUP($D716,'Tabel Map Industry'!$A$2:$H$464,8,0)</f>
        <v>Konstruksi - Perumahan Sederhana BTN - 5110</v>
      </c>
    </row>
    <row r="717" spans="2:8" ht="30" hidden="1" x14ac:dyDescent="0.25">
      <c r="B717" s="418" t="str">
        <f t="shared" si="4"/>
        <v>Construction</v>
      </c>
      <c r="C717" s="418" t="str">
        <f t="shared" si="5"/>
        <v>Konstruksi Perumahan Sederhana - Perumnas</v>
      </c>
      <c r="D717" s="419" t="s">
        <v>4990</v>
      </c>
      <c r="E717" s="420" t="str">
        <f>VLOOKUP($D717,'Tabel Map Industry'!$A$2:$H$464,2,0)</f>
        <v>Konstruksi Perumahan Sederhana - Perumnas</v>
      </c>
      <c r="F717" s="421" t="str">
        <f>VLOOKUP($D717,'Tabel Map Industry'!$A$2:$H$464,3,0)</f>
        <v>CONSTRUCTION</v>
      </c>
      <c r="G717" s="421" t="str">
        <f>VLOOKUP($D717,'Tabel Map Industry'!$A$2:$H$464,4,0)</f>
        <v>Konstruksi Perumahan Sederhana - Perumnas - 452112</v>
      </c>
      <c r="H717" s="421" t="str">
        <f>VLOOKUP($D717,'Tabel Map Industry'!$A$2:$H$464,8,0)</f>
        <v>Konstruksi - Perumahan Sederhana PERUMNAS - 5120</v>
      </c>
    </row>
    <row r="718" spans="2:8" ht="30" hidden="1" x14ac:dyDescent="0.25">
      <c r="B718" s="423" t="str">
        <f t="shared" si="4"/>
        <v>Construction</v>
      </c>
      <c r="C718" s="423" t="str">
        <f t="shared" si="5"/>
        <v>Konstruksi Perumahan Sederhana - Lainnya Tipe s.d. 21</v>
      </c>
      <c r="D718" s="424" t="s">
        <v>4991</v>
      </c>
      <c r="E718" s="425" t="str">
        <f>VLOOKUP($D718,'Tabel Map Industry'!$A$2:$H$464,2,0)</f>
        <v>Konstruksi Perumahan Sederhana - Lainnya Tipe s.d. 21</v>
      </c>
      <c r="F718" s="426" t="str">
        <f>VLOOKUP($D718,'Tabel Map Industry'!$A$2:$H$464,3,0)</f>
        <v>CONSTRUCTION</v>
      </c>
      <c r="G718" s="426" t="str">
        <f>VLOOKUP($D718,'Tabel Map Industry'!$A$2:$H$464,4,0)</f>
        <v>Konstruksi Perumahan Sederhana - Lainnya Tipe s.d. 21 - 452113</v>
      </c>
      <c r="H718" s="426" t="str">
        <f>VLOOKUP($D718,'Tabel Map Industry'!$A$2:$H$464,8,0)</f>
        <v>Konstruksi - Perumahan Sederhana lainnya - 5190</v>
      </c>
    </row>
    <row r="719" spans="2:8" ht="30" hidden="1" x14ac:dyDescent="0.25">
      <c r="B719" s="418" t="str">
        <f t="shared" si="4"/>
        <v>Construction</v>
      </c>
      <c r="C719" s="418" t="str">
        <f t="shared" si="5"/>
        <v>Konstruksi Perumahan Menengah, Besar, Mewah (Tipe Diatas 70)</v>
      </c>
      <c r="D719" s="419" t="s">
        <v>4993</v>
      </c>
      <c r="E719" s="420" t="str">
        <f>VLOOKUP($D719,'Tabel Map Industry'!$A$2:$H$464,2,0)</f>
        <v>Konstruksi Perumahan Menengah, Besar, Mewah (Tipe Diatas 70)</v>
      </c>
      <c r="F719" s="421" t="str">
        <f>VLOOKUP($D719,'Tabel Map Industry'!$A$2:$H$464,3,0)</f>
        <v>CONSTRUCTION</v>
      </c>
      <c r="G719" s="421" t="str">
        <f>VLOOKUP($D719,'Tabel Map Industry'!$A$2:$H$464,4,0)</f>
        <v>Konstruksi Perumahan Menengah, Besar, Mewah (Tipe Diatas 70) - 452115</v>
      </c>
      <c r="H719" s="421" t="str">
        <f>VLOOKUP($D719,'Tabel Map Industry'!$A$2:$H$464,8,0)</f>
        <v>Konstruksi - Lainnya - 5990</v>
      </c>
    </row>
    <row r="720" spans="2:8" hidden="1" x14ac:dyDescent="0.25">
      <c r="B720" s="423" t="str">
        <f t="shared" si="4"/>
        <v>Construction</v>
      </c>
      <c r="C720" s="423" t="str">
        <f t="shared" si="5"/>
        <v xml:space="preserve">Konstruksi Gedung Perkantoran </v>
      </c>
      <c r="D720" s="424" t="s">
        <v>4994</v>
      </c>
      <c r="E720" s="425" t="str">
        <f>VLOOKUP($D720,'Tabel Map Industry'!$A$2:$H$464,2,0)</f>
        <v xml:space="preserve">Konstruksi Gedung Perkantoran </v>
      </c>
      <c r="F720" s="426" t="str">
        <f>VLOOKUP($D720,'Tabel Map Industry'!$A$2:$H$464,3,0)</f>
        <v>CONSTRUCTION</v>
      </c>
      <c r="G720" s="426" t="str">
        <f>VLOOKUP($D720,'Tabel Map Industry'!$A$2:$H$464,4,0)</f>
        <v>Konstruksi Gedung Perkantoran  - 452120</v>
      </c>
      <c r="H720" s="426" t="str">
        <f>VLOOKUP($D720,'Tabel Map Industry'!$A$2:$H$464,8,0)</f>
        <v>Konstruksi - Lainnya - 5990</v>
      </c>
    </row>
    <row r="721" spans="2:8" hidden="1" x14ac:dyDescent="0.25">
      <c r="B721" s="418" t="str">
        <f t="shared" si="4"/>
        <v>Construction</v>
      </c>
      <c r="C721" s="418" t="str">
        <f t="shared" si="5"/>
        <v xml:space="preserve">Konstruksi Gedung Industri </v>
      </c>
      <c r="D721" s="419" t="s">
        <v>4995</v>
      </c>
      <c r="E721" s="420" t="str">
        <f>VLOOKUP($D721,'Tabel Map Industry'!$A$2:$H$464,2,0)</f>
        <v xml:space="preserve">Konstruksi Gedung Industri </v>
      </c>
      <c r="F721" s="421" t="str">
        <f>VLOOKUP($D721,'Tabel Map Industry'!$A$2:$H$464,3,0)</f>
        <v>CONSTRUCTION</v>
      </c>
      <c r="G721" s="421" t="str">
        <f>VLOOKUP($D721,'Tabel Map Industry'!$A$2:$H$464,4,0)</f>
        <v>Konstruksi Gedung Industri  - 452130</v>
      </c>
      <c r="H721" s="421" t="str">
        <f>VLOOKUP($D721,'Tabel Map Industry'!$A$2:$H$464,8,0)</f>
        <v>Konstruksi - Lainnya - 5990</v>
      </c>
    </row>
    <row r="722" spans="2:8" ht="30" hidden="1" x14ac:dyDescent="0.25">
      <c r="B722" s="423" t="str">
        <f t="shared" ref="B722:B785" si="6">PROPER(F722)</f>
        <v>Construction</v>
      </c>
      <c r="C722" s="423" t="str">
        <f t="shared" ref="C722:C785" si="7">E722</f>
        <v>Konstruksi Gedung Perbelanjaan Pasar Inpres</v>
      </c>
      <c r="D722" s="424" t="s">
        <v>4996</v>
      </c>
      <c r="E722" s="425" t="str">
        <f>VLOOKUP($D722,'Tabel Map Industry'!$A$2:$H$464,2,0)</f>
        <v>Konstruksi Gedung Perbelanjaan Pasar Inpres</v>
      </c>
      <c r="F722" s="426" t="str">
        <f>VLOOKUP($D722,'Tabel Map Industry'!$A$2:$H$464,3,0)</f>
        <v>CONSTRUCTION</v>
      </c>
      <c r="G722" s="426" t="str">
        <f>VLOOKUP($D722,'Tabel Map Industry'!$A$2:$H$464,4,0)</f>
        <v>Konstruksi Gedung Perbelanjaan Pasar Inpres - 452141</v>
      </c>
      <c r="H722" s="426" t="str">
        <f>VLOOKUP($D722,'Tabel Map Industry'!$A$2:$H$464,8,0)</f>
        <v>Konstruksi - Pasar Inpres - 5200</v>
      </c>
    </row>
    <row r="723" spans="2:8" ht="30" hidden="1" x14ac:dyDescent="0.25">
      <c r="B723" s="418" t="str">
        <f t="shared" si="6"/>
        <v>Construction</v>
      </c>
      <c r="C723" s="418" t="str">
        <f t="shared" si="7"/>
        <v>Bangunan Jalan Tol</v>
      </c>
      <c r="D723" s="419" t="s">
        <v>4999</v>
      </c>
      <c r="E723" s="420" t="str">
        <f>VLOOKUP($D723,'Tabel Map Industry'!$A$2:$H$464,2,0)</f>
        <v>Bangunan Jalan Tol</v>
      </c>
      <c r="F723" s="421" t="str">
        <f>VLOOKUP($D723,'Tabel Map Industry'!$A$2:$H$464,3,0)</f>
        <v>CONSTRUCTION</v>
      </c>
      <c r="G723" s="421" t="str">
        <f>VLOOKUP($D723,'Tabel Map Industry'!$A$2:$H$464,4,0)</f>
        <v>Bangunan Jalan Tol - 452212</v>
      </c>
      <c r="H723" s="421" t="str">
        <f>VLOOKUP($D723,'Tabel Map Industry'!$A$2:$H$464,8,0)</f>
        <v>Konstruksi - Jalan Raya dan Jembatan - 5500</v>
      </c>
    </row>
    <row r="724" spans="2:8" ht="30" hidden="1" x14ac:dyDescent="0.25">
      <c r="B724" s="423" t="str">
        <f t="shared" si="6"/>
        <v>Construction</v>
      </c>
      <c r="C724" s="423" t="str">
        <f t="shared" si="7"/>
        <v>Bangunan Jalan Jembatan dan Landasan</v>
      </c>
      <c r="D724" s="424" t="s">
        <v>5000</v>
      </c>
      <c r="E724" s="425" t="str">
        <f>VLOOKUP($D724,'Tabel Map Industry'!$A$2:$H$464,2,0)</f>
        <v>Bangunan Jalan Jembatan dan Landasan</v>
      </c>
      <c r="F724" s="426" t="str">
        <f>VLOOKUP($D724,'Tabel Map Industry'!$A$2:$H$464,3,0)</f>
        <v>CONSTRUCTION</v>
      </c>
      <c r="G724" s="426" t="str">
        <f>VLOOKUP($D724,'Tabel Map Industry'!$A$2:$H$464,4,0)</f>
        <v>Bangunan Jalan Jembatan dan Landasan - 452213</v>
      </c>
      <c r="H724" s="426" t="str">
        <f>VLOOKUP($D724,'Tabel Map Industry'!$A$2:$H$464,8,0)</f>
        <v>Konstruksi - Jalan Raya dan Jembatan - 5500</v>
      </c>
    </row>
    <row r="725" spans="2:8" ht="30" hidden="1" x14ac:dyDescent="0.25">
      <c r="B725" s="418" t="str">
        <f t="shared" si="6"/>
        <v>Construction</v>
      </c>
      <c r="C725" s="418" t="str">
        <f t="shared" si="7"/>
        <v xml:space="preserve">Bangunan Jalan dan Jembatan Kereta Api </v>
      </c>
      <c r="D725" s="419" t="s">
        <v>5001</v>
      </c>
      <c r="E725" s="420" t="str">
        <f>VLOOKUP($D725,'Tabel Map Industry'!$A$2:$H$464,2,0)</f>
        <v xml:space="preserve">Bangunan Jalan dan Jembatan Kereta Api </v>
      </c>
      <c r="F725" s="421" t="str">
        <f>VLOOKUP($D725,'Tabel Map Industry'!$A$2:$H$464,3,0)</f>
        <v>CONSTRUCTION</v>
      </c>
      <c r="G725" s="421" t="str">
        <f>VLOOKUP($D725,'Tabel Map Industry'!$A$2:$H$464,4,0)</f>
        <v>Bangunan Jalan dan Jembatan Kereta Api  - 452220</v>
      </c>
      <c r="H725" s="421" t="str">
        <f>VLOOKUP($D725,'Tabel Map Industry'!$A$2:$H$464,8,0)</f>
        <v>Konstruksi - Jalan Raya dan Jembatan - 5500</v>
      </c>
    </row>
    <row r="726" spans="2:8" hidden="1" x14ac:dyDescent="0.25">
      <c r="B726" s="423" t="str">
        <f t="shared" si="6"/>
        <v>Construction</v>
      </c>
      <c r="C726" s="423" t="str">
        <f t="shared" si="7"/>
        <v>Bangunan Dermaga (Pelabuhan)</v>
      </c>
      <c r="D726" s="424" t="s">
        <v>5003</v>
      </c>
      <c r="E726" s="425" t="str">
        <f>VLOOKUP($D726,'Tabel Map Industry'!$A$2:$H$464,2,0)</f>
        <v>Bangunan Dermaga (Pelabuhan)</v>
      </c>
      <c r="F726" s="426" t="str">
        <f>VLOOKUP($D726,'Tabel Map Industry'!$A$2:$H$464,3,0)</f>
        <v>CONSTRUCTION</v>
      </c>
      <c r="G726" s="426" t="str">
        <f>VLOOKUP($D726,'Tabel Map Industry'!$A$2:$H$464,4,0)</f>
        <v>Bangunan Dermaga (Pelabuhan) - 452270</v>
      </c>
      <c r="H726" s="426" t="str">
        <f>VLOOKUP($D726,'Tabel Map Industry'!$A$2:$H$464,8,0)</f>
        <v>Konstruksi - Pelabuhan - 5600</v>
      </c>
    </row>
    <row r="727" spans="2:8" ht="30" hidden="1" x14ac:dyDescent="0.25">
      <c r="B727" s="418" t="str">
        <f t="shared" si="6"/>
        <v>Construction</v>
      </c>
      <c r="C727" s="418" t="str">
        <f t="shared" si="7"/>
        <v>Konstruksi Bangunan Listrik Pedesaan</v>
      </c>
      <c r="D727" s="419" t="s">
        <v>5005</v>
      </c>
      <c r="E727" s="420" t="str">
        <f>VLOOKUP($D727,'Tabel Map Industry'!$A$2:$H$464,2,0)</f>
        <v>Konstruksi Bangunan Listrik Pedesaan</v>
      </c>
      <c r="F727" s="421" t="str">
        <f>VLOOKUP($D727,'Tabel Map Industry'!$A$2:$H$464,3,0)</f>
        <v>CONSTRUCTION</v>
      </c>
      <c r="G727" s="421" t="str">
        <f>VLOOKUP($D727,'Tabel Map Industry'!$A$2:$H$464,4,0)</f>
        <v>Konstruksi Bangunan Listrik Pedesaan - 452301</v>
      </c>
      <c r="H727" s="421" t="str">
        <f>VLOOKUP($D727,'Tabel Map Industry'!$A$2:$H$464,8,0)</f>
        <v>Konstruksi - Listrik Pedesaan - 5810</v>
      </c>
    </row>
    <row r="728" spans="2:8" hidden="1" x14ac:dyDescent="0.25">
      <c r="B728" s="423" t="str">
        <f t="shared" si="6"/>
        <v>Construction</v>
      </c>
      <c r="C728" s="423" t="str">
        <f t="shared" si="7"/>
        <v xml:space="preserve">Instalasi Gedung </v>
      </c>
      <c r="D728" s="424" t="s">
        <v>5008</v>
      </c>
      <c r="E728" s="425" t="str">
        <f>VLOOKUP($D728,'Tabel Map Industry'!$A$2:$H$464,2,0)</f>
        <v xml:space="preserve">Instalasi Gedung </v>
      </c>
      <c r="F728" s="426" t="str">
        <f>VLOOKUP($D728,'Tabel Map Industry'!$A$2:$H$464,3,0)</f>
        <v>CONSTRUCTION</v>
      </c>
      <c r="G728" s="426" t="str">
        <f>VLOOKUP($D728,'Tabel Map Industry'!$A$2:$H$464,4,0)</f>
        <v>Instalasi Gedung  - 453100</v>
      </c>
      <c r="H728" s="426" t="str">
        <f>VLOOKUP($D728,'Tabel Map Industry'!$A$2:$H$464,8,0)</f>
        <v>Konstruksi - Lainnya - 5990</v>
      </c>
    </row>
    <row r="729" spans="2:8" hidden="1" x14ac:dyDescent="0.25">
      <c r="B729" s="418" t="str">
        <f t="shared" si="6"/>
        <v>Construction</v>
      </c>
      <c r="C729" s="418" t="str">
        <f t="shared" si="7"/>
        <v xml:space="preserve">Instalasi Bangunan Sipil </v>
      </c>
      <c r="D729" s="419" t="s">
        <v>5009</v>
      </c>
      <c r="E729" s="420" t="str">
        <f>VLOOKUP($D729,'Tabel Map Industry'!$A$2:$H$464,2,0)</f>
        <v xml:space="preserve">Instalasi Bangunan Sipil </v>
      </c>
      <c r="F729" s="421" t="str">
        <f>VLOOKUP($D729,'Tabel Map Industry'!$A$2:$H$464,3,0)</f>
        <v>CONSTRUCTION</v>
      </c>
      <c r="G729" s="421" t="str">
        <f>VLOOKUP($D729,'Tabel Map Industry'!$A$2:$H$464,4,0)</f>
        <v>Instalasi Bangunan Sipil  - 453200</v>
      </c>
      <c r="H729" s="421" t="str">
        <f>VLOOKUP($D729,'Tabel Map Industry'!$A$2:$H$464,8,0)</f>
        <v>Konstruksi - Lainnya - 5990</v>
      </c>
    </row>
    <row r="730" spans="2:8" ht="30" hidden="1" x14ac:dyDescent="0.25">
      <c r="B730" s="423" t="str">
        <f t="shared" si="6"/>
        <v>Construction</v>
      </c>
      <c r="C730" s="423" t="str">
        <f t="shared" si="7"/>
        <v xml:space="preserve">Penyelesaian Konstruksi Gedung </v>
      </c>
      <c r="D730" s="424" t="s">
        <v>5010</v>
      </c>
      <c r="E730" s="425" t="str">
        <f>VLOOKUP($D730,'Tabel Map Industry'!$A$2:$H$464,2,0)</f>
        <v xml:space="preserve">Penyelesaian Konstruksi Gedung </v>
      </c>
      <c r="F730" s="426" t="str">
        <f>VLOOKUP($D730,'Tabel Map Industry'!$A$2:$H$464,3,0)</f>
        <v>CONSTRUCTION</v>
      </c>
      <c r="G730" s="426" t="str">
        <f>VLOOKUP($D730,'Tabel Map Industry'!$A$2:$H$464,4,0)</f>
        <v>Penyelesaian Konstruksi Gedung  - 454000</v>
      </c>
      <c r="H730" s="426" t="str">
        <f>VLOOKUP($D730,'Tabel Map Industry'!$A$2:$H$464,8,0)</f>
        <v>Konstruksi - Lainnya - 5990</v>
      </c>
    </row>
    <row r="731" spans="2:8" ht="30" hidden="1" x14ac:dyDescent="0.25">
      <c r="B731" s="418" t="str">
        <f t="shared" si="6"/>
        <v>Construction</v>
      </c>
      <c r="C731" s="418" t="str">
        <f t="shared" si="7"/>
        <v xml:space="preserve">Penghancur Bangunan Dengan Operatornya </v>
      </c>
      <c r="D731" s="419" t="s">
        <v>5011</v>
      </c>
      <c r="E731" s="420" t="str">
        <f>VLOOKUP($D731,'Tabel Map Industry'!$A$2:$H$464,2,0)</f>
        <v xml:space="preserve">Penghancur Bangunan Dengan Operatornya </v>
      </c>
      <c r="F731" s="421" t="str">
        <f>VLOOKUP($D731,'Tabel Map Industry'!$A$2:$H$464,3,0)</f>
        <v>CONSTRUCTION</v>
      </c>
      <c r="G731" s="421" t="str">
        <f>VLOOKUP($D731,'Tabel Map Industry'!$A$2:$H$464,4,0)</f>
        <v>Penghancur Bangunan Dengan Operatornya  - 455000</v>
      </c>
      <c r="H731" s="421" t="str">
        <f>VLOOKUP($D731,'Tabel Map Industry'!$A$2:$H$464,8,0)</f>
        <v>Konstruksi - Lainnya - 5990</v>
      </c>
    </row>
    <row r="732" spans="2:8" ht="30" hidden="1" x14ac:dyDescent="0.25">
      <c r="B732" s="423" t="str">
        <f t="shared" si="6"/>
        <v>Construction</v>
      </c>
      <c r="C732" s="423" t="str">
        <f t="shared" si="7"/>
        <v>Perdagangan Ekspor Jasa Konstruksi</v>
      </c>
      <c r="D732" s="424" t="s">
        <v>5013</v>
      </c>
      <c r="E732" s="425" t="str">
        <f>VLOOKUP($D732,'Tabel Map Industry'!$A$2:$H$464,2,0)</f>
        <v>Perdagangan Ekspor Jasa Konstruksi</v>
      </c>
      <c r="F732" s="426" t="str">
        <f>VLOOKUP($D732,'Tabel Map Industry'!$A$2:$H$464,3,0)</f>
        <v>CONSTRUCTION</v>
      </c>
      <c r="G732" s="426" t="str">
        <f>VLOOKUP($D732,'Tabel Map Industry'!$A$2:$H$464,4,0)</f>
        <v>Perdagangan Ekspor Jasa Konstruksi - 539034</v>
      </c>
      <c r="H732" s="426" t="str">
        <f>VLOOKUP($D732,'Tabel Map Industry'!$A$2:$H$464,8,0)</f>
        <v>Ekspor Jasa-jasa - Konstruksi - 6180</v>
      </c>
    </row>
    <row r="733" spans="2:8" ht="30" hidden="1" x14ac:dyDescent="0.25">
      <c r="B733" s="418" t="str">
        <f t="shared" si="6"/>
        <v>Construction</v>
      </c>
      <c r="C733" s="418" t="str">
        <f t="shared" si="7"/>
        <v>Perdagangan Impor Bahan-bahan Konstruksi Lainnya</v>
      </c>
      <c r="D733" s="419" t="s">
        <v>5014</v>
      </c>
      <c r="E733" s="420" t="str">
        <f>VLOOKUP($D733,'Tabel Map Industry'!$A$2:$H$464,2,0)</f>
        <v>Perdagangan Impor Bahan-bahan Konstruksi Lainnya</v>
      </c>
      <c r="F733" s="421" t="str">
        <f>VLOOKUP($D733,'Tabel Map Industry'!$A$2:$H$464,3,0)</f>
        <v>CONSTRUCTION</v>
      </c>
      <c r="G733" s="421" t="str">
        <f>VLOOKUP($D733,'Tabel Map Industry'!$A$2:$H$464,4,0)</f>
        <v>Perdagangan Impor Bahan-bahan Konstruksi Lainnya - 544309</v>
      </c>
      <c r="H733" s="421" t="str">
        <f>VLOOKUP($D733,'Tabel Map Industry'!$A$2:$H$464,8,0)</f>
        <v>Impor Bukan dlm.rangka Bantuan Luar Negeri - Lainnya - 6239</v>
      </c>
    </row>
    <row r="734" spans="2:8" ht="45" hidden="1" x14ac:dyDescent="0.25">
      <c r="B734" s="423" t="str">
        <f t="shared" si="6"/>
        <v>Construction</v>
      </c>
      <c r="C734" s="423" t="str">
        <f t="shared" si="7"/>
        <v>Perdagangan Ekspor Bahan-bahan Konstruksi (kecuali Bahan Hasil Penggalian) Lainnya</v>
      </c>
      <c r="D734" s="424" t="s">
        <v>5077</v>
      </c>
      <c r="E734" s="425" t="str">
        <f>VLOOKUP($D734,'Tabel Map Industry'!$A$2:$H$464,2,0)</f>
        <v>Perdagangan Ekspor Bahan-bahan Konstruksi (kecuali Bahan Hasil Penggalian) Lainnya</v>
      </c>
      <c r="F734" s="426" t="str">
        <f>VLOOKUP($D734,'Tabel Map Industry'!$A$2:$H$464,3,0)</f>
        <v>CONSTRUCTION</v>
      </c>
      <c r="G734" s="426" t="str">
        <f>VLOOKUP($D734,'Tabel Map Industry'!$A$2:$H$464,4,0)</f>
        <v>Perdagangan Ekspor Bahan-bahan Konstruksi (kecuali Bahan Hasil Penggalian) Lainnya - 534309</v>
      </c>
      <c r="H734" s="426" t="str">
        <f>VLOOKUP($D734,'Tabel Map Industry'!$A$2:$H$464,8,0)</f>
        <v>Ekspor Jasa-jasa - Lainnya - 6190</v>
      </c>
    </row>
    <row r="735" spans="2:8" ht="30" hidden="1" x14ac:dyDescent="0.25">
      <c r="B735" s="418" t="str">
        <f t="shared" si="6"/>
        <v>Consulting &amp; Service Industry</v>
      </c>
      <c r="C735" s="418" t="str">
        <f t="shared" si="7"/>
        <v>Jasa Penunjang Perantara Keuangan Lainnya</v>
      </c>
      <c r="D735" s="419" t="s">
        <v>5015</v>
      </c>
      <c r="E735" s="420" t="str">
        <f>VLOOKUP($D735,'Tabel Map Industry'!$A$2:$H$464,2,0)</f>
        <v>Jasa Penunjang Perantara Keuangan Lainnya</v>
      </c>
      <c r="F735" s="421" t="str">
        <f>VLOOKUP($D735,'Tabel Map Industry'!$A$2:$H$464,3,0)</f>
        <v>CONSULTING &amp; SERVICE INDUSTRY</v>
      </c>
      <c r="G735" s="421" t="str">
        <f>VLOOKUP($D735,'Tabel Map Industry'!$A$2:$H$464,4,0)</f>
        <v>Jasa Penunjang Perantara Keuangan Lainnya - 671002</v>
      </c>
      <c r="H735" s="421" t="str">
        <f>VLOOKUP($D735,'Tabel Map Industry'!$A$2:$H$464,8,0)</f>
        <v>Jasa-jasa Dunia Usaha - Lainnya - 8900</v>
      </c>
    </row>
    <row r="736" spans="2:8" ht="30" hidden="1" x14ac:dyDescent="0.25">
      <c r="B736" s="423" t="str">
        <f t="shared" si="6"/>
        <v>Consulting &amp; Service Industry</v>
      </c>
      <c r="C736" s="423" t="str">
        <f t="shared" si="7"/>
        <v xml:space="preserve">K.3.1. Jasa Konsultasi Piranti Keras (Hardware Consulting) </v>
      </c>
      <c r="D736" s="424" t="s">
        <v>5016</v>
      </c>
      <c r="E736" s="425" t="str">
        <f>VLOOKUP($D736,'Tabel Map Industry'!$A$2:$H$464,2,0)</f>
        <v xml:space="preserve">K.3.1. Jasa Konsultasi Piranti Keras (Hardware Consulting) </v>
      </c>
      <c r="F736" s="426" t="str">
        <f>VLOOKUP($D736,'Tabel Map Industry'!$A$2:$H$464,3,0)</f>
        <v>CONSULTING &amp; SERVICE INDUSTRY</v>
      </c>
      <c r="G736" s="426" t="str">
        <f>VLOOKUP($D736,'Tabel Map Industry'!$A$2:$H$464,4,0)</f>
        <v>K.3.1. Jasa Konsultasi Piranti Keras (Hardware Consulting)  - 721000</v>
      </c>
      <c r="H736" s="426" t="str">
        <f>VLOOKUP($D736,'Tabel Map Industry'!$A$2:$H$464,8,0)</f>
        <v>Jasa-jasa Dunia Usaha - Lainnya - 8900</v>
      </c>
    </row>
    <row r="737" spans="2:8" ht="30" hidden="1" x14ac:dyDescent="0.25">
      <c r="B737" s="418" t="str">
        <f t="shared" si="6"/>
        <v>Consulting &amp; Service Industry</v>
      </c>
      <c r="C737" s="418" t="str">
        <f t="shared" si="7"/>
        <v xml:space="preserve">K.3.2. Jasa Konsultasi Piranti Lunak (Software Consulting) </v>
      </c>
      <c r="D737" s="419" t="s">
        <v>5017</v>
      </c>
      <c r="E737" s="420" t="str">
        <f>VLOOKUP($D737,'Tabel Map Industry'!$A$2:$H$464,2,0)</f>
        <v xml:space="preserve">K.3.2. Jasa Konsultasi Piranti Lunak (Software Consulting) </v>
      </c>
      <c r="F737" s="421" t="str">
        <f>VLOOKUP($D737,'Tabel Map Industry'!$A$2:$H$464,3,0)</f>
        <v>CONSULTING &amp; SERVICE INDUSTRY</v>
      </c>
      <c r="G737" s="421" t="str">
        <f>VLOOKUP($D737,'Tabel Map Industry'!$A$2:$H$464,4,0)</f>
        <v>K.3.2. Jasa Konsultasi Piranti Lunak (Software Consulting)  - 722000</v>
      </c>
      <c r="H737" s="421" t="str">
        <f>VLOOKUP($D737,'Tabel Map Industry'!$A$2:$H$464,8,0)</f>
        <v>Jasa-jasa Dunia Usaha - Lainnya - 8900</v>
      </c>
    </row>
    <row r="738" spans="2:8" ht="30" hidden="1" x14ac:dyDescent="0.25">
      <c r="B738" s="423" t="str">
        <f t="shared" si="6"/>
        <v>Consulting &amp; Service Industry</v>
      </c>
      <c r="C738" s="423" t="str">
        <f t="shared" si="7"/>
        <v xml:space="preserve">K.3.3. Pengolahan Data </v>
      </c>
      <c r="D738" s="424" t="s">
        <v>5018</v>
      </c>
      <c r="E738" s="425" t="str">
        <f>VLOOKUP($D738,'Tabel Map Industry'!$A$2:$H$464,2,0)</f>
        <v xml:space="preserve">K.3.3. Pengolahan Data </v>
      </c>
      <c r="F738" s="426" t="str">
        <f>VLOOKUP($D738,'Tabel Map Industry'!$A$2:$H$464,3,0)</f>
        <v>CONSULTING &amp; SERVICE INDUSTRY</v>
      </c>
      <c r="G738" s="426" t="str">
        <f>VLOOKUP($D738,'Tabel Map Industry'!$A$2:$H$464,4,0)</f>
        <v>K.3.3. Pengolahan Data  - 723000</v>
      </c>
      <c r="H738" s="426" t="str">
        <f>VLOOKUP($D738,'Tabel Map Industry'!$A$2:$H$464,8,0)</f>
        <v>Jasa-jasa Dunia Usaha - Lainnya - 8900</v>
      </c>
    </row>
    <row r="739" spans="2:8" ht="30" hidden="1" x14ac:dyDescent="0.25">
      <c r="B739" s="418" t="str">
        <f t="shared" si="6"/>
        <v>Consulting &amp; Service Industry</v>
      </c>
      <c r="C739" s="418" t="str">
        <f t="shared" si="7"/>
        <v xml:space="preserve">K.3.4. Jasa Kegiatan Data Base </v>
      </c>
      <c r="D739" s="419" t="s">
        <v>5019</v>
      </c>
      <c r="E739" s="420" t="str">
        <f>VLOOKUP($D739,'Tabel Map Industry'!$A$2:$H$464,2,0)</f>
        <v xml:space="preserve">K.3.4. Jasa Kegiatan Data Base </v>
      </c>
      <c r="F739" s="421" t="str">
        <f>VLOOKUP($D739,'Tabel Map Industry'!$A$2:$H$464,3,0)</f>
        <v>CONSULTING &amp; SERVICE INDUSTRY</v>
      </c>
      <c r="G739" s="421" t="str">
        <f>VLOOKUP($D739,'Tabel Map Industry'!$A$2:$H$464,4,0)</f>
        <v>K.3.4. Jasa Kegiatan Data Base  - 724000</v>
      </c>
      <c r="H739" s="421" t="str">
        <f>VLOOKUP($D739,'Tabel Map Industry'!$A$2:$H$464,8,0)</f>
        <v>Jasa-jasa Dunia Usaha - Lainnya - 8900</v>
      </c>
    </row>
    <row r="740" spans="2:8" ht="45" hidden="1" x14ac:dyDescent="0.25">
      <c r="B740" s="423" t="str">
        <f t="shared" si="6"/>
        <v>Consulting &amp; Service Industry</v>
      </c>
      <c r="C740" s="423" t="str">
        <f t="shared" si="7"/>
        <v xml:space="preserve">K.3.5. Perawatan dan Reparasi Mesin-mesin Kantor, Akuntansi, dan Komputer </v>
      </c>
      <c r="D740" s="424" t="s">
        <v>5020</v>
      </c>
      <c r="E740" s="425" t="str">
        <f>VLOOKUP($D740,'Tabel Map Industry'!$A$2:$H$464,2,0)</f>
        <v xml:space="preserve">K.3.5. Perawatan dan Reparasi Mesin-mesin Kantor, Akuntansi, dan Komputer </v>
      </c>
      <c r="F740" s="426" t="str">
        <f>VLOOKUP($D740,'Tabel Map Industry'!$A$2:$H$464,3,0)</f>
        <v>CONSULTING &amp; SERVICE INDUSTRY</v>
      </c>
      <c r="G740" s="426" t="str">
        <f>VLOOKUP($D740,'Tabel Map Industry'!$A$2:$H$464,4,0)</f>
        <v>K.3.5. Perawatan dan Reparasi Mesin-mesin Kantor, Akuntansi, dan Komputer  - 725000</v>
      </c>
      <c r="H740" s="426" t="str">
        <f>VLOOKUP($D740,'Tabel Map Industry'!$A$2:$H$464,8,0)</f>
        <v>Jasa-jasa Dunia Usaha - Lainnya - 8900</v>
      </c>
    </row>
    <row r="741" spans="2:8" ht="30" hidden="1" x14ac:dyDescent="0.25">
      <c r="B741" s="418" t="str">
        <f t="shared" si="6"/>
        <v>Consulting &amp; Service Industry</v>
      </c>
      <c r="C741" s="418" t="str">
        <f t="shared" si="7"/>
        <v xml:space="preserve">K.3.9. Kegiatan Lain yang Berkaitan Dengan Komputer </v>
      </c>
      <c r="D741" s="419" t="s">
        <v>5021</v>
      </c>
      <c r="E741" s="420" t="str">
        <f>VLOOKUP($D741,'Tabel Map Industry'!$A$2:$H$464,2,0)</f>
        <v xml:space="preserve">K.3.9. Kegiatan Lain yang Berkaitan Dengan Komputer </v>
      </c>
      <c r="F741" s="421" t="str">
        <f>VLOOKUP($D741,'Tabel Map Industry'!$A$2:$H$464,3,0)</f>
        <v>CONSULTING &amp; SERVICE INDUSTRY</v>
      </c>
      <c r="G741" s="421" t="str">
        <f>VLOOKUP($D741,'Tabel Map Industry'!$A$2:$H$464,4,0)</f>
        <v>K.3.9. Kegiatan Lain yang Berkaitan Dengan Komputer  - 729000</v>
      </c>
      <c r="H741" s="421" t="str">
        <f>VLOOKUP($D741,'Tabel Map Industry'!$A$2:$H$464,8,0)</f>
        <v>Jasa-jasa Dunia Usaha - Lainnya - 8900</v>
      </c>
    </row>
    <row r="742" spans="2:8" ht="45" hidden="1" x14ac:dyDescent="0.25">
      <c r="B742" s="423" t="str">
        <f t="shared" si="6"/>
        <v>Consulting &amp; Service Industry</v>
      </c>
      <c r="C742" s="423" t="str">
        <f t="shared" si="7"/>
        <v xml:space="preserve">K.4.1. Penelitian dan Pengembangan Ilmu Pengetahuan Alam dan Teknologi </v>
      </c>
      <c r="D742" s="424" t="s">
        <v>5022</v>
      </c>
      <c r="E742" s="425" t="str">
        <f>VLOOKUP($D742,'Tabel Map Industry'!$A$2:$H$464,2,0)</f>
        <v xml:space="preserve">K.4.1. Penelitian dan Pengembangan Ilmu Pengetahuan Alam dan Teknologi </v>
      </c>
      <c r="F742" s="426" t="str">
        <f>VLOOKUP($D742,'Tabel Map Industry'!$A$2:$H$464,3,0)</f>
        <v>CONSULTING &amp; SERVICE INDUSTRY</v>
      </c>
      <c r="G742" s="426" t="str">
        <f>VLOOKUP($D742,'Tabel Map Industry'!$A$2:$H$464,4,0)</f>
        <v>K.4.1. Penelitian dan Pengembangan Ilmu Pengetahuan Alam dan Teknologi  - 731000</v>
      </c>
      <c r="H742" s="426" t="str">
        <f>VLOOKUP($D742,'Tabel Map Industry'!$A$2:$H$464,8,0)</f>
        <v>Jasa-jasa Dunia Usaha - Lainnya - 8900</v>
      </c>
    </row>
    <row r="743" spans="2:8" ht="45" hidden="1" x14ac:dyDescent="0.25">
      <c r="B743" s="418" t="str">
        <f t="shared" si="6"/>
        <v>Consulting &amp; Service Industry</v>
      </c>
      <c r="C743" s="418" t="str">
        <f t="shared" si="7"/>
        <v xml:space="preserve">K.4.2. Penelitian dan Pengembangan Ilmu Pengetahuan Sosial dan Humaniora </v>
      </c>
      <c r="D743" s="419" t="s">
        <v>5023</v>
      </c>
      <c r="E743" s="420" t="str">
        <f>VLOOKUP($D743,'Tabel Map Industry'!$A$2:$H$464,2,0)</f>
        <v xml:space="preserve">K.4.2. Penelitian dan Pengembangan Ilmu Pengetahuan Sosial dan Humaniora </v>
      </c>
      <c r="F743" s="421" t="str">
        <f>VLOOKUP($D743,'Tabel Map Industry'!$A$2:$H$464,3,0)</f>
        <v>CONSULTING &amp; SERVICE INDUSTRY</v>
      </c>
      <c r="G743" s="421" t="str">
        <f>VLOOKUP($D743,'Tabel Map Industry'!$A$2:$H$464,4,0)</f>
        <v>K.4.2. Penelitian dan Pengembangan Ilmu Pengetahuan Sosial dan Humaniora  - 732000</v>
      </c>
      <c r="H743" s="421" t="str">
        <f>VLOOKUP($D743,'Tabel Map Industry'!$A$2:$H$464,8,0)</f>
        <v>Jasa-jasa Dunia Usaha - Lainnya - 8900</v>
      </c>
    </row>
    <row r="744" spans="2:8" ht="60" hidden="1" x14ac:dyDescent="0.25">
      <c r="B744" s="423" t="str">
        <f t="shared" si="6"/>
        <v>Consulting &amp; Service Industry</v>
      </c>
      <c r="C744" s="423" t="str">
        <f t="shared" si="7"/>
        <v xml:space="preserve">K.5.1. Jasa Hukum, Akuntansi dan Pembukuan, Konsultasi Pajak, Penelitian Pasar, dan Konsultasi Bisnis dan Manajemen </v>
      </c>
      <c r="D744" s="424" t="s">
        <v>5024</v>
      </c>
      <c r="E744" s="425" t="str">
        <f>VLOOKUP($D744,'Tabel Map Industry'!$A$2:$H$464,2,0)</f>
        <v xml:space="preserve">K.5.1. Jasa Hukum, Akuntansi dan Pembukuan, Konsultasi Pajak, Penelitian Pasar, dan Konsultasi Bisnis dan Manajemen </v>
      </c>
      <c r="F744" s="426" t="str">
        <f>VLOOKUP($D744,'Tabel Map Industry'!$A$2:$H$464,3,0)</f>
        <v>CONSULTING &amp; SERVICE INDUSTRY</v>
      </c>
      <c r="G744" s="426" t="str">
        <f>VLOOKUP($D744,'Tabel Map Industry'!$A$2:$H$464,4,0)</f>
        <v>K.5.1. Jasa Hukum, Akuntansi dan Pembukuan, Konsultasi Pajak, Penelitian Pasar, dan Konsultasi Bisnis dan Manajemen  - 741000</v>
      </c>
      <c r="H744" s="426" t="str">
        <f>VLOOKUP($D744,'Tabel Map Industry'!$A$2:$H$464,8,0)</f>
        <v>Jasa-jasa Dunia Usaha - Lainnya - 8900</v>
      </c>
    </row>
    <row r="745" spans="2:8" ht="45" hidden="1" x14ac:dyDescent="0.25">
      <c r="B745" s="418" t="str">
        <f t="shared" si="6"/>
        <v>Consulting &amp; Service Industry</v>
      </c>
      <c r="C745" s="418" t="str">
        <f t="shared" si="7"/>
        <v xml:space="preserve">K.5.2. Jasa Konsultasi Arsitek, Kegiatan Teknik dan Rekayasa, Serta Analisis dan Testing </v>
      </c>
      <c r="D745" s="419" t="s">
        <v>5025</v>
      </c>
      <c r="E745" s="420" t="str">
        <f>VLOOKUP($D745,'Tabel Map Industry'!$A$2:$H$464,2,0)</f>
        <v xml:space="preserve">K.5.2. Jasa Konsultasi Arsitek, Kegiatan Teknik dan Rekayasa, Serta Analisis dan Testing </v>
      </c>
      <c r="F745" s="421" t="str">
        <f>VLOOKUP($D745,'Tabel Map Industry'!$A$2:$H$464,3,0)</f>
        <v>CONSULTING &amp; SERVICE INDUSTRY</v>
      </c>
      <c r="G745" s="421" t="str">
        <f>VLOOKUP($D745,'Tabel Map Industry'!$A$2:$H$464,4,0)</f>
        <v>K.5.2. Jasa Konsultasi Arsitek, Kegiatan Teknik dan Rekayasa, Serta Analisis dan Testing  - 742000</v>
      </c>
      <c r="H745" s="421" t="str">
        <f>VLOOKUP($D745,'Tabel Map Industry'!$A$2:$H$464,8,0)</f>
        <v>Jasa-jasa Dunia Usaha - Lainnya - 8900</v>
      </c>
    </row>
    <row r="746" spans="2:8" ht="30" hidden="1" x14ac:dyDescent="0.25">
      <c r="B746" s="423" t="str">
        <f t="shared" si="6"/>
        <v>Consulting &amp; Service Industry</v>
      </c>
      <c r="C746" s="423" t="str">
        <f t="shared" si="7"/>
        <v xml:space="preserve">M.1.1. Jasa Pendidikan Dasar </v>
      </c>
      <c r="D746" s="424" t="s">
        <v>5026</v>
      </c>
      <c r="E746" s="425" t="str">
        <f>VLOOKUP($D746,'Tabel Map Industry'!$A$2:$H$464,2,0)</f>
        <v xml:space="preserve">M.1.1. Jasa Pendidikan Dasar </v>
      </c>
      <c r="F746" s="426" t="str">
        <f>VLOOKUP($D746,'Tabel Map Industry'!$A$2:$H$464,3,0)</f>
        <v>CONSULTING &amp; SERVICE INDUSTRY</v>
      </c>
      <c r="G746" s="426" t="str">
        <f>VLOOKUP($D746,'Tabel Map Industry'!$A$2:$H$464,4,0)</f>
        <v>M.1.1. Jasa Pendidikan Dasar  - 801000</v>
      </c>
      <c r="H746" s="426" t="str">
        <f>VLOOKUP($D746,'Tabel Map Industry'!$A$2:$H$464,8,0)</f>
        <v>Jasa-jasa sosial/masyarakat - Pendidikan Lainnya - 9390</v>
      </c>
    </row>
    <row r="747" spans="2:8" ht="30" hidden="1" x14ac:dyDescent="0.25">
      <c r="B747" s="418" t="str">
        <f t="shared" si="6"/>
        <v>Consulting &amp; Service Industry</v>
      </c>
      <c r="C747" s="418" t="str">
        <f t="shared" si="7"/>
        <v xml:space="preserve">M.1.2. Jasa Pendidikan Menengah </v>
      </c>
      <c r="D747" s="419" t="s">
        <v>5027</v>
      </c>
      <c r="E747" s="420" t="str">
        <f>VLOOKUP($D747,'Tabel Map Industry'!$A$2:$H$464,2,0)</f>
        <v xml:space="preserve">M.1.2. Jasa Pendidikan Menengah </v>
      </c>
      <c r="F747" s="421" t="str">
        <f>VLOOKUP($D747,'Tabel Map Industry'!$A$2:$H$464,3,0)</f>
        <v>CONSULTING &amp; SERVICE INDUSTRY</v>
      </c>
      <c r="G747" s="421" t="str">
        <f>VLOOKUP($D747,'Tabel Map Industry'!$A$2:$H$464,4,0)</f>
        <v>M.1.2. Jasa Pendidikan Menengah  - 802000</v>
      </c>
      <c r="H747" s="421" t="str">
        <f>VLOOKUP($D747,'Tabel Map Industry'!$A$2:$H$464,8,0)</f>
        <v>Jasa-jasa sosial/masyarakat - Pendidikan Lainnya - 9390</v>
      </c>
    </row>
    <row r="748" spans="2:8" ht="30" hidden="1" x14ac:dyDescent="0.25">
      <c r="B748" s="423" t="str">
        <f t="shared" si="6"/>
        <v>Consulting &amp; Service Industry</v>
      </c>
      <c r="C748" s="423" t="str">
        <f t="shared" si="7"/>
        <v xml:space="preserve">M.1.3. Jasa Pendidikan Tinggi </v>
      </c>
      <c r="D748" s="424" t="s">
        <v>5028</v>
      </c>
      <c r="E748" s="425" t="str">
        <f>VLOOKUP($D748,'Tabel Map Industry'!$A$2:$H$464,2,0)</f>
        <v xml:space="preserve">M.1.3. Jasa Pendidikan Tinggi </v>
      </c>
      <c r="F748" s="426" t="str">
        <f>VLOOKUP($D748,'Tabel Map Industry'!$A$2:$H$464,3,0)</f>
        <v>CONSULTING &amp; SERVICE INDUSTRY</v>
      </c>
      <c r="G748" s="426" t="str">
        <f>VLOOKUP($D748,'Tabel Map Industry'!$A$2:$H$464,4,0)</f>
        <v>M.1.3. Jasa Pendidikan Tinggi  - 803000</v>
      </c>
      <c r="H748" s="426" t="str">
        <f>VLOOKUP($D748,'Tabel Map Industry'!$A$2:$H$464,8,0)</f>
        <v>Jasa-jasa sosial/masyarakat - Pendidikan - Perguruan Tinggi - 9310</v>
      </c>
    </row>
    <row r="749" spans="2:8" ht="30" hidden="1" x14ac:dyDescent="0.25">
      <c r="B749" s="418" t="str">
        <f t="shared" si="6"/>
        <v>Consulting &amp; Service Industry</v>
      </c>
      <c r="C749" s="418" t="str">
        <f t="shared" si="7"/>
        <v xml:space="preserve">M.1.4. Jasa Pendidikan Lainnya </v>
      </c>
      <c r="D749" s="419" t="s">
        <v>5029</v>
      </c>
      <c r="E749" s="420" t="str">
        <f>VLOOKUP($D749,'Tabel Map Industry'!$A$2:$H$464,2,0)</f>
        <v xml:space="preserve">M.1.4. Jasa Pendidikan Lainnya </v>
      </c>
      <c r="F749" s="421" t="str">
        <f>VLOOKUP($D749,'Tabel Map Industry'!$A$2:$H$464,3,0)</f>
        <v>CONSULTING &amp; SERVICE INDUSTRY</v>
      </c>
      <c r="G749" s="421" t="str">
        <f>VLOOKUP($D749,'Tabel Map Industry'!$A$2:$H$464,4,0)</f>
        <v>M.1.4. Jasa Pendidikan Lainnya  - 804000</v>
      </c>
      <c r="H749" s="421" t="str">
        <f>VLOOKUP($D749,'Tabel Map Industry'!$A$2:$H$464,8,0)</f>
        <v>Jasa-jasa sosial/masyarakat - Pendidikan Lainnya - 9390</v>
      </c>
    </row>
    <row r="750" spans="2:8" ht="30" hidden="1" x14ac:dyDescent="0.25">
      <c r="B750" s="423" t="str">
        <f t="shared" si="6"/>
        <v>Consulting &amp; Service Industry</v>
      </c>
      <c r="C750" s="423" t="str">
        <f t="shared" si="7"/>
        <v>Perantara Keuangan Lainnya (Non Bank) Leasing</v>
      </c>
      <c r="D750" s="424" t="s">
        <v>5031</v>
      </c>
      <c r="E750" s="425" t="str">
        <f>VLOOKUP($D750,'Tabel Map Industry'!$A$2:$H$464,2,0)</f>
        <v>Perantara Keuangan Lainnya (Non Bank) Leasing</v>
      </c>
      <c r="F750" s="426" t="str">
        <f>VLOOKUP($D750,'Tabel Map Industry'!$A$2:$H$464,3,0)</f>
        <v>CONSULTING &amp; SERVICE INDUSTRY</v>
      </c>
      <c r="G750" s="426" t="str">
        <f>VLOOKUP($D750,'Tabel Map Industry'!$A$2:$H$464,4,0)</f>
        <v>Perantara Keuangan Lainnya (Non Bank) Leasing - 659001</v>
      </c>
      <c r="H750" s="426" t="str">
        <f>VLOOKUP($D750,'Tabel Map Industry'!$A$2:$H$464,8,0)</f>
        <v>Jasa-jasa Dunia Usaha - Lainnya - 8900</v>
      </c>
    </row>
    <row r="751" spans="2:8" ht="30" hidden="1" x14ac:dyDescent="0.25">
      <c r="B751" s="418" t="str">
        <f t="shared" si="6"/>
        <v>Consulting &amp; Service Industry</v>
      </c>
      <c r="C751" s="418" t="str">
        <f t="shared" si="7"/>
        <v>Perantara Keuangan Lainnya (Non Bank) Selain Leasing</v>
      </c>
      <c r="D751" s="419" t="s">
        <v>5032</v>
      </c>
      <c r="E751" s="420" t="str">
        <f>VLOOKUP($D751,'Tabel Map Industry'!$A$2:$H$464,2,0)</f>
        <v>Perantara Keuangan Lainnya (Non Bank) Selain Leasing</v>
      </c>
      <c r="F751" s="421" t="str">
        <f>VLOOKUP($D751,'Tabel Map Industry'!$A$2:$H$464,3,0)</f>
        <v>CONSULTING &amp; SERVICE INDUSTRY</v>
      </c>
      <c r="G751" s="421" t="str">
        <f>VLOOKUP($D751,'Tabel Map Industry'!$A$2:$H$464,4,0)</f>
        <v>Perantara Keuangan Lainnya (Non Bank) Selain Leasing - 659009</v>
      </c>
      <c r="H751" s="421" t="str">
        <f>VLOOKUP($D751,'Tabel Map Industry'!$A$2:$H$464,8,0)</f>
        <v>Jasa-jasa Dunia Usaha - Lainnya - 8900</v>
      </c>
    </row>
    <row r="752" spans="2:8" ht="30" hidden="1" x14ac:dyDescent="0.25">
      <c r="B752" s="423" t="str">
        <f t="shared" si="6"/>
        <v>Consulting &amp; Service Industry</v>
      </c>
      <c r="C752" s="423" t="str">
        <f t="shared" si="7"/>
        <v xml:space="preserve">J.2.1. Asuransi dan Dana Pensiun </v>
      </c>
      <c r="D752" s="424" t="s">
        <v>5033</v>
      </c>
      <c r="E752" s="425" t="str">
        <f>VLOOKUP($D752,'Tabel Map Industry'!$A$2:$H$464,2,0)</f>
        <v xml:space="preserve">J.2.1. Asuransi dan Dana Pensiun </v>
      </c>
      <c r="F752" s="426" t="str">
        <f>VLOOKUP($D752,'Tabel Map Industry'!$A$2:$H$464,3,0)</f>
        <v>CONSULTING &amp; SERVICE INDUSTRY</v>
      </c>
      <c r="G752" s="426" t="str">
        <f>VLOOKUP($D752,'Tabel Map Industry'!$A$2:$H$464,4,0)</f>
        <v>J.2.1. Asuransi dan Dana Pensiun  - 660000</v>
      </c>
      <c r="H752" s="426" t="str">
        <f>VLOOKUP($D752,'Tabel Map Industry'!$A$2:$H$464,8,0)</f>
        <v>Jasa-jasa Dunia Usaha - Lainnya - 8900</v>
      </c>
    </row>
    <row r="753" spans="2:8" ht="45" hidden="1" x14ac:dyDescent="0.25">
      <c r="B753" s="418" t="str">
        <f t="shared" si="6"/>
        <v>Consulting &amp; Service Industry</v>
      </c>
      <c r="C753" s="418" t="str">
        <f t="shared" si="7"/>
        <v>Jasa Penukaran Mata Uang atau Pedagang Valuta Asing (Money Changer)</v>
      </c>
      <c r="D753" s="419" t="s">
        <v>5034</v>
      </c>
      <c r="E753" s="420" t="str">
        <f>VLOOKUP($D753,'Tabel Map Industry'!$A$2:$H$464,2,0)</f>
        <v>Jasa Penukaran Mata Uang atau Pedagang Valuta Asing (Money Changer)</v>
      </c>
      <c r="F753" s="421" t="str">
        <f>VLOOKUP($D753,'Tabel Map Industry'!$A$2:$H$464,3,0)</f>
        <v>CONSULTING &amp; SERVICE INDUSTRY</v>
      </c>
      <c r="G753" s="421" t="str">
        <f>VLOOKUP($D753,'Tabel Map Industry'!$A$2:$H$464,4,0)</f>
        <v>Jasa Penukaran Mata Uang atau Pedagang Valuta Asing (Money Changer) - 671001</v>
      </c>
      <c r="H753" s="421" t="str">
        <f>VLOOKUP($D753,'Tabel Map Industry'!$A$2:$H$464,8,0)</f>
        <v>Jasa-jasa Dunia Usaha - Lainnya - 8900</v>
      </c>
    </row>
    <row r="754" spans="2:8" ht="30" hidden="1" x14ac:dyDescent="0.25">
      <c r="B754" s="423" t="str">
        <f t="shared" si="6"/>
        <v>Consulting &amp; Service Industry</v>
      </c>
      <c r="C754" s="423" t="str">
        <f t="shared" si="7"/>
        <v xml:space="preserve">J.3.2. Jasa Penunjang Asuransi dan dana Pensiun </v>
      </c>
      <c r="D754" s="424" t="s">
        <v>5035</v>
      </c>
      <c r="E754" s="425" t="str">
        <f>VLOOKUP($D754,'Tabel Map Industry'!$A$2:$H$464,2,0)</f>
        <v xml:space="preserve">J.3.2. Jasa Penunjang Asuransi dan dana Pensiun </v>
      </c>
      <c r="F754" s="426" t="str">
        <f>VLOOKUP($D754,'Tabel Map Industry'!$A$2:$H$464,3,0)</f>
        <v>CONSULTING &amp; SERVICE INDUSTRY</v>
      </c>
      <c r="G754" s="426" t="str">
        <f>VLOOKUP($D754,'Tabel Map Industry'!$A$2:$H$464,4,0)</f>
        <v>J.3.2. Jasa Penunjang Asuransi dan dana Pensiun  - 672000</v>
      </c>
      <c r="H754" s="426" t="str">
        <f>VLOOKUP($D754,'Tabel Map Industry'!$A$2:$H$464,8,0)</f>
        <v>Jasa-jasa Dunia Usaha - Lainnya - 8900</v>
      </c>
    </row>
    <row r="755" spans="2:8" ht="30" hidden="1" x14ac:dyDescent="0.25">
      <c r="B755" s="418" t="str">
        <f t="shared" si="6"/>
        <v>Consulting &amp; Service Industry</v>
      </c>
      <c r="C755" s="418" t="str">
        <f t="shared" si="7"/>
        <v>Bukan Lapangan Usaha Lainnya</v>
      </c>
      <c r="D755" s="419" t="s">
        <v>5036</v>
      </c>
      <c r="E755" s="420" t="str">
        <f>VLOOKUP($D755,'Tabel Map Industry'!$A$2:$H$464,2,0)</f>
        <v>Bukan Lapangan Usaha Lainnya</v>
      </c>
      <c r="F755" s="421" t="str">
        <f>VLOOKUP($D755,'Tabel Map Industry'!$A$2:$H$464,3,0)</f>
        <v>CONSULTING &amp; SERVICE INDUSTRY</v>
      </c>
      <c r="G755" s="421" t="str">
        <f>VLOOKUP($D755,'Tabel Map Industry'!$A$2:$H$464,4,0)</f>
        <v>Bukan Lapangan Usaha Lainnya - 009000</v>
      </c>
      <c r="H755" s="421" t="str">
        <f>VLOOKUP($D755,'Tabel Map Industry'!$A$2:$H$464,8,0)</f>
        <v>Lain-lain, Lainnya - 9990</v>
      </c>
    </row>
    <row r="756" spans="2:8" ht="30" hidden="1" x14ac:dyDescent="0.25">
      <c r="B756" s="423" t="str">
        <f t="shared" si="6"/>
        <v>Consulting &amp; Service Industry</v>
      </c>
      <c r="C756" s="423" t="str">
        <f t="shared" si="7"/>
        <v xml:space="preserve">Jasa Pertanian, Perkebunan dan Peternakan </v>
      </c>
      <c r="D756" s="424" t="s">
        <v>5037</v>
      </c>
      <c r="E756" s="425" t="str">
        <f>VLOOKUP($D756,'Tabel Map Industry'!$A$2:$H$464,2,0)</f>
        <v xml:space="preserve">Jasa Pertanian, Perkebunan dan Peternakan </v>
      </c>
      <c r="F756" s="426" t="str">
        <f>VLOOKUP($D756,'Tabel Map Industry'!$A$2:$H$464,3,0)</f>
        <v>CONSULTING &amp; SERVICE INDUSTRY</v>
      </c>
      <c r="G756" s="426" t="str">
        <f>VLOOKUP($D756,'Tabel Map Industry'!$A$2:$H$464,4,0)</f>
        <v>Jasa Pertanian, Perkebunan dan Peternakan  - 014000</v>
      </c>
      <c r="H756" s="426" t="str">
        <f>VLOOKUP($D756,'Tabel Map Industry'!$A$2:$H$464,8,0)</f>
        <v>Sarana Peternakan - 1370</v>
      </c>
    </row>
    <row r="757" spans="2:8" ht="30" hidden="1" x14ac:dyDescent="0.25">
      <c r="B757" s="418" t="str">
        <f t="shared" si="6"/>
        <v>Consulting &amp; Service Industry</v>
      </c>
      <c r="C757" s="418" t="str">
        <f t="shared" si="7"/>
        <v xml:space="preserve">Pengadaan dan Penyaluran Air Bersih </v>
      </c>
      <c r="D757" s="419" t="s">
        <v>5038</v>
      </c>
      <c r="E757" s="420" t="str">
        <f>VLOOKUP($D757,'Tabel Map Industry'!$A$2:$H$464,2,0)</f>
        <v xml:space="preserve">Pengadaan dan Penyaluran Air Bersih </v>
      </c>
      <c r="F757" s="421" t="str">
        <f>VLOOKUP($D757,'Tabel Map Industry'!$A$2:$H$464,3,0)</f>
        <v>CONSULTING &amp; SERVICE INDUSTRY</v>
      </c>
      <c r="G757" s="421" t="str">
        <f>VLOOKUP($D757,'Tabel Map Industry'!$A$2:$H$464,4,0)</f>
        <v>Pengadaan dan Penyaluran Air Bersih  - 410000</v>
      </c>
      <c r="H757" s="421" t="str">
        <f>VLOOKUP($D757,'Tabel Map Industry'!$A$2:$H$464,8,0)</f>
        <v>Air - 4300</v>
      </c>
    </row>
    <row r="758" spans="2:8" ht="30" hidden="1" x14ac:dyDescent="0.25">
      <c r="B758" s="423" t="str">
        <f t="shared" si="6"/>
        <v>Consulting &amp; Service Industry</v>
      </c>
      <c r="C758" s="423" t="str">
        <f t="shared" si="7"/>
        <v xml:space="preserve">I.1.3. Angkutan Dengan Saluran Pipa </v>
      </c>
      <c r="D758" s="424" t="s">
        <v>5039</v>
      </c>
      <c r="E758" s="425" t="str">
        <f>VLOOKUP($D758,'Tabel Map Industry'!$A$2:$H$464,2,0)</f>
        <v xml:space="preserve">I.1.3. Angkutan Dengan Saluran Pipa </v>
      </c>
      <c r="F758" s="426" t="str">
        <f>VLOOKUP($D758,'Tabel Map Industry'!$A$2:$H$464,3,0)</f>
        <v>CONSULTING &amp; SERVICE INDUSTRY</v>
      </c>
      <c r="G758" s="426" t="str">
        <f>VLOOKUP($D758,'Tabel Map Industry'!$A$2:$H$464,4,0)</f>
        <v>I.1.3. Angkutan Dengan Saluran Pipa  - 603000</v>
      </c>
      <c r="H758" s="426" t="str">
        <f>VLOOKUP($D758,'Tabel Map Industry'!$A$2:$H$464,8,0)</f>
        <v>Pengangkutan, Pergudangan, Komunikasi - 7000</v>
      </c>
    </row>
    <row r="759" spans="2:8" ht="30" hidden="1" x14ac:dyDescent="0.25">
      <c r="B759" s="418" t="str">
        <f t="shared" si="6"/>
        <v>Consulting &amp; Service Industry</v>
      </c>
      <c r="C759" s="418" t="str">
        <f t="shared" si="7"/>
        <v xml:space="preserve">I.4.1. Jasa Pelayanan Bongkar Muat Barang </v>
      </c>
      <c r="D759" s="419" t="s">
        <v>5040</v>
      </c>
      <c r="E759" s="420" t="str">
        <f>VLOOKUP($D759,'Tabel Map Industry'!$A$2:$H$464,2,0)</f>
        <v xml:space="preserve">I.4.1. Jasa Pelayanan Bongkar Muat Barang </v>
      </c>
      <c r="F759" s="421" t="str">
        <f>VLOOKUP($D759,'Tabel Map Industry'!$A$2:$H$464,3,0)</f>
        <v>CONSULTING &amp; SERVICE INDUSTRY</v>
      </c>
      <c r="G759" s="421" t="str">
        <f>VLOOKUP($D759,'Tabel Map Industry'!$A$2:$H$464,4,0)</f>
        <v>I.4.1. Jasa Pelayanan Bongkar Muat Barang  - 631000</v>
      </c>
      <c r="H759" s="421" t="str">
        <f>VLOOKUP($D759,'Tabel Map Industry'!$A$2:$H$464,8,0)</f>
        <v>Pengangkutan, Pergudangan, Komunikasi - 7000</v>
      </c>
    </row>
    <row r="760" spans="2:8" ht="45" hidden="1" x14ac:dyDescent="0.25">
      <c r="B760" s="423" t="str">
        <f t="shared" si="6"/>
        <v>Consulting &amp; Service Industry</v>
      </c>
      <c r="C760" s="423" t="str">
        <f t="shared" si="7"/>
        <v xml:space="preserve">L.1.1. Administrasi Pemerintahan, dan Kebijaksanaan Ekonomi dan Sosial </v>
      </c>
      <c r="D760" s="424" t="s">
        <v>5043</v>
      </c>
      <c r="E760" s="425" t="str">
        <f>VLOOKUP($D760,'Tabel Map Industry'!$A$2:$H$464,2,0)</f>
        <v xml:space="preserve">L.1.1. Administrasi Pemerintahan, dan Kebijaksanaan Ekonomi dan Sosial </v>
      </c>
      <c r="F760" s="426" t="str">
        <f>VLOOKUP($D760,'Tabel Map Industry'!$A$2:$H$464,3,0)</f>
        <v>CONSULTING &amp; SERVICE INDUSTRY</v>
      </c>
      <c r="G760" s="426" t="str">
        <f>VLOOKUP($D760,'Tabel Map Industry'!$A$2:$H$464,4,0)</f>
        <v>L.1.1. Administrasi Pemerintahan, dan Kebijaksanaan Ekonomi dan Sosial  - 751000</v>
      </c>
      <c r="H760" s="426" t="str">
        <f>VLOOKUP($D760,'Tabel Map Industry'!$A$2:$H$464,8,0)</f>
        <v>Jasa-jasa sosial/masyarakat -  Lainnya - 9900</v>
      </c>
    </row>
    <row r="761" spans="2:8" ht="30" hidden="1" x14ac:dyDescent="0.25">
      <c r="B761" s="418" t="str">
        <f t="shared" si="6"/>
        <v>Consulting &amp; Service Industry</v>
      </c>
      <c r="C761" s="418" t="str">
        <f t="shared" si="7"/>
        <v>L.1.2. Hubungan Luar Negeri, Pertahanan, dan Keamanan</v>
      </c>
      <c r="D761" s="419" t="s">
        <v>5044</v>
      </c>
      <c r="E761" s="420" t="str">
        <f>VLOOKUP($D761,'Tabel Map Industry'!$A$2:$H$464,2,0)</f>
        <v>L.1.2. Hubungan Luar Negeri, Pertahanan, dan Keamanan</v>
      </c>
      <c r="F761" s="421" t="str">
        <f>VLOOKUP($D761,'Tabel Map Industry'!$A$2:$H$464,3,0)</f>
        <v>CONSULTING &amp; SERVICE INDUSTRY</v>
      </c>
      <c r="G761" s="421" t="str">
        <f>VLOOKUP($D761,'Tabel Map Industry'!$A$2:$H$464,4,0)</f>
        <v>L.1.2. Hubungan Luar Negeri, Pertahanan, dan Keamanan - 752000</v>
      </c>
      <c r="H761" s="421" t="str">
        <f>VLOOKUP($D761,'Tabel Map Industry'!$A$2:$H$464,8,0)</f>
        <v>Jasa-jasa sosial/masyarakat -  Lainnya - 9900</v>
      </c>
    </row>
    <row r="762" spans="2:8" ht="30" hidden="1" x14ac:dyDescent="0.25">
      <c r="B762" s="423" t="str">
        <f t="shared" si="6"/>
        <v>Consulting &amp; Service Industry</v>
      </c>
      <c r="C762" s="423" t="str">
        <f t="shared" si="7"/>
        <v xml:space="preserve">L.1.3. Jaminan Sosial Wajib </v>
      </c>
      <c r="D762" s="424" t="s">
        <v>5045</v>
      </c>
      <c r="E762" s="425" t="str">
        <f>VLOOKUP($D762,'Tabel Map Industry'!$A$2:$H$464,2,0)</f>
        <v xml:space="preserve">L.1.3. Jaminan Sosial Wajib </v>
      </c>
      <c r="F762" s="426" t="str">
        <f>VLOOKUP($D762,'Tabel Map Industry'!$A$2:$H$464,3,0)</f>
        <v>CONSULTING &amp; SERVICE INDUSTRY</v>
      </c>
      <c r="G762" s="426" t="str">
        <f>VLOOKUP($D762,'Tabel Map Industry'!$A$2:$H$464,4,0)</f>
        <v>L.1.3. Jaminan Sosial Wajib  - 753000</v>
      </c>
      <c r="H762" s="426" t="str">
        <f>VLOOKUP($D762,'Tabel Map Industry'!$A$2:$H$464,8,0)</f>
        <v>Jasa-jasa sosial/masyarakat -  Lainnya - 9900</v>
      </c>
    </row>
    <row r="763" spans="2:8" ht="30" hidden="1" x14ac:dyDescent="0.25">
      <c r="B763" s="418" t="str">
        <f t="shared" si="6"/>
        <v>Consulting &amp; Service Industry</v>
      </c>
      <c r="C763" s="418" t="str">
        <f t="shared" si="7"/>
        <v xml:space="preserve">N.1.2. Jasa Kesehatan Hewan </v>
      </c>
      <c r="D763" s="419" t="s">
        <v>5046</v>
      </c>
      <c r="E763" s="420" t="str">
        <f>VLOOKUP($D763,'Tabel Map Industry'!$A$2:$H$464,2,0)</f>
        <v xml:space="preserve">N.1.2. Jasa Kesehatan Hewan </v>
      </c>
      <c r="F763" s="421" t="str">
        <f>VLOOKUP($D763,'Tabel Map Industry'!$A$2:$H$464,3,0)</f>
        <v>CONSULTING &amp; SERVICE INDUSTRY</v>
      </c>
      <c r="G763" s="421" t="str">
        <f>VLOOKUP($D763,'Tabel Map Industry'!$A$2:$H$464,4,0)</f>
        <v>N.1.2. Jasa Kesehatan Hewan  - 852000</v>
      </c>
      <c r="H763" s="421" t="str">
        <f>VLOOKUP($D763,'Tabel Map Industry'!$A$2:$H$464,8,0)</f>
        <v>Jasa-jasa sosial/masyarakat - Kesehatan - Profesi - 9210</v>
      </c>
    </row>
    <row r="764" spans="2:8" ht="30" hidden="1" x14ac:dyDescent="0.25">
      <c r="B764" s="423" t="str">
        <f t="shared" si="6"/>
        <v>Consulting &amp; Service Industry</v>
      </c>
      <c r="C764" s="423" t="str">
        <f t="shared" si="7"/>
        <v xml:space="preserve">N.1.3. Jasa Kegiatan Sosial </v>
      </c>
      <c r="D764" s="424" t="s">
        <v>5047</v>
      </c>
      <c r="E764" s="425" t="str">
        <f>VLOOKUP($D764,'Tabel Map Industry'!$A$2:$H$464,2,0)</f>
        <v xml:space="preserve">N.1.3. Jasa Kegiatan Sosial </v>
      </c>
      <c r="F764" s="426" t="str">
        <f>VLOOKUP($D764,'Tabel Map Industry'!$A$2:$H$464,3,0)</f>
        <v>CONSULTING &amp; SERVICE INDUSTRY</v>
      </c>
      <c r="G764" s="426" t="str">
        <f>VLOOKUP($D764,'Tabel Map Industry'!$A$2:$H$464,4,0)</f>
        <v>N.1.3. Jasa Kegiatan Sosial  - 853000</v>
      </c>
      <c r="H764" s="426" t="str">
        <f>VLOOKUP($D764,'Tabel Map Industry'!$A$2:$H$464,8,0)</f>
        <v>Jasa-jasa sosial/masyarakat -  Lainnya - 9900</v>
      </c>
    </row>
    <row r="765" spans="2:8" ht="30" hidden="1" x14ac:dyDescent="0.25">
      <c r="B765" s="418" t="str">
        <f t="shared" si="6"/>
        <v>Consulting &amp; Service Industry</v>
      </c>
      <c r="C765" s="418" t="str">
        <f t="shared" si="7"/>
        <v xml:space="preserve">O.1.1. Jasa Kebersihan </v>
      </c>
      <c r="D765" s="419" t="s">
        <v>5048</v>
      </c>
      <c r="E765" s="420" t="str">
        <f>VLOOKUP($D765,'Tabel Map Industry'!$A$2:$H$464,2,0)</f>
        <v xml:space="preserve">O.1.1. Jasa Kebersihan </v>
      </c>
      <c r="F765" s="421" t="str">
        <f>VLOOKUP($D765,'Tabel Map Industry'!$A$2:$H$464,3,0)</f>
        <v>CONSULTING &amp; SERVICE INDUSTRY</v>
      </c>
      <c r="G765" s="421" t="str">
        <f>VLOOKUP($D765,'Tabel Map Industry'!$A$2:$H$464,4,0)</f>
        <v>O.1.1. Jasa Kebersihan  - 900000</v>
      </c>
      <c r="H765" s="421" t="str">
        <f>VLOOKUP($D765,'Tabel Map Industry'!$A$2:$H$464,8,0)</f>
        <v>Jasa-jasa sosial/masyarakat -  Lainnya - 9900</v>
      </c>
    </row>
    <row r="766" spans="2:8" ht="30" hidden="1" x14ac:dyDescent="0.25">
      <c r="B766" s="423" t="str">
        <f t="shared" si="6"/>
        <v>Consulting &amp; Service Industry</v>
      </c>
      <c r="C766" s="423" t="str">
        <f t="shared" si="7"/>
        <v xml:space="preserve">O.2.1. Organisasi Bisnis, Pengusaha dan Profesional </v>
      </c>
      <c r="D766" s="424" t="s">
        <v>5049</v>
      </c>
      <c r="E766" s="425" t="str">
        <f>VLOOKUP($D766,'Tabel Map Industry'!$A$2:$H$464,2,0)</f>
        <v xml:space="preserve">O.2.1. Organisasi Bisnis, Pengusaha dan Profesional </v>
      </c>
      <c r="F766" s="426" t="str">
        <f>VLOOKUP($D766,'Tabel Map Industry'!$A$2:$H$464,3,0)</f>
        <v>CONSULTING &amp; SERVICE INDUSTRY</v>
      </c>
      <c r="G766" s="426" t="str">
        <f>VLOOKUP($D766,'Tabel Map Industry'!$A$2:$H$464,4,0)</f>
        <v>O.2.1. Organisasi Bisnis, Pengusaha dan Profesional  - 910000</v>
      </c>
      <c r="H766" s="426" t="str">
        <f>VLOOKUP($D766,'Tabel Map Industry'!$A$2:$H$464,8,0)</f>
        <v>Jasa-jasa Dunia Usaha - Lainnya - 8900</v>
      </c>
    </row>
    <row r="767" spans="2:8" ht="30" hidden="1" x14ac:dyDescent="0.25">
      <c r="B767" s="418" t="str">
        <f t="shared" si="6"/>
        <v>Consulting &amp; Service Industry</v>
      </c>
      <c r="C767" s="418" t="str">
        <f t="shared" si="7"/>
        <v xml:space="preserve">O.2.2. Organisasi Buruh </v>
      </c>
      <c r="D767" s="419" t="s">
        <v>5050</v>
      </c>
      <c r="E767" s="420" t="str">
        <f>VLOOKUP($D767,'Tabel Map Industry'!$A$2:$H$464,2,0)</f>
        <v xml:space="preserve">O.2.2. Organisasi Buruh </v>
      </c>
      <c r="F767" s="421" t="str">
        <f>VLOOKUP($D767,'Tabel Map Industry'!$A$2:$H$464,3,0)</f>
        <v>CONSULTING &amp; SERVICE INDUSTRY</v>
      </c>
      <c r="G767" s="421" t="str">
        <f>VLOOKUP($D767,'Tabel Map Industry'!$A$2:$H$464,4,0)</f>
        <v>O.2.2. Organisasi Buruh  - 912000</v>
      </c>
      <c r="H767" s="421" t="str">
        <f>VLOOKUP($D767,'Tabel Map Industry'!$A$2:$H$464,8,0)</f>
        <v>Jasa-jasa Dunia Usaha - Lainnya - 8900</v>
      </c>
    </row>
    <row r="768" spans="2:8" ht="30" hidden="1" x14ac:dyDescent="0.25">
      <c r="B768" s="423" t="str">
        <f t="shared" si="6"/>
        <v>Consulting &amp; Service Industry</v>
      </c>
      <c r="C768" s="423" t="str">
        <f t="shared" si="7"/>
        <v xml:space="preserve">O.2.3. Organisasi Lainnya </v>
      </c>
      <c r="D768" s="424" t="s">
        <v>5051</v>
      </c>
      <c r="E768" s="425" t="str">
        <f>VLOOKUP($D768,'Tabel Map Industry'!$A$2:$H$464,2,0)</f>
        <v xml:space="preserve">O.2.3. Organisasi Lainnya </v>
      </c>
      <c r="F768" s="426" t="str">
        <f>VLOOKUP($D768,'Tabel Map Industry'!$A$2:$H$464,3,0)</f>
        <v>CONSULTING &amp; SERVICE INDUSTRY</v>
      </c>
      <c r="G768" s="426" t="str">
        <f>VLOOKUP($D768,'Tabel Map Industry'!$A$2:$H$464,4,0)</f>
        <v>O.2.3. Organisasi Lainnya  - 919000</v>
      </c>
      <c r="H768" s="426" t="str">
        <f>VLOOKUP($D768,'Tabel Map Industry'!$A$2:$H$464,8,0)</f>
        <v>Jasa-jasa Dunia Usaha - Lainnya - 8900</v>
      </c>
    </row>
    <row r="769" spans="2:8" ht="30" hidden="1" x14ac:dyDescent="0.25">
      <c r="B769" s="418" t="str">
        <f t="shared" si="6"/>
        <v>Consulting &amp; Service Industry</v>
      </c>
      <c r="C769" s="418" t="str">
        <f t="shared" si="7"/>
        <v xml:space="preserve">P.1.1. Jasa Perorangan yang Melayani Rumah Tangga </v>
      </c>
      <c r="D769" s="419" t="s">
        <v>5053</v>
      </c>
      <c r="E769" s="420" t="str">
        <f>VLOOKUP($D769,'Tabel Map Industry'!$A$2:$H$464,2,0)</f>
        <v xml:space="preserve">P.1.1. Jasa Perorangan yang Melayani Rumah Tangga </v>
      </c>
      <c r="F769" s="421" t="str">
        <f>VLOOKUP($D769,'Tabel Map Industry'!$A$2:$H$464,3,0)</f>
        <v>CONSULTING &amp; SERVICE INDUSTRY</v>
      </c>
      <c r="G769" s="421" t="str">
        <f>VLOOKUP($D769,'Tabel Map Industry'!$A$2:$H$464,4,0)</f>
        <v>P.1.1. Jasa Perorangan yang Melayani Rumah Tangga  - 950000</v>
      </c>
      <c r="H769" s="421" t="str">
        <f>VLOOKUP($D769,'Tabel Map Industry'!$A$2:$H$464,8,0)</f>
        <v>Jasa-jasa sosial/masyarakat -  Lainnya - 9900</v>
      </c>
    </row>
    <row r="770" spans="2:8" ht="30" hidden="1" x14ac:dyDescent="0.25">
      <c r="B770" s="423" t="str">
        <f t="shared" si="6"/>
        <v>Consulting &amp; Service Industry</v>
      </c>
      <c r="C770" s="423" t="str">
        <f t="shared" si="7"/>
        <v>Q.1.1. Badan Internasional dan Badan Ekstra Internasional Lainnya</v>
      </c>
      <c r="D770" s="424" t="s">
        <v>5054</v>
      </c>
      <c r="E770" s="425" t="str">
        <f>VLOOKUP($D770,'Tabel Map Industry'!$A$2:$H$464,2,0)</f>
        <v>Q.1.1. Badan Internasional dan Badan Ekstra Internasional Lainnya</v>
      </c>
      <c r="F770" s="426" t="str">
        <f>VLOOKUP($D770,'Tabel Map Industry'!$A$2:$H$464,3,0)</f>
        <v>CONSULTING &amp; SERVICE INDUSTRY</v>
      </c>
      <c r="G770" s="426" t="str">
        <f>VLOOKUP($D770,'Tabel Map Industry'!$A$2:$H$464,4,0)</f>
        <v>Q.1.1. Badan Internasional dan Badan Ekstra Internasional Lainnya - 990000</v>
      </c>
      <c r="H770" s="426" t="str">
        <f>VLOOKUP($D770,'Tabel Map Industry'!$A$2:$H$464,8,0)</f>
        <v>Jasa-jasa sosial/masyarakat -  Lainnya - 9900</v>
      </c>
    </row>
    <row r="771" spans="2:8" ht="30" hidden="1" x14ac:dyDescent="0.25">
      <c r="B771" s="418" t="str">
        <f t="shared" si="6"/>
        <v>Consulting &amp; Service Industry</v>
      </c>
      <c r="C771" s="418" t="str">
        <f t="shared" si="7"/>
        <v xml:space="preserve">I.4.2. Pergudangan, Jasa Cold Storage, dan Jasa Wilayah Berikat </v>
      </c>
      <c r="D771" s="419" t="s">
        <v>5055</v>
      </c>
      <c r="E771" s="420" t="str">
        <f>VLOOKUP($D771,'Tabel Map Industry'!$A$2:$H$464,2,0)</f>
        <v xml:space="preserve">I.4.2. Pergudangan, Jasa Cold Storage, dan Jasa Wilayah Berikat </v>
      </c>
      <c r="F771" s="421" t="str">
        <f>VLOOKUP($D771,'Tabel Map Industry'!$A$2:$H$464,3,0)</f>
        <v>CONSULTING &amp; SERVICE INDUSTRY</v>
      </c>
      <c r="G771" s="421" t="str">
        <f>VLOOKUP($D771,'Tabel Map Industry'!$A$2:$H$464,4,0)</f>
        <v>I.4.2. Pergudangan, Jasa Cold Storage, dan Jasa Wilayah Berikat  - 632000</v>
      </c>
      <c r="H771" s="421" t="str">
        <f>VLOOKUP($D771,'Tabel Map Industry'!$A$2:$H$464,8,0)</f>
        <v>Pergudangan - 7300</v>
      </c>
    </row>
    <row r="772" spans="2:8" ht="45" hidden="1" x14ac:dyDescent="0.25">
      <c r="B772" s="423" t="str">
        <f t="shared" si="6"/>
        <v>Consulting &amp; Service Industry</v>
      </c>
      <c r="C772" s="423" t="str">
        <f t="shared" si="7"/>
        <v xml:space="preserve">K.1.3. Kawasan Pariwisata dan Penyediaan Sarana Wisata Tirta Kawasan Pariwisata </v>
      </c>
      <c r="D772" s="424" t="s">
        <v>5057</v>
      </c>
      <c r="E772" s="425" t="str">
        <f>VLOOKUP($D772,'Tabel Map Industry'!$A$2:$H$464,2,0)</f>
        <v xml:space="preserve">K.1.3. Kawasan Pariwisata dan Penyediaan Sarana Wisata Tirta Kawasan Pariwisata </v>
      </c>
      <c r="F772" s="426" t="str">
        <f>VLOOKUP($D772,'Tabel Map Industry'!$A$2:$H$464,3,0)</f>
        <v>CONSULTING &amp; SERVICE INDUSTRY</v>
      </c>
      <c r="G772" s="426" t="str">
        <f>VLOOKUP($D772,'Tabel Map Industry'!$A$2:$H$464,4,0)</f>
        <v>K.1.3. Kawasan Pariwisata dan Penyediaan Sarana Wisata Tirta Kawasan Pariwisata  - 703000</v>
      </c>
      <c r="H772" s="426" t="str">
        <f>VLOOKUP($D772,'Tabel Map Industry'!$A$2:$H$464,8,0)</f>
        <v>Jasa-jasa Dunia Usaha - Real Estate Lainnya - 8190</v>
      </c>
    </row>
    <row r="773" spans="2:8" ht="30" hidden="1" x14ac:dyDescent="0.25">
      <c r="B773" s="418" t="str">
        <f t="shared" si="6"/>
        <v>Consulting &amp; Service Industry</v>
      </c>
      <c r="C773" s="418" t="str">
        <f t="shared" si="7"/>
        <v xml:space="preserve">Perdagangan Besar Berdasarkan Balas Jasa (Fee) Atau Kontrak </v>
      </c>
      <c r="D773" s="419" t="s">
        <v>5058</v>
      </c>
      <c r="E773" s="420" t="str">
        <f>VLOOKUP($D773,'Tabel Map Industry'!$A$2:$H$464,2,0)</f>
        <v xml:space="preserve">Perdagangan Besar Berdasarkan Balas Jasa (Fee) Atau Kontrak </v>
      </c>
      <c r="F773" s="421" t="str">
        <f>VLOOKUP($D773,'Tabel Map Industry'!$A$2:$H$464,3,0)</f>
        <v>CONSULTING &amp; SERVICE INDUSTRY</v>
      </c>
      <c r="G773" s="421" t="str">
        <f>VLOOKUP($D773,'Tabel Map Industry'!$A$2:$H$464,4,0)</f>
        <v>Perdagangan Besar Berdasarkan Balas Jasa (Fee) Atau Kontrak  - 511000</v>
      </c>
      <c r="H773" s="421" t="str">
        <f>VLOOKUP($D773,'Tabel Map Industry'!$A$2:$H$464,8,0)</f>
        <v>Distribusi lainnya - 6490</v>
      </c>
    </row>
    <row r="774" spans="2:8" ht="30" hidden="1" x14ac:dyDescent="0.25">
      <c r="B774" s="423" t="str">
        <f t="shared" si="6"/>
        <v>Consulting &amp; Service Industry</v>
      </c>
      <c r="C774" s="423" t="str">
        <f t="shared" si="7"/>
        <v xml:space="preserve">Perdagangan Ekspor Berdasarkan Balas Jasa (Fee) Atau Kontrak </v>
      </c>
      <c r="D774" s="424" t="s">
        <v>5059</v>
      </c>
      <c r="E774" s="425" t="str">
        <f>VLOOKUP($D774,'Tabel Map Industry'!$A$2:$H$464,2,0)</f>
        <v xml:space="preserve">Perdagangan Ekspor Berdasarkan Balas Jasa (Fee) Atau Kontrak </v>
      </c>
      <c r="F774" s="426" t="str">
        <f>VLOOKUP($D774,'Tabel Map Industry'!$A$2:$H$464,3,0)</f>
        <v>CONSULTING &amp; SERVICE INDUSTRY</v>
      </c>
      <c r="G774" s="426" t="str">
        <f>VLOOKUP($D774,'Tabel Map Industry'!$A$2:$H$464,4,0)</f>
        <v>Perdagangan Ekspor Berdasarkan Balas Jasa (Fee) Atau Kontrak  - 531000</v>
      </c>
      <c r="H774" s="426" t="str">
        <f>VLOOKUP($D774,'Tabel Map Industry'!$A$2:$H$464,8,0)</f>
        <v>Distribusi lainnya - 6490</v>
      </c>
    </row>
    <row r="775" spans="2:8" ht="30" hidden="1" x14ac:dyDescent="0.25">
      <c r="B775" s="418" t="str">
        <f t="shared" si="6"/>
        <v>Consulting &amp; Service Industry</v>
      </c>
      <c r="C775" s="418" t="str">
        <f t="shared" si="7"/>
        <v xml:space="preserve">Perdagangan Impor Berdasarkan Balas Jasa (Fee) Atau Kontrak </v>
      </c>
      <c r="D775" s="419" t="s">
        <v>5060</v>
      </c>
      <c r="E775" s="420" t="str">
        <f>VLOOKUP($D775,'Tabel Map Industry'!$A$2:$H$464,2,0)</f>
        <v xml:space="preserve">Perdagangan Impor Berdasarkan Balas Jasa (Fee) Atau Kontrak </v>
      </c>
      <c r="F775" s="421" t="str">
        <f>VLOOKUP($D775,'Tabel Map Industry'!$A$2:$H$464,3,0)</f>
        <v>CONSULTING &amp; SERVICE INDUSTRY</v>
      </c>
      <c r="G775" s="421" t="str">
        <f>VLOOKUP($D775,'Tabel Map Industry'!$A$2:$H$464,4,0)</f>
        <v>Perdagangan Impor Berdasarkan Balas Jasa (Fee) Atau Kontrak  - 541000</v>
      </c>
      <c r="H775" s="421" t="str">
        <f>VLOOKUP($D775,'Tabel Map Industry'!$A$2:$H$464,8,0)</f>
        <v>Ekspor Jasa-jasa - Lainnya - 6190</v>
      </c>
    </row>
    <row r="776" spans="2:8" ht="30" hidden="1" x14ac:dyDescent="0.25">
      <c r="B776" s="423" t="str">
        <f t="shared" si="6"/>
        <v>Consumable Good</v>
      </c>
      <c r="C776" s="423" t="str">
        <f t="shared" si="7"/>
        <v>Industri Rokok</v>
      </c>
      <c r="D776" s="424" t="s">
        <v>5065</v>
      </c>
      <c r="E776" s="425" t="str">
        <f>VLOOKUP($D776,'Tabel Map Industry'!$A$2:$H$464,2,0)</f>
        <v>Industri Rokok</v>
      </c>
      <c r="F776" s="426" t="str">
        <f>VLOOKUP($D776,'Tabel Map Industry'!$A$2:$H$464,3,0)</f>
        <v>CONSUMABLE GOOD</v>
      </c>
      <c r="G776" s="426" t="str">
        <f>VLOOKUP($D776,'Tabel Map Industry'!$A$2:$H$464,4,0)</f>
        <v>Industri Rokok - 160050</v>
      </c>
      <c r="H776" s="426" t="str">
        <f>VLOOKUP($D776,'Tabel Map Industry'!$A$2:$H$464,8,0)</f>
        <v>Industri - Rokok - 3180</v>
      </c>
    </row>
    <row r="777" spans="2:8" ht="30" hidden="1" x14ac:dyDescent="0.25">
      <c r="B777" s="418" t="str">
        <f t="shared" si="6"/>
        <v>Consumable Good</v>
      </c>
      <c r="C777" s="418" t="str">
        <f t="shared" si="7"/>
        <v xml:space="preserve">Industri Bumbu Rokok Serta Kelengkapan Rokok Lainnya </v>
      </c>
      <c r="D777" s="419" t="s">
        <v>5066</v>
      </c>
      <c r="E777" s="420" t="str">
        <f>VLOOKUP($D777,'Tabel Map Industry'!$A$2:$H$464,2,0)</f>
        <v xml:space="preserve">Industri Bumbu Rokok Serta Kelengkapan Rokok Lainnya </v>
      </c>
      <c r="F777" s="421" t="str">
        <f>VLOOKUP($D777,'Tabel Map Industry'!$A$2:$H$464,3,0)</f>
        <v>CONSUMABLE GOOD</v>
      </c>
      <c r="G777" s="421" t="str">
        <f>VLOOKUP($D777,'Tabel Map Industry'!$A$2:$H$464,4,0)</f>
        <v>Industri Bumbu Rokok Serta Kelengkapan Rokok Lainnya  - 160090</v>
      </c>
      <c r="H777" s="421" t="str">
        <f>VLOOKUP($D777,'Tabel Map Industry'!$A$2:$H$464,8,0)</f>
        <v>Industri - Rokok - 3180</v>
      </c>
    </row>
    <row r="778" spans="2:8" ht="30" hidden="1" x14ac:dyDescent="0.25">
      <c r="B778" s="423" t="str">
        <f t="shared" si="6"/>
        <v>Consumable Good</v>
      </c>
      <c r="C778" s="423" t="str">
        <f t="shared" si="7"/>
        <v>Perdagangan Dalam Negeri Rokok</v>
      </c>
      <c r="D778" s="424" t="s">
        <v>5067</v>
      </c>
      <c r="E778" s="425" t="str">
        <f>VLOOKUP($D778,'Tabel Map Industry'!$A$2:$H$464,2,0)</f>
        <v>Perdagangan Dalam Negeri Rokok</v>
      </c>
      <c r="F778" s="426" t="str">
        <f>VLOOKUP($D778,'Tabel Map Industry'!$A$2:$H$464,3,0)</f>
        <v>CONSUMABLE GOOD</v>
      </c>
      <c r="G778" s="426" t="str">
        <f>VLOOKUP($D778,'Tabel Map Industry'!$A$2:$H$464,4,0)</f>
        <v>Perdagangan Dalam Negeri Rokok - 512208</v>
      </c>
      <c r="H778" s="426" t="str">
        <f>VLOOKUP($D778,'Tabel Map Industry'!$A$2:$H$464,8,0)</f>
        <v>Distribusi lainnya - 6490</v>
      </c>
    </row>
    <row r="779" spans="2:8" ht="30" hidden="1" x14ac:dyDescent="0.25">
      <c r="B779" s="418" t="str">
        <f t="shared" si="6"/>
        <v>Consumable Good</v>
      </c>
      <c r="C779" s="418" t="str">
        <f t="shared" si="7"/>
        <v>Perdagangan Dalam Negeri Garam</v>
      </c>
      <c r="D779" s="419" t="s">
        <v>5068</v>
      </c>
      <c r="E779" s="420" t="str">
        <f>VLOOKUP($D779,'Tabel Map Industry'!$A$2:$H$464,2,0)</f>
        <v>Perdagangan Dalam Negeri Garam</v>
      </c>
      <c r="F779" s="421" t="str">
        <f>VLOOKUP($D779,'Tabel Map Industry'!$A$2:$H$464,3,0)</f>
        <v>CONSUMABLE GOOD</v>
      </c>
      <c r="G779" s="421" t="str">
        <f>VLOOKUP($D779,'Tabel Map Industry'!$A$2:$H$464,4,0)</f>
        <v>Perdagangan Dalam Negeri Garam - 512205</v>
      </c>
      <c r="H779" s="421" t="str">
        <f>VLOOKUP($D779,'Tabel Map Industry'!$A$2:$H$464,8,0)</f>
        <v>Pembelian &amp; Pengumpulan Brg. Dagangan Dlm.Neg. : Garam - 6313</v>
      </c>
    </row>
    <row r="780" spans="2:8" ht="45" hidden="1" x14ac:dyDescent="0.25">
      <c r="B780" s="423" t="str">
        <f t="shared" si="6"/>
        <v>Consumable Good</v>
      </c>
      <c r="C780" s="423" t="str">
        <f t="shared" si="7"/>
        <v xml:space="preserve">Industri Sabun dan Bahan Pembersih Keperluan Rumah Tangga, Kosmetik dan Sejenisnya </v>
      </c>
      <c r="D780" s="424" t="s">
        <v>5069</v>
      </c>
      <c r="E780" s="425" t="str">
        <f>VLOOKUP($D780,'Tabel Map Industry'!$A$2:$H$464,2,0)</f>
        <v xml:space="preserve">Industri Sabun dan Bahan Pembersih Keperluan Rumah Tangga, Kosmetik dan Sejenisnya </v>
      </c>
      <c r="F780" s="426" t="str">
        <f>VLOOKUP($D780,'Tabel Map Industry'!$A$2:$H$464,3,0)</f>
        <v>CONSUMABLE GOOD</v>
      </c>
      <c r="G780" s="426" t="str">
        <f>VLOOKUP($D780,'Tabel Map Industry'!$A$2:$H$464,4,0)</f>
        <v>Industri Sabun dan Bahan Pembersih Keperluan Rumah Tangga, Kosmetik dan Sejenisnya  - 242400</v>
      </c>
      <c r="H780" s="426" t="str">
        <f>VLOOKUP($D780,'Tabel Map Industry'!$A$2:$H$464,8,0)</f>
        <v>Industri - Farmasi - 3620</v>
      </c>
    </row>
    <row r="781" spans="2:8" hidden="1" x14ac:dyDescent="0.25">
      <c r="B781" s="418" t="str">
        <f t="shared" si="6"/>
        <v>Crumb Rubber</v>
      </c>
      <c r="C781" s="418" t="str">
        <f t="shared" si="7"/>
        <v xml:space="preserve">Industri Pengasapan Karet </v>
      </c>
      <c r="D781" s="419" t="s">
        <v>4957</v>
      </c>
      <c r="E781" s="420" t="str">
        <f>VLOOKUP($D781,'Tabel Map Industry'!$A$2:$H$464,2,0)</f>
        <v xml:space="preserve">Industri Pengasapan Karet </v>
      </c>
      <c r="F781" s="421" t="str">
        <f>VLOOKUP($D781,'Tabel Map Industry'!$A$2:$H$464,3,0)</f>
        <v>CRUMB RUBBER</v>
      </c>
      <c r="G781" s="421" t="str">
        <f>VLOOKUP($D781,'Tabel Map Industry'!$A$2:$H$464,4,0)</f>
        <v>Industri Pengasapan Karet  - 251210</v>
      </c>
      <c r="H781" s="421" t="str">
        <f>VLOOKUP($D781,'Tabel Map Industry'!$A$2:$H$464,8,0)</f>
        <v>Industri - Lainnya - 3990</v>
      </c>
    </row>
    <row r="782" spans="2:8" hidden="1" x14ac:dyDescent="0.25">
      <c r="B782" s="423" t="str">
        <f t="shared" si="6"/>
        <v>Crumb Rubber</v>
      </c>
      <c r="C782" s="423" t="str">
        <f t="shared" si="7"/>
        <v xml:space="preserve">Industri Remilling Karet </v>
      </c>
      <c r="D782" s="424" t="s">
        <v>4958</v>
      </c>
      <c r="E782" s="425" t="str">
        <f>VLOOKUP($D782,'Tabel Map Industry'!$A$2:$H$464,2,0)</f>
        <v xml:space="preserve">Industri Remilling Karet </v>
      </c>
      <c r="F782" s="426" t="str">
        <f>VLOOKUP($D782,'Tabel Map Industry'!$A$2:$H$464,3,0)</f>
        <v>CRUMB RUBBER</v>
      </c>
      <c r="G782" s="426" t="str">
        <f>VLOOKUP($D782,'Tabel Map Industry'!$A$2:$H$464,4,0)</f>
        <v>Industri Remilling Karet  - 251220</v>
      </c>
      <c r="H782" s="426" t="str">
        <f>VLOOKUP($D782,'Tabel Map Industry'!$A$2:$H$464,8,0)</f>
        <v>Industri - Crumb Rubber - 3660</v>
      </c>
    </row>
    <row r="783" spans="2:8" ht="30" hidden="1" x14ac:dyDescent="0.25">
      <c r="B783" s="418" t="str">
        <f t="shared" si="6"/>
        <v>Crumb Rubber</v>
      </c>
      <c r="C783" s="418" t="str">
        <f t="shared" si="7"/>
        <v xml:space="preserve">Industri Karet Remah (CRUMBer) </v>
      </c>
      <c r="D783" s="419" t="s">
        <v>4959</v>
      </c>
      <c r="E783" s="420" t="str">
        <f>VLOOKUP($D783,'Tabel Map Industry'!$A$2:$H$464,2,0)</f>
        <v xml:space="preserve">Industri Karet Remah (CRUMBer) </v>
      </c>
      <c r="F783" s="421" t="str">
        <f>VLOOKUP($D783,'Tabel Map Industry'!$A$2:$H$464,3,0)</f>
        <v>CRUMB RUBBER</v>
      </c>
      <c r="G783" s="421" t="str">
        <f>VLOOKUP($D783,'Tabel Map Industry'!$A$2:$H$464,4,0)</f>
        <v>Industri Karet Remah (CRUMBer)  - 251230</v>
      </c>
      <c r="H783" s="421" t="str">
        <f>VLOOKUP($D783,'Tabel Map Industry'!$A$2:$H$464,8,0)</f>
        <v>Industri - Crumb Rubber - 3660</v>
      </c>
    </row>
    <row r="784" spans="2:8" ht="30" hidden="1" x14ac:dyDescent="0.25">
      <c r="B784" s="423" t="str">
        <f t="shared" si="6"/>
        <v>Crumb Rubber</v>
      </c>
      <c r="C784" s="423" t="str">
        <f t="shared" si="7"/>
        <v xml:space="preserve">Perdagangan Karet </v>
      </c>
      <c r="D784" s="424" t="s">
        <v>5078</v>
      </c>
      <c r="E784" s="425" t="str">
        <f>VLOOKUP($D784,'Tabel Map Industry'!$A$2:$H$464,2,0)</f>
        <v xml:space="preserve">Perdagangan Karet </v>
      </c>
      <c r="F784" s="426" t="str">
        <f>VLOOKUP($D784,'Tabel Map Industry'!$A$2:$H$464,3,0)</f>
        <v>CRUMB RUBBER</v>
      </c>
      <c r="G784" s="426" t="str">
        <f>VLOOKUP($D784,'Tabel Map Industry'!$A$2:$H$464,4,0)</f>
        <v>Perdagangan Karet  - 512113</v>
      </c>
      <c r="H784" s="426" t="str">
        <f>VLOOKUP($D784,'Tabel Map Industry'!$A$2:$H$464,8,0)</f>
        <v>Pembelian &amp; Pengumpulan Brg. Dagangan Dlm.Neg. : Karet - 6316</v>
      </c>
    </row>
    <row r="785" spans="2:8" hidden="1" x14ac:dyDescent="0.25">
      <c r="B785" s="418" t="str">
        <f t="shared" si="6"/>
        <v>Crumb Rubber</v>
      </c>
      <c r="C785" s="418" t="str">
        <f t="shared" si="7"/>
        <v>Perdagangan Ekspor Karet</v>
      </c>
      <c r="D785" s="419" t="s">
        <v>5079</v>
      </c>
      <c r="E785" s="420" t="str">
        <f>VLOOKUP($D785,'Tabel Map Industry'!$A$2:$H$464,2,0)</f>
        <v>Perdagangan Ekspor Karet</v>
      </c>
      <c r="F785" s="421" t="str">
        <f>VLOOKUP($D785,'Tabel Map Industry'!$A$2:$H$464,3,0)</f>
        <v>CRUMB RUBBER</v>
      </c>
      <c r="G785" s="421" t="str">
        <f>VLOOKUP($D785,'Tabel Map Industry'!$A$2:$H$464,4,0)</f>
        <v>Perdagangan Ekspor Karet - 539014</v>
      </c>
      <c r="H785" s="421" t="str">
        <f>VLOOKUP($D785,'Tabel Map Industry'!$A$2:$H$464,8,0)</f>
        <v>Ekspor Barang Setengah Jadi Karet - 6134</v>
      </c>
    </row>
    <row r="786" spans="2:8" ht="45" hidden="1" x14ac:dyDescent="0.25">
      <c r="B786" s="423" t="str">
        <f t="shared" ref="B786:B849" si="8">PROPER(F786)</f>
        <v>Electricity, Engine &amp; Machineries</v>
      </c>
      <c r="C786" s="423" t="str">
        <f t="shared" ref="C786:C849" si="9">E786</f>
        <v xml:space="preserve">Industri Kabel Listrik dan Telepon </v>
      </c>
      <c r="D786" s="424" t="s">
        <v>5080</v>
      </c>
      <c r="E786" s="425" t="str">
        <f>VLOOKUP($D786,'Tabel Map Industry'!$A$2:$H$464,2,0)</f>
        <v xml:space="preserve">Industri Kabel Listrik dan Telepon </v>
      </c>
      <c r="F786" s="426" t="str">
        <f>VLOOKUP($D786,'Tabel Map Industry'!$A$2:$H$464,3,0)</f>
        <v>ELECTRICITY, ENGINE &amp; MACHINERIES</v>
      </c>
      <c r="G786" s="426" t="str">
        <f>VLOOKUP($D786,'Tabel Map Industry'!$A$2:$H$464,4,0)</f>
        <v>Industri Kabel Listrik dan Telepon  - 313000</v>
      </c>
      <c r="H786" s="426" t="str">
        <f>VLOOKUP($D786,'Tabel Map Industry'!$A$2:$H$464,8,0)</f>
        <v>Industri - Lainnya - 3990</v>
      </c>
    </row>
    <row r="787" spans="2:8" ht="45" hidden="1" x14ac:dyDescent="0.25">
      <c r="B787" s="418" t="str">
        <f t="shared" si="8"/>
        <v>Electricity, Engine &amp; Machineries</v>
      </c>
      <c r="C787" s="418" t="str">
        <f t="shared" si="9"/>
        <v xml:space="preserve">Industri Motor Listrik, Generator, dan Transformator </v>
      </c>
      <c r="D787" s="419" t="s">
        <v>5081</v>
      </c>
      <c r="E787" s="420" t="str">
        <f>VLOOKUP($D787,'Tabel Map Industry'!$A$2:$H$464,2,0)</f>
        <v xml:space="preserve">Industri Motor Listrik, Generator, dan Transformator </v>
      </c>
      <c r="F787" s="421" t="str">
        <f>VLOOKUP($D787,'Tabel Map Industry'!$A$2:$H$464,3,0)</f>
        <v>ELECTRICITY, ENGINE &amp; MACHINERIES</v>
      </c>
      <c r="G787" s="421" t="str">
        <f>VLOOKUP($D787,'Tabel Map Industry'!$A$2:$H$464,4,0)</f>
        <v>Industri Motor Listrik, Generator, dan Transformator  - 311000</v>
      </c>
      <c r="H787" s="421" t="str">
        <f>VLOOKUP($D787,'Tabel Map Industry'!$A$2:$H$464,8,0)</f>
        <v>Industri - Lainnya - 3990</v>
      </c>
    </row>
    <row r="788" spans="2:8" ht="45" hidden="1" x14ac:dyDescent="0.25">
      <c r="B788" s="423" t="str">
        <f t="shared" si="8"/>
        <v>Electricity, Engine &amp; Machineries</v>
      </c>
      <c r="C788" s="423" t="str">
        <f t="shared" si="9"/>
        <v xml:space="preserve">Industri Akumulator Listrik dan Batu Baterai </v>
      </c>
      <c r="D788" s="424" t="s">
        <v>5083</v>
      </c>
      <c r="E788" s="425" t="str">
        <f>VLOOKUP($D788,'Tabel Map Industry'!$A$2:$H$464,2,0)</f>
        <v xml:space="preserve">Industri Akumulator Listrik dan Batu Baterai </v>
      </c>
      <c r="F788" s="426" t="str">
        <f>VLOOKUP($D788,'Tabel Map Industry'!$A$2:$H$464,3,0)</f>
        <v>ELECTRICITY, ENGINE &amp; MACHINERIES</v>
      </c>
      <c r="G788" s="426" t="str">
        <f>VLOOKUP($D788,'Tabel Map Industry'!$A$2:$H$464,4,0)</f>
        <v>Industri Akumulator Listrik dan Batu Baterai  - 314000</v>
      </c>
      <c r="H788" s="426" t="str">
        <f>VLOOKUP($D788,'Tabel Map Industry'!$A$2:$H$464,8,0)</f>
        <v>Industri - Lainnya - 3990</v>
      </c>
    </row>
    <row r="789" spans="2:8" ht="45" hidden="1" x14ac:dyDescent="0.25">
      <c r="B789" s="418" t="str">
        <f t="shared" si="8"/>
        <v>Electricity, Engine &amp; Machineries</v>
      </c>
      <c r="C789" s="418" t="str">
        <f t="shared" si="9"/>
        <v>Industri Bola Lampu Pijar dan Lampu Penerangan</v>
      </c>
      <c r="D789" s="419" t="s">
        <v>5084</v>
      </c>
      <c r="E789" s="420" t="str">
        <f>VLOOKUP($D789,'Tabel Map Industry'!$A$2:$H$464,2,0)</f>
        <v>Industri Bola Lampu Pijar dan Lampu Penerangan</v>
      </c>
      <c r="F789" s="421" t="str">
        <f>VLOOKUP($D789,'Tabel Map Industry'!$A$2:$H$464,3,0)</f>
        <v>ELECTRICITY, ENGINE &amp; MACHINERIES</v>
      </c>
      <c r="G789" s="421" t="str">
        <f>VLOOKUP($D789,'Tabel Map Industry'!$A$2:$H$464,4,0)</f>
        <v>Industri Bola Lampu Pijar dan Lampu Penerangan - 315000</v>
      </c>
      <c r="H789" s="421" t="str">
        <f>VLOOKUP($D789,'Tabel Map Industry'!$A$2:$H$464,8,0)</f>
        <v>Industri - Lainnya - 3990</v>
      </c>
    </row>
    <row r="790" spans="2:8" ht="45" hidden="1" x14ac:dyDescent="0.25">
      <c r="B790" s="423" t="str">
        <f t="shared" si="8"/>
        <v>Electricity, Engine &amp; Machineries</v>
      </c>
      <c r="C790" s="423" t="str">
        <f t="shared" si="9"/>
        <v xml:space="preserve">Industri Peralatan Listrik yang Tidak Diklasifikasikan di Tempat lain </v>
      </c>
      <c r="D790" s="424" t="s">
        <v>5085</v>
      </c>
      <c r="E790" s="425" t="str">
        <f>VLOOKUP($D790,'Tabel Map Industry'!$A$2:$H$464,2,0)</f>
        <v xml:space="preserve">Industri Peralatan Listrik yang Tidak Diklasifikasikan di Tempat lain </v>
      </c>
      <c r="F790" s="426" t="str">
        <f>VLOOKUP($D790,'Tabel Map Industry'!$A$2:$H$464,3,0)</f>
        <v>ELECTRICITY, ENGINE &amp; MACHINERIES</v>
      </c>
      <c r="G790" s="426" t="str">
        <f>VLOOKUP($D790,'Tabel Map Industry'!$A$2:$H$464,4,0)</f>
        <v>Industri Peralatan Listrik yang Tidak Diklasifikasikan di Tempat lain  - 319000</v>
      </c>
      <c r="H790" s="426" t="str">
        <f>VLOOKUP($D790,'Tabel Map Industry'!$A$2:$H$464,8,0)</f>
        <v>Industri - Lainnya - 3990</v>
      </c>
    </row>
    <row r="791" spans="2:8" ht="45" hidden="1" x14ac:dyDescent="0.25">
      <c r="B791" s="418" t="str">
        <f t="shared" si="8"/>
        <v>Electricity, Engine &amp; Machineries</v>
      </c>
      <c r="C791" s="418" t="str">
        <f t="shared" si="9"/>
        <v>Ketenagalistrikan Pedesaan</v>
      </c>
      <c r="D791" s="419" t="s">
        <v>5086</v>
      </c>
      <c r="E791" s="420" t="str">
        <f>VLOOKUP($D791,'Tabel Map Industry'!$A$2:$H$464,2,0)</f>
        <v>Ketenagalistrikan Pedesaan</v>
      </c>
      <c r="F791" s="421" t="str">
        <f>VLOOKUP($D791,'Tabel Map Industry'!$A$2:$H$464,3,0)</f>
        <v>ELECTRICITY, ENGINE &amp; MACHINERIES</v>
      </c>
      <c r="G791" s="421" t="str">
        <f>VLOOKUP($D791,'Tabel Map Industry'!$A$2:$H$464,4,0)</f>
        <v>Ketenagalistrikan Pedesaan - 401001</v>
      </c>
      <c r="H791" s="421" t="str">
        <f>VLOOKUP($D791,'Tabel Map Industry'!$A$2:$H$464,8,0)</f>
        <v>Listrik Pedesaan - 4110</v>
      </c>
    </row>
    <row r="792" spans="2:8" ht="45" hidden="1" x14ac:dyDescent="0.25">
      <c r="B792" s="423" t="str">
        <f t="shared" si="8"/>
        <v>Electricity, Engine &amp; Machineries</v>
      </c>
      <c r="C792" s="423" t="str">
        <f t="shared" si="9"/>
        <v>Ketenagalistrikan Lainnya</v>
      </c>
      <c r="D792" s="424" t="s">
        <v>5087</v>
      </c>
      <c r="E792" s="425" t="str">
        <f>VLOOKUP($D792,'Tabel Map Industry'!$A$2:$H$464,2,0)</f>
        <v>Ketenagalistrikan Lainnya</v>
      </c>
      <c r="F792" s="426" t="str">
        <f>VLOOKUP($D792,'Tabel Map Industry'!$A$2:$H$464,3,0)</f>
        <v>ELECTRICITY, ENGINE &amp; MACHINERIES</v>
      </c>
      <c r="G792" s="426" t="str">
        <f>VLOOKUP($D792,'Tabel Map Industry'!$A$2:$H$464,4,0)</f>
        <v>Ketenagalistrikan Lainnya - 401002</v>
      </c>
      <c r="H792" s="426" t="str">
        <f>VLOOKUP($D792,'Tabel Map Industry'!$A$2:$H$464,8,0)</f>
        <v>Listrik Lainnya - 4190</v>
      </c>
    </row>
    <row r="793" spans="2:8" ht="45" hidden="1" x14ac:dyDescent="0.25">
      <c r="B793" s="418" t="str">
        <f t="shared" si="8"/>
        <v>Electricity, Engine &amp; Machineries</v>
      </c>
      <c r="C793" s="418" t="str">
        <f t="shared" si="9"/>
        <v xml:space="preserve">Uap dan Air Panas </v>
      </c>
      <c r="D793" s="419" t="s">
        <v>5088</v>
      </c>
      <c r="E793" s="420" t="str">
        <f>VLOOKUP($D793,'Tabel Map Industry'!$A$2:$H$464,2,0)</f>
        <v xml:space="preserve">Uap dan Air Panas </v>
      </c>
      <c r="F793" s="421" t="str">
        <f>VLOOKUP($D793,'Tabel Map Industry'!$A$2:$H$464,3,0)</f>
        <v>ELECTRICITY, ENGINE &amp; MACHINERIES</v>
      </c>
      <c r="G793" s="421" t="str">
        <f>VLOOKUP($D793,'Tabel Map Industry'!$A$2:$H$464,4,0)</f>
        <v>Uap dan Air Panas  - 403000</v>
      </c>
      <c r="H793" s="421" t="str">
        <f>VLOOKUP($D793,'Tabel Map Industry'!$A$2:$H$464,8,0)</f>
        <v>Gas - 4200</v>
      </c>
    </row>
    <row r="794" spans="2:8" ht="45" hidden="1" x14ac:dyDescent="0.25">
      <c r="B794" s="423" t="str">
        <f t="shared" si="8"/>
        <v>Electricity, Engine &amp; Machineries</v>
      </c>
      <c r="C794" s="423" t="str">
        <f t="shared" si="9"/>
        <v xml:space="preserve">Industri Tabung dan Katup Elektronik Serta Komponen Elektronik lainnya </v>
      </c>
      <c r="D794" s="424" t="s">
        <v>5089</v>
      </c>
      <c r="E794" s="425" t="str">
        <f>VLOOKUP($D794,'Tabel Map Industry'!$A$2:$H$464,2,0)</f>
        <v xml:space="preserve">Industri Tabung dan Katup Elektronik Serta Komponen Elektronik lainnya </v>
      </c>
      <c r="F794" s="426" t="str">
        <f>VLOOKUP($D794,'Tabel Map Industry'!$A$2:$H$464,3,0)</f>
        <v>ELECTRICITY, ENGINE &amp; MACHINERIES</v>
      </c>
      <c r="G794" s="426" t="str">
        <f>VLOOKUP($D794,'Tabel Map Industry'!$A$2:$H$464,4,0)</f>
        <v>Industri Tabung dan Katup Elektronik Serta Komponen Elektronik lainnya  - 321000</v>
      </c>
      <c r="H794" s="426" t="str">
        <f>VLOOKUP($D794,'Tabel Map Industry'!$A$2:$H$464,8,0)</f>
        <v>Industri - Lainnya - 3990</v>
      </c>
    </row>
    <row r="795" spans="2:8" ht="45" hidden="1" x14ac:dyDescent="0.25">
      <c r="B795" s="418" t="str">
        <f t="shared" si="8"/>
        <v>Electricity, Engine &amp; Machineries</v>
      </c>
      <c r="C795" s="418" t="str">
        <f t="shared" si="9"/>
        <v xml:space="preserve">Industri Alat-alat Pertanian, Pertukangan, Pemotong, dan Peralatan lainnya dari Logam </v>
      </c>
      <c r="D795" s="419" t="s">
        <v>5090</v>
      </c>
      <c r="E795" s="420" t="str">
        <f>VLOOKUP($D795,'Tabel Map Industry'!$A$2:$H$464,2,0)</f>
        <v xml:space="preserve">Industri Alat-alat Pertanian, Pertukangan, Pemotong, dan Peralatan lainnya dari Logam </v>
      </c>
      <c r="F795" s="421" t="str">
        <f>VLOOKUP($D795,'Tabel Map Industry'!$A$2:$H$464,3,0)</f>
        <v>ELECTRICITY, ENGINE &amp; MACHINERIES</v>
      </c>
      <c r="G795" s="421" t="str">
        <f>VLOOKUP($D795,'Tabel Map Industry'!$A$2:$H$464,4,0)</f>
        <v>Industri Alat-alat Pertanian, Pertukangan, Pemotong, dan Peralatan lainnya dari Logam  - 289300</v>
      </c>
      <c r="H795" s="421" t="str">
        <f>VLOOKUP($D795,'Tabel Map Industry'!$A$2:$H$464,8,0)</f>
        <v>Industri - Lainnya - 3990</v>
      </c>
    </row>
    <row r="796" spans="2:8" ht="45" hidden="1" x14ac:dyDescent="0.25">
      <c r="B796" s="423" t="str">
        <f t="shared" si="8"/>
        <v>Electricity, Engine &amp; Machineries</v>
      </c>
      <c r="C796" s="423" t="str">
        <f t="shared" si="9"/>
        <v xml:space="preserve">Industri Mesin-mesin Umum </v>
      </c>
      <c r="D796" s="424" t="s">
        <v>5091</v>
      </c>
      <c r="E796" s="425" t="str">
        <f>VLOOKUP($D796,'Tabel Map Industry'!$A$2:$H$464,2,0)</f>
        <v xml:space="preserve">Industri Mesin-mesin Umum </v>
      </c>
      <c r="F796" s="426" t="str">
        <f>VLOOKUP($D796,'Tabel Map Industry'!$A$2:$H$464,3,0)</f>
        <v>ELECTRICITY, ENGINE &amp; MACHINERIES</v>
      </c>
      <c r="G796" s="426" t="str">
        <f>VLOOKUP($D796,'Tabel Map Industry'!$A$2:$H$464,4,0)</f>
        <v>Industri Mesin-mesin Umum  - 291000</v>
      </c>
      <c r="H796" s="426" t="str">
        <f>VLOOKUP($D796,'Tabel Map Industry'!$A$2:$H$464,8,0)</f>
        <v>Industri - Lainnya - 3990</v>
      </c>
    </row>
    <row r="797" spans="2:8" ht="45" hidden="1" x14ac:dyDescent="0.25">
      <c r="B797" s="418" t="str">
        <f t="shared" si="8"/>
        <v>Electricity, Engine &amp; Machineries</v>
      </c>
      <c r="C797" s="418" t="str">
        <f t="shared" si="9"/>
        <v xml:space="preserve">Industri Mesin Pertanian dan Kehutanan, Serta Jasa Penunjang Pemeliharaan dan Perbaikannya </v>
      </c>
      <c r="D797" s="419" t="s">
        <v>5092</v>
      </c>
      <c r="E797" s="420" t="str">
        <f>VLOOKUP($D797,'Tabel Map Industry'!$A$2:$H$464,2,0)</f>
        <v xml:space="preserve">Industri Mesin Pertanian dan Kehutanan, Serta Jasa Penunjang Pemeliharaan dan Perbaikannya </v>
      </c>
      <c r="F797" s="421" t="str">
        <f>VLOOKUP($D797,'Tabel Map Industry'!$A$2:$H$464,3,0)</f>
        <v>ELECTRICITY, ENGINE &amp; MACHINERIES</v>
      </c>
      <c r="G797" s="421" t="str">
        <f>VLOOKUP($D797,'Tabel Map Industry'!$A$2:$H$464,4,0)</f>
        <v>Industri Mesin Pertanian dan Kehutanan, Serta Jasa Penunjang Pemeliharaan dan Perbaikannya  - 292100</v>
      </c>
      <c r="H797" s="421" t="str">
        <f>VLOOKUP($D797,'Tabel Map Industry'!$A$2:$H$464,8,0)</f>
        <v>Industri - Lainnya - 3990</v>
      </c>
    </row>
    <row r="798" spans="2:8" ht="45" hidden="1" x14ac:dyDescent="0.25">
      <c r="B798" s="423" t="str">
        <f t="shared" si="8"/>
        <v>Electricity, Engine &amp; Machineries</v>
      </c>
      <c r="C798" s="423" t="str">
        <f t="shared" si="9"/>
        <v xml:space="preserve">lndustri Mesin Untuk Pengolahan Makanan, Minuman dan Tembakau </v>
      </c>
      <c r="D798" s="424" t="s">
        <v>5094</v>
      </c>
      <c r="E798" s="425" t="str">
        <f>VLOOKUP($D798,'Tabel Map Industry'!$A$2:$H$464,2,0)</f>
        <v xml:space="preserve">lndustri Mesin Untuk Pengolahan Makanan, Minuman dan Tembakau </v>
      </c>
      <c r="F798" s="426" t="str">
        <f>VLOOKUP($D798,'Tabel Map Industry'!$A$2:$H$464,3,0)</f>
        <v>ELECTRICITY, ENGINE &amp; MACHINERIES</v>
      </c>
      <c r="G798" s="426" t="str">
        <f>VLOOKUP($D798,'Tabel Map Industry'!$A$2:$H$464,4,0)</f>
        <v>lndustri Mesin Untuk Pengolahan Makanan, Minuman dan Tembakau  - 292500</v>
      </c>
      <c r="H798" s="426" t="str">
        <f>VLOOKUP($D798,'Tabel Map Industry'!$A$2:$H$464,8,0)</f>
        <v>Industri - Lainnya - 3990</v>
      </c>
    </row>
    <row r="799" spans="2:8" ht="45" hidden="1" x14ac:dyDescent="0.25">
      <c r="B799" s="418" t="str">
        <f t="shared" si="8"/>
        <v>Electricity, Engine &amp; Machineries</v>
      </c>
      <c r="C799" s="418" t="str">
        <f t="shared" si="9"/>
        <v xml:space="preserve">Industri Mesin-mesin Tekstil, Produk Tekstil, dan Barang-barang dari Kulit </v>
      </c>
      <c r="D799" s="419" t="s">
        <v>5095</v>
      </c>
      <c r="E799" s="420" t="str">
        <f>VLOOKUP($D799,'Tabel Map Industry'!$A$2:$H$464,2,0)</f>
        <v xml:space="preserve">Industri Mesin-mesin Tekstil, Produk Tekstil, dan Barang-barang dari Kulit </v>
      </c>
      <c r="F799" s="421" t="str">
        <f>VLOOKUP($D799,'Tabel Map Industry'!$A$2:$H$464,3,0)</f>
        <v>ELECTRICITY, ENGINE &amp; MACHINERIES</v>
      </c>
      <c r="G799" s="421" t="str">
        <f>VLOOKUP($D799,'Tabel Map Industry'!$A$2:$H$464,4,0)</f>
        <v>Industri Mesin-mesin Tekstil, Produk Tekstil, dan Barang-barang dari Kulit  - 292600</v>
      </c>
      <c r="H799" s="421" t="str">
        <f>VLOOKUP($D799,'Tabel Map Industry'!$A$2:$H$464,8,0)</f>
        <v>Industri - Lainnya - 3990</v>
      </c>
    </row>
    <row r="800" spans="2:8" ht="45" hidden="1" x14ac:dyDescent="0.25">
      <c r="B800" s="423" t="str">
        <f t="shared" si="8"/>
        <v>Electricity, Engine &amp; Machineries</v>
      </c>
      <c r="C800" s="423" t="str">
        <f t="shared" si="9"/>
        <v>Industri Mesin dan Peralatan Kantor, Akuntansi, dan Pengolahan Data</v>
      </c>
      <c r="D800" s="424" t="s">
        <v>5097</v>
      </c>
      <c r="E800" s="425" t="str">
        <f>VLOOKUP($D800,'Tabel Map Industry'!$A$2:$H$464,2,0)</f>
        <v>Industri Mesin dan Peralatan Kantor, Akuntansi, dan Pengolahan Data</v>
      </c>
      <c r="F800" s="426" t="str">
        <f>VLOOKUP($D800,'Tabel Map Industry'!$A$2:$H$464,3,0)</f>
        <v>ELECTRICITY, ENGINE &amp; MACHINERIES</v>
      </c>
      <c r="G800" s="426" t="str">
        <f>VLOOKUP($D800,'Tabel Map Industry'!$A$2:$H$464,4,0)</f>
        <v>Industri Mesin dan Peralatan Kantor, Akuntansi, dan Pengolahan Data - 300000</v>
      </c>
      <c r="H800" s="426" t="str">
        <f>VLOOKUP($D800,'Tabel Map Industry'!$A$2:$H$464,8,0)</f>
        <v>Industri - Lainnya - 3990</v>
      </c>
    </row>
    <row r="801" spans="2:8" ht="45" hidden="1" x14ac:dyDescent="0.25">
      <c r="B801" s="418" t="str">
        <f t="shared" si="8"/>
        <v>Electricity, Engine &amp; Machineries</v>
      </c>
      <c r="C801" s="418" t="str">
        <f t="shared" si="9"/>
        <v xml:space="preserve">Perdagangan Ekspor Mesin-mesin, Suku Cadang dan Perlengkapannya </v>
      </c>
      <c r="D801" s="419" t="s">
        <v>5099</v>
      </c>
      <c r="E801" s="420" t="str">
        <f>VLOOKUP($D801,'Tabel Map Industry'!$A$2:$H$464,2,0)</f>
        <v xml:space="preserve">Perdagangan Ekspor Mesin-mesin, Suku Cadang dan Perlengkapannya </v>
      </c>
      <c r="F801" s="421" t="str">
        <f>VLOOKUP($D801,'Tabel Map Industry'!$A$2:$H$464,3,0)</f>
        <v>ELECTRICITY, ENGINE &amp; MACHINERIES</v>
      </c>
      <c r="G801" s="421" t="str">
        <f>VLOOKUP($D801,'Tabel Map Industry'!$A$2:$H$464,4,0)</f>
        <v>Perdagangan Ekspor Mesin-mesin, Suku Cadang dan Perlengkapannya  - 535000</v>
      </c>
      <c r="H801" s="421" t="str">
        <f>VLOOKUP($D801,'Tabel Map Industry'!$A$2:$H$464,8,0)</f>
        <v>Ekspor Jasa-jasa - Lainnya - 6190</v>
      </c>
    </row>
    <row r="802" spans="2:8" ht="45" hidden="1" x14ac:dyDescent="0.25">
      <c r="B802" s="423" t="str">
        <f t="shared" si="8"/>
        <v>Electricity, Engine &amp; Machineries</v>
      </c>
      <c r="C802" s="423" t="str">
        <f t="shared" si="9"/>
        <v>Perdagangan Impor Suku Cadang Industri</v>
      </c>
      <c r="D802" s="424" t="s">
        <v>5100</v>
      </c>
      <c r="E802" s="425" t="str">
        <f>VLOOKUP($D802,'Tabel Map Industry'!$A$2:$H$464,2,0)</f>
        <v>Perdagangan Impor Suku Cadang Industri</v>
      </c>
      <c r="F802" s="426" t="str">
        <f>VLOOKUP($D802,'Tabel Map Industry'!$A$2:$H$464,3,0)</f>
        <v>ELECTRICITY, ENGINE &amp; MACHINERIES</v>
      </c>
      <c r="G802" s="426" t="str">
        <f>VLOOKUP($D802,'Tabel Map Industry'!$A$2:$H$464,4,0)</f>
        <v>Perdagangan Impor Suku Cadang Industri - 545001</v>
      </c>
      <c r="H802" s="426" t="str">
        <f>VLOOKUP($D802,'Tabel Map Industry'!$A$2:$H$464,8,0)</f>
        <v>Impor Bukan dlm.rangka Bantuan Luar Negeri - Suku Cadang Industri - 6232</v>
      </c>
    </row>
    <row r="803" spans="2:8" ht="45" hidden="1" x14ac:dyDescent="0.25">
      <c r="B803" s="418" t="str">
        <f t="shared" si="8"/>
        <v>Electricity, Engine &amp; Machineries</v>
      </c>
      <c r="C803" s="418" t="str">
        <f t="shared" si="9"/>
        <v>Perdagangan Impor Suku Cadang Mesin-mesin, Suku Cadang dan Perlengkapannya Lainnya</v>
      </c>
      <c r="D803" s="419" t="s">
        <v>5101</v>
      </c>
      <c r="E803" s="420" t="str">
        <f>VLOOKUP($D803,'Tabel Map Industry'!$A$2:$H$464,2,0)</f>
        <v>Perdagangan Impor Suku Cadang Mesin-mesin, Suku Cadang dan Perlengkapannya Lainnya</v>
      </c>
      <c r="F803" s="421" t="str">
        <f>VLOOKUP($D803,'Tabel Map Industry'!$A$2:$H$464,3,0)</f>
        <v>ELECTRICITY, ENGINE &amp; MACHINERIES</v>
      </c>
      <c r="G803" s="421" t="str">
        <f>VLOOKUP($D803,'Tabel Map Industry'!$A$2:$H$464,4,0)</f>
        <v>Perdagangan Impor Suku Cadang Mesin-mesin, Suku Cadang dan Perlengkapannya Lainnya - 545009</v>
      </c>
      <c r="H803" s="421" t="str">
        <f>VLOOKUP($D803,'Tabel Map Industry'!$A$2:$H$464,8,0)</f>
        <v>Impor Bukan dlm.rangka Bantuan Luar Negeri - Suku Cadang Industri - 6232</v>
      </c>
    </row>
    <row r="804" spans="2:8" ht="60" x14ac:dyDescent="0.25">
      <c r="B804" s="423" t="str">
        <f t="shared" si="8"/>
        <v>Fabricated Metal, Steel &amp; Other Basic Industry</v>
      </c>
      <c r="C804" s="423" t="str">
        <f t="shared" si="9"/>
        <v xml:space="preserve">Industri Logam Dasar Bukan Besi </v>
      </c>
      <c r="D804" s="424" t="s">
        <v>5103</v>
      </c>
      <c r="E804" s="425" t="str">
        <f>VLOOKUP($D804,'Tabel Map Industry'!$A$2:$H$464,2,0)</f>
        <v xml:space="preserve">Industri Logam Dasar Bukan Besi </v>
      </c>
      <c r="F804" s="426" t="str">
        <f>VLOOKUP($D804,'Tabel Map Industry'!$A$2:$H$464,3,0)</f>
        <v>FABRICATED METAL, STEEL &amp; OTHER BASIC INDUSTRY</v>
      </c>
      <c r="G804" s="426" t="str">
        <f>VLOOKUP($D804,'Tabel Map Industry'!$A$2:$H$464,4,0)</f>
        <v>Industri Logam Dasar Bukan Besi  - 272000</v>
      </c>
      <c r="H804" s="426" t="str">
        <f>VLOOKUP($D804,'Tabel Map Industry'!$A$2:$H$464,8,0)</f>
        <v>Industri - Lainnya - 3990</v>
      </c>
    </row>
    <row r="805" spans="2:8" ht="60" x14ac:dyDescent="0.25">
      <c r="B805" s="418" t="str">
        <f t="shared" si="8"/>
        <v>Fabricated Metal, Steel &amp; Other Basic Industry</v>
      </c>
      <c r="C805" s="418" t="str">
        <f t="shared" si="9"/>
        <v xml:space="preserve">Industri pengecoran Logam Bukan Besi dan Baja </v>
      </c>
      <c r="D805" s="419" t="s">
        <v>5104</v>
      </c>
      <c r="E805" s="420" t="str">
        <f>VLOOKUP($D805,'Tabel Map Industry'!$A$2:$H$464,2,0)</f>
        <v xml:space="preserve">Industri pengecoran Logam Bukan Besi dan Baja </v>
      </c>
      <c r="F805" s="421" t="str">
        <f>VLOOKUP($D805,'Tabel Map Industry'!$A$2:$H$464,3,0)</f>
        <v>FABRICATED METAL, STEEL &amp; OTHER BASIC INDUSTRY</v>
      </c>
      <c r="G805" s="421" t="str">
        <f>VLOOKUP($D805,'Tabel Map Industry'!$A$2:$H$464,4,0)</f>
        <v>Industri pengecoran Logam Bukan Besi dan Baja  - 273200</v>
      </c>
      <c r="H805" s="421" t="str">
        <f>VLOOKUP($D805,'Tabel Map Industry'!$A$2:$H$464,8,0)</f>
        <v>Industri - Lainnya - 3990</v>
      </c>
    </row>
    <row r="806" spans="2:8" ht="60" x14ac:dyDescent="0.25">
      <c r="B806" s="423" t="str">
        <f t="shared" si="8"/>
        <v>Fabricated Metal, Steel &amp; Other Basic Industry</v>
      </c>
      <c r="C806" s="423" t="str">
        <f t="shared" si="9"/>
        <v>Perdagangan Ekspor Bijih Logam Selain Timah</v>
      </c>
      <c r="D806" s="424" t="s">
        <v>5106</v>
      </c>
      <c r="E806" s="425" t="str">
        <f>VLOOKUP($D806,'Tabel Map Industry'!$A$2:$H$464,2,0)</f>
        <v>Perdagangan Ekspor Bijih Logam Selain Timah</v>
      </c>
      <c r="F806" s="426" t="str">
        <f>VLOOKUP($D806,'Tabel Map Industry'!$A$2:$H$464,3,0)</f>
        <v>FABRICATED METAL, STEEL &amp; OTHER BASIC INDUSTRY</v>
      </c>
      <c r="G806" s="426" t="str">
        <f>VLOOKUP($D806,'Tabel Map Industry'!$A$2:$H$464,4,0)</f>
        <v>Perdagangan Ekspor Bijih Logam Selain Timah - 534202</v>
      </c>
      <c r="H806" s="426" t="str">
        <f>VLOOKUP($D806,'Tabel Map Industry'!$A$2:$H$464,8,0)</f>
        <v>Ekspor Bahan Baku Bijih Logam selain Timah - 6118</v>
      </c>
    </row>
    <row r="807" spans="2:8" ht="60" x14ac:dyDescent="0.25">
      <c r="B807" s="418" t="str">
        <f t="shared" si="8"/>
        <v>Fabricated Metal, Steel &amp; Other Basic Industry</v>
      </c>
      <c r="C807" s="418" t="str">
        <f t="shared" si="9"/>
        <v>Perdagangan Ekspor Logam dan Bijih Logam (hasil Pertambangan dan Penggalian) Lainnya</v>
      </c>
      <c r="D807" s="419" t="s">
        <v>5107</v>
      </c>
      <c r="E807" s="420" t="str">
        <f>VLOOKUP($D807,'Tabel Map Industry'!$A$2:$H$464,2,0)</f>
        <v>Perdagangan Ekspor Logam dan Bijih Logam (hasil Pertambangan dan Penggalian) Lainnya</v>
      </c>
      <c r="F807" s="421" t="str">
        <f>VLOOKUP($D807,'Tabel Map Industry'!$A$2:$H$464,3,0)</f>
        <v>FABRICATED METAL, STEEL &amp; OTHER BASIC INDUSTRY</v>
      </c>
      <c r="G807" s="421" t="str">
        <f>VLOOKUP($D807,'Tabel Map Industry'!$A$2:$H$464,4,0)</f>
        <v>Perdagangan Ekspor Logam dan Bijih Logam (hasil Pertambangan dan Penggalian) Lainnya - 534209</v>
      </c>
      <c r="H807" s="421" t="str">
        <f>VLOOKUP($D807,'Tabel Map Industry'!$A$2:$H$464,8,0)</f>
        <v>Ekspor Bahan Baku lainnya - 6129</v>
      </c>
    </row>
    <row r="808" spans="2:8" ht="60" x14ac:dyDescent="0.25">
      <c r="B808" s="423" t="str">
        <f t="shared" si="8"/>
        <v>Fabricated Metal, Steel &amp; Other Basic Industry</v>
      </c>
      <c r="C808" s="423" t="str">
        <f t="shared" si="9"/>
        <v xml:space="preserve">G.5.4.2. Perdagangan Impor Logam dan Bijih Logam </v>
      </c>
      <c r="D808" s="424" t="s">
        <v>5108</v>
      </c>
      <c r="E808" s="425" t="str">
        <f>VLOOKUP($D808,'Tabel Map Industry'!$A$2:$H$464,2,0)</f>
        <v xml:space="preserve">G.5.4.2. Perdagangan Impor Logam dan Bijih Logam </v>
      </c>
      <c r="F808" s="426" t="str">
        <f>VLOOKUP($D808,'Tabel Map Industry'!$A$2:$H$464,3,0)</f>
        <v>FABRICATED METAL, STEEL &amp; OTHER BASIC INDUSTRY</v>
      </c>
      <c r="G808" s="426" t="str">
        <f>VLOOKUP($D808,'Tabel Map Industry'!$A$2:$H$464,4,0)</f>
        <v>G.5.4.2. Perdagangan Impor Logam dan Bijih Logam  - 544200</v>
      </c>
      <c r="H808" s="426" t="str">
        <f>VLOOKUP($D808,'Tabel Map Industry'!$A$2:$H$464,8,0)</f>
        <v>Impor Bukan dlm.rangka Bantuan Luar Negeri - Lainnya - 6239</v>
      </c>
    </row>
    <row r="809" spans="2:8" ht="60" x14ac:dyDescent="0.25">
      <c r="B809" s="418" t="str">
        <f t="shared" si="8"/>
        <v>Fabricated Metal, Steel &amp; Other Basic Industry</v>
      </c>
      <c r="C809" s="418" t="str">
        <f t="shared" si="9"/>
        <v>Industri Pengecoran Besi dan Baja</v>
      </c>
      <c r="D809" s="419" t="s">
        <v>5110</v>
      </c>
      <c r="E809" s="420" t="str">
        <f>VLOOKUP($D809,'Tabel Map Industry'!$A$2:$H$464,2,0)</f>
        <v>Industri Pengecoran Besi dan Baja</v>
      </c>
      <c r="F809" s="421" t="str">
        <f>VLOOKUP($D809,'Tabel Map Industry'!$A$2:$H$464,3,0)</f>
        <v>FABRICATED METAL, STEEL &amp; OTHER BASIC INDUSTRY</v>
      </c>
      <c r="G809" s="421" t="str">
        <f>VLOOKUP($D809,'Tabel Map Industry'!$A$2:$H$464,4,0)</f>
        <v>Industri Pengecoran Besi dan Baja - 273100</v>
      </c>
      <c r="H809" s="421" t="str">
        <f>VLOOKUP($D809,'Tabel Map Industry'!$A$2:$H$464,8,0)</f>
        <v>Industri - Lainnya - 3990</v>
      </c>
    </row>
    <row r="810" spans="2:8" ht="60" x14ac:dyDescent="0.25">
      <c r="B810" s="423" t="str">
        <f t="shared" si="8"/>
        <v>Fabricated Metal, Steel &amp; Other Basic Industry</v>
      </c>
      <c r="C810" s="423" t="str">
        <f t="shared" si="9"/>
        <v xml:space="preserve">Industri Barang-barang Logam Siap Pasang Untuk Bangunan, Pembuatan Tangki, dan Generator Uap </v>
      </c>
      <c r="D810" s="424" t="s">
        <v>5111</v>
      </c>
      <c r="E810" s="425" t="str">
        <f>VLOOKUP($D810,'Tabel Map Industry'!$A$2:$H$464,2,0)</f>
        <v xml:space="preserve">Industri Barang-barang Logam Siap Pasang Untuk Bangunan, Pembuatan Tangki, dan Generator Uap </v>
      </c>
      <c r="F810" s="426" t="str">
        <f>VLOOKUP($D810,'Tabel Map Industry'!$A$2:$H$464,3,0)</f>
        <v>FABRICATED METAL, STEEL &amp; OTHER BASIC INDUSTRY</v>
      </c>
      <c r="G810" s="426" t="str">
        <f>VLOOKUP($D810,'Tabel Map Industry'!$A$2:$H$464,4,0)</f>
        <v>Industri Barang-barang Logam Siap Pasang Untuk Bangunan, Pembuatan Tangki, dan Generator Uap  - 281000</v>
      </c>
      <c r="H810" s="426" t="str">
        <f>VLOOKUP($D810,'Tabel Map Industry'!$A$2:$H$464,8,0)</f>
        <v>Industri - Lainnya - 3990</v>
      </c>
    </row>
    <row r="811" spans="2:8" ht="60" x14ac:dyDescent="0.25">
      <c r="B811" s="418" t="str">
        <f t="shared" si="8"/>
        <v>Fabricated Metal, Steel &amp; Other Basic Industry</v>
      </c>
      <c r="C811" s="418" t="str">
        <f t="shared" si="9"/>
        <v>Perdagangan Impor Besi Beton</v>
      </c>
      <c r="D811" s="419" t="s">
        <v>5114</v>
      </c>
      <c r="E811" s="420" t="str">
        <f>VLOOKUP($D811,'Tabel Map Industry'!$A$2:$H$464,2,0)</f>
        <v>Perdagangan Impor Besi Beton</v>
      </c>
      <c r="F811" s="421" t="str">
        <f>VLOOKUP($D811,'Tabel Map Industry'!$A$2:$H$464,3,0)</f>
        <v>FABRICATED METAL, STEEL &amp; OTHER BASIC INDUSTRY</v>
      </c>
      <c r="G811" s="421" t="str">
        <f>VLOOKUP($D811,'Tabel Map Industry'!$A$2:$H$464,4,0)</f>
        <v>Perdagangan Impor Besi Beton - 544301</v>
      </c>
      <c r="H811" s="421" t="str">
        <f>VLOOKUP($D811,'Tabel Map Industry'!$A$2:$H$464,8,0)</f>
        <v>Impor Bukan dlm.rangka Bantuan Luar Negeri - Besi Beton - 6222</v>
      </c>
    </row>
    <row r="812" spans="2:8" ht="60" x14ac:dyDescent="0.25">
      <c r="B812" s="423" t="str">
        <f t="shared" si="8"/>
        <v>Fabricated Metal, Steel &amp; Other Basic Industry</v>
      </c>
      <c r="C812" s="423" t="str">
        <f t="shared" si="9"/>
        <v xml:space="preserve">Industri Gelas dan Barang dari Gelas </v>
      </c>
      <c r="D812" s="424" t="s">
        <v>5117</v>
      </c>
      <c r="E812" s="425" t="str">
        <f>VLOOKUP($D812,'Tabel Map Industry'!$A$2:$H$464,2,0)</f>
        <v xml:space="preserve">Industri Gelas dan Barang dari Gelas </v>
      </c>
      <c r="F812" s="426" t="str">
        <f>VLOOKUP($D812,'Tabel Map Industry'!$A$2:$H$464,3,0)</f>
        <v>FABRICATED METAL, STEEL &amp; OTHER BASIC INDUSTRY</v>
      </c>
      <c r="G812" s="426" t="str">
        <f>VLOOKUP($D812,'Tabel Map Industry'!$A$2:$H$464,4,0)</f>
        <v>Industri Gelas dan Barang dari Gelas  - 261000</v>
      </c>
      <c r="H812" s="426" t="str">
        <f>VLOOKUP($D812,'Tabel Map Industry'!$A$2:$H$464,8,0)</f>
        <v>Industri Logam Dasar - Lainnya - 3890</v>
      </c>
    </row>
    <row r="813" spans="2:8" ht="60" x14ac:dyDescent="0.25">
      <c r="B813" s="418" t="str">
        <f t="shared" si="8"/>
        <v>Fabricated Metal, Steel &amp; Other Basic Industry</v>
      </c>
      <c r="C813" s="418" t="str">
        <f t="shared" si="9"/>
        <v xml:space="preserve">Industri Barang-barang dari Porselin </v>
      </c>
      <c r="D813" s="419" t="s">
        <v>5118</v>
      </c>
      <c r="E813" s="420" t="str">
        <f>VLOOKUP($D813,'Tabel Map Industry'!$A$2:$H$464,2,0)</f>
        <v xml:space="preserve">Industri Barang-barang dari Porselin </v>
      </c>
      <c r="F813" s="421" t="str">
        <f>VLOOKUP($D813,'Tabel Map Industry'!$A$2:$H$464,3,0)</f>
        <v>FABRICATED METAL, STEEL &amp; OTHER BASIC INDUSTRY</v>
      </c>
      <c r="G813" s="421" t="str">
        <f>VLOOKUP($D813,'Tabel Map Industry'!$A$2:$H$464,4,0)</f>
        <v>Industri Barang-barang dari Porselin  - 262000</v>
      </c>
      <c r="H813" s="421" t="str">
        <f>VLOOKUP($D813,'Tabel Map Industry'!$A$2:$H$464,8,0)</f>
        <v>Industri Pengolahan Hasil Tambang Bukan Logam, selain Hasil Minyak Bumi &amp; Batu Bara - Keramik - 3730</v>
      </c>
    </row>
    <row r="814" spans="2:8" ht="60" x14ac:dyDescent="0.25">
      <c r="B814" s="423" t="str">
        <f t="shared" si="8"/>
        <v>Fabricated Metal, Steel &amp; Other Basic Industry</v>
      </c>
      <c r="C814" s="423" t="str">
        <f t="shared" si="9"/>
        <v xml:space="preserve">Industri Pengolahan Tanah Liat / Keramik </v>
      </c>
      <c r="D814" s="424" t="s">
        <v>5119</v>
      </c>
      <c r="E814" s="425" t="str">
        <f>VLOOKUP($D814,'Tabel Map Industry'!$A$2:$H$464,2,0)</f>
        <v xml:space="preserve">Industri Pengolahan Tanah Liat / Keramik </v>
      </c>
      <c r="F814" s="426" t="str">
        <f>VLOOKUP($D814,'Tabel Map Industry'!$A$2:$H$464,3,0)</f>
        <v>FABRICATED METAL, STEEL &amp; OTHER BASIC INDUSTRY</v>
      </c>
      <c r="G814" s="426" t="str">
        <f>VLOOKUP($D814,'Tabel Map Industry'!$A$2:$H$464,4,0)</f>
        <v>Industri Pengolahan Tanah Liat / Keramik  - 263000</v>
      </c>
      <c r="H814" s="426" t="str">
        <f>VLOOKUP($D814,'Tabel Map Industry'!$A$2:$H$464,8,0)</f>
        <v>Industri Pengolahan Hasil Tambang Bukan Logam, selain Hasil Minyak Bumi &amp; Batu Bara - Keramik - 3730</v>
      </c>
    </row>
    <row r="815" spans="2:8" ht="30" hidden="1" x14ac:dyDescent="0.25">
      <c r="B815" s="418" t="str">
        <f t="shared" si="8"/>
        <v>Food &amp; Beverage</v>
      </c>
      <c r="C815" s="418" t="str">
        <f t="shared" si="9"/>
        <v>Perdagangan Eceran Komoditi Makanan dari Hasil Pertanian</v>
      </c>
      <c r="D815" s="419" t="s">
        <v>5122</v>
      </c>
      <c r="E815" s="420" t="str">
        <f>VLOOKUP($D815,'Tabel Map Industry'!$A$2:$H$464,2,0)</f>
        <v>Perdagangan Eceran Komoditi Makanan dari Hasil Pertanian</v>
      </c>
      <c r="F815" s="421" t="str">
        <f>VLOOKUP($D815,'Tabel Map Industry'!$A$2:$H$464,3,0)</f>
        <v>FOOD &amp; BEVERAGE</v>
      </c>
      <c r="G815" s="421" t="str">
        <f>VLOOKUP($D815,'Tabel Map Industry'!$A$2:$H$464,4,0)</f>
        <v>Perdagangan Eceran Komoditi Makanan dari Hasil Pertanian - 522100</v>
      </c>
      <c r="H815" s="421" t="str">
        <f>VLOOKUP($D815,'Tabel Map Industry'!$A$2:$H$464,8,0)</f>
        <v>Perdagangan Eceran - 6500</v>
      </c>
    </row>
    <row r="816" spans="2:8" ht="45" hidden="1" x14ac:dyDescent="0.25">
      <c r="B816" s="423" t="str">
        <f t="shared" si="8"/>
        <v>Food &amp; Beverage</v>
      </c>
      <c r="C816" s="423" t="str">
        <f t="shared" si="9"/>
        <v xml:space="preserve">Perdagangan Eceran Kaki Lima Komoditi Makanan, Minuman Hasil Industri Pengolahan </v>
      </c>
      <c r="D816" s="424" t="s">
        <v>5124</v>
      </c>
      <c r="E816" s="425" t="str">
        <f>VLOOKUP($D816,'Tabel Map Industry'!$A$2:$H$464,2,0)</f>
        <v xml:space="preserve">Perdagangan Eceran Kaki Lima Komoditi Makanan, Minuman Hasil Industri Pengolahan </v>
      </c>
      <c r="F816" s="426" t="str">
        <f>VLOOKUP($D816,'Tabel Map Industry'!$A$2:$H$464,3,0)</f>
        <v>FOOD &amp; BEVERAGE</v>
      </c>
      <c r="G816" s="426" t="str">
        <f>VLOOKUP($D816,'Tabel Map Industry'!$A$2:$H$464,4,0)</f>
        <v>Perdagangan Eceran Kaki Lima Komoditi Makanan, Minuman Hasil Industri Pengolahan  - 525200</v>
      </c>
      <c r="H816" s="426" t="str">
        <f>VLOOKUP($D816,'Tabel Map Industry'!$A$2:$H$464,8,0)</f>
        <v>Perdagangan Eceran - 6500</v>
      </c>
    </row>
    <row r="817" spans="2:8" ht="30" hidden="1" x14ac:dyDescent="0.25">
      <c r="B817" s="418" t="str">
        <f t="shared" si="8"/>
        <v>Food &amp; Beverage</v>
      </c>
      <c r="C817" s="418" t="str">
        <f t="shared" si="9"/>
        <v xml:space="preserve">Industri Pengolahan dan Pengawetan Daging </v>
      </c>
      <c r="D817" s="419" t="s">
        <v>5125</v>
      </c>
      <c r="E817" s="420" t="str">
        <f>VLOOKUP($D817,'Tabel Map Industry'!$A$2:$H$464,2,0)</f>
        <v xml:space="preserve">Industri Pengolahan dan Pengawetan Daging </v>
      </c>
      <c r="F817" s="421" t="str">
        <f>VLOOKUP($D817,'Tabel Map Industry'!$A$2:$H$464,3,0)</f>
        <v>FOOD &amp; BEVERAGE</v>
      </c>
      <c r="G817" s="421" t="str">
        <f>VLOOKUP($D817,'Tabel Map Industry'!$A$2:$H$464,4,0)</f>
        <v>Industri Pengolahan dan Pengawetan Daging  - 151120</v>
      </c>
      <c r="H817" s="421" t="str">
        <f>VLOOKUP($D817,'Tabel Map Industry'!$A$2:$H$464,8,0)</f>
        <v>Industri - Lainnya - 3990</v>
      </c>
    </row>
    <row r="818" spans="2:8" ht="30" hidden="1" x14ac:dyDescent="0.25">
      <c r="B818" s="423" t="str">
        <f t="shared" si="8"/>
        <v>Food &amp; Beverage</v>
      </c>
      <c r="C818" s="423" t="str">
        <f t="shared" si="9"/>
        <v xml:space="preserve">Industri Pengolahan dan Pengawetan Ikan dan Biota Perairan Lainnya </v>
      </c>
      <c r="D818" s="424" t="s">
        <v>5126</v>
      </c>
      <c r="E818" s="425" t="str">
        <f>VLOOKUP($D818,'Tabel Map Industry'!$A$2:$H$464,2,0)</f>
        <v xml:space="preserve">Industri Pengolahan dan Pengawetan Ikan dan Biota Perairan Lainnya </v>
      </c>
      <c r="F818" s="426" t="str">
        <f>VLOOKUP($D818,'Tabel Map Industry'!$A$2:$H$464,3,0)</f>
        <v>FOOD &amp; BEVERAGE</v>
      </c>
      <c r="G818" s="426" t="str">
        <f>VLOOKUP($D818,'Tabel Map Industry'!$A$2:$H$464,4,0)</f>
        <v>Industri Pengolahan dan Pengawetan Ikan dan Biota Perairan Lainnya  - 151200</v>
      </c>
      <c r="H818" s="426" t="str">
        <f>VLOOKUP($D818,'Tabel Map Industry'!$A$2:$H$464,8,0)</f>
        <v>Industri - Lainnya - 3990</v>
      </c>
    </row>
    <row r="819" spans="2:8" ht="30" hidden="1" x14ac:dyDescent="0.25">
      <c r="B819" s="418" t="str">
        <f t="shared" si="8"/>
        <v>Food &amp; Beverage</v>
      </c>
      <c r="C819" s="418" t="str">
        <f t="shared" si="9"/>
        <v xml:space="preserve">Industri Pengolahan, Pengawetan Buah-buahan dan Sayuran </v>
      </c>
      <c r="D819" s="419" t="s">
        <v>5127</v>
      </c>
      <c r="E819" s="420" t="str">
        <f>VLOOKUP($D819,'Tabel Map Industry'!$A$2:$H$464,2,0)</f>
        <v xml:space="preserve">Industri Pengolahan, Pengawetan Buah-buahan dan Sayuran </v>
      </c>
      <c r="F819" s="421" t="str">
        <f>VLOOKUP($D819,'Tabel Map Industry'!$A$2:$H$464,3,0)</f>
        <v>FOOD &amp; BEVERAGE</v>
      </c>
      <c r="G819" s="421" t="str">
        <f>VLOOKUP($D819,'Tabel Map Industry'!$A$2:$H$464,4,0)</f>
        <v>Industri Pengolahan, Pengawetan Buah-buahan dan Sayuran  - 151300</v>
      </c>
      <c r="H819" s="421" t="str">
        <f>VLOOKUP($D819,'Tabel Map Industry'!$A$2:$H$464,8,0)</f>
        <v>Industri - Lainnya - 3990</v>
      </c>
    </row>
    <row r="820" spans="2:8" ht="30" hidden="1" x14ac:dyDescent="0.25">
      <c r="B820" s="423" t="str">
        <f t="shared" si="8"/>
        <v>Food &amp; Beverage</v>
      </c>
      <c r="C820" s="423" t="str">
        <f t="shared" si="9"/>
        <v xml:space="preserve">Industri Minyak Mentah (Minyak Makan) dari Nabati dan Hewani </v>
      </c>
      <c r="D820" s="424" t="s">
        <v>5128</v>
      </c>
      <c r="E820" s="425" t="str">
        <f>VLOOKUP($D820,'Tabel Map Industry'!$A$2:$H$464,2,0)</f>
        <v xml:space="preserve">Industri Minyak Mentah (Minyak Makan) dari Nabati dan Hewani </v>
      </c>
      <c r="F820" s="426" t="str">
        <f>VLOOKUP($D820,'Tabel Map Industry'!$A$2:$H$464,3,0)</f>
        <v>FOOD &amp; BEVERAGE</v>
      </c>
      <c r="G820" s="426" t="str">
        <f>VLOOKUP($D820,'Tabel Map Industry'!$A$2:$H$464,4,0)</f>
        <v>Industri Minyak Mentah (Minyak Makan) dari Nabati dan Hewani  - 151410</v>
      </c>
      <c r="H820" s="426" t="str">
        <f>VLOOKUP($D820,'Tabel Map Industry'!$A$2:$H$464,8,0)</f>
        <v>Industri - Minyak Tumbuhan Lainnya - 3149</v>
      </c>
    </row>
    <row r="821" spans="2:8" ht="30" hidden="1" x14ac:dyDescent="0.25">
      <c r="B821" s="418" t="str">
        <f t="shared" si="8"/>
        <v>Food &amp; Beverage</v>
      </c>
      <c r="C821" s="418" t="str">
        <f t="shared" si="9"/>
        <v xml:space="preserve">lndustri Minyak Goreng dari Kelapa </v>
      </c>
      <c r="D821" s="419" t="s">
        <v>5129</v>
      </c>
      <c r="E821" s="420" t="str">
        <f>VLOOKUP($D821,'Tabel Map Industry'!$A$2:$H$464,2,0)</f>
        <v xml:space="preserve">lndustri Minyak Goreng dari Kelapa </v>
      </c>
      <c r="F821" s="421" t="str">
        <f>VLOOKUP($D821,'Tabel Map Industry'!$A$2:$H$464,3,0)</f>
        <v>FOOD &amp; BEVERAGE</v>
      </c>
      <c r="G821" s="421" t="str">
        <f>VLOOKUP($D821,'Tabel Map Industry'!$A$2:$H$464,4,0)</f>
        <v>lndustri Minyak Goreng dari Kelapa  - 151430</v>
      </c>
      <c r="H821" s="421" t="str">
        <f>VLOOKUP($D821,'Tabel Map Industry'!$A$2:$H$464,8,0)</f>
        <v>Industri - Minyak Tumbuhan Lainnya - 3149</v>
      </c>
    </row>
    <row r="822" spans="2:8" ht="30" hidden="1" x14ac:dyDescent="0.25">
      <c r="B822" s="423" t="str">
        <f t="shared" si="8"/>
        <v>Food &amp; Beverage</v>
      </c>
      <c r="C822" s="423" t="str">
        <f t="shared" si="9"/>
        <v xml:space="preserve">Industri Susu dan Makanan dari Susu </v>
      </c>
      <c r="D822" s="424" t="s">
        <v>5130</v>
      </c>
      <c r="E822" s="425" t="str">
        <f>VLOOKUP($D822,'Tabel Map Industry'!$A$2:$H$464,2,0)</f>
        <v xml:space="preserve">Industri Susu dan Makanan dari Susu </v>
      </c>
      <c r="F822" s="426" t="str">
        <f>VLOOKUP($D822,'Tabel Map Industry'!$A$2:$H$464,3,0)</f>
        <v>FOOD &amp; BEVERAGE</v>
      </c>
      <c r="G822" s="426" t="str">
        <f>VLOOKUP($D822,'Tabel Map Industry'!$A$2:$H$464,4,0)</f>
        <v>Industri Susu dan Makanan dari Susu  - 152000</v>
      </c>
      <c r="H822" s="426" t="str">
        <f>VLOOKUP($D822,'Tabel Map Industry'!$A$2:$H$464,8,0)</f>
        <v>Industri - Makanan Lainnya - 3190</v>
      </c>
    </row>
    <row r="823" spans="2:8" ht="30" hidden="1" x14ac:dyDescent="0.25">
      <c r="B823" s="418" t="str">
        <f t="shared" si="8"/>
        <v>Food &amp; Beverage</v>
      </c>
      <c r="C823" s="418" t="str">
        <f t="shared" si="9"/>
        <v xml:space="preserve">Industri Penggilingan Padi dan Penyosohan Beras </v>
      </c>
      <c r="D823" s="419" t="s">
        <v>5131</v>
      </c>
      <c r="E823" s="420" t="str">
        <f>VLOOKUP($D823,'Tabel Map Industry'!$A$2:$H$464,2,0)</f>
        <v xml:space="preserve">Industri Penggilingan Padi dan Penyosohan Beras </v>
      </c>
      <c r="F823" s="421" t="str">
        <f>VLOOKUP($D823,'Tabel Map Industry'!$A$2:$H$464,3,0)</f>
        <v>FOOD &amp; BEVERAGE</v>
      </c>
      <c r="G823" s="421" t="str">
        <f>VLOOKUP($D823,'Tabel Map Industry'!$A$2:$H$464,4,0)</f>
        <v>Industri Penggilingan Padi dan Penyosohan Beras  - 153110</v>
      </c>
      <c r="H823" s="421" t="str">
        <f>VLOOKUP($D823,'Tabel Map Industry'!$A$2:$H$464,8,0)</f>
        <v>Penggilingan Padi (huller) - 3130</v>
      </c>
    </row>
    <row r="824" spans="2:8" ht="30" hidden="1" x14ac:dyDescent="0.25">
      <c r="B824" s="423" t="str">
        <f t="shared" si="8"/>
        <v>Food &amp; Beverage</v>
      </c>
      <c r="C824" s="423" t="str">
        <f t="shared" si="9"/>
        <v xml:space="preserve">lndustri Kopra </v>
      </c>
      <c r="D824" s="424" t="s">
        <v>5132</v>
      </c>
      <c r="E824" s="425" t="str">
        <f>VLOOKUP($D824,'Tabel Map Industry'!$A$2:$H$464,2,0)</f>
        <v xml:space="preserve">lndustri Kopra </v>
      </c>
      <c r="F824" s="426" t="str">
        <f>VLOOKUP($D824,'Tabel Map Industry'!$A$2:$H$464,3,0)</f>
        <v>FOOD &amp; BEVERAGE</v>
      </c>
      <c r="G824" s="426" t="str">
        <f>VLOOKUP($D824,'Tabel Map Industry'!$A$2:$H$464,4,0)</f>
        <v>lndustri Kopra  - 153180</v>
      </c>
      <c r="H824" s="426" t="str">
        <f>VLOOKUP($D824,'Tabel Map Industry'!$A$2:$H$464,8,0)</f>
        <v>Industri - Lainnya - 3990</v>
      </c>
    </row>
    <row r="825" spans="2:8" ht="30" hidden="1" x14ac:dyDescent="0.25">
      <c r="B825" s="418" t="str">
        <f t="shared" si="8"/>
        <v>Food &amp; Beverage</v>
      </c>
      <c r="C825" s="418" t="str">
        <f t="shared" si="9"/>
        <v>Industri Penggilingan Lainnya</v>
      </c>
      <c r="D825" s="419" t="s">
        <v>5133</v>
      </c>
      <c r="E825" s="420" t="str">
        <f>VLOOKUP($D825,'Tabel Map Industry'!$A$2:$H$464,2,0)</f>
        <v>Industri Penggilingan Lainnya</v>
      </c>
      <c r="F825" s="421" t="str">
        <f>VLOOKUP($D825,'Tabel Map Industry'!$A$2:$H$464,3,0)</f>
        <v>FOOD &amp; BEVERAGE</v>
      </c>
      <c r="G825" s="421" t="str">
        <f>VLOOKUP($D825,'Tabel Map Industry'!$A$2:$H$464,4,0)</f>
        <v>Industri Penggilingan Lainnya - 153190</v>
      </c>
      <c r="H825" s="421" t="str">
        <f>VLOOKUP($D825,'Tabel Map Industry'!$A$2:$H$464,8,0)</f>
        <v>Industri - Lainnya - 3990</v>
      </c>
    </row>
    <row r="826" spans="2:8" ht="30" hidden="1" x14ac:dyDescent="0.25">
      <c r="B826" s="423" t="str">
        <f t="shared" si="8"/>
        <v>Food &amp; Beverage</v>
      </c>
      <c r="C826" s="423" t="str">
        <f t="shared" si="9"/>
        <v xml:space="preserve">Industri Roti dan Sejenisnya </v>
      </c>
      <c r="D826" s="424" t="s">
        <v>5135</v>
      </c>
      <c r="E826" s="425" t="str">
        <f>VLOOKUP($D826,'Tabel Map Industry'!$A$2:$H$464,2,0)</f>
        <v xml:space="preserve">Industri Roti dan Sejenisnya </v>
      </c>
      <c r="F826" s="426" t="str">
        <f>VLOOKUP($D826,'Tabel Map Industry'!$A$2:$H$464,3,0)</f>
        <v>FOOD &amp; BEVERAGE</v>
      </c>
      <c r="G826" s="426" t="str">
        <f>VLOOKUP($D826,'Tabel Map Industry'!$A$2:$H$464,4,0)</f>
        <v>Industri Roti dan Sejenisnya  - 154100</v>
      </c>
      <c r="H826" s="426" t="str">
        <f>VLOOKUP($D826,'Tabel Map Industry'!$A$2:$H$464,8,0)</f>
        <v>Industri - Makanan Lainnya - 3190</v>
      </c>
    </row>
    <row r="827" spans="2:8" ht="30" hidden="1" x14ac:dyDescent="0.25">
      <c r="B827" s="418" t="str">
        <f t="shared" si="8"/>
        <v>Food &amp; Beverage</v>
      </c>
      <c r="C827" s="418" t="str">
        <f t="shared" si="9"/>
        <v xml:space="preserve">Industri Gula dan Pengolahan Gula </v>
      </c>
      <c r="D827" s="419" t="s">
        <v>5136</v>
      </c>
      <c r="E827" s="420" t="str">
        <f>VLOOKUP($D827,'Tabel Map Industry'!$A$2:$H$464,2,0)</f>
        <v xml:space="preserve">Industri Gula dan Pengolahan Gula </v>
      </c>
      <c r="F827" s="421" t="str">
        <f>VLOOKUP($D827,'Tabel Map Industry'!$A$2:$H$464,3,0)</f>
        <v>FOOD &amp; BEVERAGE</v>
      </c>
      <c r="G827" s="421" t="str">
        <f>VLOOKUP($D827,'Tabel Map Industry'!$A$2:$H$464,4,0)</f>
        <v>Industri Gula dan Pengolahan Gula  - 154200</v>
      </c>
      <c r="H827" s="421" t="str">
        <f>VLOOKUP($D827,'Tabel Map Industry'!$A$2:$H$464,8,0)</f>
        <v>Industri - Gula - 3120</v>
      </c>
    </row>
    <row r="828" spans="2:8" ht="30" hidden="1" x14ac:dyDescent="0.25">
      <c r="B828" s="423" t="str">
        <f t="shared" si="8"/>
        <v>Food &amp; Beverage</v>
      </c>
      <c r="C828" s="423" t="str">
        <f t="shared" si="9"/>
        <v xml:space="preserve">Industri Coklat dan Kernbang Gula </v>
      </c>
      <c r="D828" s="424" t="s">
        <v>5137</v>
      </c>
      <c r="E828" s="425" t="str">
        <f>VLOOKUP($D828,'Tabel Map Industry'!$A$2:$H$464,2,0)</f>
        <v xml:space="preserve">Industri Coklat dan Kernbang Gula </v>
      </c>
      <c r="F828" s="426" t="str">
        <f>VLOOKUP($D828,'Tabel Map Industry'!$A$2:$H$464,3,0)</f>
        <v>FOOD &amp; BEVERAGE</v>
      </c>
      <c r="G828" s="426" t="str">
        <f>VLOOKUP($D828,'Tabel Map Industry'!$A$2:$H$464,4,0)</f>
        <v>Industri Coklat dan Kernbang Gula  - 154300</v>
      </c>
      <c r="H828" s="426" t="str">
        <f>VLOOKUP($D828,'Tabel Map Industry'!$A$2:$H$464,8,0)</f>
        <v>Industri - Makanan Lainnya - 3190</v>
      </c>
    </row>
    <row r="829" spans="2:8" ht="30" hidden="1" x14ac:dyDescent="0.25">
      <c r="B829" s="418" t="str">
        <f t="shared" si="8"/>
        <v>Food &amp; Beverage</v>
      </c>
      <c r="C829" s="418" t="str">
        <f t="shared" si="9"/>
        <v xml:space="preserve">Industri Pengolahan Kopi </v>
      </c>
      <c r="D829" s="419" t="s">
        <v>5140</v>
      </c>
      <c r="E829" s="420" t="str">
        <f>VLOOKUP($D829,'Tabel Map Industry'!$A$2:$H$464,2,0)</f>
        <v xml:space="preserve">Industri Pengolahan Kopi </v>
      </c>
      <c r="F829" s="421" t="str">
        <f>VLOOKUP($D829,'Tabel Map Industry'!$A$2:$H$464,3,0)</f>
        <v>FOOD &amp; BEVERAGE</v>
      </c>
      <c r="G829" s="421" t="str">
        <f>VLOOKUP($D829,'Tabel Map Industry'!$A$2:$H$464,4,0)</f>
        <v>Industri Pengolahan Kopi  - 154912</v>
      </c>
      <c r="H829" s="421" t="str">
        <f>VLOOKUP($D829,'Tabel Map Industry'!$A$2:$H$464,8,0)</f>
        <v>Industri - Makanan Lainnya - 3190</v>
      </c>
    </row>
    <row r="830" spans="2:8" ht="30" hidden="1" x14ac:dyDescent="0.25">
      <c r="B830" s="423" t="str">
        <f t="shared" si="8"/>
        <v>Food &amp; Beverage</v>
      </c>
      <c r="C830" s="423" t="str">
        <f t="shared" si="9"/>
        <v xml:space="preserve">lndustri Kecap </v>
      </c>
      <c r="D830" s="424" t="s">
        <v>5141</v>
      </c>
      <c r="E830" s="425" t="str">
        <f>VLOOKUP($D830,'Tabel Map Industry'!$A$2:$H$464,2,0)</f>
        <v xml:space="preserve">lndustri Kecap </v>
      </c>
      <c r="F830" s="426" t="str">
        <f>VLOOKUP($D830,'Tabel Map Industry'!$A$2:$H$464,3,0)</f>
        <v>FOOD &amp; BEVERAGE</v>
      </c>
      <c r="G830" s="426" t="str">
        <f>VLOOKUP($D830,'Tabel Map Industry'!$A$2:$H$464,4,0)</f>
        <v>lndustri Kecap  - 154930</v>
      </c>
      <c r="H830" s="426" t="str">
        <f>VLOOKUP($D830,'Tabel Map Industry'!$A$2:$H$464,8,0)</f>
        <v>Industri - Makanan Lainnya - 3190</v>
      </c>
    </row>
    <row r="831" spans="2:8" ht="30" hidden="1" x14ac:dyDescent="0.25">
      <c r="B831" s="418" t="str">
        <f t="shared" si="8"/>
        <v>Food &amp; Beverage</v>
      </c>
      <c r="C831" s="418" t="str">
        <f t="shared" si="9"/>
        <v xml:space="preserve">lndustri Tempe dan Tahu </v>
      </c>
      <c r="D831" s="419" t="s">
        <v>5142</v>
      </c>
      <c r="E831" s="420" t="str">
        <f>VLOOKUP($D831,'Tabel Map Industry'!$A$2:$H$464,2,0)</f>
        <v xml:space="preserve">lndustri Tempe dan Tahu </v>
      </c>
      <c r="F831" s="421" t="str">
        <f>VLOOKUP($D831,'Tabel Map Industry'!$A$2:$H$464,3,0)</f>
        <v>FOOD &amp; BEVERAGE</v>
      </c>
      <c r="G831" s="421" t="str">
        <f>VLOOKUP($D831,'Tabel Map Industry'!$A$2:$H$464,4,0)</f>
        <v>lndustri Tempe dan Tahu  - 154940</v>
      </c>
      <c r="H831" s="421" t="str">
        <f>VLOOKUP($D831,'Tabel Map Industry'!$A$2:$H$464,8,0)</f>
        <v>Industri - Makanan Lainnya - 3190</v>
      </c>
    </row>
    <row r="832" spans="2:8" ht="30" hidden="1" x14ac:dyDescent="0.25">
      <c r="B832" s="423" t="str">
        <f t="shared" si="8"/>
        <v>Food &amp; Beverage</v>
      </c>
      <c r="C832" s="423" t="str">
        <f t="shared" si="9"/>
        <v>lndustri Makanan yang Tidak Diklasifikasikan di Tempat Lain</v>
      </c>
      <c r="D832" s="424" t="s">
        <v>5143</v>
      </c>
      <c r="E832" s="425" t="str">
        <f>VLOOKUP($D832,'Tabel Map Industry'!$A$2:$H$464,2,0)</f>
        <v>lndustri Makanan yang Tidak Diklasifikasikan di Tempat Lain</v>
      </c>
      <c r="F832" s="426" t="str">
        <f>VLOOKUP($D832,'Tabel Map Industry'!$A$2:$H$464,3,0)</f>
        <v>FOOD &amp; BEVERAGE</v>
      </c>
      <c r="G832" s="426" t="str">
        <f>VLOOKUP($D832,'Tabel Map Industry'!$A$2:$H$464,4,0)</f>
        <v>lndustri Makanan yang Tidak Diklasifikasikan di Tempat Lain - 154990</v>
      </c>
      <c r="H832" s="426" t="str">
        <f>VLOOKUP($D832,'Tabel Map Industry'!$A$2:$H$464,8,0)</f>
        <v>Industri - Makanan Lainnya - 3190</v>
      </c>
    </row>
    <row r="833" spans="2:8" ht="30" hidden="1" x14ac:dyDescent="0.25">
      <c r="B833" s="418" t="str">
        <f t="shared" si="8"/>
        <v>Food &amp; Beverage</v>
      </c>
      <c r="C833" s="418" t="str">
        <f t="shared" si="9"/>
        <v>Perdagangan Ekspor Makanan dan Minuman Lainnya</v>
      </c>
      <c r="D833" s="419" t="s">
        <v>5146</v>
      </c>
      <c r="E833" s="420" t="str">
        <f>VLOOKUP($D833,'Tabel Map Industry'!$A$2:$H$464,2,0)</f>
        <v>Perdagangan Ekspor Makanan dan Minuman Lainnya</v>
      </c>
      <c r="F833" s="421" t="str">
        <f>VLOOKUP($D833,'Tabel Map Industry'!$A$2:$H$464,3,0)</f>
        <v>FOOD &amp; BEVERAGE</v>
      </c>
      <c r="G833" s="421" t="str">
        <f>VLOOKUP($D833,'Tabel Map Industry'!$A$2:$H$464,4,0)</f>
        <v>Perdagangan Ekspor Makanan dan Minuman Lainnya - 532209</v>
      </c>
      <c r="H833" s="421" t="str">
        <f>VLOOKUP($D833,'Tabel Map Industry'!$A$2:$H$464,8,0)</f>
        <v>Ekspor Barang Jadi lainnya - 6179</v>
      </c>
    </row>
    <row r="834" spans="2:8" ht="30" hidden="1" x14ac:dyDescent="0.25">
      <c r="B834" s="423" t="str">
        <f t="shared" si="8"/>
        <v>Food &amp; Beverage</v>
      </c>
      <c r="C834" s="423" t="str">
        <f t="shared" si="9"/>
        <v>Perdagangan Ekspor Hewan yang Sudah Diolah</v>
      </c>
      <c r="D834" s="424" t="s">
        <v>5147</v>
      </c>
      <c r="E834" s="425" t="str">
        <f>VLOOKUP($D834,'Tabel Map Industry'!$A$2:$H$464,2,0)</f>
        <v>Perdagangan Ekspor Hewan yang Sudah Diolah</v>
      </c>
      <c r="F834" s="426" t="str">
        <f>VLOOKUP($D834,'Tabel Map Industry'!$A$2:$H$464,3,0)</f>
        <v>FOOD &amp; BEVERAGE</v>
      </c>
      <c r="G834" s="426" t="str">
        <f>VLOOKUP($D834,'Tabel Map Industry'!$A$2:$H$464,4,0)</f>
        <v>Perdagangan Ekspor Hewan yang Sudah Diolah - 539021</v>
      </c>
      <c r="H834" s="426" t="str">
        <f>VLOOKUP($D834,'Tabel Map Industry'!$A$2:$H$464,8,0)</f>
        <v>Ekspor Barang Setengah Jadi Hewan yg Sudah Diolah - 6140</v>
      </c>
    </row>
    <row r="835" spans="2:8" ht="30" hidden="1" x14ac:dyDescent="0.25">
      <c r="B835" s="418" t="str">
        <f t="shared" si="8"/>
        <v>Food &amp; Beverage</v>
      </c>
      <c r="C835" s="418" t="str">
        <f t="shared" si="9"/>
        <v>Perdagangan Ekspor Bahan Makanan Lainnya</v>
      </c>
      <c r="D835" s="419" t="s">
        <v>5148</v>
      </c>
      <c r="E835" s="420" t="str">
        <f>VLOOKUP($D835,'Tabel Map Industry'!$A$2:$H$464,2,0)</f>
        <v>Perdagangan Ekspor Bahan Makanan Lainnya</v>
      </c>
      <c r="F835" s="421" t="str">
        <f>VLOOKUP($D835,'Tabel Map Industry'!$A$2:$H$464,3,0)</f>
        <v>FOOD &amp; BEVERAGE</v>
      </c>
      <c r="G835" s="421" t="str">
        <f>VLOOKUP($D835,'Tabel Map Industry'!$A$2:$H$464,4,0)</f>
        <v>Perdagangan Ekspor Bahan Makanan Lainnya - 539022</v>
      </c>
      <c r="H835" s="421" t="str">
        <f>VLOOKUP($D835,'Tabel Map Industry'!$A$2:$H$464,8,0)</f>
        <v>Ekspor Barang Setengah Jadi Bahan Makanan Lainnya - 6141</v>
      </c>
    </row>
    <row r="836" spans="2:8" ht="30" hidden="1" x14ac:dyDescent="0.25">
      <c r="B836" s="423" t="str">
        <f t="shared" si="8"/>
        <v>Food &amp; Beverage</v>
      </c>
      <c r="C836" s="423" t="str">
        <f t="shared" si="9"/>
        <v>Perdagangan Impor Makanan, Minuman, dan Tembakau Lainnya</v>
      </c>
      <c r="D836" s="424" t="s">
        <v>5149</v>
      </c>
      <c r="E836" s="425" t="str">
        <f>VLOOKUP($D836,'Tabel Map Industry'!$A$2:$H$464,2,0)</f>
        <v>Perdagangan Impor Makanan, Minuman, dan Tembakau Lainnya</v>
      </c>
      <c r="F836" s="426" t="str">
        <f>VLOOKUP($D836,'Tabel Map Industry'!$A$2:$H$464,3,0)</f>
        <v>FOOD &amp; BEVERAGE</v>
      </c>
      <c r="G836" s="426" t="str">
        <f>VLOOKUP($D836,'Tabel Map Industry'!$A$2:$H$464,4,0)</f>
        <v>Perdagangan Impor Makanan, Minuman, dan Tembakau Lainnya - 542209</v>
      </c>
      <c r="H836" s="426" t="str">
        <f>VLOOKUP($D836,'Tabel Map Industry'!$A$2:$H$464,8,0)</f>
        <v>Impor dlm.rangka Bantuan Luar Negeri - Lainnya - 6219</v>
      </c>
    </row>
    <row r="837" spans="2:8" ht="30" hidden="1" x14ac:dyDescent="0.25">
      <c r="B837" s="418" t="str">
        <f t="shared" si="8"/>
        <v>Food &amp; Beverage</v>
      </c>
      <c r="C837" s="418" t="str">
        <f t="shared" si="9"/>
        <v xml:space="preserve">H.1.2.1. Restoran / Rumah Makan </v>
      </c>
      <c r="D837" s="419" t="s">
        <v>5151</v>
      </c>
      <c r="E837" s="420" t="str">
        <f>VLOOKUP($D837,'Tabel Map Industry'!$A$2:$H$464,2,0)</f>
        <v xml:space="preserve">H.1.2.1. Restoran / Rumah Makan </v>
      </c>
      <c r="F837" s="421" t="str">
        <f>VLOOKUP($D837,'Tabel Map Industry'!$A$2:$H$464,3,0)</f>
        <v>FOOD &amp; BEVERAGE</v>
      </c>
      <c r="G837" s="421" t="str">
        <f>VLOOKUP($D837,'Tabel Map Industry'!$A$2:$H$464,4,0)</f>
        <v>H.1.2.1. Restoran / Rumah Makan  - 552100</v>
      </c>
      <c r="H837" s="421" t="str">
        <f>VLOOKUP($D837,'Tabel Map Industry'!$A$2:$H$464,8,0)</f>
        <v>Restoran - 6610</v>
      </c>
    </row>
    <row r="838" spans="2:8" ht="30" hidden="1" x14ac:dyDescent="0.25">
      <c r="B838" s="423" t="str">
        <f t="shared" si="8"/>
        <v>Forestry</v>
      </c>
      <c r="C838" s="423" t="str">
        <f t="shared" si="9"/>
        <v xml:space="preserve">Pengusahaan Hutan Alam </v>
      </c>
      <c r="D838" s="424" t="s">
        <v>5153</v>
      </c>
      <c r="E838" s="425" t="str">
        <f>VLOOKUP($D838,'Tabel Map Industry'!$A$2:$H$464,2,0)</f>
        <v xml:space="preserve">Pengusahaan Hutan Alam </v>
      </c>
      <c r="F838" s="426" t="str">
        <f>VLOOKUP($D838,'Tabel Map Industry'!$A$2:$H$464,3,0)</f>
        <v>FORESTRY</v>
      </c>
      <c r="G838" s="426" t="str">
        <f>VLOOKUP($D838,'Tabel Map Industry'!$A$2:$H$464,4,0)</f>
        <v>Pengusahaan Hutan Alam  - 020200</v>
      </c>
      <c r="H838" s="426" t="str">
        <f>VLOOKUP($D838,'Tabel Map Industry'!$A$2:$H$464,8,0)</f>
        <v>Kehutanan dan Pemotongan Kayu (logging) - 1180</v>
      </c>
    </row>
    <row r="839" spans="2:8" ht="30" hidden="1" x14ac:dyDescent="0.25">
      <c r="B839" s="418" t="str">
        <f t="shared" si="8"/>
        <v>Forestry</v>
      </c>
      <c r="C839" s="418" t="str">
        <f t="shared" si="9"/>
        <v xml:space="preserve">Pengusahaan Hasil Hutan Selain Kayu </v>
      </c>
      <c r="D839" s="419" t="s">
        <v>5154</v>
      </c>
      <c r="E839" s="420" t="str">
        <f>VLOOKUP($D839,'Tabel Map Industry'!$A$2:$H$464,2,0)</f>
        <v xml:space="preserve">Pengusahaan Hasil Hutan Selain Kayu </v>
      </c>
      <c r="F839" s="421" t="str">
        <f>VLOOKUP($D839,'Tabel Map Industry'!$A$2:$H$464,3,0)</f>
        <v>FORESTRY</v>
      </c>
      <c r="G839" s="421" t="str">
        <f>VLOOKUP($D839,'Tabel Map Industry'!$A$2:$H$464,4,0)</f>
        <v>Pengusahaan Hasil Hutan Selain Kayu  - 020300</v>
      </c>
      <c r="H839" s="421" t="str">
        <f>VLOOKUP($D839,'Tabel Map Industry'!$A$2:$H$464,8,0)</f>
        <v>Kehutanan dan Pemotongan Kayu (logging) - 1180</v>
      </c>
    </row>
    <row r="840" spans="2:8" ht="30" hidden="1" x14ac:dyDescent="0.25">
      <c r="B840" s="423" t="str">
        <f t="shared" si="8"/>
        <v>Forestry</v>
      </c>
      <c r="C840" s="423" t="str">
        <f t="shared" si="9"/>
        <v xml:space="preserve">Jasa Kehutanan </v>
      </c>
      <c r="D840" s="424" t="s">
        <v>5155</v>
      </c>
      <c r="E840" s="425" t="str">
        <f>VLOOKUP($D840,'Tabel Map Industry'!$A$2:$H$464,2,0)</f>
        <v xml:space="preserve">Jasa Kehutanan </v>
      </c>
      <c r="F840" s="426" t="str">
        <f>VLOOKUP($D840,'Tabel Map Industry'!$A$2:$H$464,3,0)</f>
        <v>FORESTRY</v>
      </c>
      <c r="G840" s="426" t="str">
        <f>VLOOKUP($D840,'Tabel Map Industry'!$A$2:$H$464,4,0)</f>
        <v>Jasa Kehutanan  - 020400</v>
      </c>
      <c r="H840" s="426" t="str">
        <f>VLOOKUP($D840,'Tabel Map Industry'!$A$2:$H$464,8,0)</f>
        <v>Kehutanan dan Pemotongan Kayu (logging) - 1180</v>
      </c>
    </row>
    <row r="841" spans="2:8" hidden="1" x14ac:dyDescent="0.25">
      <c r="B841" s="418" t="str">
        <f t="shared" si="8"/>
        <v>Forestry</v>
      </c>
      <c r="C841" s="418" t="str">
        <f t="shared" si="9"/>
        <v xml:space="preserve">Usaha Kehutanan Lainnya </v>
      </c>
      <c r="D841" s="419" t="s">
        <v>5156</v>
      </c>
      <c r="E841" s="420" t="str">
        <f>VLOOKUP($D841,'Tabel Map Industry'!$A$2:$H$464,2,0)</f>
        <v xml:space="preserve">Usaha Kehutanan Lainnya </v>
      </c>
      <c r="F841" s="421" t="str">
        <f>VLOOKUP($D841,'Tabel Map Industry'!$A$2:$H$464,3,0)</f>
        <v>FORESTRY</v>
      </c>
      <c r="G841" s="421" t="str">
        <f>VLOOKUP($D841,'Tabel Map Industry'!$A$2:$H$464,4,0)</f>
        <v>Usaha Kehutanan Lainnya  - 020500</v>
      </c>
      <c r="H841" s="421" t="str">
        <f>VLOOKUP($D841,'Tabel Map Industry'!$A$2:$H$464,8,0)</f>
        <v>Sarana Kehutanan - 1380</v>
      </c>
    </row>
    <row r="842" spans="2:8" ht="30" hidden="1" x14ac:dyDescent="0.25">
      <c r="B842" s="423" t="str">
        <f t="shared" si="8"/>
        <v>Forestry</v>
      </c>
      <c r="C842" s="423" t="str">
        <f t="shared" si="9"/>
        <v>Perdagangan Kayu</v>
      </c>
      <c r="D842" s="424" t="s">
        <v>5157</v>
      </c>
      <c r="E842" s="425" t="str">
        <f>VLOOKUP($D842,'Tabel Map Industry'!$A$2:$H$464,2,0)</f>
        <v>Perdagangan Kayu</v>
      </c>
      <c r="F842" s="426" t="str">
        <f>VLOOKUP($D842,'Tabel Map Industry'!$A$2:$H$464,3,0)</f>
        <v>FORESTRY</v>
      </c>
      <c r="G842" s="426" t="str">
        <f>VLOOKUP($D842,'Tabel Map Industry'!$A$2:$H$464,4,0)</f>
        <v>Perdagangan Kayu - 512141</v>
      </c>
      <c r="H842" s="426" t="str">
        <f>VLOOKUP($D842,'Tabel Map Industry'!$A$2:$H$464,8,0)</f>
        <v>Pembelian &amp; Pengumpulan Brg. Dagangan Dlm.Neg. : Kayu - 6315</v>
      </c>
    </row>
    <row r="843" spans="2:8" ht="45" hidden="1" x14ac:dyDescent="0.25">
      <c r="B843" s="418" t="str">
        <f t="shared" si="8"/>
        <v>Forestry</v>
      </c>
      <c r="C843" s="418" t="str">
        <f t="shared" si="9"/>
        <v>Perdagangan Besar Dalam Negeri Hasil Kehutanan dan Perburuan Lainnya</v>
      </c>
      <c r="D843" s="419" t="s">
        <v>5158</v>
      </c>
      <c r="E843" s="420" t="str">
        <f>VLOOKUP($D843,'Tabel Map Industry'!$A$2:$H$464,2,0)</f>
        <v>Perdagangan Besar Dalam Negeri Hasil Kehutanan dan Perburuan Lainnya</v>
      </c>
      <c r="F843" s="421" t="str">
        <f>VLOOKUP($D843,'Tabel Map Industry'!$A$2:$H$464,3,0)</f>
        <v>FORESTRY</v>
      </c>
      <c r="G843" s="421" t="str">
        <f>VLOOKUP($D843,'Tabel Map Industry'!$A$2:$H$464,4,0)</f>
        <v>Perdagangan Besar Dalam Negeri Hasil Kehutanan dan Perburuan Lainnya - 512149</v>
      </c>
      <c r="H843" s="421" t="str">
        <f>VLOOKUP($D843,'Tabel Map Industry'!$A$2:$H$464,8,0)</f>
        <v>Distribusi lainnya - 6490</v>
      </c>
    </row>
    <row r="844" spans="2:8" hidden="1" x14ac:dyDescent="0.25">
      <c r="B844" s="423" t="str">
        <f t="shared" si="8"/>
        <v>Forestry</v>
      </c>
      <c r="C844" s="423" t="str">
        <f t="shared" si="9"/>
        <v>Perdagangan Ekspor Kayu</v>
      </c>
      <c r="D844" s="424" t="s">
        <v>5159</v>
      </c>
      <c r="E844" s="425" t="str">
        <f>VLOOKUP($D844,'Tabel Map Industry'!$A$2:$H$464,2,0)</f>
        <v>Perdagangan Ekspor Kayu</v>
      </c>
      <c r="F844" s="426" t="str">
        <f>VLOOKUP($D844,'Tabel Map Industry'!$A$2:$H$464,3,0)</f>
        <v>FORESTRY</v>
      </c>
      <c r="G844" s="426" t="str">
        <f>VLOOKUP($D844,'Tabel Map Industry'!$A$2:$H$464,4,0)</f>
        <v>Perdagangan Ekspor Kayu - 532141</v>
      </c>
      <c r="H844" s="426" t="str">
        <f>VLOOKUP($D844,'Tabel Map Industry'!$A$2:$H$464,8,0)</f>
        <v>Ekspor Bahan Baku Kayu - 6112</v>
      </c>
    </row>
    <row r="845" spans="2:8" hidden="1" x14ac:dyDescent="0.25">
      <c r="B845" s="418" t="str">
        <f t="shared" si="8"/>
        <v>Forestry</v>
      </c>
      <c r="C845" s="418" t="str">
        <f t="shared" si="9"/>
        <v>Perdagangan Ekspor Rotan</v>
      </c>
      <c r="D845" s="419" t="s">
        <v>5160</v>
      </c>
      <c r="E845" s="420" t="str">
        <f>VLOOKUP($D845,'Tabel Map Industry'!$A$2:$H$464,2,0)</f>
        <v>Perdagangan Ekspor Rotan</v>
      </c>
      <c r="F845" s="421" t="str">
        <f>VLOOKUP($D845,'Tabel Map Industry'!$A$2:$H$464,3,0)</f>
        <v>FORESTRY</v>
      </c>
      <c r="G845" s="421" t="str">
        <f>VLOOKUP($D845,'Tabel Map Industry'!$A$2:$H$464,4,0)</f>
        <v>Perdagangan Ekspor Rotan - 532142</v>
      </c>
      <c r="H845" s="421" t="str">
        <f>VLOOKUP($D845,'Tabel Map Industry'!$A$2:$H$464,8,0)</f>
        <v>Ekspor Bahan Baku Rotan - 6113</v>
      </c>
    </row>
    <row r="846" spans="2:8" ht="30" hidden="1" x14ac:dyDescent="0.25">
      <c r="B846" s="423" t="str">
        <f t="shared" si="8"/>
        <v>Forestry</v>
      </c>
      <c r="C846" s="423" t="str">
        <f t="shared" si="9"/>
        <v>Perdagangan Ekspor Hasil Hutan Selain Kayu dan Rotan</v>
      </c>
      <c r="D846" s="424" t="s">
        <v>5161</v>
      </c>
      <c r="E846" s="425" t="str">
        <f>VLOOKUP($D846,'Tabel Map Industry'!$A$2:$H$464,2,0)</f>
        <v>Perdagangan Ekspor Hasil Hutan Selain Kayu dan Rotan</v>
      </c>
      <c r="F846" s="426" t="str">
        <f>VLOOKUP($D846,'Tabel Map Industry'!$A$2:$H$464,3,0)</f>
        <v>FORESTRY</v>
      </c>
      <c r="G846" s="426" t="str">
        <f>VLOOKUP($D846,'Tabel Map Industry'!$A$2:$H$464,4,0)</f>
        <v>Perdagangan Ekspor Hasil Hutan Selain Kayu dan Rotan - 532149</v>
      </c>
      <c r="H846" s="426" t="str">
        <f>VLOOKUP($D846,'Tabel Map Industry'!$A$2:$H$464,8,0)</f>
        <v>Ekspor Bahan Baku Hutan selain kayu dan rotan - 6114</v>
      </c>
    </row>
    <row r="847" spans="2:8" ht="45" hidden="1" x14ac:dyDescent="0.25">
      <c r="B847" s="418" t="str">
        <f t="shared" si="8"/>
        <v>Garmen (Incl. Jewelry &amp; Accessories)</v>
      </c>
      <c r="C847" s="418" t="str">
        <f t="shared" si="9"/>
        <v xml:space="preserve">Perdagangan Eceran Kaki Lima Tekstil, Pakaian Jadi, Alas Kaki, dan Barang Keperluan Pribadi </v>
      </c>
      <c r="D847" s="419" t="s">
        <v>5073</v>
      </c>
      <c r="E847" s="420" t="str">
        <f>VLOOKUP($D847,'Tabel Map Industry'!$A$2:$H$464,2,0)</f>
        <v xml:space="preserve">Perdagangan Eceran Kaki Lima Tekstil, Pakaian Jadi, Alas Kaki, dan Barang Keperluan Pribadi </v>
      </c>
      <c r="F847" s="421" t="str">
        <f>VLOOKUP($D847,'Tabel Map Industry'!$A$2:$H$464,3,0)</f>
        <v>GARMEN (Incl. Jewelry &amp; Accessories)</v>
      </c>
      <c r="G847" s="421" t="str">
        <f>VLOOKUP($D847,'Tabel Map Industry'!$A$2:$H$464,4,0)</f>
        <v>Perdagangan Eceran Kaki Lima Tekstil, Pakaian Jadi, Alas Kaki, dan Barang Keperluan Pribadi  - 525400</v>
      </c>
      <c r="H847" s="421" t="str">
        <f>VLOOKUP($D847,'Tabel Map Industry'!$A$2:$H$464,8,0)</f>
        <v>Perdagangan Eceran - 6500</v>
      </c>
    </row>
    <row r="848" spans="2:8" ht="45" hidden="1" x14ac:dyDescent="0.25">
      <c r="B848" s="423" t="str">
        <f t="shared" si="8"/>
        <v>Garmen (Incl. Jewelry &amp; Accessories)</v>
      </c>
      <c r="C848" s="423" t="str">
        <f t="shared" si="9"/>
        <v xml:space="preserve">Perdagangan Impor Tekstil, Pakaian Jadi, dan Kulit </v>
      </c>
      <c r="D848" s="424" t="s">
        <v>5075</v>
      </c>
      <c r="E848" s="425" t="str">
        <f>VLOOKUP($D848,'Tabel Map Industry'!$A$2:$H$464,2,0)</f>
        <v xml:space="preserve">Perdagangan Impor Tekstil, Pakaian Jadi, dan Kulit </v>
      </c>
      <c r="F848" s="426" t="str">
        <f>VLOOKUP($D848,'Tabel Map Industry'!$A$2:$H$464,3,0)</f>
        <v>GARMEN (Incl. Jewelry &amp; Accessories)</v>
      </c>
      <c r="G848" s="426" t="str">
        <f>VLOOKUP($D848,'Tabel Map Industry'!$A$2:$H$464,4,0)</f>
        <v>Perdagangan Impor Tekstil, Pakaian Jadi, dan Kulit  - 543100</v>
      </c>
      <c r="H848" s="426" t="str">
        <f>VLOOKUP($D848,'Tabel Map Industry'!$A$2:$H$464,8,0)</f>
        <v>Impor dlm.rangka Bantuan Luar Negeri - Lainnya - 6219</v>
      </c>
    </row>
    <row r="849" spans="2:8" ht="45" hidden="1" x14ac:dyDescent="0.25">
      <c r="B849" s="418" t="str">
        <f t="shared" si="8"/>
        <v>Garmen (Incl. Jewelry &amp; Accessories)</v>
      </c>
      <c r="C849" s="418" t="str">
        <f t="shared" si="9"/>
        <v>Perdagangan Ekspor Pakaian Jadi</v>
      </c>
      <c r="D849" s="419" t="s">
        <v>5182</v>
      </c>
      <c r="E849" s="420" t="str">
        <f>VLOOKUP($D849,'Tabel Map Industry'!$A$2:$H$464,2,0)</f>
        <v>Perdagangan Ekspor Pakaian Jadi</v>
      </c>
      <c r="F849" s="421" t="str">
        <f>VLOOKUP($D849,'Tabel Map Industry'!$A$2:$H$464,3,0)</f>
        <v>GARMEN (Incl. Jewelry &amp; Accessories)</v>
      </c>
      <c r="G849" s="421" t="str">
        <f>VLOOKUP($D849,'Tabel Map Industry'!$A$2:$H$464,4,0)</f>
        <v>Perdagangan Ekspor Pakaian Jadi - 533102</v>
      </c>
      <c r="H849" s="421" t="str">
        <f>VLOOKUP($D849,'Tabel Map Industry'!$A$2:$H$464,8,0)</f>
        <v>Ekspor Barang Jadi Sandang Selain Tekstil - 6170</v>
      </c>
    </row>
    <row r="850" spans="2:8" ht="45" hidden="1" x14ac:dyDescent="0.25">
      <c r="B850" s="423" t="str">
        <f t="shared" ref="B850:B913" si="10">PROPER(F850)</f>
        <v>Home Appliances</v>
      </c>
      <c r="C850" s="423" t="str">
        <f t="shared" ref="C850:C913" si="11">E850</f>
        <v xml:space="preserve">Industri Peralatan Rumah Tangga yang Tidak Diklasifikasikan di Tempat Lain </v>
      </c>
      <c r="D850" s="424" t="s">
        <v>5162</v>
      </c>
      <c r="E850" s="425" t="str">
        <f>VLOOKUP($D850,'Tabel Map Industry'!$A$2:$H$464,2,0)</f>
        <v xml:space="preserve">Industri Peralatan Rumah Tangga yang Tidak Diklasifikasikan di Tempat Lain </v>
      </c>
      <c r="F850" s="426" t="str">
        <f>VLOOKUP($D850,'Tabel Map Industry'!$A$2:$H$464,3,0)</f>
        <v>HOME APPLIANCES</v>
      </c>
      <c r="G850" s="426" t="str">
        <f>VLOOKUP($D850,'Tabel Map Industry'!$A$2:$H$464,4,0)</f>
        <v>Industri Peralatan Rumah Tangga yang Tidak Diklasifikasikan di Tempat Lain  - 293000</v>
      </c>
      <c r="H850" s="426" t="str">
        <f>VLOOKUP($D850,'Tabel Map Industry'!$A$2:$H$464,8,0)</f>
        <v>Industri - Lainnya - 3990</v>
      </c>
    </row>
    <row r="851" spans="2:8" ht="45" hidden="1" x14ac:dyDescent="0.25">
      <c r="B851" s="418" t="str">
        <f t="shared" si="10"/>
        <v>Home Appliances</v>
      </c>
      <c r="C851" s="418" t="str">
        <f t="shared" si="11"/>
        <v xml:space="preserve">Perdagangan Ekspor Barang-barang Keperluan Rumah Tangga Lainnya </v>
      </c>
      <c r="D851" s="419" t="s">
        <v>5164</v>
      </c>
      <c r="E851" s="420" t="str">
        <f>VLOOKUP($D851,'Tabel Map Industry'!$A$2:$H$464,2,0)</f>
        <v xml:space="preserve">Perdagangan Ekspor Barang-barang Keperluan Rumah Tangga Lainnya </v>
      </c>
      <c r="F851" s="421" t="str">
        <f>VLOOKUP($D851,'Tabel Map Industry'!$A$2:$H$464,3,0)</f>
        <v>HOME APPLIANCES</v>
      </c>
      <c r="G851" s="421" t="str">
        <f>VLOOKUP($D851,'Tabel Map Industry'!$A$2:$H$464,4,0)</f>
        <v>Perdagangan Ekspor Barang-barang Keperluan Rumah Tangga Lainnya  - 533900</v>
      </c>
      <c r="H851" s="421" t="str">
        <f>VLOOKUP($D851,'Tabel Map Industry'!$A$2:$H$464,8,0)</f>
        <v>Ekspor Barang Jadi lainnya - 6179</v>
      </c>
    </row>
    <row r="852" spans="2:8" ht="45" hidden="1" x14ac:dyDescent="0.25">
      <c r="B852" s="423" t="str">
        <f t="shared" si="10"/>
        <v>Home Appliances</v>
      </c>
      <c r="C852" s="423" t="str">
        <f t="shared" si="11"/>
        <v xml:space="preserve">G.5.3.9. Perdagangan Impor Barang-barang Keperluan Rumah Tangga lainnya </v>
      </c>
      <c r="D852" s="424" t="s">
        <v>5165</v>
      </c>
      <c r="E852" s="425" t="str">
        <f>VLOOKUP($D852,'Tabel Map Industry'!$A$2:$H$464,2,0)</f>
        <v xml:space="preserve">G.5.3.9. Perdagangan Impor Barang-barang Keperluan Rumah Tangga lainnya </v>
      </c>
      <c r="F852" s="426" t="str">
        <f>VLOOKUP($D852,'Tabel Map Industry'!$A$2:$H$464,3,0)</f>
        <v>HOME APPLIANCES</v>
      </c>
      <c r="G852" s="426" t="str">
        <f>VLOOKUP($D852,'Tabel Map Industry'!$A$2:$H$464,4,0)</f>
        <v>G.5.3.9. Perdagangan Impor Barang-barang Keperluan Rumah Tangga lainnya  - 543900</v>
      </c>
      <c r="H852" s="426" t="str">
        <f>VLOOKUP($D852,'Tabel Map Industry'!$A$2:$H$464,8,0)</f>
        <v>Impor Bukan dlm.rangka Bantuan Luar Negeri - Lainnya - 6239</v>
      </c>
    </row>
    <row r="853" spans="2:8" ht="45" hidden="1" x14ac:dyDescent="0.25">
      <c r="B853" s="418" t="str">
        <f t="shared" si="10"/>
        <v>Home Appliances</v>
      </c>
      <c r="C853" s="418" t="str">
        <f t="shared" si="11"/>
        <v xml:space="preserve">Perdagangan Eceran Kaki Lima Perlengkapan Rumah Tangga dan Perlengkapan Dapur </v>
      </c>
      <c r="D853" s="419" t="s">
        <v>5167</v>
      </c>
      <c r="E853" s="420" t="str">
        <f>VLOOKUP($D853,'Tabel Map Industry'!$A$2:$H$464,2,0)</f>
        <v xml:space="preserve">Perdagangan Eceran Kaki Lima Perlengkapan Rumah Tangga dan Perlengkapan Dapur </v>
      </c>
      <c r="F853" s="421" t="str">
        <f>VLOOKUP($D853,'Tabel Map Industry'!$A$2:$H$464,3,0)</f>
        <v>HOME APPLIANCES</v>
      </c>
      <c r="G853" s="421" t="str">
        <f>VLOOKUP($D853,'Tabel Map Industry'!$A$2:$H$464,4,0)</f>
        <v>Perdagangan Eceran Kaki Lima Perlengkapan Rumah Tangga dan Perlengkapan Dapur  - 525500</v>
      </c>
      <c r="H853" s="421" t="str">
        <f>VLOOKUP($D853,'Tabel Map Industry'!$A$2:$H$464,8,0)</f>
        <v>Perdagangan Eceran - 6500</v>
      </c>
    </row>
    <row r="854" spans="2:8" ht="60" hidden="1" x14ac:dyDescent="0.25">
      <c r="B854" s="423" t="str">
        <f t="shared" si="10"/>
        <v>Hospital &amp; Medical Equipment</v>
      </c>
      <c r="C854" s="423" t="str">
        <f t="shared" si="11"/>
        <v xml:space="preserve">Industri Peralatan Kedokteran, dan Peralatan Untuk Mengukur, Memeriksa, Menguji, dan Bagian Lainnya, Kecuali Alat-alat Optik </v>
      </c>
      <c r="D854" s="424" t="s">
        <v>5168</v>
      </c>
      <c r="E854" s="425" t="str">
        <f>VLOOKUP($D854,'Tabel Map Industry'!$A$2:$H$464,2,0)</f>
        <v xml:space="preserve">Industri Peralatan Kedokteran, dan Peralatan Untuk Mengukur, Memeriksa, Menguji, dan Bagian Lainnya, Kecuali Alat-alat Optik </v>
      </c>
      <c r="F854" s="426" t="str">
        <f>VLOOKUP($D854,'Tabel Map Industry'!$A$2:$H$464,3,0)</f>
        <v>HOSPITAL &amp; MEDICAL EQUIPMENT</v>
      </c>
      <c r="G854" s="426" t="str">
        <f>VLOOKUP($D854,'Tabel Map Industry'!$A$2:$H$464,4,0)</f>
        <v>Industri Peralatan Kedokteran, dan Peralatan Untuk Mengukur, Memeriksa, Menguji, dan Bagian Lainnya, Kecuali Alat-alat Optik  - 331000</v>
      </c>
      <c r="H854" s="426" t="str">
        <f>VLOOKUP($D854,'Tabel Map Industry'!$A$2:$H$464,8,0)</f>
        <v>Industri - Lainnya - 3990</v>
      </c>
    </row>
    <row r="855" spans="2:8" ht="45" hidden="1" x14ac:dyDescent="0.25">
      <c r="B855" s="418" t="str">
        <f t="shared" si="10"/>
        <v>Hospital &amp; Medical Equipment</v>
      </c>
      <c r="C855" s="418" t="str">
        <f t="shared" si="11"/>
        <v xml:space="preserve">Industri Instrumen Optik dan Peralatan Fotografi </v>
      </c>
      <c r="D855" s="419" t="s">
        <v>5169</v>
      </c>
      <c r="E855" s="420" t="str">
        <f>VLOOKUP($D855,'Tabel Map Industry'!$A$2:$H$464,2,0)</f>
        <v xml:space="preserve">Industri Instrumen Optik dan Peralatan Fotografi </v>
      </c>
      <c r="F855" s="421" t="str">
        <f>VLOOKUP($D855,'Tabel Map Industry'!$A$2:$H$464,3,0)</f>
        <v>HOSPITAL &amp; MEDICAL EQUIPMENT</v>
      </c>
      <c r="G855" s="421" t="str">
        <f>VLOOKUP($D855,'Tabel Map Industry'!$A$2:$H$464,4,0)</f>
        <v>Industri Instrumen Optik dan Peralatan Fotografi  - 332000</v>
      </c>
      <c r="H855" s="421" t="str">
        <f>VLOOKUP($D855,'Tabel Map Industry'!$A$2:$H$464,8,0)</f>
        <v>Industri - Lainnya - 3990</v>
      </c>
    </row>
    <row r="856" spans="2:8" ht="45" hidden="1" x14ac:dyDescent="0.25">
      <c r="B856" s="423" t="str">
        <f t="shared" si="10"/>
        <v>Hospital &amp; Medical Equipment</v>
      </c>
      <c r="C856" s="423" t="str">
        <f t="shared" si="11"/>
        <v>Jasa Kesehatan Manusia - Rumah sakit</v>
      </c>
      <c r="D856" s="424" t="s">
        <v>5170</v>
      </c>
      <c r="E856" s="425" t="str">
        <f>VLOOKUP($D856,'Tabel Map Industry'!$A$2:$H$464,2,0)</f>
        <v>Jasa Kesehatan Manusia - Rumah sakit</v>
      </c>
      <c r="F856" s="426" t="str">
        <f>VLOOKUP($D856,'Tabel Map Industry'!$A$2:$H$464,3,0)</f>
        <v>HOSPITAL &amp; MEDICAL EQUIPMENT</v>
      </c>
      <c r="G856" s="426" t="str">
        <f>VLOOKUP($D856,'Tabel Map Industry'!$A$2:$H$464,4,0)</f>
        <v>Jasa Kesehatan Manusia - Rumah sakit - 851001</v>
      </c>
      <c r="H856" s="426" t="str">
        <f>VLOOKUP($D856,'Tabel Map Industry'!$A$2:$H$464,8,0)</f>
        <v>Jasa-jasa sosial/masyarakat - Kesehatan - Tempat Perawatan/Pengobatan - 9220</v>
      </c>
    </row>
    <row r="857" spans="2:8" ht="45" hidden="1" x14ac:dyDescent="0.25">
      <c r="B857" s="418" t="str">
        <f t="shared" si="10"/>
        <v>Hospital &amp; Medical Equipment</v>
      </c>
      <c r="C857" s="418" t="str">
        <f t="shared" si="11"/>
        <v>Jasa Kesehatan Manusia - Poliklinik / Rumah Bersalin</v>
      </c>
      <c r="D857" s="419" t="s">
        <v>5171</v>
      </c>
      <c r="E857" s="420" t="str">
        <f>VLOOKUP($D857,'Tabel Map Industry'!$A$2:$H$464,2,0)</f>
        <v>Jasa Kesehatan Manusia - Poliklinik / Rumah Bersalin</v>
      </c>
      <c r="F857" s="421" t="str">
        <f>VLOOKUP($D857,'Tabel Map Industry'!$A$2:$H$464,3,0)</f>
        <v>HOSPITAL &amp; MEDICAL EQUIPMENT</v>
      </c>
      <c r="G857" s="421" t="str">
        <f>VLOOKUP($D857,'Tabel Map Industry'!$A$2:$H$464,4,0)</f>
        <v>Jasa Kesehatan Manusia - Poliklinik / Rumah Bersalin - 851002</v>
      </c>
      <c r="H857" s="421" t="str">
        <f>VLOOKUP($D857,'Tabel Map Industry'!$A$2:$H$464,8,0)</f>
        <v>Jasa-jasa sosial/masyarakat - Kesehatan - Tempat Perawatan/Pengobatan - 9220</v>
      </c>
    </row>
    <row r="858" spans="2:8" ht="45" hidden="1" x14ac:dyDescent="0.25">
      <c r="B858" s="423" t="str">
        <f t="shared" si="10"/>
        <v>Hospital &amp; Medical Equipment</v>
      </c>
      <c r="C858" s="423" t="str">
        <f t="shared" si="11"/>
        <v>Jasa Kesehatan Manusia - Profesi Dokter</v>
      </c>
      <c r="D858" s="424" t="s">
        <v>5173</v>
      </c>
      <c r="E858" s="425" t="str">
        <f>VLOOKUP($D858,'Tabel Map Industry'!$A$2:$H$464,2,0)</f>
        <v>Jasa Kesehatan Manusia - Profesi Dokter</v>
      </c>
      <c r="F858" s="426" t="str">
        <f>VLOOKUP($D858,'Tabel Map Industry'!$A$2:$H$464,3,0)</f>
        <v>HOSPITAL &amp; MEDICAL EQUIPMENT</v>
      </c>
      <c r="G858" s="426" t="str">
        <f>VLOOKUP($D858,'Tabel Map Industry'!$A$2:$H$464,4,0)</f>
        <v>Jasa Kesehatan Manusia - Profesi Dokter - 851004</v>
      </c>
      <c r="H858" s="426" t="str">
        <f>VLOOKUP($D858,'Tabel Map Industry'!$A$2:$H$464,8,0)</f>
        <v>Jasa-jasa sosial/masyarakat - Kesehatan - Profesi - 9210</v>
      </c>
    </row>
    <row r="859" spans="2:8" ht="60" hidden="1" x14ac:dyDescent="0.25">
      <c r="B859" s="418" t="str">
        <f t="shared" si="10"/>
        <v>Hotel, Restaurant &amp; Accommodation Service</v>
      </c>
      <c r="C859" s="418" t="str">
        <f t="shared" si="11"/>
        <v xml:space="preserve">H.1.1.2. Hotel Melati </v>
      </c>
      <c r="D859" s="419" t="s">
        <v>5175</v>
      </c>
      <c r="E859" s="420" t="str">
        <f>VLOOKUP($D859,'Tabel Map Industry'!$A$2:$H$464,2,0)</f>
        <v xml:space="preserve">H.1.1.2. Hotel Melati </v>
      </c>
      <c r="F859" s="421" t="str">
        <f>VLOOKUP($D859,'Tabel Map Industry'!$A$2:$H$464,3,0)</f>
        <v>HOTEL, RESTAURANT &amp; ACCOMMODATION SERVICE</v>
      </c>
      <c r="G859" s="421" t="str">
        <f>VLOOKUP($D859,'Tabel Map Industry'!$A$2:$H$464,4,0)</f>
        <v>H.1.1.2. Hotel Melati  - 551200</v>
      </c>
      <c r="H859" s="421" t="str">
        <f>VLOOKUP($D859,'Tabel Map Industry'!$A$2:$H$464,8,0)</f>
        <v>Hotel - 6620</v>
      </c>
    </row>
    <row r="860" spans="2:8" ht="60" hidden="1" x14ac:dyDescent="0.25">
      <c r="B860" s="423" t="str">
        <f t="shared" si="10"/>
        <v>Hotel, Restaurant &amp; Accommodation Service</v>
      </c>
      <c r="C860" s="423" t="str">
        <f t="shared" si="11"/>
        <v xml:space="preserve">H.1.1.9. Jasa Akomodasi Lainnya </v>
      </c>
      <c r="D860" s="424" t="s">
        <v>5176</v>
      </c>
      <c r="E860" s="425" t="str">
        <f>VLOOKUP($D860,'Tabel Map Industry'!$A$2:$H$464,2,0)</f>
        <v xml:space="preserve">H.1.1.9. Jasa Akomodasi Lainnya </v>
      </c>
      <c r="F860" s="426" t="str">
        <f>VLOOKUP($D860,'Tabel Map Industry'!$A$2:$H$464,3,0)</f>
        <v>HOTEL, RESTAURANT &amp; ACCOMMODATION SERVICE</v>
      </c>
      <c r="G860" s="426" t="str">
        <f>VLOOKUP($D860,'Tabel Map Industry'!$A$2:$H$464,4,0)</f>
        <v>H.1.1.9. Jasa Akomodasi Lainnya  - 551900</v>
      </c>
      <c r="H860" s="426" t="str">
        <f>VLOOKUP($D860,'Tabel Map Industry'!$A$2:$H$464,8,0)</f>
        <v>Jasa-jasa Dunia Usaha - Lainnya - 8900</v>
      </c>
    </row>
    <row r="861" spans="2:8" ht="30" hidden="1" x14ac:dyDescent="0.25">
      <c r="B861" s="418" t="str">
        <f t="shared" si="10"/>
        <v xml:space="preserve">Leather &amp; Textile </v>
      </c>
      <c r="C861" s="418" t="str">
        <f t="shared" si="11"/>
        <v>Perdagangan Ekspor Kulit</v>
      </c>
      <c r="D861" s="419" t="s">
        <v>5062</v>
      </c>
      <c r="E861" s="420" t="str">
        <f>VLOOKUP($D861,'Tabel Map Industry'!$A$2:$H$464,2,0)</f>
        <v>Perdagangan Ekspor Kulit</v>
      </c>
      <c r="F861" s="421" t="str">
        <f>VLOOKUP($D861,'Tabel Map Industry'!$A$2:$H$464,3,0)</f>
        <v xml:space="preserve">LEATHER &amp; TEXTILE </v>
      </c>
      <c r="G861" s="421" t="str">
        <f>VLOOKUP($D861,'Tabel Map Industry'!$A$2:$H$464,4,0)</f>
        <v>Perdagangan Ekspor Kulit - 533103</v>
      </c>
      <c r="H861" s="421" t="str">
        <f>VLOOKUP($D861,'Tabel Map Industry'!$A$2:$H$464,8,0)</f>
        <v>Ekspor Barang Jadi lainnya - 6179</v>
      </c>
    </row>
    <row r="862" spans="2:8" ht="30" hidden="1" x14ac:dyDescent="0.25">
      <c r="B862" s="423" t="str">
        <f t="shared" si="10"/>
        <v xml:space="preserve">Leather &amp; Textile </v>
      </c>
      <c r="C862" s="423" t="str">
        <f t="shared" si="11"/>
        <v>Perdagangan Ekspor Tekstil</v>
      </c>
      <c r="D862" s="424" t="s">
        <v>5072</v>
      </c>
      <c r="E862" s="425" t="str">
        <f>VLOOKUP($D862,'Tabel Map Industry'!$A$2:$H$464,2,0)</f>
        <v>Perdagangan Ekspor Tekstil</v>
      </c>
      <c r="F862" s="426" t="str">
        <f>VLOOKUP($D862,'Tabel Map Industry'!$A$2:$H$464,3,0)</f>
        <v xml:space="preserve">LEATHER &amp; TEXTILE </v>
      </c>
      <c r="G862" s="426" t="str">
        <f>VLOOKUP($D862,'Tabel Map Industry'!$A$2:$H$464,4,0)</f>
        <v>Perdagangan Ekspor Tekstil - 533101</v>
      </c>
      <c r="H862" s="426" t="str">
        <f>VLOOKUP($D862,'Tabel Map Industry'!$A$2:$H$464,8,0)</f>
        <v>Ekspor Barang Jadi Tekstil - 6169</v>
      </c>
    </row>
    <row r="863" spans="2:8" ht="30" hidden="1" x14ac:dyDescent="0.25">
      <c r="B863" s="418" t="str">
        <f t="shared" si="10"/>
        <v xml:space="preserve">Leather &amp; Textile </v>
      </c>
      <c r="C863" s="418" t="str">
        <f t="shared" si="11"/>
        <v>Industri Kulit dan Barang dari Kulit (Termasuk Kulit Buatan)</v>
      </c>
      <c r="D863" s="419" t="s">
        <v>5177</v>
      </c>
      <c r="E863" s="420" t="str">
        <f>VLOOKUP($D863,'Tabel Map Industry'!$A$2:$H$464,2,0)</f>
        <v>Industri Kulit dan Barang dari Kulit (Termasuk Kulit Buatan)</v>
      </c>
      <c r="F863" s="421" t="str">
        <f>VLOOKUP($D863,'Tabel Map Industry'!$A$2:$H$464,3,0)</f>
        <v xml:space="preserve">LEATHER &amp; TEXTILE </v>
      </c>
      <c r="G863" s="421" t="str">
        <f>VLOOKUP($D863,'Tabel Map Industry'!$A$2:$H$464,4,0)</f>
        <v>Industri Kulit dan Barang dari Kulit (Termasuk Kulit Buatan) - 191000</v>
      </c>
      <c r="H863" s="421" t="str">
        <f>VLOOKUP($D863,'Tabel Map Industry'!$A$2:$H$464,8,0)</f>
        <v>Industri - Kulit - 3330</v>
      </c>
    </row>
    <row r="864" spans="2:8" ht="45" hidden="1" x14ac:dyDescent="0.25">
      <c r="B864" s="423" t="str">
        <f t="shared" si="10"/>
        <v xml:space="preserve">Leather &amp; Textile </v>
      </c>
      <c r="C864" s="423" t="str">
        <f t="shared" si="11"/>
        <v xml:space="preserve">Industri Pakaian Jadi Barang Jadi dari Kulit Berbulu dan Pencelupan Bulu </v>
      </c>
      <c r="D864" s="424" t="s">
        <v>5181</v>
      </c>
      <c r="E864" s="425" t="str">
        <f>VLOOKUP($D864,'Tabel Map Industry'!$A$2:$H$464,2,0)</f>
        <v xml:space="preserve">Industri Pakaian Jadi Barang Jadi dari Kulit Berbulu dan Pencelupan Bulu </v>
      </c>
      <c r="F864" s="426" t="str">
        <f>VLOOKUP($D864,'Tabel Map Industry'!$A$2:$H$464,3,0)</f>
        <v xml:space="preserve">LEATHER &amp; TEXTILE </v>
      </c>
      <c r="G864" s="426" t="str">
        <f>VLOOKUP($D864,'Tabel Map Industry'!$A$2:$H$464,4,0)</f>
        <v>Industri Pakaian Jadi Barang Jadi dari Kulit Berbulu dan Pencelupan Bulu  - 182000</v>
      </c>
      <c r="H864" s="426" t="str">
        <f>VLOOKUP($D864,'Tabel Map Industry'!$A$2:$H$464,8,0)</f>
        <v>Industri - Lainnya - 3990</v>
      </c>
    </row>
    <row r="865" spans="2:8" ht="30" hidden="1" x14ac:dyDescent="0.25">
      <c r="B865" s="418" t="str">
        <f t="shared" si="10"/>
        <v xml:space="preserve">Leather &amp; Textile </v>
      </c>
      <c r="C865" s="418" t="str">
        <f t="shared" si="11"/>
        <v xml:space="preserve">Industri Kapuk </v>
      </c>
      <c r="D865" s="419" t="s">
        <v>5185</v>
      </c>
      <c r="E865" s="420" t="str">
        <f>VLOOKUP($D865,'Tabel Map Industry'!$A$2:$H$464,2,0)</f>
        <v xml:space="preserve">Industri Kapuk </v>
      </c>
      <c r="F865" s="421" t="str">
        <f>VLOOKUP($D865,'Tabel Map Industry'!$A$2:$H$464,3,0)</f>
        <v xml:space="preserve">LEATHER &amp; TEXTILE </v>
      </c>
      <c r="G865" s="421" t="str">
        <f>VLOOKUP($D865,'Tabel Map Industry'!$A$2:$H$464,4,0)</f>
        <v>Industri Kapuk  - 174000</v>
      </c>
      <c r="H865" s="421" t="str">
        <f>VLOOKUP($D865,'Tabel Map Industry'!$A$2:$H$464,8,0)</f>
        <v>Industri - Lainnya - 3990</v>
      </c>
    </row>
    <row r="866" spans="2:8" ht="30" hidden="1" x14ac:dyDescent="0.25">
      <c r="B866" s="423" t="str">
        <f t="shared" si="10"/>
        <v xml:space="preserve">Oil &amp; Gas </v>
      </c>
      <c r="C866" s="423" t="str">
        <f t="shared" si="11"/>
        <v xml:space="preserve">Pertambangan Minyak dan Gas Bumi </v>
      </c>
      <c r="D866" s="424" t="s">
        <v>5186</v>
      </c>
      <c r="E866" s="425" t="str">
        <f>VLOOKUP($D866,'Tabel Map Industry'!$A$2:$H$464,2,0)</f>
        <v xml:space="preserve">Pertambangan Minyak dan Gas Bumi </v>
      </c>
      <c r="F866" s="426" t="str">
        <f>VLOOKUP($D866,'Tabel Map Industry'!$A$2:$H$464,3,0)</f>
        <v xml:space="preserve">OIL &amp; GAS </v>
      </c>
      <c r="G866" s="426" t="str">
        <f>VLOOKUP($D866,'Tabel Map Industry'!$A$2:$H$464,4,0)</f>
        <v>Pertambangan Minyak dan Gas Bumi  - 111010</v>
      </c>
      <c r="H866" s="426" t="str">
        <f>VLOOKUP($D866,'Tabel Map Industry'!$A$2:$H$464,8,0)</f>
        <v>Pertambangan Minyak dan Gas Bumi - 2100</v>
      </c>
    </row>
    <row r="867" spans="2:8" ht="30" hidden="1" x14ac:dyDescent="0.25">
      <c r="B867" s="418" t="str">
        <f t="shared" si="10"/>
        <v xml:space="preserve">Oil &amp; Gas </v>
      </c>
      <c r="C867" s="418" t="str">
        <f t="shared" si="11"/>
        <v xml:space="preserve">Pengusahaan Tenaga Panas Bumi </v>
      </c>
      <c r="D867" s="419" t="s">
        <v>5187</v>
      </c>
      <c r="E867" s="420" t="str">
        <f>VLOOKUP($D867,'Tabel Map Industry'!$A$2:$H$464,2,0)</f>
        <v xml:space="preserve">Pengusahaan Tenaga Panas Bumi </v>
      </c>
      <c r="F867" s="421" t="str">
        <f>VLOOKUP($D867,'Tabel Map Industry'!$A$2:$H$464,3,0)</f>
        <v xml:space="preserve">OIL &amp; GAS </v>
      </c>
      <c r="G867" s="421" t="str">
        <f>VLOOKUP($D867,'Tabel Map Industry'!$A$2:$H$464,4,0)</f>
        <v>Pengusahaan Tenaga Panas Bumi  - 111020</v>
      </c>
      <c r="H867" s="421" t="str">
        <f>VLOOKUP($D867,'Tabel Map Industry'!$A$2:$H$464,8,0)</f>
        <v>Pertambangan Minyak dan Gas Bumi - 2100</v>
      </c>
    </row>
    <row r="868" spans="2:8" ht="30" hidden="1" x14ac:dyDescent="0.25">
      <c r="B868" s="423" t="str">
        <f t="shared" si="10"/>
        <v xml:space="preserve">Oil &amp; Gas </v>
      </c>
      <c r="C868" s="423" t="str">
        <f t="shared" si="11"/>
        <v xml:space="preserve">Jasa Pertambangan Minyak dan Gas Bumi </v>
      </c>
      <c r="D868" s="424" t="s">
        <v>5188</v>
      </c>
      <c r="E868" s="425" t="str">
        <f>VLOOKUP($D868,'Tabel Map Industry'!$A$2:$H$464,2,0)</f>
        <v xml:space="preserve">Jasa Pertambangan Minyak dan Gas Bumi </v>
      </c>
      <c r="F868" s="426" t="str">
        <f>VLOOKUP($D868,'Tabel Map Industry'!$A$2:$H$464,3,0)</f>
        <v xml:space="preserve">OIL &amp; GAS </v>
      </c>
      <c r="G868" s="426" t="str">
        <f>VLOOKUP($D868,'Tabel Map Industry'!$A$2:$H$464,4,0)</f>
        <v>Jasa Pertambangan Minyak dan Gas Bumi  - 112000</v>
      </c>
      <c r="H868" s="426" t="str">
        <f>VLOOKUP($D868,'Tabel Map Industry'!$A$2:$H$464,8,0)</f>
        <v>Pertambangan Minyak dan Gas Bumi - 2100</v>
      </c>
    </row>
    <row r="869" spans="2:8" ht="60" hidden="1" x14ac:dyDescent="0.25">
      <c r="B869" s="418" t="str">
        <f t="shared" si="10"/>
        <v xml:space="preserve">Oil &amp; Gas </v>
      </c>
      <c r="C869" s="418" t="str">
        <f t="shared" si="11"/>
        <v xml:space="preserve">Industri Pengilangan Minyak Bumi, Pengolahan Gas Bumi, dan Industri Barang-barang dari Hasil Pengilangan Minyak Bumi </v>
      </c>
      <c r="D869" s="419" t="s">
        <v>5189</v>
      </c>
      <c r="E869" s="420" t="str">
        <f>VLOOKUP($D869,'Tabel Map Industry'!$A$2:$H$464,2,0)</f>
        <v xml:space="preserve">Industri Pengilangan Minyak Bumi, Pengolahan Gas Bumi, dan Industri Barang-barang dari Hasil Pengilangan Minyak Bumi </v>
      </c>
      <c r="F869" s="421" t="str">
        <f>VLOOKUP($D869,'Tabel Map Industry'!$A$2:$H$464,3,0)</f>
        <v xml:space="preserve">OIL &amp; GAS </v>
      </c>
      <c r="G869" s="421" t="str">
        <f>VLOOKUP($D869,'Tabel Map Industry'!$A$2:$H$464,4,0)</f>
        <v>Industri Pengilangan Minyak Bumi, Pengolahan Gas Bumi, dan Industri Barang-barang dari Hasil Pengilangan Minyak Bumi  - 232000</v>
      </c>
      <c r="H869" s="421" t="str">
        <f>VLOOKUP($D869,'Tabel Map Industry'!$A$2:$H$464,8,0)</f>
        <v>Industri - Lainnya - 3990</v>
      </c>
    </row>
    <row r="870" spans="2:8" ht="30" hidden="1" x14ac:dyDescent="0.25">
      <c r="B870" s="423" t="str">
        <f t="shared" si="10"/>
        <v xml:space="preserve">Oil &amp; Gas </v>
      </c>
      <c r="C870" s="423" t="str">
        <f t="shared" si="11"/>
        <v xml:space="preserve">Pengolahan Bahan Bakar Nuklir (Nuclear Fuel) </v>
      </c>
      <c r="D870" s="424" t="s">
        <v>5190</v>
      </c>
      <c r="E870" s="425" t="str">
        <f>VLOOKUP($D870,'Tabel Map Industry'!$A$2:$H$464,2,0)</f>
        <v xml:space="preserve">Pengolahan Bahan Bakar Nuklir (Nuclear Fuel) </v>
      </c>
      <c r="F870" s="426" t="str">
        <f>VLOOKUP($D870,'Tabel Map Industry'!$A$2:$H$464,3,0)</f>
        <v xml:space="preserve">OIL &amp; GAS </v>
      </c>
      <c r="G870" s="426" t="str">
        <f>VLOOKUP($D870,'Tabel Map Industry'!$A$2:$H$464,4,0)</f>
        <v>Pengolahan Bahan Bakar Nuklir (Nuclear Fuel)  - 233000</v>
      </c>
      <c r="H870" s="426" t="str">
        <f>VLOOKUP($D870,'Tabel Map Industry'!$A$2:$H$464,8,0)</f>
        <v>Industri - Lainnya - 3990</v>
      </c>
    </row>
    <row r="871" spans="2:8" ht="45" hidden="1" x14ac:dyDescent="0.25">
      <c r="B871" s="418" t="str">
        <f t="shared" si="10"/>
        <v xml:space="preserve">Oil &amp; Gas </v>
      </c>
      <c r="C871" s="418" t="str">
        <f t="shared" si="11"/>
        <v xml:space="preserve">Perdagangan Ekspor Bahan Bakar Gas, Cair, dan Padat Serta Produk Sejenis </v>
      </c>
      <c r="D871" s="419" t="s">
        <v>5195</v>
      </c>
      <c r="E871" s="420" t="str">
        <f>VLOOKUP($D871,'Tabel Map Industry'!$A$2:$H$464,2,0)</f>
        <v xml:space="preserve">Perdagangan Ekspor Bahan Bakar Gas, Cair, dan Padat Serta Produk Sejenis </v>
      </c>
      <c r="F871" s="421" t="str">
        <f>VLOOKUP($D871,'Tabel Map Industry'!$A$2:$H$464,3,0)</f>
        <v xml:space="preserve">OIL &amp; GAS </v>
      </c>
      <c r="G871" s="421" t="str">
        <f>VLOOKUP($D871,'Tabel Map Industry'!$A$2:$H$464,4,0)</f>
        <v>Perdagangan Ekspor Bahan Bakar Gas, Cair, dan Padat Serta Produk Sejenis  - 534100</v>
      </c>
      <c r="H871" s="421" t="str">
        <f>VLOOKUP($D871,'Tabel Map Industry'!$A$2:$H$464,8,0)</f>
        <v>Ekspor Barang Jadi lainnya - 6179</v>
      </c>
    </row>
    <row r="872" spans="2:8" ht="45" hidden="1" x14ac:dyDescent="0.25">
      <c r="B872" s="423" t="str">
        <f t="shared" si="10"/>
        <v xml:space="preserve">Oil &amp; Gas </v>
      </c>
      <c r="C872" s="423" t="str">
        <f t="shared" si="11"/>
        <v xml:space="preserve">G.5.4.1. Perdagangan Impor Bahan Bakar Gas, Cair, dan Padat Serta Produk Sejenis </v>
      </c>
      <c r="D872" s="424" t="s">
        <v>5196</v>
      </c>
      <c r="E872" s="425" t="str">
        <f>VLOOKUP($D872,'Tabel Map Industry'!$A$2:$H$464,2,0)</f>
        <v xml:space="preserve">G.5.4.1. Perdagangan Impor Bahan Bakar Gas, Cair, dan Padat Serta Produk Sejenis </v>
      </c>
      <c r="F872" s="426" t="str">
        <f>VLOOKUP($D872,'Tabel Map Industry'!$A$2:$H$464,3,0)</f>
        <v xml:space="preserve">OIL &amp; GAS </v>
      </c>
      <c r="G872" s="426" t="str">
        <f>VLOOKUP($D872,'Tabel Map Industry'!$A$2:$H$464,4,0)</f>
        <v>G.5.4.1. Perdagangan Impor Bahan Bakar Gas, Cair, dan Padat Serta Produk Sejenis  - 544100</v>
      </c>
      <c r="H872" s="426" t="str">
        <f>VLOOKUP($D872,'Tabel Map Industry'!$A$2:$H$464,8,0)</f>
        <v>Impor Bukan dlm.rangka Bantuan Luar Negeri - Lainnya - 6239</v>
      </c>
    </row>
    <row r="873" spans="2:8" ht="30" hidden="1" x14ac:dyDescent="0.25">
      <c r="B873" s="418" t="str">
        <f t="shared" si="10"/>
        <v xml:space="preserve">Oil &amp; Gas </v>
      </c>
      <c r="C873" s="418" t="str">
        <f t="shared" si="11"/>
        <v>Perdagangan Eceran Kaki Lima Bahan Bakar dan Pelumas</v>
      </c>
      <c r="D873" s="419" t="s">
        <v>5197</v>
      </c>
      <c r="E873" s="420" t="str">
        <f>VLOOKUP($D873,'Tabel Map Industry'!$A$2:$H$464,2,0)</f>
        <v>Perdagangan Eceran Kaki Lima Bahan Bakar dan Pelumas</v>
      </c>
      <c r="F873" s="421" t="str">
        <f>VLOOKUP($D873,'Tabel Map Industry'!$A$2:$H$464,3,0)</f>
        <v xml:space="preserve">OIL &amp; GAS </v>
      </c>
      <c r="G873" s="421" t="str">
        <f>VLOOKUP($D873,'Tabel Map Industry'!$A$2:$H$464,4,0)</f>
        <v>Perdagangan Eceran Kaki Lima Bahan Bakar dan Pelumas - 525600</v>
      </c>
      <c r="H873" s="421" t="str">
        <f>VLOOKUP($D873,'Tabel Map Industry'!$A$2:$H$464,8,0)</f>
        <v>Perdagangan Eceran - 6500</v>
      </c>
    </row>
    <row r="874" spans="2:8" ht="45" hidden="1" x14ac:dyDescent="0.25">
      <c r="B874" s="423" t="str">
        <f t="shared" si="10"/>
        <v>Others Industry</v>
      </c>
      <c r="C874" s="423" t="str">
        <f t="shared" si="11"/>
        <v xml:space="preserve">Perdagangan Eceran Kaki Lima barang-barang kerajinan, mainan anak-anak, dan ILlkisan </v>
      </c>
      <c r="D874" s="424" t="s">
        <v>5199</v>
      </c>
      <c r="E874" s="425" t="str">
        <f>VLOOKUP($D874,'Tabel Map Industry'!$A$2:$H$464,2,0)</f>
        <v xml:space="preserve">Perdagangan Eceran Kaki Lima barang-barang kerajinan, mainan anak-anak, dan ILlkisan </v>
      </c>
      <c r="F874" s="426" t="str">
        <f>VLOOKUP($D874,'Tabel Map Industry'!$A$2:$H$464,3,0)</f>
        <v>OTHERS INDUSTRY</v>
      </c>
      <c r="G874" s="426" t="str">
        <f>VLOOKUP($D874,'Tabel Map Industry'!$A$2:$H$464,4,0)</f>
        <v>Perdagangan Eceran Kaki Lima barang-barang kerajinan, mainan anak-anak, dan ILlkisan  - 525800</v>
      </c>
      <c r="H874" s="426" t="str">
        <f>VLOOKUP($D874,'Tabel Map Industry'!$A$2:$H$464,8,0)</f>
        <v>Perdagangan Eceran - 6500</v>
      </c>
    </row>
    <row r="875" spans="2:8" ht="30" hidden="1" x14ac:dyDescent="0.25">
      <c r="B875" s="418" t="str">
        <f t="shared" si="10"/>
        <v>Others Industry</v>
      </c>
      <c r="C875" s="418" t="str">
        <f t="shared" si="11"/>
        <v>Perdagangan Ekspor Barang Kerajinan selain dari Kayu dan Rotan</v>
      </c>
      <c r="D875" s="419" t="s">
        <v>5200</v>
      </c>
      <c r="E875" s="420" t="str">
        <f>VLOOKUP($D875,'Tabel Map Industry'!$A$2:$H$464,2,0)</f>
        <v>Perdagangan Ekspor Barang Kerajinan selain dari Kayu dan Rotan</v>
      </c>
      <c r="F875" s="421" t="str">
        <f>VLOOKUP($D875,'Tabel Map Industry'!$A$2:$H$464,3,0)</f>
        <v>OTHERS INDUSTRY</v>
      </c>
      <c r="G875" s="421" t="str">
        <f>VLOOKUP($D875,'Tabel Map Industry'!$A$2:$H$464,4,0)</f>
        <v>Perdagangan Ekspor Barang Kerajinan selain dari Kayu dan Rotan - 539032</v>
      </c>
      <c r="H875" s="421" t="str">
        <f>VLOOKUP($D875,'Tabel Map Industry'!$A$2:$H$464,8,0)</f>
        <v>Ekspor Barang Jadi Kayu Lapis &amp; Sejenisnya - 6161</v>
      </c>
    </row>
    <row r="876" spans="2:8" ht="30" hidden="1" x14ac:dyDescent="0.25">
      <c r="B876" s="423" t="str">
        <f t="shared" si="10"/>
        <v>Others Industry</v>
      </c>
      <c r="C876" s="423" t="str">
        <f t="shared" si="11"/>
        <v xml:space="preserve">Perdagangan Eceran Kaki Lima Komoditi dari Hasil Pertanian </v>
      </c>
      <c r="D876" s="424" t="s">
        <v>5202</v>
      </c>
      <c r="E876" s="425" t="str">
        <f>VLOOKUP($D876,'Tabel Map Industry'!$A$2:$H$464,2,0)</f>
        <v xml:space="preserve">Perdagangan Eceran Kaki Lima Komoditi dari Hasil Pertanian </v>
      </c>
      <c r="F876" s="426" t="str">
        <f>VLOOKUP($D876,'Tabel Map Industry'!$A$2:$H$464,3,0)</f>
        <v>OTHERS INDUSTRY</v>
      </c>
      <c r="G876" s="426" t="str">
        <f>VLOOKUP($D876,'Tabel Map Industry'!$A$2:$H$464,4,0)</f>
        <v>Perdagangan Eceran Kaki Lima Komoditi dari Hasil Pertanian  - 525100</v>
      </c>
      <c r="H876" s="426" t="str">
        <f>VLOOKUP($D876,'Tabel Map Industry'!$A$2:$H$464,8,0)</f>
        <v>Perdagangan Eceran - 6500</v>
      </c>
    </row>
    <row r="877" spans="2:8" ht="30" hidden="1" x14ac:dyDescent="0.25">
      <c r="B877" s="418" t="str">
        <f t="shared" si="10"/>
        <v>Others Industry</v>
      </c>
      <c r="C877" s="418" t="str">
        <f t="shared" si="11"/>
        <v xml:space="preserve">Perdagangan Eceran Kaki Lima Barang-Barang Bekas </v>
      </c>
      <c r="D877" s="419" t="s">
        <v>5203</v>
      </c>
      <c r="E877" s="420" t="str">
        <f>VLOOKUP($D877,'Tabel Map Industry'!$A$2:$H$464,2,0)</f>
        <v xml:space="preserve">Perdagangan Eceran Kaki Lima Barang-Barang Bekas </v>
      </c>
      <c r="F877" s="421" t="str">
        <f>VLOOKUP($D877,'Tabel Map Industry'!$A$2:$H$464,3,0)</f>
        <v>OTHERS INDUSTRY</v>
      </c>
      <c r="G877" s="421" t="str">
        <f>VLOOKUP($D877,'Tabel Map Industry'!$A$2:$H$464,4,0)</f>
        <v>Perdagangan Eceran Kaki Lima Barang-Barang Bekas  - 525900</v>
      </c>
      <c r="H877" s="421" t="str">
        <f>VLOOKUP($D877,'Tabel Map Industry'!$A$2:$H$464,8,0)</f>
        <v>Perdagangan Eceran - 6500</v>
      </c>
    </row>
    <row r="878" spans="2:8" ht="30" hidden="1" x14ac:dyDescent="0.25">
      <c r="B878" s="423" t="str">
        <f t="shared" si="10"/>
        <v>Others Industry</v>
      </c>
      <c r="C878" s="423" t="str">
        <f t="shared" si="11"/>
        <v xml:space="preserve">Perdagangan Eceran Kaki Lima Lainnya </v>
      </c>
      <c r="D878" s="424" t="s">
        <v>5204</v>
      </c>
      <c r="E878" s="425" t="str">
        <f>VLOOKUP($D878,'Tabel Map Industry'!$A$2:$H$464,2,0)</f>
        <v xml:space="preserve">Perdagangan Eceran Kaki Lima Lainnya </v>
      </c>
      <c r="F878" s="426" t="str">
        <f>VLOOKUP($D878,'Tabel Map Industry'!$A$2:$H$464,3,0)</f>
        <v>OTHERS INDUSTRY</v>
      </c>
      <c r="G878" s="426" t="str">
        <f>VLOOKUP($D878,'Tabel Map Industry'!$A$2:$H$464,4,0)</f>
        <v>Perdagangan Eceran Kaki Lima Lainnya  - 526000</v>
      </c>
      <c r="H878" s="426" t="str">
        <f>VLOOKUP($D878,'Tabel Map Industry'!$A$2:$H$464,8,0)</f>
        <v>Perdagangan Eceran - 6500</v>
      </c>
    </row>
    <row r="879" spans="2:8" hidden="1" x14ac:dyDescent="0.25">
      <c r="B879" s="418" t="str">
        <f t="shared" si="10"/>
        <v>Others Industry</v>
      </c>
      <c r="C879" s="418" t="str">
        <f t="shared" si="11"/>
        <v xml:space="preserve">Perdagangan Eceran Keliling </v>
      </c>
      <c r="D879" s="419" t="s">
        <v>5205</v>
      </c>
      <c r="E879" s="420" t="str">
        <f>VLOOKUP($D879,'Tabel Map Industry'!$A$2:$H$464,2,0)</f>
        <v xml:space="preserve">Perdagangan Eceran Keliling </v>
      </c>
      <c r="F879" s="421" t="str">
        <f>VLOOKUP($D879,'Tabel Map Industry'!$A$2:$H$464,3,0)</f>
        <v>OTHERS INDUSTRY</v>
      </c>
      <c r="G879" s="421" t="str">
        <f>VLOOKUP($D879,'Tabel Map Industry'!$A$2:$H$464,4,0)</f>
        <v>Perdagangan Eceran Keliling  - 527200</v>
      </c>
      <c r="H879" s="421" t="str">
        <f>VLOOKUP($D879,'Tabel Map Industry'!$A$2:$H$464,8,0)</f>
        <v>Perdagangan Eceran - 6500</v>
      </c>
    </row>
    <row r="880" spans="2:8" ht="60" hidden="1" x14ac:dyDescent="0.25">
      <c r="B880" s="423" t="str">
        <f t="shared" si="10"/>
        <v>Others Industry</v>
      </c>
      <c r="C880" s="423" t="str">
        <f t="shared" si="11"/>
        <v xml:space="preserve">Perdagangan Ekspor Produk Antara (Intermediate Products), Barang-barang Bekas dan Sisa-sisa Tak Terpakai (Scrap) </v>
      </c>
      <c r="D880" s="424" t="s">
        <v>5208</v>
      </c>
      <c r="E880" s="425" t="str">
        <f>VLOOKUP($D880,'Tabel Map Industry'!$A$2:$H$464,2,0)</f>
        <v xml:space="preserve">Perdagangan Ekspor Produk Antara (Intermediate Products), Barang-barang Bekas dan Sisa-sisa Tak Terpakai (Scrap) </v>
      </c>
      <c r="F880" s="426" t="str">
        <f>VLOOKUP($D880,'Tabel Map Industry'!$A$2:$H$464,3,0)</f>
        <v>OTHERS INDUSTRY</v>
      </c>
      <c r="G880" s="426" t="str">
        <f>VLOOKUP($D880,'Tabel Map Industry'!$A$2:$H$464,4,0)</f>
        <v>Perdagangan Ekspor Produk Antara (Intermediate Products), Barang-barang Bekas dan Sisa-sisa Tak Terpakai (Scrap)  - 534900</v>
      </c>
      <c r="H880" s="426" t="str">
        <f>VLOOKUP($D880,'Tabel Map Industry'!$A$2:$H$464,8,0)</f>
        <v>Ekspor Jasa-jasa - Lainnya - 6190</v>
      </c>
    </row>
    <row r="881" spans="2:8" ht="30" hidden="1" x14ac:dyDescent="0.25">
      <c r="B881" s="418" t="str">
        <f t="shared" si="10"/>
        <v>Others Industry</v>
      </c>
      <c r="C881" s="418" t="str">
        <f t="shared" si="11"/>
        <v>Perdagangan Ekspor Barang Setengah Jadi Lainnya</v>
      </c>
      <c r="D881" s="419" t="s">
        <v>5209</v>
      </c>
      <c r="E881" s="420" t="str">
        <f>VLOOKUP($D881,'Tabel Map Industry'!$A$2:$H$464,2,0)</f>
        <v>Perdagangan Ekspor Barang Setengah Jadi Lainnya</v>
      </c>
      <c r="F881" s="421" t="str">
        <f>VLOOKUP($D881,'Tabel Map Industry'!$A$2:$H$464,3,0)</f>
        <v>OTHERS INDUSTRY</v>
      </c>
      <c r="G881" s="421" t="str">
        <f>VLOOKUP($D881,'Tabel Map Industry'!$A$2:$H$464,4,0)</f>
        <v>Perdagangan Ekspor Barang Setengah Jadi Lainnya - 539029</v>
      </c>
      <c r="H881" s="421" t="str">
        <f>VLOOKUP($D881,'Tabel Map Industry'!$A$2:$H$464,8,0)</f>
        <v>Ekspor Barang Setengah Jadi lainnya - 6159</v>
      </c>
    </row>
    <row r="882" spans="2:8" ht="30" hidden="1" x14ac:dyDescent="0.25">
      <c r="B882" s="423" t="str">
        <f t="shared" si="10"/>
        <v>Others Industry</v>
      </c>
      <c r="C882" s="423" t="str">
        <f t="shared" si="11"/>
        <v xml:space="preserve">Perdagangan Ekspor yang Tidak Diklasifikasikan di Tempat Lain </v>
      </c>
      <c r="D882" s="424" t="s">
        <v>5210</v>
      </c>
      <c r="E882" s="425" t="str">
        <f>VLOOKUP($D882,'Tabel Map Industry'!$A$2:$H$464,2,0)</f>
        <v xml:space="preserve">Perdagangan Ekspor yang Tidak Diklasifikasikan di Tempat Lain </v>
      </c>
      <c r="F882" s="426" t="str">
        <f>VLOOKUP($D882,'Tabel Map Industry'!$A$2:$H$464,3,0)</f>
        <v>OTHERS INDUSTRY</v>
      </c>
      <c r="G882" s="426" t="str">
        <f>VLOOKUP($D882,'Tabel Map Industry'!$A$2:$H$464,4,0)</f>
        <v>Perdagangan Ekspor yang Tidak Diklasifikasikan di Tempat Lain  - 539039</v>
      </c>
      <c r="H882" s="426" t="str">
        <f>VLOOKUP($D882,'Tabel Map Industry'!$A$2:$H$464,8,0)</f>
        <v>Ekspor Jasa-jasa - Lainnya - 6190</v>
      </c>
    </row>
    <row r="883" spans="2:8" ht="30" hidden="1" x14ac:dyDescent="0.25">
      <c r="B883" s="418" t="str">
        <f t="shared" si="10"/>
        <v>Others Industry</v>
      </c>
      <c r="C883" s="418" t="str">
        <f t="shared" si="11"/>
        <v>Perdagangan Impor Barang Antara Lainnya</v>
      </c>
      <c r="D883" s="419" t="s">
        <v>5211</v>
      </c>
      <c r="E883" s="420" t="str">
        <f>VLOOKUP($D883,'Tabel Map Industry'!$A$2:$H$464,2,0)</f>
        <v>Perdagangan Impor Barang Antara Lainnya</v>
      </c>
      <c r="F883" s="421" t="str">
        <f>VLOOKUP($D883,'Tabel Map Industry'!$A$2:$H$464,3,0)</f>
        <v>OTHERS INDUSTRY</v>
      </c>
      <c r="G883" s="421" t="str">
        <f>VLOOKUP($D883,'Tabel Map Industry'!$A$2:$H$464,4,0)</f>
        <v>Perdagangan Impor Barang Antara Lainnya - 544909</v>
      </c>
      <c r="H883" s="421" t="str">
        <f>VLOOKUP($D883,'Tabel Map Industry'!$A$2:$H$464,8,0)</f>
        <v>Impor Bukan dlm.rangka Bantuan Luar Negeri - Lainnya - 6239</v>
      </c>
    </row>
    <row r="884" spans="2:8" ht="30" hidden="1" x14ac:dyDescent="0.25">
      <c r="B884" s="423" t="str">
        <f t="shared" si="10"/>
        <v>Others Industry</v>
      </c>
      <c r="C884" s="423" t="str">
        <f t="shared" si="11"/>
        <v xml:space="preserve">G.5.9. Perdagangan Impor Lainnya </v>
      </c>
      <c r="D884" s="424" t="s">
        <v>5212</v>
      </c>
      <c r="E884" s="425" t="str">
        <f>VLOOKUP($D884,'Tabel Map Industry'!$A$2:$H$464,2,0)</f>
        <v xml:space="preserve">G.5.9. Perdagangan Impor Lainnya </v>
      </c>
      <c r="F884" s="426" t="str">
        <f>VLOOKUP($D884,'Tabel Map Industry'!$A$2:$H$464,3,0)</f>
        <v>OTHERS INDUSTRY</v>
      </c>
      <c r="G884" s="426" t="str">
        <f>VLOOKUP($D884,'Tabel Map Industry'!$A$2:$H$464,4,0)</f>
        <v>G.5.9. Perdagangan Impor Lainnya  - 549000</v>
      </c>
      <c r="H884" s="426" t="str">
        <f>VLOOKUP($D884,'Tabel Map Industry'!$A$2:$H$464,8,0)</f>
        <v>Impor Bukan dlm.rangka Bantuan Luar Negeri - Lainnya - 6239</v>
      </c>
    </row>
    <row r="885" spans="2:8" ht="30" hidden="1" x14ac:dyDescent="0.25">
      <c r="B885" s="418" t="str">
        <f t="shared" si="10"/>
        <v>Others Industry</v>
      </c>
      <c r="C885" s="418" t="str">
        <f t="shared" si="11"/>
        <v xml:space="preserve">Perdagangan Eceran Melalui Media </v>
      </c>
      <c r="D885" s="419" t="s">
        <v>5213</v>
      </c>
      <c r="E885" s="420" t="str">
        <f>VLOOKUP($D885,'Tabel Map Industry'!$A$2:$H$464,2,0)</f>
        <v xml:space="preserve">Perdagangan Eceran Melalui Media </v>
      </c>
      <c r="F885" s="421" t="str">
        <f>VLOOKUP($D885,'Tabel Map Industry'!$A$2:$H$464,3,0)</f>
        <v>OTHERS INDUSTRY</v>
      </c>
      <c r="G885" s="421" t="str">
        <f>VLOOKUP($D885,'Tabel Map Industry'!$A$2:$H$464,4,0)</f>
        <v>Perdagangan Eceran Melalui Media  - 527100</v>
      </c>
      <c r="H885" s="421" t="str">
        <f>VLOOKUP($D885,'Tabel Map Industry'!$A$2:$H$464,8,0)</f>
        <v>Perdagangan Eceran - 6500</v>
      </c>
    </row>
    <row r="886" spans="2:8" ht="60" hidden="1" x14ac:dyDescent="0.25">
      <c r="B886" s="423" t="str">
        <f t="shared" si="10"/>
        <v>Others Industry</v>
      </c>
      <c r="C886" s="423" t="str">
        <f t="shared" si="11"/>
        <v>Rumah Tangga untuk Pemilikan Peralatan Rumah Tangga Lainnya - Rumah Tangga untuk Pemilikan Furnitur dan Peralatan Rumah Tangga</v>
      </c>
      <c r="D886" s="424" t="s">
        <v>5214</v>
      </c>
      <c r="E886" s="425" t="str">
        <f>VLOOKUP($D886,'Tabel Map Industry'!$A$2:$H$464,2,0)</f>
        <v>Rumah Tangga untuk Pemilikan Peralatan Rumah Tangga Lainnya - Rumah Tangga untuk Pemilikan Furnitur dan Peralatan Rumah Tangga</v>
      </c>
      <c r="F886" s="426" t="str">
        <f>VLOOKUP($D886,'Tabel Map Industry'!$A$2:$H$464,3,0)</f>
        <v>OTHERS INDUSTRY</v>
      </c>
      <c r="G886" s="426" t="str">
        <f>VLOOKUP($D886,'Tabel Map Industry'!$A$2:$H$464,4,0)</f>
        <v>Rumah Tangga untuk Pemilikan Peralatan Rumah Tangga Lainnya - Rumah Tangga untuk Pemilikan Furnitur dan Peralatan Rumah Tangga - 003100</v>
      </c>
      <c r="H886" s="426" t="str">
        <f>VLOOKUP($D886,'Tabel Map Industry'!$A$2:$H$464,8,0)</f>
        <v>Lain-lain - Alat Rumah Tangga - 9970</v>
      </c>
    </row>
    <row r="887" spans="2:8" ht="60" hidden="1" x14ac:dyDescent="0.25">
      <c r="B887" s="418" t="str">
        <f t="shared" si="10"/>
        <v>Others Industry</v>
      </c>
      <c r="C887" s="418" t="str">
        <f t="shared" si="11"/>
        <v>Rumah Tangga untuk Pemilikan Peralatan Rumah Tangga Lainnya - Rumah Tangga untuk Pemilikan Televisi, Radio, dan Alat Elektronik</v>
      </c>
      <c r="D887" s="419" t="s">
        <v>5215</v>
      </c>
      <c r="E887" s="420" t="str">
        <f>VLOOKUP($D887,'Tabel Map Industry'!$A$2:$H$464,2,0)</f>
        <v>Rumah Tangga untuk Pemilikan Peralatan Rumah Tangga Lainnya - Rumah Tangga untuk Pemilikan Televisi, Radio, dan Alat Elektronik</v>
      </c>
      <c r="F887" s="421" t="str">
        <f>VLOOKUP($D887,'Tabel Map Industry'!$A$2:$H$464,3,0)</f>
        <v>OTHERS INDUSTRY</v>
      </c>
      <c r="G887" s="421" t="str">
        <f>VLOOKUP($D887,'Tabel Map Industry'!$A$2:$H$464,4,0)</f>
        <v>Rumah Tangga untuk Pemilikan Peralatan Rumah Tangga Lainnya - Rumah Tangga untuk Pemilikan Televisi, Radio, dan Alat Elektronik - 003200</v>
      </c>
      <c r="H887" s="421" t="str">
        <f>VLOOKUP($D887,'Tabel Map Industry'!$A$2:$H$464,8,0)</f>
        <v>Lain-lain - Alat Rumah Tangga - 9970</v>
      </c>
    </row>
    <row r="888" spans="2:8" ht="60" hidden="1" x14ac:dyDescent="0.25">
      <c r="B888" s="423" t="str">
        <f t="shared" si="10"/>
        <v>Others Industry</v>
      </c>
      <c r="C888" s="423" t="str">
        <f t="shared" si="11"/>
        <v>Rumah Tangga untuk Pemilikan Peralatan Rumah Tangga Lainnya - Rumah Tangga untuk Pemilikan Komputer dan Alat Komunikasi</v>
      </c>
      <c r="D888" s="424" t="s">
        <v>5216</v>
      </c>
      <c r="E888" s="425" t="str">
        <f>VLOOKUP($D888,'Tabel Map Industry'!$A$2:$H$464,2,0)</f>
        <v>Rumah Tangga untuk Pemilikan Peralatan Rumah Tangga Lainnya - Rumah Tangga untuk Pemilikan Komputer dan Alat Komunikasi</v>
      </c>
      <c r="F888" s="426" t="str">
        <f>VLOOKUP($D888,'Tabel Map Industry'!$A$2:$H$464,3,0)</f>
        <v>OTHERS INDUSTRY</v>
      </c>
      <c r="G888" s="426" t="str">
        <f>VLOOKUP($D888,'Tabel Map Industry'!$A$2:$H$464,4,0)</f>
        <v>Rumah Tangga untuk Pemilikan Peralatan Rumah Tangga Lainnya - Rumah Tangga untuk Pemilikan Komputer dan Alat Komunikasi - 003300</v>
      </c>
      <c r="H888" s="426" t="str">
        <f>VLOOKUP($D888,'Tabel Map Industry'!$A$2:$H$464,8,0)</f>
        <v>Lain-lain, Lainnya - 9990</v>
      </c>
    </row>
    <row r="889" spans="2:8" ht="60" hidden="1" x14ac:dyDescent="0.25">
      <c r="B889" s="418" t="str">
        <f t="shared" si="10"/>
        <v>Others Industry</v>
      </c>
      <c r="C889" s="418" t="str">
        <f t="shared" si="11"/>
        <v>Rumah Tangga untuk Pemilikan Peralatan Rumah Tangga Lainnya - Rumah Tangga untuk Pemilikan Peralatan Lainnya</v>
      </c>
      <c r="D889" s="419" t="s">
        <v>5217</v>
      </c>
      <c r="E889" s="420" t="str">
        <f>VLOOKUP($D889,'Tabel Map Industry'!$A$2:$H$464,2,0)</f>
        <v>Rumah Tangga untuk Pemilikan Peralatan Rumah Tangga Lainnya - Rumah Tangga untuk Pemilikan Peralatan Lainnya</v>
      </c>
      <c r="F889" s="421" t="str">
        <f>VLOOKUP($D889,'Tabel Map Industry'!$A$2:$H$464,3,0)</f>
        <v>OTHERS INDUSTRY</v>
      </c>
      <c r="G889" s="421" t="str">
        <f>VLOOKUP($D889,'Tabel Map Industry'!$A$2:$H$464,4,0)</f>
        <v>Rumah Tangga untuk Pemilikan Peralatan Rumah Tangga Lainnya - Rumah Tangga untuk Pemilikan Peralatan Lainnya - 003900</v>
      </c>
      <c r="H889" s="421" t="str">
        <f>VLOOKUP($D889,'Tabel Map Industry'!$A$2:$H$464,8,0)</f>
        <v>Lain-lain, Lainnya - 9990</v>
      </c>
    </row>
    <row r="890" spans="2:8" ht="60" hidden="1" x14ac:dyDescent="0.25">
      <c r="B890" s="423" t="str">
        <f t="shared" si="10"/>
        <v>Others Industry</v>
      </c>
      <c r="C890" s="423" t="str">
        <f t="shared" si="11"/>
        <v>Perdagangan Eceran Komoditi Bukan Makanan, Minuman atau Tembakau - Perdagangan Eceran Barang Bekas</v>
      </c>
      <c r="D890" s="424" t="s">
        <v>5218</v>
      </c>
      <c r="E890" s="425" t="str">
        <f>VLOOKUP($D890,'Tabel Map Industry'!$A$2:$H$464,2,0)</f>
        <v>Perdagangan Eceran Komoditi Bukan Makanan, Minuman atau Tembakau - Perdagangan Eceran Barang Bekas</v>
      </c>
      <c r="F890" s="426" t="str">
        <f>VLOOKUP($D890,'Tabel Map Industry'!$A$2:$H$464,3,0)</f>
        <v>OTHERS INDUSTRY</v>
      </c>
      <c r="G890" s="426" t="str">
        <f>VLOOKUP($D890,'Tabel Map Industry'!$A$2:$H$464,4,0)</f>
        <v>Perdagangan Eceran Komoditi Bukan Makanan, Minuman atau Tembakau - Perdagangan Eceran Barang Bekas - 524000</v>
      </c>
      <c r="H890" s="426" t="str">
        <f>VLOOKUP($D890,'Tabel Map Industry'!$A$2:$H$464,8,0)</f>
        <v>Perdagangan Eceran - 6500</v>
      </c>
    </row>
    <row r="891" spans="2:8" ht="30" hidden="1" x14ac:dyDescent="0.25">
      <c r="B891" s="418" t="str">
        <f t="shared" si="10"/>
        <v>Others Industry</v>
      </c>
      <c r="C891" s="418" t="str">
        <f t="shared" si="11"/>
        <v>Industri Jam, Lonceng, dan Sejenisnya</v>
      </c>
      <c r="D891" s="419" t="s">
        <v>5219</v>
      </c>
      <c r="E891" s="420" t="str">
        <f>VLOOKUP($D891,'Tabel Map Industry'!$A$2:$H$464,2,0)</f>
        <v>Industri Jam, Lonceng, dan Sejenisnya</v>
      </c>
      <c r="F891" s="421" t="str">
        <f>VLOOKUP($D891,'Tabel Map Industry'!$A$2:$H$464,3,0)</f>
        <v>OTHERS INDUSTRY</v>
      </c>
      <c r="G891" s="421" t="str">
        <f>VLOOKUP($D891,'Tabel Map Industry'!$A$2:$H$464,4,0)</f>
        <v>Industri Jam, Lonceng, dan Sejenisnya - 333000</v>
      </c>
      <c r="H891" s="421" t="str">
        <f>VLOOKUP($D891,'Tabel Map Industry'!$A$2:$H$464,8,0)</f>
        <v>Industri - Lainnya - 3990</v>
      </c>
    </row>
    <row r="892" spans="2:8" ht="60" hidden="1" x14ac:dyDescent="0.25">
      <c r="B892" s="423" t="str">
        <f t="shared" si="10"/>
        <v>Others Industry</v>
      </c>
      <c r="C892" s="423" t="str">
        <f t="shared" si="11"/>
        <v>Rumah Tangga untuk Keperluan yang Tidak Diklasifikasikan di Tempat Lain  - Rumah Tangga untuk Keperluan Multiguna</v>
      </c>
      <c r="D892" s="424" t="s">
        <v>5221</v>
      </c>
      <c r="E892" s="425" t="str">
        <f>VLOOKUP($D892,'Tabel Map Industry'!$A$2:$H$464,2,0)</f>
        <v>Rumah Tangga untuk Keperluan yang Tidak Diklasifikasikan di Tempat Lain  - Rumah Tangga untuk Keperluan Multiguna</v>
      </c>
      <c r="F892" s="426" t="str">
        <f>VLOOKUP($D892,'Tabel Map Industry'!$A$2:$H$464,3,0)</f>
        <v>OTHERS INDUSTRY</v>
      </c>
      <c r="G892" s="426" t="str">
        <f>VLOOKUP($D892,'Tabel Map Industry'!$A$2:$H$464,4,0)</f>
        <v>Rumah Tangga untuk Keperluan yang Tidak Diklasifikasikan di Tempat Lain  - Rumah Tangga untuk Keperluan Multiguna - 004100</v>
      </c>
      <c r="H892" s="426" t="str">
        <f>VLOOKUP($D892,'Tabel Map Industry'!$A$2:$H$464,8,0)</f>
        <v>Lain-lain, Lainnya - 9990</v>
      </c>
    </row>
    <row r="893" spans="2:8" ht="75" hidden="1" x14ac:dyDescent="0.25">
      <c r="B893" s="418" t="str">
        <f t="shared" si="10"/>
        <v>Others Industry</v>
      </c>
      <c r="C893" s="418" t="str">
        <f t="shared" si="11"/>
        <v xml:space="preserve">Rumah Tangga untuk Keperluan yang Tidak Diklasifikasikan di Tempat Lain  - Rumah Tangga untuk Keperluan yang Tidak Diklasifikasikan di Tempat Lain </v>
      </c>
      <c r="D893" s="419" t="s">
        <v>5222</v>
      </c>
      <c r="E893" s="420" t="str">
        <f>VLOOKUP($D893,'Tabel Map Industry'!$A$2:$H$464,2,0)</f>
        <v xml:space="preserve">Rumah Tangga untuk Keperluan yang Tidak Diklasifikasikan di Tempat Lain  - Rumah Tangga untuk Keperluan yang Tidak Diklasifikasikan di Tempat Lain </v>
      </c>
      <c r="F893" s="421" t="str">
        <f>VLOOKUP($D893,'Tabel Map Industry'!$A$2:$H$464,3,0)</f>
        <v>OTHERS INDUSTRY</v>
      </c>
      <c r="G893" s="421" t="str">
        <f>VLOOKUP($D893,'Tabel Map Industry'!$A$2:$H$464,4,0)</f>
        <v>Rumah Tangga untuk Keperluan yang Tidak Diklasifikasikan di Tempat Lain  - Rumah Tangga untuk Keperluan yang Tidak Diklasifikasikan di Tempat Lain  - 004900</v>
      </c>
      <c r="H893" s="421" t="str">
        <f>VLOOKUP($D893,'Tabel Map Industry'!$A$2:$H$464,8,0)</f>
        <v>Lain-lain, Lainnya - 9990</v>
      </c>
    </row>
    <row r="894" spans="2:8" ht="30" hidden="1" x14ac:dyDescent="0.25">
      <c r="B894" s="423" t="str">
        <f t="shared" si="10"/>
        <v>Others Industry</v>
      </c>
      <c r="C894" s="423" t="str">
        <f t="shared" si="11"/>
        <v>Industri Pembuatan dan Perbaikan Kapal dan Perahu</v>
      </c>
      <c r="D894" s="424" t="s">
        <v>5274</v>
      </c>
      <c r="E894" s="425" t="str">
        <f>VLOOKUP($D894,'Tabel Map Industry'!$A$2:$H$464,2,0)</f>
        <v>Industri Pembuatan dan Perbaikan Kapal dan Perahu</v>
      </c>
      <c r="F894" s="426" t="str">
        <f>VLOOKUP($D894,'Tabel Map Industry'!$A$2:$H$464,3,0)</f>
        <v>OTHERS INDUSTRY</v>
      </c>
      <c r="G894" s="426" t="str">
        <f>VLOOKUP($D894,'Tabel Map Industry'!$A$2:$H$464,4,0)</f>
        <v>Industri Pembuatan dan Perbaikan Kapal dan Perahu - 351000</v>
      </c>
      <c r="H894" s="426" t="str">
        <f>VLOOKUP($D894,'Tabel Map Industry'!$A$2:$H$464,8,0)</f>
        <v>Industri - Lainnya - 3990</v>
      </c>
    </row>
    <row r="895" spans="2:8" hidden="1" x14ac:dyDescent="0.25">
      <c r="B895" s="418" t="str">
        <f t="shared" si="10"/>
        <v>Plantation</v>
      </c>
      <c r="C895" s="418" t="str">
        <f t="shared" si="11"/>
        <v xml:space="preserve">Perkebunan Kelapa Sawit </v>
      </c>
      <c r="D895" s="419" t="s">
        <v>5223</v>
      </c>
      <c r="E895" s="420" t="str">
        <f>VLOOKUP($D895,'Tabel Map Industry'!$A$2:$H$464,2,0)</f>
        <v xml:space="preserve">Perkebunan Kelapa Sawit </v>
      </c>
      <c r="F895" s="421" t="str">
        <f>VLOOKUP($D895,'Tabel Map Industry'!$A$2:$H$464,3,0)</f>
        <v>PLANTATION</v>
      </c>
      <c r="G895" s="421" t="str">
        <f>VLOOKUP($D895,'Tabel Map Industry'!$A$2:$H$464,4,0)</f>
        <v>Perkebunan Kelapa Sawit  - 011340</v>
      </c>
      <c r="H895" s="421" t="str">
        <f>VLOOKUP($D895,'Tabel Map Industry'!$A$2:$H$464,8,0)</f>
        <v>Perkebunan Kelapa Sawit - 1145</v>
      </c>
    </row>
    <row r="896" spans="2:8" hidden="1" x14ac:dyDescent="0.25">
      <c r="B896" s="423" t="str">
        <f t="shared" si="10"/>
        <v>Plantation</v>
      </c>
      <c r="C896" s="423" t="str">
        <f t="shared" si="11"/>
        <v>Perkebunan Tanaman Kopi</v>
      </c>
      <c r="D896" s="424" t="s">
        <v>5224</v>
      </c>
      <c r="E896" s="425" t="str">
        <f>VLOOKUP($D896,'Tabel Map Industry'!$A$2:$H$464,2,0)</f>
        <v>Perkebunan Tanaman Kopi</v>
      </c>
      <c r="F896" s="426" t="str">
        <f>VLOOKUP($D896,'Tabel Map Industry'!$A$2:$H$464,3,0)</f>
        <v>PLANTATION</v>
      </c>
      <c r="G896" s="426" t="str">
        <f>VLOOKUP($D896,'Tabel Map Industry'!$A$2:$H$464,4,0)</f>
        <v>Perkebunan Tanaman Kopi - 011351</v>
      </c>
      <c r="H896" s="426" t="str">
        <f>VLOOKUP($D896,'Tabel Map Industry'!$A$2:$H$464,8,0)</f>
        <v>Perkebunan Kopi - 1143</v>
      </c>
    </row>
    <row r="897" spans="2:8" hidden="1" x14ac:dyDescent="0.25">
      <c r="B897" s="418" t="str">
        <f t="shared" si="10"/>
        <v>Plantation</v>
      </c>
      <c r="C897" s="418" t="str">
        <f t="shared" si="11"/>
        <v xml:space="preserve">Perkebunan Tanaman Teh </v>
      </c>
      <c r="D897" s="419" t="s">
        <v>5225</v>
      </c>
      <c r="E897" s="420" t="str">
        <f>VLOOKUP($D897,'Tabel Map Industry'!$A$2:$H$464,2,0)</f>
        <v xml:space="preserve">Perkebunan Tanaman Teh </v>
      </c>
      <c r="F897" s="421" t="str">
        <f>VLOOKUP($D897,'Tabel Map Industry'!$A$2:$H$464,3,0)</f>
        <v>PLANTATION</v>
      </c>
      <c r="G897" s="421" t="str">
        <f>VLOOKUP($D897,'Tabel Map Industry'!$A$2:$H$464,4,0)</f>
        <v>Perkebunan Tanaman Teh  - 011352</v>
      </c>
      <c r="H897" s="421" t="str">
        <f>VLOOKUP($D897,'Tabel Map Industry'!$A$2:$H$464,8,0)</f>
        <v>Perkebunan Teh - 1147</v>
      </c>
    </row>
    <row r="898" spans="2:8" ht="30" hidden="1" x14ac:dyDescent="0.25">
      <c r="B898" s="423" t="str">
        <f t="shared" si="10"/>
        <v>Plantation</v>
      </c>
      <c r="C898" s="423" t="str">
        <f t="shared" si="11"/>
        <v>Perkebunan Tanaman Coklat (Kakao)</v>
      </c>
      <c r="D898" s="424" t="s">
        <v>5226</v>
      </c>
      <c r="E898" s="425" t="str">
        <f>VLOOKUP($D898,'Tabel Map Industry'!$A$2:$H$464,2,0)</f>
        <v>Perkebunan Tanaman Coklat (Kakao)</v>
      </c>
      <c r="F898" s="426" t="str">
        <f>VLOOKUP($D898,'Tabel Map Industry'!$A$2:$H$464,3,0)</f>
        <v>PLANTATION</v>
      </c>
      <c r="G898" s="426" t="str">
        <f>VLOOKUP($D898,'Tabel Map Industry'!$A$2:$H$464,4,0)</f>
        <v>Perkebunan Tanaman Coklat (Kakao) - 011353</v>
      </c>
      <c r="H898" s="426" t="str">
        <f>VLOOKUP($D898,'Tabel Map Industry'!$A$2:$H$464,8,0)</f>
        <v>Perkebunan Kakao/ Coklat - 1153</v>
      </c>
    </row>
    <row r="899" spans="2:8" hidden="1" x14ac:dyDescent="0.25">
      <c r="B899" s="418" t="str">
        <f t="shared" si="10"/>
        <v>Plantation</v>
      </c>
      <c r="C899" s="418" t="str">
        <f t="shared" si="11"/>
        <v xml:space="preserve">Perkebunan Jambu Mete </v>
      </c>
      <c r="D899" s="419" t="s">
        <v>5227</v>
      </c>
      <c r="E899" s="420" t="str">
        <f>VLOOKUP($D899,'Tabel Map Industry'!$A$2:$H$464,2,0)</f>
        <v xml:space="preserve">Perkebunan Jambu Mete </v>
      </c>
      <c r="F899" s="421" t="str">
        <f>VLOOKUP($D899,'Tabel Map Industry'!$A$2:$H$464,3,0)</f>
        <v>PLANTATION</v>
      </c>
      <c r="G899" s="421" t="str">
        <f>VLOOKUP($D899,'Tabel Map Industry'!$A$2:$H$464,4,0)</f>
        <v>Perkebunan Jambu Mete  - 011360</v>
      </c>
      <c r="H899" s="421" t="str">
        <f>VLOOKUP($D899,'Tabel Map Industry'!$A$2:$H$464,8,0)</f>
        <v>Perkebunan lainnya - 1159</v>
      </c>
    </row>
    <row r="900" spans="2:8" hidden="1" x14ac:dyDescent="0.25">
      <c r="B900" s="423" t="str">
        <f t="shared" si="10"/>
        <v>Plantation</v>
      </c>
      <c r="C900" s="423" t="str">
        <f t="shared" si="11"/>
        <v xml:space="preserve">Perkebunan Lada </v>
      </c>
      <c r="D900" s="424" t="s">
        <v>5228</v>
      </c>
      <c r="E900" s="425" t="str">
        <f>VLOOKUP($D900,'Tabel Map Industry'!$A$2:$H$464,2,0)</f>
        <v xml:space="preserve">Perkebunan Lada </v>
      </c>
      <c r="F900" s="426" t="str">
        <f>VLOOKUP($D900,'Tabel Map Industry'!$A$2:$H$464,3,0)</f>
        <v>PLANTATION</v>
      </c>
      <c r="G900" s="426" t="str">
        <f>VLOOKUP($D900,'Tabel Map Industry'!$A$2:$H$464,4,0)</f>
        <v>Perkebunan Lada  - 011370</v>
      </c>
      <c r="H900" s="426" t="str">
        <f>VLOOKUP($D900,'Tabel Map Industry'!$A$2:$H$464,8,0)</f>
        <v>Perkebunan Lada - 1146</v>
      </c>
    </row>
    <row r="901" spans="2:8" ht="30" hidden="1" x14ac:dyDescent="0.25">
      <c r="B901" s="418" t="str">
        <f t="shared" si="10"/>
        <v>Plantation</v>
      </c>
      <c r="C901" s="418" t="str">
        <f t="shared" si="11"/>
        <v>Perkebunan Tanaman Rempah Panili</v>
      </c>
      <c r="D901" s="419" t="s">
        <v>5229</v>
      </c>
      <c r="E901" s="420" t="str">
        <f>VLOOKUP($D901,'Tabel Map Industry'!$A$2:$H$464,2,0)</f>
        <v>Perkebunan Tanaman Rempah Panili</v>
      </c>
      <c r="F901" s="421" t="str">
        <f>VLOOKUP($D901,'Tabel Map Industry'!$A$2:$H$464,3,0)</f>
        <v>PLANTATION</v>
      </c>
      <c r="G901" s="421" t="str">
        <f>VLOOKUP($D901,'Tabel Map Industry'!$A$2:$H$464,4,0)</f>
        <v>Perkebunan Tanaman Rempah Panili - 011391</v>
      </c>
      <c r="H901" s="421" t="str">
        <f>VLOOKUP($D901,'Tabel Map Industry'!$A$2:$H$464,8,0)</f>
        <v>Perkebunan Panili - 1151</v>
      </c>
    </row>
    <row r="902" spans="2:8" ht="30" hidden="1" x14ac:dyDescent="0.25">
      <c r="B902" s="423" t="str">
        <f t="shared" si="10"/>
        <v>Plantation</v>
      </c>
      <c r="C902" s="423" t="str">
        <f t="shared" si="11"/>
        <v>Perkebunan Tanaman Rempah Pala</v>
      </c>
      <c r="D902" s="424" t="s">
        <v>5230</v>
      </c>
      <c r="E902" s="425" t="str">
        <f>VLOOKUP($D902,'Tabel Map Industry'!$A$2:$H$464,2,0)</f>
        <v>Perkebunan Tanaman Rempah Pala</v>
      </c>
      <c r="F902" s="426" t="str">
        <f>VLOOKUP($D902,'Tabel Map Industry'!$A$2:$H$464,3,0)</f>
        <v>PLANTATION</v>
      </c>
      <c r="G902" s="426" t="str">
        <f>VLOOKUP($D902,'Tabel Map Industry'!$A$2:$H$464,4,0)</f>
        <v>Perkebunan Tanaman Rempah Pala - 011392</v>
      </c>
      <c r="H902" s="426" t="str">
        <f>VLOOKUP($D902,'Tabel Map Industry'!$A$2:$H$464,8,0)</f>
        <v>Perkebunan Pala - 1152</v>
      </c>
    </row>
    <row r="903" spans="2:8" ht="45" hidden="1" x14ac:dyDescent="0.25">
      <c r="B903" s="418" t="str">
        <f t="shared" si="10"/>
        <v>Plantation</v>
      </c>
      <c r="C903" s="418" t="str">
        <f t="shared" si="11"/>
        <v>Perkebunan Tanaman Rempah yang Tidak Diklasifikasikan di Tempat Lain</v>
      </c>
      <c r="D903" s="419" t="s">
        <v>5231</v>
      </c>
      <c r="E903" s="420" t="str">
        <f>VLOOKUP($D903,'Tabel Map Industry'!$A$2:$H$464,2,0)</f>
        <v>Perkebunan Tanaman Rempah yang Tidak Diklasifikasikan di Tempat Lain</v>
      </c>
      <c r="F903" s="421" t="str">
        <f>VLOOKUP($D903,'Tabel Map Industry'!$A$2:$H$464,3,0)</f>
        <v>PLANTATION</v>
      </c>
      <c r="G903" s="421" t="str">
        <f>VLOOKUP($D903,'Tabel Map Industry'!$A$2:$H$464,4,0)</f>
        <v>Perkebunan Tanaman Rempah yang Tidak Diklasifikasikan di Tempat Lain - 011399</v>
      </c>
      <c r="H903" s="421" t="str">
        <f>VLOOKUP($D903,'Tabel Map Industry'!$A$2:$H$464,8,0)</f>
        <v>Perkebunan lainnya - 1159</v>
      </c>
    </row>
    <row r="904" spans="2:8" ht="30" hidden="1" x14ac:dyDescent="0.25">
      <c r="B904" s="423" t="str">
        <f t="shared" si="10"/>
        <v>Plantation</v>
      </c>
      <c r="C904" s="423" t="str">
        <f t="shared" si="11"/>
        <v xml:space="preserve">Perkebunan Karet dan Penghasil Getah Lainnya </v>
      </c>
      <c r="D904" s="424" t="s">
        <v>5232</v>
      </c>
      <c r="E904" s="425" t="str">
        <f>VLOOKUP($D904,'Tabel Map Industry'!$A$2:$H$464,2,0)</f>
        <v xml:space="preserve">Perkebunan Karet dan Penghasil Getah Lainnya </v>
      </c>
      <c r="F904" s="426" t="str">
        <f>VLOOKUP($D904,'Tabel Map Industry'!$A$2:$H$464,3,0)</f>
        <v>PLANTATION</v>
      </c>
      <c r="G904" s="426" t="str">
        <f>VLOOKUP($D904,'Tabel Map Industry'!$A$2:$H$464,4,0)</f>
        <v>Perkebunan Karet dan Penghasil Getah Lainnya  - 011150</v>
      </c>
      <c r="H904" s="426" t="str">
        <f>VLOOKUP($D904,'Tabel Map Industry'!$A$2:$H$464,8,0)</f>
        <v>Perkebunan Karet - 1141</v>
      </c>
    </row>
    <row r="905" spans="2:8" ht="30" hidden="1" x14ac:dyDescent="0.25">
      <c r="B905" s="418" t="str">
        <f t="shared" si="10"/>
        <v>Plantation</v>
      </c>
      <c r="C905" s="418" t="str">
        <f t="shared" si="11"/>
        <v xml:space="preserve">Perkebunan Tanaman Bahan Baku Tekstil dan Sejenisnya </v>
      </c>
      <c r="D905" s="419" t="s">
        <v>5233</v>
      </c>
      <c r="E905" s="420" t="str">
        <f>VLOOKUP($D905,'Tabel Map Industry'!$A$2:$H$464,2,0)</f>
        <v xml:space="preserve">Perkebunan Tanaman Bahan Baku Tekstil dan Sejenisnya </v>
      </c>
      <c r="F905" s="421" t="str">
        <f>VLOOKUP($D905,'Tabel Map Industry'!$A$2:$H$464,3,0)</f>
        <v>PLANTATION</v>
      </c>
      <c r="G905" s="421" t="str">
        <f>VLOOKUP($D905,'Tabel Map Industry'!$A$2:$H$464,4,0)</f>
        <v>Perkebunan Tanaman Bahan Baku Tekstil dan Sejenisnya  - 011160</v>
      </c>
      <c r="H905" s="421" t="str">
        <f>VLOOKUP($D905,'Tabel Map Industry'!$A$2:$H$464,8,0)</f>
        <v>Perkebunan lainnya - 1159</v>
      </c>
    </row>
    <row r="906" spans="2:8" hidden="1" x14ac:dyDescent="0.25">
      <c r="B906" s="423" t="str">
        <f t="shared" si="10"/>
        <v>Plantation</v>
      </c>
      <c r="C906" s="423" t="str">
        <f t="shared" si="11"/>
        <v xml:space="preserve">Perkebunan Tembakau </v>
      </c>
      <c r="D906" s="424" t="s">
        <v>5234</v>
      </c>
      <c r="E906" s="425" t="str">
        <f>VLOOKUP($D906,'Tabel Map Industry'!$A$2:$H$464,2,0)</f>
        <v xml:space="preserve">Perkebunan Tembakau </v>
      </c>
      <c r="F906" s="426" t="str">
        <f>VLOOKUP($D906,'Tabel Map Industry'!$A$2:$H$464,3,0)</f>
        <v>PLANTATION</v>
      </c>
      <c r="G906" s="426" t="str">
        <f>VLOOKUP($D906,'Tabel Map Industry'!$A$2:$H$464,4,0)</f>
        <v>Perkebunan Tembakau  - 011140</v>
      </c>
      <c r="H906" s="426" t="str">
        <f>VLOOKUP($D906,'Tabel Map Industry'!$A$2:$H$464,8,0)</f>
        <v>Perkebunan Tembakau - 1144</v>
      </c>
    </row>
    <row r="907" spans="2:8" hidden="1" x14ac:dyDescent="0.25">
      <c r="B907" s="418" t="str">
        <f t="shared" si="10"/>
        <v>Plantation</v>
      </c>
      <c r="C907" s="418" t="str">
        <f t="shared" si="11"/>
        <v xml:space="preserve">Perkebunan Cengkeh </v>
      </c>
      <c r="D907" s="419" t="s">
        <v>5235</v>
      </c>
      <c r="E907" s="420" t="str">
        <f>VLOOKUP($D907,'Tabel Map Industry'!$A$2:$H$464,2,0)</f>
        <v xml:space="preserve">Perkebunan Cengkeh </v>
      </c>
      <c r="F907" s="421" t="str">
        <f>VLOOKUP($D907,'Tabel Map Industry'!$A$2:$H$464,3,0)</f>
        <v>PLANTATION</v>
      </c>
      <c r="G907" s="421" t="str">
        <f>VLOOKUP($D907,'Tabel Map Industry'!$A$2:$H$464,4,0)</f>
        <v>Perkebunan Cengkeh  - 011380</v>
      </c>
      <c r="H907" s="421" t="str">
        <f>VLOOKUP($D907,'Tabel Map Industry'!$A$2:$H$464,8,0)</f>
        <v>Perkebunan Cengkeh - 1150</v>
      </c>
    </row>
    <row r="908" spans="2:8" ht="30" hidden="1" x14ac:dyDescent="0.25">
      <c r="B908" s="423" t="str">
        <f t="shared" si="10"/>
        <v>Plastic, Pulp &amp; Paper</v>
      </c>
      <c r="C908" s="423" t="str">
        <f t="shared" si="11"/>
        <v>Perdagangan Dalam Negeri Kertas Koran</v>
      </c>
      <c r="D908" s="424" t="s">
        <v>5239</v>
      </c>
      <c r="E908" s="425" t="str">
        <f>VLOOKUP($D908,'Tabel Map Industry'!$A$2:$H$464,2,0)</f>
        <v>Perdagangan Dalam Negeri Kertas Koran</v>
      </c>
      <c r="F908" s="426" t="str">
        <f>VLOOKUP($D908,'Tabel Map Industry'!$A$2:$H$464,3,0)</f>
        <v>PLASTIC, PULP &amp; PAPER</v>
      </c>
      <c r="G908" s="426" t="str">
        <f>VLOOKUP($D908,'Tabel Map Industry'!$A$2:$H$464,4,0)</f>
        <v>Perdagangan Dalam Negeri Kertas Koran - 519001</v>
      </c>
      <c r="H908" s="426" t="str">
        <f>VLOOKUP($D908,'Tabel Map Industry'!$A$2:$H$464,8,0)</f>
        <v>Distribusi Kertas Koran - 6415</v>
      </c>
    </row>
    <row r="909" spans="2:8" ht="75" hidden="1" x14ac:dyDescent="0.25">
      <c r="B909" s="418" t="str">
        <f t="shared" si="10"/>
        <v>Home Appliances</v>
      </c>
      <c r="C909" s="418" t="str">
        <f t="shared" si="11"/>
        <v xml:space="preserve">Perdagangan Eceran Kaki Lirna Kertas, Barang-Barang dari Kertas, Alat Tulis, Barang Cetakan, Alat Olah Raga, Alat Musik, Alat Fotografi, dan Komputer </v>
      </c>
      <c r="D909" s="419" t="s">
        <v>5241</v>
      </c>
      <c r="E909" s="420" t="str">
        <f>VLOOKUP($D909,'Tabel Map Industry'!$A$2:$H$464,2,0)</f>
        <v xml:space="preserve">Perdagangan Eceran Kaki Lirna Kertas, Barang-Barang dari Kertas, Alat Tulis, Barang Cetakan, Alat Olah Raga, Alat Musik, Alat Fotografi, dan Komputer </v>
      </c>
      <c r="F909" s="421" t="str">
        <f>VLOOKUP($D909,'Tabel Map Industry'!$A$2:$H$464,3,0)</f>
        <v>HOME APPLIANCES</v>
      </c>
      <c r="G909" s="421" t="str">
        <f>VLOOKUP($D909,'Tabel Map Industry'!$A$2:$H$464,4,0)</f>
        <v>Perdagangan Eceran Kaki Lirna Kertas, Barang-Barang dari Kertas, Alat Tulis, Barang Cetakan, Alat Olah Raga, Alat Musik, Alat Fotografi, dan Komputer  - 525700</v>
      </c>
      <c r="H909" s="421" t="str">
        <f>VLOOKUP($D909,'Tabel Map Industry'!$A$2:$H$464,8,0)</f>
        <v>Perdagangan Eceran - 6500</v>
      </c>
    </row>
    <row r="910" spans="2:8" ht="30" hidden="1" x14ac:dyDescent="0.25">
      <c r="B910" s="423" t="str">
        <f t="shared" si="10"/>
        <v>Printing, Media &amp; Advertising</v>
      </c>
      <c r="C910" s="423" t="str">
        <f t="shared" si="11"/>
        <v xml:space="preserve">K.5.3. Jasa Periklanan </v>
      </c>
      <c r="D910" s="424" t="s">
        <v>5242</v>
      </c>
      <c r="E910" s="425" t="str">
        <f>VLOOKUP($D910,'Tabel Map Industry'!$A$2:$H$464,2,0)</f>
        <v xml:space="preserve">K.5.3. Jasa Periklanan </v>
      </c>
      <c r="F910" s="426" t="str">
        <f>VLOOKUP($D910,'Tabel Map Industry'!$A$2:$H$464,3,0)</f>
        <v>PRINTING, MEDIA &amp; ADVERTISING</v>
      </c>
      <c r="G910" s="426" t="str">
        <f>VLOOKUP($D910,'Tabel Map Industry'!$A$2:$H$464,4,0)</f>
        <v>K.5.3. Jasa Periklanan  - 743000</v>
      </c>
      <c r="H910" s="426" t="str">
        <f>VLOOKUP($D910,'Tabel Map Industry'!$A$2:$H$464,8,0)</f>
        <v>Jasa-jasa Dunia Usaha - Lainnya - 8900</v>
      </c>
    </row>
    <row r="911" spans="2:8" ht="30" hidden="1" x14ac:dyDescent="0.25">
      <c r="B911" s="418" t="str">
        <f t="shared" si="10"/>
        <v>Printing, Media &amp; Advertising</v>
      </c>
      <c r="C911" s="418" t="str">
        <f t="shared" si="11"/>
        <v xml:space="preserve">Reproduksi Media Rekaman, Film, dan Video </v>
      </c>
      <c r="D911" s="419" t="s">
        <v>5243</v>
      </c>
      <c r="E911" s="420" t="str">
        <f>VLOOKUP($D911,'Tabel Map Industry'!$A$2:$H$464,2,0)</f>
        <v xml:space="preserve">Reproduksi Media Rekaman, Film, dan Video </v>
      </c>
      <c r="F911" s="421" t="str">
        <f>VLOOKUP($D911,'Tabel Map Industry'!$A$2:$H$464,3,0)</f>
        <v>PRINTING, MEDIA &amp; ADVERTISING</v>
      </c>
      <c r="G911" s="421" t="str">
        <f>VLOOKUP($D911,'Tabel Map Industry'!$A$2:$H$464,4,0)</f>
        <v>Reproduksi Media Rekaman, Film, dan Video  - 223000</v>
      </c>
      <c r="H911" s="421" t="str">
        <f>VLOOKUP($D911,'Tabel Map Industry'!$A$2:$H$464,8,0)</f>
        <v>Industri - Lainnya - 3990</v>
      </c>
    </row>
    <row r="912" spans="2:8" ht="45" hidden="1" x14ac:dyDescent="0.25">
      <c r="B912" s="423" t="str">
        <f t="shared" si="10"/>
        <v>Printing, Media &amp; Advertising</v>
      </c>
      <c r="C912" s="423" t="str">
        <f t="shared" si="11"/>
        <v xml:space="preserve">Industri Radio, Televisi, Alat-alat Rekaman Suara dan Gambar, dan Sejenisnya </v>
      </c>
      <c r="D912" s="424" t="s">
        <v>5244</v>
      </c>
      <c r="E912" s="425" t="str">
        <f>VLOOKUP($D912,'Tabel Map Industry'!$A$2:$H$464,2,0)</f>
        <v xml:space="preserve">Industri Radio, Televisi, Alat-alat Rekaman Suara dan Gambar, dan Sejenisnya </v>
      </c>
      <c r="F912" s="426" t="str">
        <f>VLOOKUP($D912,'Tabel Map Industry'!$A$2:$H$464,3,0)</f>
        <v>PRINTING, MEDIA &amp; ADVERTISING</v>
      </c>
      <c r="G912" s="426" t="str">
        <f>VLOOKUP($D912,'Tabel Map Industry'!$A$2:$H$464,4,0)</f>
        <v>Industri Radio, Televisi, Alat-alat Rekaman Suara dan Gambar, dan Sejenisnya  - 323000</v>
      </c>
      <c r="H912" s="426" t="str">
        <f>VLOOKUP($D912,'Tabel Map Industry'!$A$2:$H$464,8,0)</f>
        <v>Industri - Lainnya - 3990</v>
      </c>
    </row>
    <row r="913" spans="2:8" ht="30" hidden="1" x14ac:dyDescent="0.25">
      <c r="B913" s="418" t="str">
        <f t="shared" si="10"/>
        <v>Printing, Media &amp; Advertising</v>
      </c>
      <c r="C913" s="418" t="str">
        <f t="shared" si="11"/>
        <v xml:space="preserve">O.3.1. Kegiatan Perfilman, Radio, Televisi, dan Hiburan Lainnya </v>
      </c>
      <c r="D913" s="419" t="s">
        <v>5245</v>
      </c>
      <c r="E913" s="420" t="str">
        <f>VLOOKUP($D913,'Tabel Map Industry'!$A$2:$H$464,2,0)</f>
        <v xml:space="preserve">O.3.1. Kegiatan Perfilman, Radio, Televisi, dan Hiburan Lainnya </v>
      </c>
      <c r="F913" s="421" t="str">
        <f>VLOOKUP($D913,'Tabel Map Industry'!$A$2:$H$464,3,0)</f>
        <v>PRINTING, MEDIA &amp; ADVERTISING</v>
      </c>
      <c r="G913" s="421" t="str">
        <f>VLOOKUP($D913,'Tabel Map Industry'!$A$2:$H$464,4,0)</f>
        <v>O.3.1. Kegiatan Perfilman, Radio, Televisi, dan Hiburan Lainnya  - 921000</v>
      </c>
      <c r="H913" s="421" t="str">
        <f>VLOOKUP($D913,'Tabel Map Industry'!$A$2:$H$464,8,0)</f>
        <v>Jasa-jasa sosial/masyarakat - Hiburan dan Kebudayaan - 9100</v>
      </c>
    </row>
    <row r="914" spans="2:8" ht="30" hidden="1" x14ac:dyDescent="0.25">
      <c r="B914" s="423" t="str">
        <f t="shared" ref="B914:B958" si="12">PROPER(F914)</f>
        <v>Printing, Media &amp; Advertising</v>
      </c>
      <c r="C914" s="423" t="str">
        <f t="shared" ref="C914:C958" si="13">E914</f>
        <v xml:space="preserve">O.3.2. Kegiatan Kantor Berita </v>
      </c>
      <c r="D914" s="424" t="s">
        <v>5246</v>
      </c>
      <c r="E914" s="425" t="str">
        <f>VLOOKUP($D914,'Tabel Map Industry'!$A$2:$H$464,2,0)</f>
        <v xml:space="preserve">O.3.2. Kegiatan Kantor Berita </v>
      </c>
      <c r="F914" s="426" t="str">
        <f>VLOOKUP($D914,'Tabel Map Industry'!$A$2:$H$464,3,0)</f>
        <v>PRINTING, MEDIA &amp; ADVERTISING</v>
      </c>
      <c r="G914" s="426" t="str">
        <f>VLOOKUP($D914,'Tabel Map Industry'!$A$2:$H$464,4,0)</f>
        <v>O.3.2. Kegiatan Kantor Berita  - 922000</v>
      </c>
      <c r="H914" s="426" t="str">
        <f>VLOOKUP($D914,'Tabel Map Industry'!$A$2:$H$464,8,0)</f>
        <v>Jasa-jasa sosial/masyarakat - Hiburan dan Kebudayaan - 9100</v>
      </c>
    </row>
    <row r="915" spans="2:8" ht="30" hidden="1" x14ac:dyDescent="0.25">
      <c r="B915" s="418" t="str">
        <f t="shared" si="12"/>
        <v>Printing, Media &amp; Advertising</v>
      </c>
      <c r="C915" s="418" t="str">
        <f t="shared" si="13"/>
        <v xml:space="preserve">O.3.3. Perpustakaan, Arsip, Museum, dan Kegiatan Kebudayaan Lainnya </v>
      </c>
      <c r="D915" s="419" t="s">
        <v>5247</v>
      </c>
      <c r="E915" s="420" t="str">
        <f>VLOOKUP($D915,'Tabel Map Industry'!$A$2:$H$464,2,0)</f>
        <v xml:space="preserve">O.3.3. Perpustakaan, Arsip, Museum, dan Kegiatan Kebudayaan Lainnya </v>
      </c>
      <c r="F915" s="421" t="str">
        <f>VLOOKUP($D915,'Tabel Map Industry'!$A$2:$H$464,3,0)</f>
        <v>PRINTING, MEDIA &amp; ADVERTISING</v>
      </c>
      <c r="G915" s="421" t="str">
        <f>VLOOKUP($D915,'Tabel Map Industry'!$A$2:$H$464,4,0)</f>
        <v>O.3.3. Perpustakaan, Arsip, Museum, dan Kegiatan Kebudayaan Lainnya  - 923000</v>
      </c>
      <c r="H915" s="421" t="str">
        <f>VLOOKUP($D915,'Tabel Map Industry'!$A$2:$H$464,8,0)</f>
        <v>Jasa-jasa sosial/masyarakat - Hiburan dan Kebudayaan - 9100</v>
      </c>
    </row>
    <row r="916" spans="2:8" ht="30" hidden="1" x14ac:dyDescent="0.25">
      <c r="B916" s="423" t="str">
        <f t="shared" si="12"/>
        <v>Printing, Media &amp; Advertising</v>
      </c>
      <c r="C916" s="423" t="str">
        <f t="shared" si="13"/>
        <v xml:space="preserve">Industri Penerbitan </v>
      </c>
      <c r="D916" s="424" t="s">
        <v>5248</v>
      </c>
      <c r="E916" s="425" t="str">
        <f>VLOOKUP($D916,'Tabel Map Industry'!$A$2:$H$464,2,0)</f>
        <v xml:space="preserve">Industri Penerbitan </v>
      </c>
      <c r="F916" s="426" t="str">
        <f>VLOOKUP($D916,'Tabel Map Industry'!$A$2:$H$464,3,0)</f>
        <v>PRINTING, MEDIA &amp; ADVERTISING</v>
      </c>
      <c r="G916" s="426" t="str">
        <f>VLOOKUP($D916,'Tabel Map Industry'!$A$2:$H$464,4,0)</f>
        <v>Industri Penerbitan  - 221000</v>
      </c>
      <c r="H916" s="426" t="str">
        <f>VLOOKUP($D916,'Tabel Map Industry'!$A$2:$H$464,8,0)</f>
        <v>Industri - Percetakan dan Penerbitan - 3520</v>
      </c>
    </row>
    <row r="917" spans="2:8" ht="30" hidden="1" x14ac:dyDescent="0.25">
      <c r="B917" s="418" t="str">
        <f t="shared" si="12"/>
        <v>Properties &amp; Real Estate</v>
      </c>
      <c r="C917" s="418" t="str">
        <f t="shared" si="13"/>
        <v>Real Estate Perumahan Sederhana - Perumnas</v>
      </c>
      <c r="D917" s="419" t="s">
        <v>5250</v>
      </c>
      <c r="E917" s="420" t="str">
        <f>VLOOKUP($D917,'Tabel Map Industry'!$A$2:$H$464,2,0)</f>
        <v>Real Estate Perumahan Sederhana - Perumnas</v>
      </c>
      <c r="F917" s="421" t="str">
        <f>VLOOKUP($D917,'Tabel Map Industry'!$A$2:$H$464,3,0)</f>
        <v>PROPERTIES &amp; REAL ESTATE</v>
      </c>
      <c r="G917" s="421" t="str">
        <f>VLOOKUP($D917,'Tabel Map Industry'!$A$2:$H$464,4,0)</f>
        <v>Real Estate Perumahan Sederhana - Perumnas - 701001</v>
      </c>
      <c r="H917" s="421" t="str">
        <f>VLOOKUP($D917,'Tabel Map Industry'!$A$2:$H$464,8,0)</f>
        <v>Jasa-jasa Dunia Usaha - Perumahan Sederhana PERUMNAS - 8111</v>
      </c>
    </row>
    <row r="918" spans="2:8" ht="30" hidden="1" x14ac:dyDescent="0.25">
      <c r="B918" s="423" t="str">
        <f t="shared" si="12"/>
        <v>Properties &amp; Real Estate</v>
      </c>
      <c r="C918" s="423" t="str">
        <f t="shared" si="13"/>
        <v>Real Estate Perumahan Sederhana - Selain Perumnas s.d. Tipe 21</v>
      </c>
      <c r="D918" s="424" t="s">
        <v>5251</v>
      </c>
      <c r="E918" s="425" t="str">
        <f>VLOOKUP($D918,'Tabel Map Industry'!$A$2:$H$464,2,0)</f>
        <v>Real Estate Perumahan Sederhana - Selain Perumnas s.d. Tipe 21</v>
      </c>
      <c r="F918" s="426" t="str">
        <f>VLOOKUP($D918,'Tabel Map Industry'!$A$2:$H$464,3,0)</f>
        <v>PROPERTIES &amp; REAL ESTATE</v>
      </c>
      <c r="G918" s="426" t="str">
        <f>VLOOKUP($D918,'Tabel Map Industry'!$A$2:$H$464,4,0)</f>
        <v>Real Estate Perumahan Sederhana - Selain Perumnas s.d. Tipe 21 - 701002</v>
      </c>
      <c r="H918" s="426" t="str">
        <f>VLOOKUP($D918,'Tabel Map Industry'!$A$2:$H$464,8,0)</f>
        <v>Jasa-jasa Dunia Usaha - Perumahan Sederhana selain PERUMNAS - 8119</v>
      </c>
    </row>
    <row r="919" spans="2:8" ht="45" hidden="1" x14ac:dyDescent="0.25">
      <c r="B919" s="418" t="str">
        <f t="shared" si="12"/>
        <v>Properties &amp; Real Estate</v>
      </c>
      <c r="C919" s="418" t="str">
        <f t="shared" si="13"/>
        <v>Real Estate Perumahan Sederhana - Selain Perumnas s.d. Tipe 22 s.d. 70</v>
      </c>
      <c r="D919" s="419" t="s">
        <v>5252</v>
      </c>
      <c r="E919" s="420" t="str">
        <f>VLOOKUP($D919,'Tabel Map Industry'!$A$2:$H$464,2,0)</f>
        <v>Real Estate Perumahan Sederhana - Selain Perumnas s.d. Tipe 22 s.d. 70</v>
      </c>
      <c r="F919" s="421" t="str">
        <f>VLOOKUP($D919,'Tabel Map Industry'!$A$2:$H$464,3,0)</f>
        <v>PROPERTIES &amp; REAL ESTATE</v>
      </c>
      <c r="G919" s="421" t="str">
        <f>VLOOKUP($D919,'Tabel Map Industry'!$A$2:$H$464,4,0)</f>
        <v>Real Estate Perumahan Sederhana - Selain Perumnas s.d. Tipe 22 s.d. 70 - 701003</v>
      </c>
      <c r="H919" s="421" t="str">
        <f>VLOOKUP($D919,'Tabel Map Industry'!$A$2:$H$464,8,0)</f>
        <v>Jasa-jasa Dunia Usaha - Perumahan Sederhana selain PERUMNAS - 8119</v>
      </c>
    </row>
    <row r="920" spans="2:8" ht="30" hidden="1" x14ac:dyDescent="0.25">
      <c r="B920" s="423" t="str">
        <f t="shared" si="12"/>
        <v>Properties &amp; Real Estate</v>
      </c>
      <c r="C920" s="423" t="str">
        <f t="shared" si="13"/>
        <v>Real Estate Perumahan Menengah, Besar Atau Mewah (Tipe Diatas 70)</v>
      </c>
      <c r="D920" s="424" t="s">
        <v>5253</v>
      </c>
      <c r="E920" s="425" t="str">
        <f>VLOOKUP($D920,'Tabel Map Industry'!$A$2:$H$464,2,0)</f>
        <v>Real Estate Perumahan Menengah, Besar Atau Mewah (Tipe Diatas 70)</v>
      </c>
      <c r="F920" s="426" t="str">
        <f>VLOOKUP($D920,'Tabel Map Industry'!$A$2:$H$464,3,0)</f>
        <v>PROPERTIES &amp; REAL ESTATE</v>
      </c>
      <c r="G920" s="426" t="str">
        <f>VLOOKUP($D920,'Tabel Map Industry'!$A$2:$H$464,4,0)</f>
        <v>Real Estate Perumahan Menengah, Besar Atau Mewah (Tipe Diatas 70) - 701004</v>
      </c>
      <c r="H920" s="426" t="str">
        <f>VLOOKUP($D920,'Tabel Map Industry'!$A$2:$H$464,8,0)</f>
        <v>Jasa-jasa Dunia Usaha - Real Estate Lainnya - 8190</v>
      </c>
    </row>
    <row r="921" spans="2:8" ht="30" hidden="1" x14ac:dyDescent="0.25">
      <c r="B921" s="418" t="str">
        <f t="shared" si="12"/>
        <v>Properties &amp; Real Estate</v>
      </c>
      <c r="C921" s="418" t="str">
        <f t="shared" si="13"/>
        <v>Real Estate Perumahan Flat / Apartemen</v>
      </c>
      <c r="D921" s="419" t="s">
        <v>5254</v>
      </c>
      <c r="E921" s="420" t="str">
        <f>VLOOKUP($D921,'Tabel Map Industry'!$A$2:$H$464,2,0)</f>
        <v>Real Estate Perumahan Flat / Apartemen</v>
      </c>
      <c r="F921" s="421" t="str">
        <f>VLOOKUP($D921,'Tabel Map Industry'!$A$2:$H$464,3,0)</f>
        <v>PROPERTIES &amp; REAL ESTATE</v>
      </c>
      <c r="G921" s="421" t="str">
        <f>VLOOKUP($D921,'Tabel Map Industry'!$A$2:$H$464,4,0)</f>
        <v>Real Estate Perumahan Flat / Apartemen - 701005</v>
      </c>
      <c r="H921" s="421" t="str">
        <f>VLOOKUP($D921,'Tabel Map Industry'!$A$2:$H$464,8,0)</f>
        <v>Jasa-jasa Dunia Usaha - Real Estate Lainnya - 8190</v>
      </c>
    </row>
    <row r="922" spans="2:8" ht="30" hidden="1" x14ac:dyDescent="0.25">
      <c r="B922" s="423" t="str">
        <f t="shared" si="12"/>
        <v>Properties &amp; Real Estate</v>
      </c>
      <c r="C922" s="423" t="str">
        <f t="shared" si="13"/>
        <v>Real Estate Gedung Perbelanjaan (Mal, Plaza)</v>
      </c>
      <c r="D922" s="424" t="s">
        <v>5255</v>
      </c>
      <c r="E922" s="425" t="str">
        <f>VLOOKUP($D922,'Tabel Map Industry'!$A$2:$H$464,2,0)</f>
        <v>Real Estate Gedung Perbelanjaan (Mal, Plaza)</v>
      </c>
      <c r="F922" s="426" t="str">
        <f>VLOOKUP($D922,'Tabel Map Industry'!$A$2:$H$464,3,0)</f>
        <v>PROPERTIES &amp; REAL ESTATE</v>
      </c>
      <c r="G922" s="426" t="str">
        <f>VLOOKUP($D922,'Tabel Map Industry'!$A$2:$H$464,4,0)</f>
        <v>Real Estate Gedung Perbelanjaan (Mal, Plaza) - 701006</v>
      </c>
      <c r="H922" s="426" t="str">
        <f>VLOOKUP($D922,'Tabel Map Industry'!$A$2:$H$464,8,0)</f>
        <v>Jasa-jasa Dunia Usaha - Real Estate Lainnya - 8190</v>
      </c>
    </row>
    <row r="923" spans="2:8" ht="30" hidden="1" x14ac:dyDescent="0.25">
      <c r="B923" s="418" t="str">
        <f t="shared" si="12"/>
        <v>Properties &amp; Real Estate</v>
      </c>
      <c r="C923" s="418" t="str">
        <f t="shared" si="13"/>
        <v>Real Estate Gedung Perkantoran</v>
      </c>
      <c r="D923" s="419" t="s">
        <v>5256</v>
      </c>
      <c r="E923" s="420" t="str">
        <f>VLOOKUP($D923,'Tabel Map Industry'!$A$2:$H$464,2,0)</f>
        <v>Real Estate Gedung Perkantoran</v>
      </c>
      <c r="F923" s="421" t="str">
        <f>VLOOKUP($D923,'Tabel Map Industry'!$A$2:$H$464,3,0)</f>
        <v>PROPERTIES &amp; REAL ESTATE</v>
      </c>
      <c r="G923" s="421" t="str">
        <f>VLOOKUP($D923,'Tabel Map Industry'!$A$2:$H$464,4,0)</f>
        <v>Real Estate Gedung Perkantoran - 701007</v>
      </c>
      <c r="H923" s="421" t="str">
        <f>VLOOKUP($D923,'Tabel Map Industry'!$A$2:$H$464,8,0)</f>
        <v>Jasa-jasa Dunia Usaha - Real Estate Lainnya - 8190</v>
      </c>
    </row>
    <row r="924" spans="2:8" ht="30" hidden="1" x14ac:dyDescent="0.25">
      <c r="B924" s="423" t="str">
        <f t="shared" si="12"/>
        <v>Properties &amp; Real Estate</v>
      </c>
      <c r="C924" s="423" t="str">
        <f t="shared" si="13"/>
        <v>Real Estate Gedung Rumah Toko (Ruko) atau Rumah Kantor (Rukan)</v>
      </c>
      <c r="D924" s="424" t="s">
        <v>5257</v>
      </c>
      <c r="E924" s="425" t="str">
        <f>VLOOKUP($D924,'Tabel Map Industry'!$A$2:$H$464,2,0)</f>
        <v>Real Estate Gedung Rumah Toko (Ruko) atau Rumah Kantor (Rukan)</v>
      </c>
      <c r="F924" s="426" t="str">
        <f>VLOOKUP($D924,'Tabel Map Industry'!$A$2:$H$464,3,0)</f>
        <v>PROPERTIES &amp; REAL ESTATE</v>
      </c>
      <c r="G924" s="426" t="str">
        <f>VLOOKUP($D924,'Tabel Map Industry'!$A$2:$H$464,4,0)</f>
        <v>Real Estate Gedung Rumah Toko (Ruko) atau Rumah Kantor (Rukan) - 701008</v>
      </c>
      <c r="H924" s="426" t="str">
        <f>VLOOKUP($D924,'Tabel Map Industry'!$A$2:$H$464,8,0)</f>
        <v>Jasa-jasa Dunia Usaha - Real Estate Lainnya - 8190</v>
      </c>
    </row>
    <row r="925" spans="2:8" ht="30" hidden="1" x14ac:dyDescent="0.25">
      <c r="B925" s="418" t="str">
        <f t="shared" si="12"/>
        <v>Properties &amp; Real Estate</v>
      </c>
      <c r="C925" s="418" t="str">
        <f t="shared" si="13"/>
        <v>Real Estate Lainnya</v>
      </c>
      <c r="D925" s="419" t="s">
        <v>5258</v>
      </c>
      <c r="E925" s="420" t="str">
        <f>VLOOKUP($D925,'Tabel Map Industry'!$A$2:$H$464,2,0)</f>
        <v>Real Estate Lainnya</v>
      </c>
      <c r="F925" s="421" t="str">
        <f>VLOOKUP($D925,'Tabel Map Industry'!$A$2:$H$464,3,0)</f>
        <v>PROPERTIES &amp; REAL ESTATE</v>
      </c>
      <c r="G925" s="421" t="str">
        <f>VLOOKUP($D925,'Tabel Map Industry'!$A$2:$H$464,4,0)</f>
        <v>Real Estate Lainnya - 701009</v>
      </c>
      <c r="H925" s="421" t="str">
        <f>VLOOKUP($D925,'Tabel Map Industry'!$A$2:$H$464,8,0)</f>
        <v>Jasa-jasa Dunia Usaha - Real Estate Lainnya - 8190</v>
      </c>
    </row>
    <row r="926" spans="2:8" ht="30" hidden="1" x14ac:dyDescent="0.25">
      <c r="B926" s="423" t="str">
        <f t="shared" si="12"/>
        <v>Properties &amp; Real Estate</v>
      </c>
      <c r="C926" s="423" t="str">
        <f t="shared" si="13"/>
        <v xml:space="preserve">K.1.2. Real Estate Atas Dasar Balas Jasa (Fee) Atau Kontrak </v>
      </c>
      <c r="D926" s="424" t="s">
        <v>5259</v>
      </c>
      <c r="E926" s="425" t="str">
        <f>VLOOKUP($D926,'Tabel Map Industry'!$A$2:$H$464,2,0)</f>
        <v xml:space="preserve">K.1.2. Real Estate Atas Dasar Balas Jasa (Fee) Atau Kontrak </v>
      </c>
      <c r="F926" s="426" t="str">
        <f>VLOOKUP($D926,'Tabel Map Industry'!$A$2:$H$464,3,0)</f>
        <v>PROPERTIES &amp; REAL ESTATE</v>
      </c>
      <c r="G926" s="426" t="str">
        <f>VLOOKUP($D926,'Tabel Map Industry'!$A$2:$H$464,4,0)</f>
        <v>K.1.2. Real Estate Atas Dasar Balas Jasa (Fee) Atau Kontrak  - 702000</v>
      </c>
      <c r="H926" s="426" t="str">
        <f>VLOOKUP($D926,'Tabel Map Industry'!$A$2:$H$464,8,0)</f>
        <v>Jasa-jasa Dunia Usaha - Real Estate Lainnya - 8190</v>
      </c>
    </row>
    <row r="927" spans="2:8" ht="75" hidden="1" x14ac:dyDescent="0.25">
      <c r="B927" s="418" t="str">
        <f t="shared" si="12"/>
        <v>Properties &amp; Real Estate</v>
      </c>
      <c r="C927" s="418" t="str">
        <f t="shared" si="13"/>
        <v>Rumah Tangga untuk Pemilikan Perumahan - Rumah Tangga untuk Pemilikan Rumah Tinggal - Rumah Tangga untuk Pemilikan Rumah Tinggal s.d. Tipe 21</v>
      </c>
      <c r="D927" s="419" t="s">
        <v>5260</v>
      </c>
      <c r="E927" s="420" t="str">
        <f>VLOOKUP($D927,'Tabel Map Industry'!$A$2:$H$464,2,0)</f>
        <v>Rumah Tangga untuk Pemilikan Perumahan - Rumah Tangga untuk Pemilikan Rumah Tinggal - Rumah Tangga untuk Pemilikan Rumah Tinggal s.d. Tipe 21</v>
      </c>
      <c r="F927" s="421" t="str">
        <f>VLOOKUP($D927,'Tabel Map Industry'!$A$2:$H$464,3,0)</f>
        <v>PROPERTIES &amp; REAL ESTATE</v>
      </c>
      <c r="G927" s="421" t="str">
        <f>VLOOKUP($D927,'Tabel Map Industry'!$A$2:$H$464,4,0)</f>
        <v>Rumah Tangga untuk Pemilikan Perumahan - Rumah Tangga untuk Pemilikan Rumah Tinggal - Rumah Tangga untuk Pemilikan Rumah Tinggal s.d. Tipe 21 - 001110</v>
      </c>
      <c r="H927" s="421" t="str">
        <f>VLOOKUP($D927,'Tabel Map Industry'!$A$2:$H$464,8,0)</f>
        <v>Lain-lain - Perumahan - 9950</v>
      </c>
    </row>
    <row r="928" spans="2:8" ht="75" hidden="1" x14ac:dyDescent="0.25">
      <c r="B928" s="423" t="str">
        <f t="shared" si="12"/>
        <v>Properties &amp; Real Estate</v>
      </c>
      <c r="C928" s="423" t="str">
        <f t="shared" si="13"/>
        <v>Rumah Tangga untuk Pemilikan Perumahan - Rumah Tangga untuk Pemilikan Rumah Tinggal - Rumah Tangga untuk Pemilikan Rumah Tinggal Tipe 22 s.d. 70</v>
      </c>
      <c r="D928" s="424" t="s">
        <v>5261</v>
      </c>
      <c r="E928" s="425" t="str">
        <f>VLOOKUP($D928,'Tabel Map Industry'!$A$2:$H$464,2,0)</f>
        <v>Rumah Tangga untuk Pemilikan Perumahan - Rumah Tangga untuk Pemilikan Rumah Tinggal - Rumah Tangga untuk Pemilikan Rumah Tinggal Tipe 22 s.d. 70</v>
      </c>
      <c r="F928" s="426" t="str">
        <f>VLOOKUP($D928,'Tabel Map Industry'!$A$2:$H$464,3,0)</f>
        <v>PROPERTIES &amp; REAL ESTATE</v>
      </c>
      <c r="G928" s="426" t="str">
        <f>VLOOKUP($D928,'Tabel Map Industry'!$A$2:$H$464,4,0)</f>
        <v>Rumah Tangga untuk Pemilikan Perumahan - Rumah Tangga untuk Pemilikan Rumah Tinggal - Rumah Tangga untuk Pemilikan Rumah Tinggal Tipe 22 s.d. 70 - 001120</v>
      </c>
      <c r="H928" s="426" t="str">
        <f>VLOOKUP($D928,'Tabel Map Industry'!$A$2:$H$464,8,0)</f>
        <v>Lain-lain - Perumahan - 9950</v>
      </c>
    </row>
    <row r="929" spans="2:8" ht="75" hidden="1" x14ac:dyDescent="0.25">
      <c r="B929" s="418" t="str">
        <f t="shared" si="12"/>
        <v>Properties &amp; Real Estate</v>
      </c>
      <c r="C929" s="418" t="str">
        <f t="shared" si="13"/>
        <v>Rumah Tangga untuk Pemilikan Perumahan - Rumah Tangga untuk Pemilikan Rumah Tinggal - Rumah Tangga untuk Pemilikan Rumah Tinggal Tipe Diatas 70</v>
      </c>
      <c r="D929" s="419" t="s">
        <v>5262</v>
      </c>
      <c r="E929" s="420" t="str">
        <f>VLOOKUP($D929,'Tabel Map Industry'!$A$2:$H$464,2,0)</f>
        <v>Rumah Tangga untuk Pemilikan Perumahan - Rumah Tangga untuk Pemilikan Rumah Tinggal - Rumah Tangga untuk Pemilikan Rumah Tinggal Tipe Diatas 70</v>
      </c>
      <c r="F929" s="421" t="str">
        <f>VLOOKUP($D929,'Tabel Map Industry'!$A$2:$H$464,3,0)</f>
        <v>PROPERTIES &amp; REAL ESTATE</v>
      </c>
      <c r="G929" s="421" t="str">
        <f>VLOOKUP($D929,'Tabel Map Industry'!$A$2:$H$464,4,0)</f>
        <v>Rumah Tangga untuk Pemilikan Perumahan - Rumah Tangga untuk Pemilikan Rumah Tinggal - Rumah Tangga untuk Pemilikan Rumah Tinggal Tipe Diatas 70 - 001130</v>
      </c>
      <c r="H929" s="421" t="str">
        <f>VLOOKUP($D929,'Tabel Map Industry'!$A$2:$H$464,8,0)</f>
        <v>Lain-lain - Perumahan - 9950</v>
      </c>
    </row>
    <row r="930" spans="2:8" ht="60" hidden="1" x14ac:dyDescent="0.25">
      <c r="B930" s="423" t="str">
        <f t="shared" si="12"/>
        <v>Properties &amp; Real Estate</v>
      </c>
      <c r="C930" s="423" t="str">
        <f t="shared" si="13"/>
        <v>Rumah Tangga untuk Pemilikan Flat atau Apartemen - Rumah Tangga untuk Pemilikan Flat atau Apartemen s.d. Tipe 21</v>
      </c>
      <c r="D930" s="424" t="s">
        <v>5263</v>
      </c>
      <c r="E930" s="425" t="str">
        <f>VLOOKUP($D930,'Tabel Map Industry'!$A$2:$H$464,2,0)</f>
        <v>Rumah Tangga untuk Pemilikan Flat atau Apartemen - Rumah Tangga untuk Pemilikan Flat atau Apartemen s.d. Tipe 21</v>
      </c>
      <c r="F930" s="426" t="str">
        <f>VLOOKUP($D930,'Tabel Map Industry'!$A$2:$H$464,3,0)</f>
        <v>PROPERTIES &amp; REAL ESTATE</v>
      </c>
      <c r="G930" s="426" t="str">
        <f>VLOOKUP($D930,'Tabel Map Industry'!$A$2:$H$464,4,0)</f>
        <v>Rumah Tangga untuk Pemilikan Flat atau Apartemen - Rumah Tangga untuk Pemilikan Flat atau Apartemen s.d. Tipe 21 - 001210</v>
      </c>
      <c r="H930" s="426" t="str">
        <f>VLOOKUP($D930,'Tabel Map Industry'!$A$2:$H$464,8,0)</f>
        <v>Lain-lain - Perumahan - 9950</v>
      </c>
    </row>
    <row r="931" spans="2:8" ht="60" hidden="1" x14ac:dyDescent="0.25">
      <c r="B931" s="418" t="str">
        <f t="shared" si="12"/>
        <v>Properties &amp; Real Estate</v>
      </c>
      <c r="C931" s="418" t="str">
        <f t="shared" si="13"/>
        <v>Rumah Tangga untuk Pemilikan Flat atau Apartemen - Rumah Tangga untuk Pemilikan Flat atau Apartemen Tipe 22 s.d. 70</v>
      </c>
      <c r="D931" s="419" t="s">
        <v>5264</v>
      </c>
      <c r="E931" s="420" t="str">
        <f>VLOOKUP($D931,'Tabel Map Industry'!$A$2:$H$464,2,0)</f>
        <v>Rumah Tangga untuk Pemilikan Flat atau Apartemen - Rumah Tangga untuk Pemilikan Flat atau Apartemen Tipe 22 s.d. 70</v>
      </c>
      <c r="F931" s="421" t="str">
        <f>VLOOKUP($D931,'Tabel Map Industry'!$A$2:$H$464,3,0)</f>
        <v>PROPERTIES &amp; REAL ESTATE</v>
      </c>
      <c r="G931" s="421" t="str">
        <f>VLOOKUP($D931,'Tabel Map Industry'!$A$2:$H$464,4,0)</f>
        <v>Rumah Tangga untuk Pemilikan Flat atau Apartemen - Rumah Tangga untuk Pemilikan Flat atau Apartemen Tipe 22 s.d. 70 - 001220</v>
      </c>
      <c r="H931" s="421" t="str">
        <f>VLOOKUP($D931,'Tabel Map Industry'!$A$2:$H$464,8,0)</f>
        <v>Lain-lain - Perumahan - 9950</v>
      </c>
    </row>
    <row r="932" spans="2:8" ht="60" hidden="1" x14ac:dyDescent="0.25">
      <c r="B932" s="423" t="str">
        <f t="shared" si="12"/>
        <v>Properties &amp; Real Estate</v>
      </c>
      <c r="C932" s="423" t="str">
        <f t="shared" si="13"/>
        <v>Rumah Tangga untuk Pemilikan Flat atau Apartemen - Rumah Tangga untuk Pemilikan Flat atau Apartemen Tipe Diatas 70</v>
      </c>
      <c r="D932" s="424" t="s">
        <v>5265</v>
      </c>
      <c r="E932" s="425" t="str">
        <f>VLOOKUP($D932,'Tabel Map Industry'!$A$2:$H$464,2,0)</f>
        <v>Rumah Tangga untuk Pemilikan Flat atau Apartemen - Rumah Tangga untuk Pemilikan Flat atau Apartemen Tipe Diatas 70</v>
      </c>
      <c r="F932" s="426" t="str">
        <f>VLOOKUP($D932,'Tabel Map Industry'!$A$2:$H$464,3,0)</f>
        <v>PROPERTIES &amp; REAL ESTATE</v>
      </c>
      <c r="G932" s="426" t="str">
        <f>VLOOKUP($D932,'Tabel Map Industry'!$A$2:$H$464,4,0)</f>
        <v>Rumah Tangga untuk Pemilikan Flat atau Apartemen - Rumah Tangga untuk Pemilikan Flat atau Apartemen Tipe Diatas 70 - 001230</v>
      </c>
      <c r="H932" s="426" t="str">
        <f>VLOOKUP($D932,'Tabel Map Industry'!$A$2:$H$464,8,0)</f>
        <v>Lain-lain - Perumahan - 9950</v>
      </c>
    </row>
    <row r="933" spans="2:8" ht="75" hidden="1" x14ac:dyDescent="0.25">
      <c r="B933" s="418" t="str">
        <f t="shared" si="12"/>
        <v>Properties &amp; Real Estate</v>
      </c>
      <c r="C933" s="418" t="str">
        <f t="shared" si="13"/>
        <v>Rumah Tangga untuk Pemilikan Rumah Toko (Ruko) atau Rumah Kantor (Rukan) - Rumah Tangga untuk Pemilikan Rumah Toko (Ruko) atau Rumah Kantor (Rukan)</v>
      </c>
      <c r="D933" s="419" t="s">
        <v>5266</v>
      </c>
      <c r="E933" s="420" t="str">
        <f>VLOOKUP($D933,'Tabel Map Industry'!$A$2:$H$464,2,0)</f>
        <v>Rumah Tangga untuk Pemilikan Rumah Toko (Ruko) atau Rumah Kantor (Rukan) - Rumah Tangga untuk Pemilikan Rumah Toko (Ruko) atau Rumah Kantor (Rukan)</v>
      </c>
      <c r="F933" s="421" t="str">
        <f>VLOOKUP($D933,'Tabel Map Industry'!$A$2:$H$464,3,0)</f>
        <v>PROPERTIES &amp; REAL ESTATE</v>
      </c>
      <c r="G933" s="421" t="str">
        <f>VLOOKUP($D933,'Tabel Map Industry'!$A$2:$H$464,4,0)</f>
        <v>Rumah Tangga untuk Pemilikan Rumah Toko (Ruko) atau Rumah Kantor (Rukan) - Rumah Tangga untuk Pemilikan Rumah Toko (Ruko) atau Rumah Kantor (Rukan) - 001300</v>
      </c>
      <c r="H933" s="421" t="str">
        <f>VLOOKUP($D933,'Tabel Map Industry'!$A$2:$H$464,8,0)</f>
        <v>Lain-lain - Perumahan - 9950</v>
      </c>
    </row>
    <row r="934" spans="2:8" ht="30" hidden="1" x14ac:dyDescent="0.25">
      <c r="B934" s="423" t="str">
        <f t="shared" si="12"/>
        <v>Rental Service</v>
      </c>
      <c r="C934" s="423" t="str">
        <f t="shared" si="13"/>
        <v xml:space="preserve">K.2.1.3. Persewaan Alat TRANSPORTsi Udara </v>
      </c>
      <c r="D934" s="424" t="s">
        <v>5268</v>
      </c>
      <c r="E934" s="425" t="str">
        <f>VLOOKUP($D934,'Tabel Map Industry'!$A$2:$H$464,2,0)</f>
        <v xml:space="preserve">K.2.1.3. Persewaan Alat TRANSPORTsi Udara </v>
      </c>
      <c r="F934" s="426" t="str">
        <f>VLOOKUP($D934,'Tabel Map Industry'!$A$2:$H$464,3,0)</f>
        <v>RENTAL SERVICE</v>
      </c>
      <c r="G934" s="426" t="str">
        <f>VLOOKUP($D934,'Tabel Map Industry'!$A$2:$H$464,4,0)</f>
        <v>K.2.1.3. Persewaan Alat TRANSPORTsi Udara  - 711300</v>
      </c>
      <c r="H934" s="426" t="str">
        <f>VLOOKUP($D934,'Tabel Map Industry'!$A$2:$H$464,8,0)</f>
        <v>Jasa-jasa Dunia Usaha - Lainnya - 8900</v>
      </c>
    </row>
    <row r="935" spans="2:8" ht="30" hidden="1" x14ac:dyDescent="0.25">
      <c r="B935" s="418" t="str">
        <f t="shared" si="12"/>
        <v>Rental Service</v>
      </c>
      <c r="C935" s="418" t="str">
        <f t="shared" si="13"/>
        <v xml:space="preserve">K.2.2.1. Persewaan Mesin Pertanian dan Peralatannya </v>
      </c>
      <c r="D935" s="419" t="s">
        <v>5269</v>
      </c>
      <c r="E935" s="420" t="str">
        <f>VLOOKUP($D935,'Tabel Map Industry'!$A$2:$H$464,2,0)</f>
        <v xml:space="preserve">K.2.2.1. Persewaan Mesin Pertanian dan Peralatannya </v>
      </c>
      <c r="F935" s="421" t="str">
        <f>VLOOKUP($D935,'Tabel Map Industry'!$A$2:$H$464,3,0)</f>
        <v>RENTAL SERVICE</v>
      </c>
      <c r="G935" s="421" t="str">
        <f>VLOOKUP($D935,'Tabel Map Industry'!$A$2:$H$464,4,0)</f>
        <v>K.2.2.1. Persewaan Mesin Pertanian dan Peralatannya  - 712100</v>
      </c>
      <c r="H935" s="421" t="str">
        <f>VLOOKUP($D935,'Tabel Map Industry'!$A$2:$H$464,8,0)</f>
        <v>Jasa-jasa Dunia Usaha - Lainnya - 8900</v>
      </c>
    </row>
    <row r="936" spans="2:8" ht="45" hidden="1" x14ac:dyDescent="0.25">
      <c r="B936" s="423" t="str">
        <f t="shared" si="12"/>
        <v>Rental Service</v>
      </c>
      <c r="C936" s="423" t="str">
        <f t="shared" si="13"/>
        <v xml:space="preserve">K.2.2.3. Persewaan Mesin Kantor dan Peralatannya (Termasuk Komputer) </v>
      </c>
      <c r="D936" s="424" t="s">
        <v>5271</v>
      </c>
      <c r="E936" s="425" t="str">
        <f>VLOOKUP($D936,'Tabel Map Industry'!$A$2:$H$464,2,0)</f>
        <v xml:space="preserve">K.2.2.3. Persewaan Mesin Kantor dan Peralatannya (Termasuk Komputer) </v>
      </c>
      <c r="F936" s="426" t="str">
        <f>VLOOKUP($D936,'Tabel Map Industry'!$A$2:$H$464,3,0)</f>
        <v>RENTAL SERVICE</v>
      </c>
      <c r="G936" s="426" t="str">
        <f>VLOOKUP($D936,'Tabel Map Industry'!$A$2:$H$464,4,0)</f>
        <v>K.2.2.3. Persewaan Mesin Kantor dan Peralatannya (Termasuk Komputer)  - 712300</v>
      </c>
      <c r="H936" s="426" t="str">
        <f>VLOOKUP($D936,'Tabel Map Industry'!$A$2:$H$464,8,0)</f>
        <v>Jasa-jasa Dunia Usaha - Lainnya - 8900</v>
      </c>
    </row>
    <row r="937" spans="2:8" ht="60" hidden="1" x14ac:dyDescent="0.25">
      <c r="B937" s="418" t="str">
        <f t="shared" si="12"/>
        <v>Rental Service</v>
      </c>
      <c r="C937" s="418" t="str">
        <f t="shared" si="13"/>
        <v xml:space="preserve">K.2.3. Persewaan Barang-barang Keperluan Rumah Tangga dan Pribadi yang Tidak Diklasifikasikan di Tempat Lain </v>
      </c>
      <c r="D937" s="419" t="s">
        <v>5273</v>
      </c>
      <c r="E937" s="420" t="str">
        <f>VLOOKUP($D937,'Tabel Map Industry'!$A$2:$H$464,2,0)</f>
        <v xml:space="preserve">K.2.3. Persewaan Barang-barang Keperluan Rumah Tangga dan Pribadi yang Tidak Diklasifikasikan di Tempat Lain </v>
      </c>
      <c r="F937" s="421" t="str">
        <f>VLOOKUP($D937,'Tabel Map Industry'!$A$2:$H$464,3,0)</f>
        <v>RENTAL SERVICE</v>
      </c>
      <c r="G937" s="421" t="str">
        <f>VLOOKUP($D937,'Tabel Map Industry'!$A$2:$H$464,4,0)</f>
        <v>K.2.3. Persewaan Barang-barang Keperluan Rumah Tangga dan Pribadi yang Tidak Diklasifikasikan di Tempat Lain  - 713000</v>
      </c>
      <c r="H937" s="421" t="str">
        <f>VLOOKUP($D937,'Tabel Map Industry'!$A$2:$H$464,8,0)</f>
        <v>Jasa-jasa Dunia Usaha - Lainnya - 8900</v>
      </c>
    </row>
    <row r="938" spans="2:8" ht="30" hidden="1" x14ac:dyDescent="0.25">
      <c r="B938" s="423" t="str">
        <f t="shared" si="12"/>
        <v xml:space="preserve">Oil &amp; Gas </v>
      </c>
      <c r="C938" s="423" t="str">
        <f t="shared" si="13"/>
        <v xml:space="preserve">Perdagangan Eceran Bahan Bakar Kendaraan </v>
      </c>
      <c r="D938" s="424" t="s">
        <v>5192</v>
      </c>
      <c r="E938" s="425" t="str">
        <f>VLOOKUP($D938,'Tabel Map Industry'!$A$2:$H$464,2,0)</f>
        <v xml:space="preserve">Perdagangan Eceran Bahan Bakar Kendaraan </v>
      </c>
      <c r="F938" s="426" t="str">
        <f>VLOOKUP($D938,'Tabel Map Industry'!$A$2:$H$464,3,0)</f>
        <v xml:space="preserve">OIL &amp; GAS </v>
      </c>
      <c r="G938" s="426" t="str">
        <f>VLOOKUP($D938,'Tabel Map Industry'!$A$2:$H$464,4,0)</f>
        <v>Perdagangan Eceran Bahan Bakar Kendaraan  - 504000</v>
      </c>
      <c r="H938" s="426" t="str">
        <f>VLOOKUP($D938,'Tabel Map Industry'!$A$2:$H$464,8,0)</f>
        <v>Perdagangan Eceran - 6500</v>
      </c>
    </row>
    <row r="939" spans="2:8" ht="30" hidden="1" x14ac:dyDescent="0.25">
      <c r="B939" s="418" t="str">
        <f t="shared" si="12"/>
        <v>Telecommunication</v>
      </c>
      <c r="C939" s="418" t="str">
        <f t="shared" si="13"/>
        <v>Industri Alat Transmisi Komunikasi</v>
      </c>
      <c r="D939" s="419" t="s">
        <v>5276</v>
      </c>
      <c r="E939" s="420" t="str">
        <f>VLOOKUP($D939,'Tabel Map Industry'!$A$2:$H$464,2,0)</f>
        <v>Industri Alat Transmisi Komunikasi</v>
      </c>
      <c r="F939" s="421" t="str">
        <f>VLOOKUP($D939,'Tabel Map Industry'!$A$2:$H$464,3,0)</f>
        <v>TELECOMMUNICATION</v>
      </c>
      <c r="G939" s="421" t="str">
        <f>VLOOKUP($D939,'Tabel Map Industry'!$A$2:$H$464,4,0)</f>
        <v>Industri Alat Transmisi Komunikasi - 322000</v>
      </c>
      <c r="H939" s="421" t="str">
        <f>VLOOKUP($D939,'Tabel Map Industry'!$A$2:$H$464,8,0)</f>
        <v>Industri - Lainnya - 3990</v>
      </c>
    </row>
    <row r="940" spans="2:8" ht="30" hidden="1" x14ac:dyDescent="0.25">
      <c r="B940" s="423" t="str">
        <f t="shared" si="12"/>
        <v>Telecommunication</v>
      </c>
      <c r="C940" s="423" t="str">
        <f t="shared" si="13"/>
        <v xml:space="preserve">I.5.3. Jasa Telekomunikasi </v>
      </c>
      <c r="D940" s="424" t="s">
        <v>5278</v>
      </c>
      <c r="E940" s="425" t="str">
        <f>VLOOKUP($D940,'Tabel Map Industry'!$A$2:$H$464,2,0)</f>
        <v xml:space="preserve">I.5.3. Jasa Telekomunikasi </v>
      </c>
      <c r="F940" s="426" t="str">
        <f>VLOOKUP($D940,'Tabel Map Industry'!$A$2:$H$464,3,0)</f>
        <v>TELECOMMUNICATION</v>
      </c>
      <c r="G940" s="426" t="str">
        <f>VLOOKUP($D940,'Tabel Map Industry'!$A$2:$H$464,4,0)</f>
        <v>I.5.3. Jasa Telekomunikasi  - 643000</v>
      </c>
      <c r="H940" s="426" t="str">
        <f>VLOOKUP($D940,'Tabel Map Industry'!$A$2:$H$464,8,0)</f>
        <v>Komunikasi - 7400</v>
      </c>
    </row>
    <row r="941" spans="2:8" ht="30" hidden="1" x14ac:dyDescent="0.25">
      <c r="B941" s="418" t="str">
        <f t="shared" si="12"/>
        <v>Telecommunication</v>
      </c>
      <c r="C941" s="418" t="str">
        <f t="shared" si="13"/>
        <v>I.5.4. Telekomunikasi Khusus</v>
      </c>
      <c r="D941" s="419" t="s">
        <v>5279</v>
      </c>
      <c r="E941" s="420" t="str">
        <f>VLOOKUP($D941,'Tabel Map Industry'!$A$2:$H$464,2,0)</f>
        <v>I.5.4. Telekomunikasi Khusus</v>
      </c>
      <c r="F941" s="421" t="str">
        <f>VLOOKUP($D941,'Tabel Map Industry'!$A$2:$H$464,3,0)</f>
        <v>TELECOMMUNICATION</v>
      </c>
      <c r="G941" s="421" t="str">
        <f>VLOOKUP($D941,'Tabel Map Industry'!$A$2:$H$464,4,0)</f>
        <v>I.5.4. Telekomunikasi Khusus - 644000</v>
      </c>
      <c r="H941" s="421" t="str">
        <f>VLOOKUP($D941,'Tabel Map Industry'!$A$2:$H$464,8,0)</f>
        <v>Komunikasi - 7400</v>
      </c>
    </row>
    <row r="942" spans="2:8" ht="45" hidden="1" x14ac:dyDescent="0.25">
      <c r="B942" s="423" t="str">
        <f t="shared" si="12"/>
        <v>Transportation And Courier Service</v>
      </c>
      <c r="C942" s="423" t="str">
        <f t="shared" si="13"/>
        <v>I.5.1. Pos Nasional, Unit Pelayanan Pos dan Jasa Kurir</v>
      </c>
      <c r="D942" s="424" t="s">
        <v>5280</v>
      </c>
      <c r="E942" s="425" t="str">
        <f>VLOOKUP($D942,'Tabel Map Industry'!$A$2:$H$464,2,0)</f>
        <v>I.5.1. Pos Nasional, Unit Pelayanan Pos dan Jasa Kurir</v>
      </c>
      <c r="F942" s="426" t="str">
        <f>VLOOKUP($D942,'Tabel Map Industry'!$A$2:$H$464,3,0)</f>
        <v>TRANSPORTATION AND COURIER SERVICE</v>
      </c>
      <c r="G942" s="426" t="str">
        <f>VLOOKUP($D942,'Tabel Map Industry'!$A$2:$H$464,4,0)</f>
        <v>I.5.1. Pos Nasional, Unit Pelayanan Pos dan Jasa Kurir - 641000</v>
      </c>
      <c r="H942" s="426" t="str">
        <f>VLOOKUP($D942,'Tabel Map Industry'!$A$2:$H$464,8,0)</f>
        <v>Jasa-jasa Dunia Usaha - Lainnya - 8900</v>
      </c>
    </row>
    <row r="943" spans="2:8" ht="45" hidden="1" x14ac:dyDescent="0.25">
      <c r="B943" s="418" t="str">
        <f t="shared" si="12"/>
        <v>Transportation And Courier Service</v>
      </c>
      <c r="C943" s="418" t="str">
        <f t="shared" si="13"/>
        <v xml:space="preserve">Industri Kereta Api, Bagian-bagian dan Perlengkapannya, Serta Perbaikan Kereta Api </v>
      </c>
      <c r="D943" s="419" t="s">
        <v>5281</v>
      </c>
      <c r="E943" s="420" t="str">
        <f>VLOOKUP($D943,'Tabel Map Industry'!$A$2:$H$464,2,0)</f>
        <v xml:space="preserve">Industri Kereta Api, Bagian-bagian dan Perlengkapannya, Serta Perbaikan Kereta Api </v>
      </c>
      <c r="F943" s="421" t="str">
        <f>VLOOKUP($D943,'Tabel Map Industry'!$A$2:$H$464,3,0)</f>
        <v>TRANSPORTATION AND COURIER SERVICE</v>
      </c>
      <c r="G943" s="421" t="str">
        <f>VLOOKUP($D943,'Tabel Map Industry'!$A$2:$H$464,4,0)</f>
        <v>Industri Kereta Api, Bagian-bagian dan Perlengkapannya, Serta Perbaikan Kereta Api  - 352000</v>
      </c>
      <c r="H943" s="421" t="str">
        <f>VLOOKUP($D943,'Tabel Map Industry'!$A$2:$H$464,8,0)</f>
        <v>Industri - Lainnya - 3990</v>
      </c>
    </row>
    <row r="944" spans="2:8" ht="45" hidden="1" x14ac:dyDescent="0.25">
      <c r="B944" s="423" t="str">
        <f t="shared" si="12"/>
        <v>Transportation And Courier Service</v>
      </c>
      <c r="C944" s="423" t="str">
        <f t="shared" si="13"/>
        <v xml:space="preserve">Industri Pesawat Terbang dan Perlengkapannya Serta Perbaikan Pesawat Terbang </v>
      </c>
      <c r="D944" s="424" t="s">
        <v>5282</v>
      </c>
      <c r="E944" s="425" t="str">
        <f>VLOOKUP($D944,'Tabel Map Industry'!$A$2:$H$464,2,0)</f>
        <v xml:space="preserve">Industri Pesawat Terbang dan Perlengkapannya Serta Perbaikan Pesawat Terbang </v>
      </c>
      <c r="F944" s="426" t="str">
        <f>VLOOKUP($D944,'Tabel Map Industry'!$A$2:$H$464,3,0)</f>
        <v>TRANSPORTATION AND COURIER SERVICE</v>
      </c>
      <c r="G944" s="426" t="str">
        <f>VLOOKUP($D944,'Tabel Map Industry'!$A$2:$H$464,4,0)</f>
        <v>Industri Pesawat Terbang dan Perlengkapannya Serta Perbaikan Pesawat Terbang  - 353000</v>
      </c>
      <c r="H944" s="426" t="str">
        <f>VLOOKUP($D944,'Tabel Map Industry'!$A$2:$H$464,8,0)</f>
        <v>Industri - Lainnya - 3990</v>
      </c>
    </row>
    <row r="945" spans="2:8" ht="45" hidden="1" x14ac:dyDescent="0.25">
      <c r="B945" s="418" t="str">
        <f t="shared" si="12"/>
        <v>Transportation And Courier Service</v>
      </c>
      <c r="C945" s="418" t="str">
        <f t="shared" si="13"/>
        <v xml:space="preserve">Industri Alat Angkut yang Tidak Diklasifikasikan di Tempat Lain </v>
      </c>
      <c r="D945" s="419" t="s">
        <v>5283</v>
      </c>
      <c r="E945" s="420" t="str">
        <f>VLOOKUP($D945,'Tabel Map Industry'!$A$2:$H$464,2,0)</f>
        <v xml:space="preserve">Industri Alat Angkut yang Tidak Diklasifikasikan di Tempat Lain </v>
      </c>
      <c r="F945" s="421" t="str">
        <f>VLOOKUP($D945,'Tabel Map Industry'!$A$2:$H$464,3,0)</f>
        <v>TRANSPORTATION AND COURIER SERVICE</v>
      </c>
      <c r="G945" s="421" t="str">
        <f>VLOOKUP($D945,'Tabel Map Industry'!$A$2:$H$464,4,0)</f>
        <v>Industri Alat Angkut yang Tidak Diklasifikasikan di Tempat Lain  - 359900</v>
      </c>
      <c r="H945" s="421" t="str">
        <f>VLOOKUP($D945,'Tabel Map Industry'!$A$2:$H$464,8,0)</f>
        <v>Industri - Lainnya - 3990</v>
      </c>
    </row>
    <row r="946" spans="2:8" ht="45" hidden="1" x14ac:dyDescent="0.25">
      <c r="B946" s="423" t="str">
        <f t="shared" si="12"/>
        <v>Transportation And Courier Service</v>
      </c>
      <c r="C946" s="423" t="str">
        <f t="shared" si="13"/>
        <v xml:space="preserve">I.1.1. Angkutan Jalan Rel </v>
      </c>
      <c r="D946" s="424" t="s">
        <v>5284</v>
      </c>
      <c r="E946" s="425" t="str">
        <f>VLOOKUP($D946,'Tabel Map Industry'!$A$2:$H$464,2,0)</f>
        <v xml:space="preserve">I.1.1. Angkutan Jalan Rel </v>
      </c>
      <c r="F946" s="426" t="str">
        <f>VLOOKUP($D946,'Tabel Map Industry'!$A$2:$H$464,3,0)</f>
        <v>TRANSPORTATION AND COURIER SERVICE</v>
      </c>
      <c r="G946" s="426" t="str">
        <f>VLOOKUP($D946,'Tabel Map Industry'!$A$2:$H$464,4,0)</f>
        <v>I.1.1. Angkutan Jalan Rel  - 601000</v>
      </c>
      <c r="H946" s="426" t="str">
        <f>VLOOKUP($D946,'Tabel Map Industry'!$A$2:$H$464,8,0)</f>
        <v>Pengangkutan Umum Darat - 7110</v>
      </c>
    </row>
    <row r="947" spans="2:8" ht="45" hidden="1" x14ac:dyDescent="0.25">
      <c r="B947" s="418" t="str">
        <f t="shared" si="12"/>
        <v>Transportation And Courier Service</v>
      </c>
      <c r="C947" s="418" t="str">
        <f t="shared" si="13"/>
        <v xml:space="preserve">I.3.1. Angkutan Udara Berjadwal </v>
      </c>
      <c r="D947" s="419" t="s">
        <v>5288</v>
      </c>
      <c r="E947" s="420" t="str">
        <f>VLOOKUP($D947,'Tabel Map Industry'!$A$2:$H$464,2,0)</f>
        <v xml:space="preserve">I.3.1. Angkutan Udara Berjadwal </v>
      </c>
      <c r="F947" s="421" t="str">
        <f>VLOOKUP($D947,'Tabel Map Industry'!$A$2:$H$464,3,0)</f>
        <v>TRANSPORTATION AND COURIER SERVICE</v>
      </c>
      <c r="G947" s="421" t="str">
        <f>VLOOKUP($D947,'Tabel Map Industry'!$A$2:$H$464,4,0)</f>
        <v>I.3.1. Angkutan Udara Berjadwal  - 621000</v>
      </c>
      <c r="H947" s="421" t="str">
        <f>VLOOKUP($D947,'Tabel Map Industry'!$A$2:$H$464,8,0)</f>
        <v>Pengangkutan Umum Udara - 7140</v>
      </c>
    </row>
    <row r="948" spans="2:8" ht="45" hidden="1" x14ac:dyDescent="0.25">
      <c r="B948" s="423" t="str">
        <f t="shared" si="12"/>
        <v>Transportation And Courier Service</v>
      </c>
      <c r="C948" s="423" t="str">
        <f t="shared" si="13"/>
        <v xml:space="preserve">I.3.2. Angkutan Udara Tidak Berjadwal </v>
      </c>
      <c r="D948" s="424" t="s">
        <v>5289</v>
      </c>
      <c r="E948" s="425" t="str">
        <f>VLOOKUP($D948,'Tabel Map Industry'!$A$2:$H$464,2,0)</f>
        <v xml:space="preserve">I.3.2. Angkutan Udara Tidak Berjadwal </v>
      </c>
      <c r="F948" s="426" t="str">
        <f>VLOOKUP($D948,'Tabel Map Industry'!$A$2:$H$464,3,0)</f>
        <v>TRANSPORTATION AND COURIER SERVICE</v>
      </c>
      <c r="G948" s="426" t="str">
        <f>VLOOKUP($D948,'Tabel Map Industry'!$A$2:$H$464,4,0)</f>
        <v>I.3.2. Angkutan Udara Tidak Berjadwal  - 622000</v>
      </c>
      <c r="H948" s="426" t="str">
        <f>VLOOKUP($D948,'Tabel Map Industry'!$A$2:$H$464,8,0)</f>
        <v>Pengangkutan Umum Udara - 7140</v>
      </c>
    </row>
    <row r="949" spans="2:8" ht="45" hidden="1" x14ac:dyDescent="0.25">
      <c r="B949" s="418" t="str">
        <f t="shared" si="12"/>
        <v>Transportation And Courier Service</v>
      </c>
      <c r="C949" s="418" t="str">
        <f t="shared" si="13"/>
        <v xml:space="preserve">I.3.3. Angkutan Udara Khusus </v>
      </c>
      <c r="D949" s="419" t="s">
        <v>5290</v>
      </c>
      <c r="E949" s="420" t="str">
        <f>VLOOKUP($D949,'Tabel Map Industry'!$A$2:$H$464,2,0)</f>
        <v xml:space="preserve">I.3.3. Angkutan Udara Khusus </v>
      </c>
      <c r="F949" s="421" t="str">
        <f>VLOOKUP($D949,'Tabel Map Industry'!$A$2:$H$464,3,0)</f>
        <v>TRANSPORTATION AND COURIER SERVICE</v>
      </c>
      <c r="G949" s="421" t="str">
        <f>VLOOKUP($D949,'Tabel Map Industry'!$A$2:$H$464,4,0)</f>
        <v>I.3.3. Angkutan Udara Khusus  - 623000</v>
      </c>
      <c r="H949" s="421" t="str">
        <f>VLOOKUP($D949,'Tabel Map Industry'!$A$2:$H$464,8,0)</f>
        <v>Pengangkutan Umum Udara - 7140</v>
      </c>
    </row>
    <row r="950" spans="2:8" ht="45" hidden="1" x14ac:dyDescent="0.25">
      <c r="B950" s="423" t="str">
        <f t="shared" si="12"/>
        <v>Transportation And Courier Service</v>
      </c>
      <c r="C950" s="423" t="str">
        <f t="shared" si="13"/>
        <v xml:space="preserve">I.2.1.2. Angkutan Laut Internasional </v>
      </c>
      <c r="D950" s="424" t="s">
        <v>5293</v>
      </c>
      <c r="E950" s="425" t="str">
        <f>VLOOKUP($D950,'Tabel Map Industry'!$A$2:$H$464,2,0)</f>
        <v xml:space="preserve">I.2.1.2. Angkutan Laut Internasional </v>
      </c>
      <c r="F950" s="426" t="str">
        <f>VLOOKUP($D950,'Tabel Map Industry'!$A$2:$H$464,3,0)</f>
        <v>TRANSPORTATION AND COURIER SERVICE</v>
      </c>
      <c r="G950" s="426" t="str">
        <f>VLOOKUP($D950,'Tabel Map Industry'!$A$2:$H$464,4,0)</f>
        <v>I.2.1.2. Angkutan Laut Internasional  - 611200</v>
      </c>
      <c r="H950" s="426" t="str">
        <f>VLOOKUP($D950,'Tabel Map Industry'!$A$2:$H$464,8,0)</f>
        <v>Pengangkutan Umum Laut - 7130</v>
      </c>
    </row>
    <row r="951" spans="2:8" ht="45" hidden="1" x14ac:dyDescent="0.25">
      <c r="B951" s="418" t="str">
        <f t="shared" si="12"/>
        <v>Transportation And Courier Service</v>
      </c>
      <c r="C951" s="418" t="str">
        <f t="shared" si="13"/>
        <v xml:space="preserve">I.2.2.1. Angkutan Sungai dan Danau </v>
      </c>
      <c r="D951" s="419" t="s">
        <v>5294</v>
      </c>
      <c r="E951" s="420" t="str">
        <f>VLOOKUP($D951,'Tabel Map Industry'!$A$2:$H$464,2,0)</f>
        <v xml:space="preserve">I.2.2.1. Angkutan Sungai dan Danau </v>
      </c>
      <c r="F951" s="421" t="str">
        <f>VLOOKUP($D951,'Tabel Map Industry'!$A$2:$H$464,3,0)</f>
        <v>TRANSPORTATION AND COURIER SERVICE</v>
      </c>
      <c r="G951" s="421" t="str">
        <f>VLOOKUP($D951,'Tabel Map Industry'!$A$2:$H$464,4,0)</f>
        <v>I.2.2.1. Angkutan Sungai dan Danau  - 612100</v>
      </c>
      <c r="H951" s="421" t="str">
        <f>VLOOKUP($D951,'Tabel Map Industry'!$A$2:$H$464,8,0)</f>
        <v>Pengangkutan Umum Sungai - 7120</v>
      </c>
    </row>
    <row r="952" spans="2:8" ht="45" hidden="1" x14ac:dyDescent="0.25">
      <c r="B952" s="423" t="str">
        <f t="shared" si="12"/>
        <v>Transportation And Courier Service</v>
      </c>
      <c r="C952" s="423" t="str">
        <f t="shared" si="13"/>
        <v xml:space="preserve">I.2.2.2. Angkutan Penyeberangan Domestik </v>
      </c>
      <c r="D952" s="424" t="s">
        <v>5295</v>
      </c>
      <c r="E952" s="425" t="str">
        <f>VLOOKUP($D952,'Tabel Map Industry'!$A$2:$H$464,2,0)</f>
        <v xml:space="preserve">I.2.2.2. Angkutan Penyeberangan Domestik </v>
      </c>
      <c r="F952" s="426" t="str">
        <f>VLOOKUP($D952,'Tabel Map Industry'!$A$2:$H$464,3,0)</f>
        <v>TRANSPORTATION AND COURIER SERVICE</v>
      </c>
      <c r="G952" s="426" t="str">
        <f>VLOOKUP($D952,'Tabel Map Industry'!$A$2:$H$464,4,0)</f>
        <v>I.2.2.2. Angkutan Penyeberangan Domestik  - 612200</v>
      </c>
      <c r="H952" s="426" t="str">
        <f>VLOOKUP($D952,'Tabel Map Industry'!$A$2:$H$464,8,0)</f>
        <v>Pengangkutan Umum Laut - 7130</v>
      </c>
    </row>
    <row r="953" spans="2:8" ht="30" hidden="1" x14ac:dyDescent="0.25">
      <c r="B953" s="418" t="str">
        <f t="shared" si="12"/>
        <v>Wood Product</v>
      </c>
      <c r="C953" s="418" t="str">
        <f t="shared" si="13"/>
        <v xml:space="preserve">Pengusahaan Hutan Tanaman </v>
      </c>
      <c r="D953" s="419" t="s">
        <v>5296</v>
      </c>
      <c r="E953" s="420" t="str">
        <f>VLOOKUP($D953,'Tabel Map Industry'!$A$2:$H$464,2,0)</f>
        <v xml:space="preserve">Pengusahaan Hutan Tanaman </v>
      </c>
      <c r="F953" s="421" t="str">
        <f>VLOOKUP($D953,'Tabel Map Industry'!$A$2:$H$464,3,0)</f>
        <v>WOOD PRODUCT</v>
      </c>
      <c r="G953" s="421" t="str">
        <f>VLOOKUP($D953,'Tabel Map Industry'!$A$2:$H$464,4,0)</f>
        <v>Pengusahaan Hutan Tanaman  - 020100</v>
      </c>
      <c r="H953" s="421" t="str">
        <f>VLOOKUP($D953,'Tabel Map Industry'!$A$2:$H$464,8,0)</f>
        <v>Kehutanan dan Pemotongan Kayu (logging) - 1180</v>
      </c>
    </row>
    <row r="954" spans="2:8" ht="45" hidden="1" x14ac:dyDescent="0.25">
      <c r="B954" s="423" t="str">
        <f t="shared" si="12"/>
        <v>Wood Product</v>
      </c>
      <c r="C954" s="423" t="str">
        <f t="shared" si="13"/>
        <v xml:space="preserve">Industri Penggergajian dan Pengawetan Kayu, Rotan, Bambu, dan Sejenisnya </v>
      </c>
      <c r="D954" s="424" t="s">
        <v>5297</v>
      </c>
      <c r="E954" s="425" t="str">
        <f>VLOOKUP($D954,'Tabel Map Industry'!$A$2:$H$464,2,0)</f>
        <v xml:space="preserve">Industri Penggergajian dan Pengawetan Kayu, Rotan, Bambu, dan Sejenisnya </v>
      </c>
      <c r="F954" s="426" t="str">
        <f>VLOOKUP($D954,'Tabel Map Industry'!$A$2:$H$464,3,0)</f>
        <v>WOOD PRODUCT</v>
      </c>
      <c r="G954" s="426" t="str">
        <f>VLOOKUP($D954,'Tabel Map Industry'!$A$2:$H$464,4,0)</f>
        <v>Industri Penggergajian dan Pengawetan Kayu, Rotan, Bambu, dan Sejenisnya  - 201000</v>
      </c>
      <c r="H954" s="426" t="str">
        <f>VLOOKUP($D954,'Tabel Map Industry'!$A$2:$H$464,8,0)</f>
        <v>Industri - Lainnya - 3990</v>
      </c>
    </row>
    <row r="955" spans="2:8" ht="45" hidden="1" x14ac:dyDescent="0.25">
      <c r="B955" s="418" t="str">
        <f t="shared" si="12"/>
        <v>Wood Product</v>
      </c>
      <c r="C955" s="418" t="str">
        <f t="shared" si="13"/>
        <v>Industri Anyam-anyaman, Kerajinan, Ukiran dari Kayu, dan Industri Barang Lain dari Kayu</v>
      </c>
      <c r="D955" s="419" t="s">
        <v>5299</v>
      </c>
      <c r="E955" s="420" t="str">
        <f>VLOOKUP($D955,'Tabel Map Industry'!$A$2:$H$464,2,0)</f>
        <v>Industri Anyam-anyaman, Kerajinan, Ukiran dari Kayu, dan Industri Barang Lain dari Kayu</v>
      </c>
      <c r="F955" s="421" t="str">
        <f>VLOOKUP($D955,'Tabel Map Industry'!$A$2:$H$464,3,0)</f>
        <v>WOOD PRODUCT</v>
      </c>
      <c r="G955" s="421" t="str">
        <f>VLOOKUP($D955,'Tabel Map Industry'!$A$2:$H$464,4,0)</f>
        <v>Industri Anyam-anyaman, Kerajinan, Ukiran dari Kayu, dan Industri Barang Lain dari Kayu - 202900</v>
      </c>
      <c r="H955" s="421" t="str">
        <f>VLOOKUP($D955,'Tabel Map Industry'!$A$2:$H$464,8,0)</f>
        <v>Industri - Kayu Lainnya - 3490</v>
      </c>
    </row>
    <row r="956" spans="2:8" ht="30" hidden="1" x14ac:dyDescent="0.25">
      <c r="B956" s="423" t="str">
        <f t="shared" si="12"/>
        <v>Wood Product</v>
      </c>
      <c r="C956" s="423" t="str">
        <f t="shared" si="13"/>
        <v>Perdagangan Ekspor Kayu Lapis</v>
      </c>
      <c r="D956" s="424" t="s">
        <v>5300</v>
      </c>
      <c r="E956" s="425" t="str">
        <f>VLOOKUP($D956,'Tabel Map Industry'!$A$2:$H$464,2,0)</f>
        <v>Perdagangan Ekspor Kayu Lapis</v>
      </c>
      <c r="F956" s="426" t="str">
        <f>VLOOKUP($D956,'Tabel Map Industry'!$A$2:$H$464,3,0)</f>
        <v>WOOD PRODUCT</v>
      </c>
      <c r="G956" s="426" t="str">
        <f>VLOOKUP($D956,'Tabel Map Industry'!$A$2:$H$464,4,0)</f>
        <v>Perdagangan Ekspor Kayu Lapis - 534301</v>
      </c>
      <c r="H956" s="426" t="str">
        <f>VLOOKUP($D956,'Tabel Map Industry'!$A$2:$H$464,8,0)</f>
        <v>Ekspor Barang Jadi Kayu Lapis &amp; Sejenisnya - 6161</v>
      </c>
    </row>
    <row r="957" spans="2:8" ht="30" hidden="1" x14ac:dyDescent="0.25">
      <c r="B957" s="418" t="str">
        <f t="shared" si="12"/>
        <v>Wood Product</v>
      </c>
      <c r="C957" s="418" t="str">
        <f t="shared" si="13"/>
        <v>Perdagangan Ekspor Kayu Gergajian</v>
      </c>
      <c r="D957" s="419" t="s">
        <v>5301</v>
      </c>
      <c r="E957" s="420" t="str">
        <f>VLOOKUP($D957,'Tabel Map Industry'!$A$2:$H$464,2,0)</f>
        <v>Perdagangan Ekspor Kayu Gergajian</v>
      </c>
      <c r="F957" s="421" t="str">
        <f>VLOOKUP($D957,'Tabel Map Industry'!$A$2:$H$464,3,0)</f>
        <v>WOOD PRODUCT</v>
      </c>
      <c r="G957" s="421" t="str">
        <f>VLOOKUP($D957,'Tabel Map Industry'!$A$2:$H$464,4,0)</f>
        <v>Perdagangan Ekspor Kayu Gergajian - 539011</v>
      </c>
      <c r="H957" s="421" t="str">
        <f>VLOOKUP($D957,'Tabel Map Industry'!$A$2:$H$464,8,0)</f>
        <v>Ekspor Barang Setengah Jadi Kayu Gergajian - 6131</v>
      </c>
    </row>
    <row r="958" spans="2:8" ht="30" hidden="1" x14ac:dyDescent="0.25">
      <c r="B958" s="423" t="str">
        <f t="shared" si="12"/>
        <v>Wood Product</v>
      </c>
      <c r="C958" s="423" t="str">
        <f t="shared" si="13"/>
        <v>Perdagangan Ekspor Barang Kerajinan dari Kayu dan Rotan</v>
      </c>
      <c r="D958" s="424" t="s">
        <v>5302</v>
      </c>
      <c r="E958" s="425" t="str">
        <f>VLOOKUP($D958,'Tabel Map Industry'!$A$2:$H$464,2,0)</f>
        <v>Perdagangan Ekspor Barang Kerajinan dari Kayu dan Rotan</v>
      </c>
      <c r="F958" s="426" t="str">
        <f>VLOOKUP($D958,'Tabel Map Industry'!$A$2:$H$464,3,0)</f>
        <v>WOOD PRODUCT</v>
      </c>
      <c r="G958" s="426" t="str">
        <f>VLOOKUP($D958,'Tabel Map Industry'!$A$2:$H$464,4,0)</f>
        <v>Perdagangan Ekspor Barang Kerajinan dari Kayu dan Rotan - 539031</v>
      </c>
      <c r="H958" s="426" t="str">
        <f>VLOOKUP($D958,'Tabel Map Industry'!$A$2:$H$464,8,0)</f>
        <v>Ekspor Barang Jadi Kayu Lapis &amp; Sejenisnya - 6161</v>
      </c>
    </row>
  </sheetData>
  <sheetProtection password="EAE5" sheet="1" scenarios="1" formatCells="0" formatColumns="0" formatRows="0" sort="0" autoFilter="0"/>
  <protectedRanges>
    <protectedRange sqref="C2" name="Range1"/>
  </protectedRanges>
  <autoFilter ref="A7:H958">
    <filterColumn colId="5">
      <filters>
        <filter val="AUTOMOTIVE &amp; COMPONENT"/>
        <filter val="COAL, MINING &amp; QUARRYING"/>
        <filter val="FABRICATED METAL, STEEL &amp; OTHER BASIC INDUSTRY"/>
      </filters>
    </filterColumn>
  </autoFilter>
  <pageMargins left="0.7" right="0.7" top="0.75" bottom="0.75" header="0.3" footer="0.3"/>
  <pageSetup orientation="portrait" r:id="rId1"/>
  <drawing r:id="rId2"/>
  <legacyDrawing r:id="rId3"/>
  <controls>
    <mc:AlternateContent xmlns:mc="http://schemas.openxmlformats.org/markup-compatibility/2006">
      <mc:Choice Requires="x14">
        <control shapeId="27651" r:id="rId4" name="CommandButton1">
          <controlPr defaultSize="0" autoLine="0" r:id="rId5">
            <anchor moveWithCells="1">
              <from>
                <xdr:col>2</xdr:col>
                <xdr:colOff>2981325</xdr:colOff>
                <xdr:row>2</xdr:row>
                <xdr:rowOff>38100</xdr:rowOff>
              </from>
              <to>
                <xdr:col>3</xdr:col>
                <xdr:colOff>19050</xdr:colOff>
                <xdr:row>4</xdr:row>
                <xdr:rowOff>47625</xdr:rowOff>
              </to>
            </anchor>
          </controlPr>
        </control>
      </mc:Choice>
      <mc:Fallback>
        <control shapeId="27651" r:id="rId4" name="CommandButton1"/>
      </mc:Fallback>
    </mc:AlternateContent>
  </control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M464"/>
  <sheetViews>
    <sheetView topLeftCell="A322" zoomScale="85" zoomScaleNormal="85" workbookViewId="0">
      <selection activeCell="D330" sqref="D323:D330"/>
    </sheetView>
  </sheetViews>
  <sheetFormatPr defaultRowHeight="15" x14ac:dyDescent="0.25"/>
  <cols>
    <col min="1" max="1" width="12.85546875" customWidth="1"/>
    <col min="2" max="2" width="31.28515625" style="8" customWidth="1"/>
    <col min="3" max="3" width="40.28515625" customWidth="1"/>
    <col min="4" max="4" width="56" style="8" customWidth="1"/>
    <col min="5" max="5" width="26" customWidth="1"/>
    <col min="6" max="6" width="10.42578125" customWidth="1"/>
    <col min="7" max="7" width="88.85546875" customWidth="1"/>
    <col min="8" max="8" width="94.5703125" style="408" bestFit="1" customWidth="1"/>
    <col min="9" max="9" width="8.85546875" style="408" customWidth="1"/>
    <col min="10" max="10" width="48.42578125" customWidth="1"/>
    <col min="12" max="12" width="26" customWidth="1"/>
    <col min="13" max="13" width="100.85546875" bestFit="1" customWidth="1"/>
  </cols>
  <sheetData>
    <row r="1" spans="1:13" ht="30.75" customHeight="1" x14ac:dyDescent="0.25">
      <c r="A1" s="540" t="s">
        <v>7622</v>
      </c>
      <c r="B1" s="541" t="s">
        <v>4329</v>
      </c>
      <c r="C1" s="530" t="s">
        <v>4330</v>
      </c>
      <c r="D1" s="530" t="s">
        <v>7625</v>
      </c>
      <c r="E1" s="530" t="s">
        <v>4331</v>
      </c>
      <c r="F1" s="411" t="s">
        <v>7623</v>
      </c>
      <c r="G1" s="411" t="s">
        <v>6121</v>
      </c>
      <c r="H1" s="411" t="s">
        <v>7626</v>
      </c>
      <c r="I1" s="559"/>
      <c r="J1" s="403" t="s">
        <v>4330</v>
      </c>
      <c r="L1" s="530" t="s">
        <v>7881</v>
      </c>
      <c r="M1" s="411" t="s">
        <v>7626</v>
      </c>
    </row>
    <row r="2" spans="1:13" x14ac:dyDescent="0.25">
      <c r="A2" s="531" t="s">
        <v>4841</v>
      </c>
      <c r="B2" s="531" t="s">
        <v>4332</v>
      </c>
      <c r="C2" s="532" t="s">
        <v>4333</v>
      </c>
      <c r="D2" s="533" t="s">
        <v>5304</v>
      </c>
      <c r="E2" s="532" t="s">
        <v>4334</v>
      </c>
      <c r="F2" s="534" t="s">
        <v>5877</v>
      </c>
      <c r="G2" s="534" t="s">
        <v>5878</v>
      </c>
      <c r="H2" s="534" t="s">
        <v>6122</v>
      </c>
      <c r="I2" s="408" t="str">
        <f>VLOOKUP(A2,'Sandi BI Existing Debitur'!$D$8:$D$592,1,0)</f>
        <v>153300</v>
      </c>
      <c r="J2" s="427" t="s">
        <v>4333</v>
      </c>
      <c r="L2" s="532" t="s">
        <v>4334</v>
      </c>
      <c r="M2" s="534" t="s">
        <v>6139</v>
      </c>
    </row>
    <row r="3" spans="1:13" ht="25.5" x14ac:dyDescent="0.25">
      <c r="A3" s="531" t="s">
        <v>4842</v>
      </c>
      <c r="B3" s="531" t="s">
        <v>4335</v>
      </c>
      <c r="C3" s="532" t="s">
        <v>4333</v>
      </c>
      <c r="D3" s="533" t="s">
        <v>5305</v>
      </c>
      <c r="E3" s="532" t="s">
        <v>4334</v>
      </c>
      <c r="F3" s="534" t="s">
        <v>5821</v>
      </c>
      <c r="G3" s="534" t="s">
        <v>5822</v>
      </c>
      <c r="H3" s="534" t="s">
        <v>6123</v>
      </c>
      <c r="I3" s="408" t="e">
        <f>VLOOKUP(A3,'Sandi BI Existing Debitur'!$D$8:$D$592,1,0)</f>
        <v>#N/A</v>
      </c>
      <c r="J3" s="404" t="s">
        <v>4391</v>
      </c>
      <c r="L3" s="532" t="s">
        <v>4334</v>
      </c>
      <c r="M3" s="534" t="s">
        <v>6143</v>
      </c>
    </row>
    <row r="4" spans="1:13" ht="25.5" x14ac:dyDescent="0.25">
      <c r="A4" s="531" t="s">
        <v>4843</v>
      </c>
      <c r="B4" s="531" t="s">
        <v>4336</v>
      </c>
      <c r="C4" s="532" t="s">
        <v>4333</v>
      </c>
      <c r="D4" s="533" t="s">
        <v>5306</v>
      </c>
      <c r="E4" s="532" t="s">
        <v>4334</v>
      </c>
      <c r="F4" s="534" t="s">
        <v>5823</v>
      </c>
      <c r="G4" s="534" t="s">
        <v>5824</v>
      </c>
      <c r="H4" s="534" t="s">
        <v>6124</v>
      </c>
      <c r="I4" s="408" t="e">
        <f>VLOOKUP(A4,'Sandi BI Existing Debitur'!$D$8:$D$592,1,0)</f>
        <v>#N/A</v>
      </c>
      <c r="J4" s="404" t="s">
        <v>5473</v>
      </c>
      <c r="L4" s="532" t="s">
        <v>4334</v>
      </c>
      <c r="M4" s="534" t="s">
        <v>6142</v>
      </c>
    </row>
    <row r="5" spans="1:13" ht="25.5" x14ac:dyDescent="0.25">
      <c r="A5" s="531" t="s">
        <v>4844</v>
      </c>
      <c r="B5" s="531" t="s">
        <v>4337</v>
      </c>
      <c r="C5" s="532" t="s">
        <v>4333</v>
      </c>
      <c r="D5" s="533" t="s">
        <v>5307</v>
      </c>
      <c r="E5" s="532" t="s">
        <v>4334</v>
      </c>
      <c r="F5" s="534" t="s">
        <v>5823</v>
      </c>
      <c r="G5" s="534" t="s">
        <v>5824</v>
      </c>
      <c r="H5" s="534" t="s">
        <v>6124</v>
      </c>
      <c r="I5" s="408" t="e">
        <f>VLOOKUP(A5,'Sandi BI Existing Debitur'!$D$8:$D$592,1,0)</f>
        <v>#N/A</v>
      </c>
      <c r="J5" s="404" t="s">
        <v>4840</v>
      </c>
      <c r="L5" s="532" t="s">
        <v>4334</v>
      </c>
      <c r="M5" s="534" t="s">
        <v>6140</v>
      </c>
    </row>
    <row r="6" spans="1:13" x14ac:dyDescent="0.25">
      <c r="A6" s="531" t="s">
        <v>4845</v>
      </c>
      <c r="B6" s="531" t="s">
        <v>4338</v>
      </c>
      <c r="C6" s="532" t="s">
        <v>4333</v>
      </c>
      <c r="D6" s="533" t="s">
        <v>5308</v>
      </c>
      <c r="E6" s="532" t="s">
        <v>4334</v>
      </c>
      <c r="F6" s="534" t="s">
        <v>5823</v>
      </c>
      <c r="G6" s="534" t="s">
        <v>5824</v>
      </c>
      <c r="H6" s="534" t="s">
        <v>6124</v>
      </c>
      <c r="I6" s="408" t="e">
        <f>VLOOKUP(A6,'Sandi BI Existing Debitur'!$D$8:$D$592,1,0)</f>
        <v>#N/A</v>
      </c>
      <c r="J6" s="427" t="s">
        <v>4420</v>
      </c>
      <c r="L6" s="532" t="s">
        <v>4334</v>
      </c>
      <c r="M6" s="534" t="s">
        <v>6141</v>
      </c>
    </row>
    <row r="7" spans="1:13" x14ac:dyDescent="0.25">
      <c r="A7" s="531" t="s">
        <v>4846</v>
      </c>
      <c r="B7" s="531" t="s">
        <v>4339</v>
      </c>
      <c r="C7" s="532" t="s">
        <v>4333</v>
      </c>
      <c r="D7" s="533" t="s">
        <v>5309</v>
      </c>
      <c r="E7" s="532" t="s">
        <v>4334</v>
      </c>
      <c r="F7" s="534" t="s">
        <v>5825</v>
      </c>
      <c r="G7" s="534" t="s">
        <v>5826</v>
      </c>
      <c r="H7" s="534" t="s">
        <v>6125</v>
      </c>
      <c r="I7" s="408" t="str">
        <f>VLOOKUP(A7,'Sandi BI Existing Debitur'!$D$8:$D$592,1,0)</f>
        <v>012291</v>
      </c>
      <c r="J7" s="404" t="s">
        <v>4825</v>
      </c>
      <c r="L7" s="532" t="s">
        <v>4334</v>
      </c>
      <c r="M7" s="534" t="s">
        <v>6146</v>
      </c>
    </row>
    <row r="8" spans="1:13" ht="38.25" x14ac:dyDescent="0.25">
      <c r="A8" s="531" t="s">
        <v>4847</v>
      </c>
      <c r="B8" s="531" t="s">
        <v>4340</v>
      </c>
      <c r="C8" s="532" t="s">
        <v>4333</v>
      </c>
      <c r="D8" s="533" t="s">
        <v>5310</v>
      </c>
      <c r="E8" s="532" t="s">
        <v>4334</v>
      </c>
      <c r="F8" s="534" t="s">
        <v>5823</v>
      </c>
      <c r="G8" s="534" t="s">
        <v>5824</v>
      </c>
      <c r="H8" s="534" t="s">
        <v>6124</v>
      </c>
      <c r="I8" s="408" t="e">
        <f>VLOOKUP(A8,'Sandi BI Existing Debitur'!$D$8:$D$592,1,0)</f>
        <v>#N/A</v>
      </c>
      <c r="J8" s="404" t="s">
        <v>4482</v>
      </c>
      <c r="L8" s="532" t="s">
        <v>4334</v>
      </c>
      <c r="M8" s="534" t="s">
        <v>6147</v>
      </c>
    </row>
    <row r="9" spans="1:13" ht="25.5" x14ac:dyDescent="0.25">
      <c r="A9" s="531" t="s">
        <v>4848</v>
      </c>
      <c r="B9" s="531" t="s">
        <v>4341</v>
      </c>
      <c r="C9" s="532" t="s">
        <v>4333</v>
      </c>
      <c r="D9" s="533" t="s">
        <v>5311</v>
      </c>
      <c r="E9" s="532" t="s">
        <v>4334</v>
      </c>
      <c r="F9" s="534" t="s">
        <v>5829</v>
      </c>
      <c r="G9" s="534" t="s">
        <v>5830</v>
      </c>
      <c r="H9" s="534" t="s">
        <v>6126</v>
      </c>
      <c r="I9" s="408" t="e">
        <f>VLOOKUP(A9,'Sandi BI Existing Debitur'!$D$8:$D$592,1,0)</f>
        <v>#N/A</v>
      </c>
      <c r="J9" s="404" t="s">
        <v>4513</v>
      </c>
      <c r="L9" s="532" t="s">
        <v>4334</v>
      </c>
      <c r="M9" s="534" t="s">
        <v>6144</v>
      </c>
    </row>
    <row r="10" spans="1:13" x14ac:dyDescent="0.25">
      <c r="A10" s="531" t="s">
        <v>4849</v>
      </c>
      <c r="B10" s="531" t="s">
        <v>4342</v>
      </c>
      <c r="C10" s="532" t="s">
        <v>4333</v>
      </c>
      <c r="D10" s="533" t="s">
        <v>5312</v>
      </c>
      <c r="E10" s="532" t="s">
        <v>4334</v>
      </c>
      <c r="F10" s="534" t="s">
        <v>5865</v>
      </c>
      <c r="G10" s="534" t="s">
        <v>5866</v>
      </c>
      <c r="H10" s="534" t="s">
        <v>6127</v>
      </c>
      <c r="I10" s="408" t="e">
        <f>VLOOKUP(A10,'Sandi BI Existing Debitur'!$D$8:$D$592,1,0)</f>
        <v>#N/A</v>
      </c>
      <c r="J10" s="404" t="s">
        <v>7632</v>
      </c>
      <c r="L10" s="532" t="s">
        <v>4334</v>
      </c>
      <c r="M10" s="534" t="s">
        <v>6145</v>
      </c>
    </row>
    <row r="11" spans="1:13" ht="25.5" x14ac:dyDescent="0.25">
      <c r="A11" s="531" t="s">
        <v>4850</v>
      </c>
      <c r="B11" s="531" t="s">
        <v>4343</v>
      </c>
      <c r="C11" s="532" t="s">
        <v>4333</v>
      </c>
      <c r="D11" s="533" t="s">
        <v>5313</v>
      </c>
      <c r="E11" s="532" t="s">
        <v>4334</v>
      </c>
      <c r="F11" s="534" t="s">
        <v>5973</v>
      </c>
      <c r="G11" s="534" t="s">
        <v>5974</v>
      </c>
      <c r="H11" s="534" t="s">
        <v>6128</v>
      </c>
      <c r="I11" s="408" t="str">
        <f>VLOOKUP(A11,'Sandi BI Existing Debitur'!$D$8:$D$592,1,0)</f>
        <v>512120</v>
      </c>
      <c r="J11" s="404" t="s">
        <v>7633</v>
      </c>
      <c r="L11" s="532" t="s">
        <v>4334</v>
      </c>
      <c r="M11" s="534" t="s">
        <v>6131</v>
      </c>
    </row>
    <row r="12" spans="1:13" x14ac:dyDescent="0.25">
      <c r="A12" s="531" t="s">
        <v>4851</v>
      </c>
      <c r="B12" s="531" t="s">
        <v>4344</v>
      </c>
      <c r="C12" s="532" t="s">
        <v>4333</v>
      </c>
      <c r="D12" s="533" t="s">
        <v>5314</v>
      </c>
      <c r="E12" s="532" t="s">
        <v>4334</v>
      </c>
      <c r="F12" s="534" t="s">
        <v>6003</v>
      </c>
      <c r="G12" s="534" t="s">
        <v>6004</v>
      </c>
      <c r="H12" s="534" t="s">
        <v>6129</v>
      </c>
      <c r="I12" s="408" t="e">
        <f>VLOOKUP(A12,'Sandi BI Existing Debitur'!$D$8:$D$592,1,0)</f>
        <v>#N/A</v>
      </c>
      <c r="J12" s="404" t="s">
        <v>7699</v>
      </c>
      <c r="L12" s="532" t="s">
        <v>4334</v>
      </c>
      <c r="M12" s="534" t="s">
        <v>6130</v>
      </c>
    </row>
    <row r="13" spans="1:13" x14ac:dyDescent="0.25">
      <c r="A13" s="531" t="s">
        <v>4852</v>
      </c>
      <c r="B13" s="531" t="s">
        <v>4345</v>
      </c>
      <c r="C13" s="532" t="s">
        <v>4333</v>
      </c>
      <c r="D13" s="533" t="s">
        <v>5315</v>
      </c>
      <c r="E13" s="532" t="s">
        <v>4334</v>
      </c>
      <c r="F13" s="534" t="s">
        <v>5835</v>
      </c>
      <c r="G13" s="534" t="s">
        <v>5836</v>
      </c>
      <c r="H13" s="534" t="s">
        <v>6130</v>
      </c>
      <c r="I13" s="408" t="e">
        <f>VLOOKUP(A13,'Sandi BI Existing Debitur'!$D$8:$D$592,1,0)</f>
        <v>#N/A</v>
      </c>
      <c r="J13" s="404" t="s">
        <v>4838</v>
      </c>
      <c r="L13" s="532" t="s">
        <v>4334</v>
      </c>
      <c r="M13" s="534" t="s">
        <v>6132</v>
      </c>
    </row>
    <row r="14" spans="1:13" x14ac:dyDescent="0.25">
      <c r="A14" s="531" t="s">
        <v>4853</v>
      </c>
      <c r="B14" s="531" t="s">
        <v>4346</v>
      </c>
      <c r="C14" s="532" t="s">
        <v>4333</v>
      </c>
      <c r="D14" s="533" t="s">
        <v>5316</v>
      </c>
      <c r="E14" s="532" t="s">
        <v>4334</v>
      </c>
      <c r="F14" s="534" t="s">
        <v>5835</v>
      </c>
      <c r="G14" s="534" t="s">
        <v>5836</v>
      </c>
      <c r="H14" s="534" t="s">
        <v>6130</v>
      </c>
      <c r="I14" s="408" t="e">
        <f>VLOOKUP(A14,'Sandi BI Existing Debitur'!$D$8:$D$592,1,0)</f>
        <v>#N/A</v>
      </c>
      <c r="J14" s="404" t="s">
        <v>4837</v>
      </c>
      <c r="L14" s="532" t="s">
        <v>4334</v>
      </c>
      <c r="M14" s="534" t="s">
        <v>6133</v>
      </c>
    </row>
    <row r="15" spans="1:13" x14ac:dyDescent="0.25">
      <c r="A15" s="531" t="s">
        <v>4854</v>
      </c>
      <c r="B15" s="531" t="s">
        <v>4347</v>
      </c>
      <c r="C15" s="532" t="s">
        <v>4333</v>
      </c>
      <c r="D15" s="533" t="s">
        <v>5317</v>
      </c>
      <c r="E15" s="532" t="s">
        <v>4334</v>
      </c>
      <c r="F15" s="534" t="s">
        <v>5837</v>
      </c>
      <c r="G15" s="534" t="s">
        <v>5838</v>
      </c>
      <c r="H15" s="534" t="s">
        <v>6131</v>
      </c>
      <c r="I15" s="408" t="e">
        <f>VLOOKUP(A15,'Sandi BI Existing Debitur'!$D$8:$D$592,1,0)</f>
        <v>#N/A</v>
      </c>
      <c r="J15" s="404" t="s">
        <v>4605</v>
      </c>
      <c r="L15" s="532" t="s">
        <v>4334</v>
      </c>
      <c r="M15" s="534" t="s">
        <v>6134</v>
      </c>
    </row>
    <row r="16" spans="1:13" ht="25.5" x14ac:dyDescent="0.25">
      <c r="A16" s="531" t="s">
        <v>4855</v>
      </c>
      <c r="B16" s="531" t="s">
        <v>4348</v>
      </c>
      <c r="C16" s="532" t="s">
        <v>4333</v>
      </c>
      <c r="D16" s="533" t="s">
        <v>5318</v>
      </c>
      <c r="E16" s="532" t="s">
        <v>4334</v>
      </c>
      <c r="F16" s="534" t="s">
        <v>5835</v>
      </c>
      <c r="G16" s="534" t="s">
        <v>5836</v>
      </c>
      <c r="H16" s="534" t="s">
        <v>6130</v>
      </c>
      <c r="I16" s="408" t="e">
        <f>VLOOKUP(A16,'Sandi BI Existing Debitur'!$D$8:$D$592,1,0)</f>
        <v>#N/A</v>
      </c>
      <c r="J16" s="404" t="s">
        <v>4826</v>
      </c>
      <c r="L16" s="532" t="s">
        <v>4334</v>
      </c>
      <c r="M16" s="534" t="s">
        <v>6135</v>
      </c>
    </row>
    <row r="17" spans="1:13" x14ac:dyDescent="0.25">
      <c r="A17" s="531" t="s">
        <v>4856</v>
      </c>
      <c r="B17" s="531" t="s">
        <v>136</v>
      </c>
      <c r="C17" s="532" t="s">
        <v>4333</v>
      </c>
      <c r="D17" s="533" t="s">
        <v>7636</v>
      </c>
      <c r="E17" s="532" t="s">
        <v>4334</v>
      </c>
      <c r="F17" s="534" t="s">
        <v>5835</v>
      </c>
      <c r="G17" s="534" t="s">
        <v>5836</v>
      </c>
      <c r="H17" s="534" t="s">
        <v>6130</v>
      </c>
      <c r="I17" s="408" t="e">
        <f>VLOOKUP(A17,'Sandi BI Existing Debitur'!$D$8:$D$592,1,0)</f>
        <v>#N/A</v>
      </c>
      <c r="J17" s="404" t="s">
        <v>4657</v>
      </c>
      <c r="L17" s="532" t="s">
        <v>4334</v>
      </c>
      <c r="M17" s="534" t="s">
        <v>6125</v>
      </c>
    </row>
    <row r="18" spans="1:13" x14ac:dyDescent="0.25">
      <c r="A18" s="531" t="s">
        <v>4857</v>
      </c>
      <c r="B18" s="531" t="s">
        <v>4349</v>
      </c>
      <c r="C18" s="532" t="s">
        <v>4333</v>
      </c>
      <c r="D18" s="533" t="s">
        <v>5319</v>
      </c>
      <c r="E18" s="532" t="s">
        <v>4334</v>
      </c>
      <c r="F18" s="534" t="s">
        <v>5835</v>
      </c>
      <c r="G18" s="534" t="s">
        <v>5836</v>
      </c>
      <c r="H18" s="534" t="s">
        <v>6130</v>
      </c>
      <c r="I18" s="408" t="e">
        <f>VLOOKUP(A18,'Sandi BI Existing Debitur'!$D$8:$D$592,1,0)</f>
        <v>#N/A</v>
      </c>
      <c r="J18" s="427" t="s">
        <v>4835</v>
      </c>
      <c r="L18" s="532" t="s">
        <v>4334</v>
      </c>
      <c r="M18" s="534" t="s">
        <v>6123</v>
      </c>
    </row>
    <row r="19" spans="1:13" x14ac:dyDescent="0.25">
      <c r="A19" s="531" t="s">
        <v>4858</v>
      </c>
      <c r="B19" s="531" t="s">
        <v>4350</v>
      </c>
      <c r="C19" s="532" t="s">
        <v>4333</v>
      </c>
      <c r="D19" s="533" t="s">
        <v>5320</v>
      </c>
      <c r="E19" s="532" t="s">
        <v>4334</v>
      </c>
      <c r="F19" s="534" t="s">
        <v>5835</v>
      </c>
      <c r="G19" s="534" t="s">
        <v>5836</v>
      </c>
      <c r="H19" s="534" t="s">
        <v>6130</v>
      </c>
      <c r="I19" s="408" t="e">
        <f>VLOOKUP(A19,'Sandi BI Existing Debitur'!$D$8:$D$592,1,0)</f>
        <v>#N/A</v>
      </c>
      <c r="J19" s="404" t="s">
        <v>4834</v>
      </c>
      <c r="L19" s="532" t="s">
        <v>4334</v>
      </c>
      <c r="M19" s="534" t="s">
        <v>6124</v>
      </c>
    </row>
    <row r="20" spans="1:13" x14ac:dyDescent="0.25">
      <c r="A20" s="531" t="s">
        <v>4859</v>
      </c>
      <c r="B20" s="531" t="s">
        <v>4351</v>
      </c>
      <c r="C20" s="532" t="s">
        <v>4333</v>
      </c>
      <c r="D20" s="533" t="s">
        <v>5321</v>
      </c>
      <c r="E20" s="532" t="s">
        <v>4334</v>
      </c>
      <c r="F20" s="534" t="s">
        <v>5835</v>
      </c>
      <c r="G20" s="534" t="s">
        <v>5836</v>
      </c>
      <c r="H20" s="534" t="s">
        <v>6130</v>
      </c>
      <c r="I20" s="408" t="e">
        <f>VLOOKUP(A20,'Sandi BI Existing Debitur'!$D$8:$D$592,1,0)</f>
        <v>#N/A</v>
      </c>
      <c r="J20" s="404" t="s">
        <v>4833</v>
      </c>
      <c r="L20" s="532" t="s">
        <v>4334</v>
      </c>
      <c r="M20" s="534" t="s">
        <v>6126</v>
      </c>
    </row>
    <row r="21" spans="1:13" x14ac:dyDescent="0.25">
      <c r="A21" s="531" t="s">
        <v>4860</v>
      </c>
      <c r="B21" s="531" t="s">
        <v>4352</v>
      </c>
      <c r="C21" s="532" t="s">
        <v>4333</v>
      </c>
      <c r="D21" s="533" t="s">
        <v>5322</v>
      </c>
      <c r="E21" s="532" t="s">
        <v>4334</v>
      </c>
      <c r="F21" s="534" t="s">
        <v>5835</v>
      </c>
      <c r="G21" s="534" t="s">
        <v>5836</v>
      </c>
      <c r="H21" s="534" t="s">
        <v>6130</v>
      </c>
      <c r="I21" s="408" t="e">
        <f>VLOOKUP(A21,'Sandi BI Existing Debitur'!$D$8:$D$592,1,0)</f>
        <v>#N/A</v>
      </c>
      <c r="J21" s="404" t="s">
        <v>4832</v>
      </c>
      <c r="L21" s="532" t="s">
        <v>4334</v>
      </c>
      <c r="M21" s="534" t="s">
        <v>6136</v>
      </c>
    </row>
    <row r="22" spans="1:13" x14ac:dyDescent="0.25">
      <c r="A22" s="531" t="s">
        <v>4861</v>
      </c>
      <c r="B22" s="531" t="s">
        <v>4353</v>
      </c>
      <c r="C22" s="532" t="s">
        <v>4333</v>
      </c>
      <c r="D22" s="533" t="s">
        <v>5323</v>
      </c>
      <c r="E22" s="532" t="s">
        <v>4334</v>
      </c>
      <c r="F22" s="534" t="s">
        <v>5835</v>
      </c>
      <c r="G22" s="534" t="s">
        <v>5836</v>
      </c>
      <c r="H22" s="534" t="s">
        <v>6130</v>
      </c>
      <c r="I22" s="408" t="e">
        <f>VLOOKUP(A22,'Sandi BI Existing Debitur'!$D$8:$D$592,1,0)</f>
        <v>#N/A</v>
      </c>
      <c r="J22" s="404" t="s">
        <v>4824</v>
      </c>
      <c r="L22" s="532" t="s">
        <v>4334</v>
      </c>
      <c r="M22" s="534" t="s">
        <v>6122</v>
      </c>
    </row>
    <row r="23" spans="1:13" x14ac:dyDescent="0.25">
      <c r="A23" s="531" t="s">
        <v>4862</v>
      </c>
      <c r="B23" s="531" t="s">
        <v>4354</v>
      </c>
      <c r="C23" s="532" t="s">
        <v>4333</v>
      </c>
      <c r="D23" s="533" t="s">
        <v>5324</v>
      </c>
      <c r="E23" s="532" t="s">
        <v>4334</v>
      </c>
      <c r="F23" s="534" t="s">
        <v>5835</v>
      </c>
      <c r="G23" s="534" t="s">
        <v>5836</v>
      </c>
      <c r="H23" s="534" t="s">
        <v>6130</v>
      </c>
      <c r="I23" s="408" t="e">
        <f>VLOOKUP(A23,'Sandi BI Existing Debitur'!$D$8:$D$592,1,0)</f>
        <v>#N/A</v>
      </c>
      <c r="J23" s="427" t="s">
        <v>4734</v>
      </c>
      <c r="L23" s="532" t="s">
        <v>4334</v>
      </c>
      <c r="M23" s="534" t="s">
        <v>6127</v>
      </c>
    </row>
    <row r="24" spans="1:13" ht="26.25" x14ac:dyDescent="0.25">
      <c r="A24" s="531" t="s">
        <v>4863</v>
      </c>
      <c r="B24" s="531" t="s">
        <v>4355</v>
      </c>
      <c r="C24" s="532" t="s">
        <v>4333</v>
      </c>
      <c r="D24" s="533" t="s">
        <v>5325</v>
      </c>
      <c r="E24" s="532" t="s">
        <v>4334</v>
      </c>
      <c r="F24" s="534" t="s">
        <v>5835</v>
      </c>
      <c r="G24" s="534" t="s">
        <v>5836</v>
      </c>
      <c r="H24" s="534" t="s">
        <v>6130</v>
      </c>
      <c r="I24" s="408" t="e">
        <f>VLOOKUP(A24,'Sandi BI Existing Debitur'!$D$8:$D$592,1,0)</f>
        <v>#N/A</v>
      </c>
      <c r="J24" s="404" t="s">
        <v>4831</v>
      </c>
      <c r="L24" s="532" t="s">
        <v>4334</v>
      </c>
      <c r="M24" s="534" t="s">
        <v>6137</v>
      </c>
    </row>
    <row r="25" spans="1:13" x14ac:dyDescent="0.25">
      <c r="A25" s="531" t="s">
        <v>4864</v>
      </c>
      <c r="B25" s="531" t="s">
        <v>4356</v>
      </c>
      <c r="C25" s="532" t="s">
        <v>4333</v>
      </c>
      <c r="D25" s="533" t="s">
        <v>5326</v>
      </c>
      <c r="E25" s="532" t="s">
        <v>4334</v>
      </c>
      <c r="F25" s="534" t="s">
        <v>5839</v>
      </c>
      <c r="G25" s="534" t="s">
        <v>5840</v>
      </c>
      <c r="H25" s="534" t="s">
        <v>6132</v>
      </c>
      <c r="I25" s="408" t="e">
        <f>VLOOKUP(A25,'Sandi BI Existing Debitur'!$D$8:$D$592,1,0)</f>
        <v>#N/A</v>
      </c>
      <c r="J25" s="404" t="s">
        <v>4827</v>
      </c>
      <c r="L25" s="532" t="s">
        <v>4334</v>
      </c>
      <c r="M25" s="534" t="s">
        <v>6129</v>
      </c>
    </row>
    <row r="26" spans="1:13" x14ac:dyDescent="0.25">
      <c r="A26" s="531" t="s">
        <v>4865</v>
      </c>
      <c r="B26" s="531" t="s">
        <v>4357</v>
      </c>
      <c r="C26" s="532" t="s">
        <v>4333</v>
      </c>
      <c r="D26" s="533" t="s">
        <v>5327</v>
      </c>
      <c r="E26" s="532" t="s">
        <v>4334</v>
      </c>
      <c r="F26" s="534" t="s">
        <v>5841</v>
      </c>
      <c r="G26" s="534" t="s">
        <v>5842</v>
      </c>
      <c r="H26" s="534" t="s">
        <v>6133</v>
      </c>
      <c r="I26" s="408" t="e">
        <f>VLOOKUP(A26,'Sandi BI Existing Debitur'!$D$8:$D$592,1,0)</f>
        <v>#N/A</v>
      </c>
      <c r="J26" s="404" t="s">
        <v>4764</v>
      </c>
      <c r="L26" s="532" t="s">
        <v>4334</v>
      </c>
      <c r="M26" s="534" t="s">
        <v>6138</v>
      </c>
    </row>
    <row r="27" spans="1:13" x14ac:dyDescent="0.25">
      <c r="A27" s="531" t="s">
        <v>4866</v>
      </c>
      <c r="B27" s="531" t="s">
        <v>4358</v>
      </c>
      <c r="C27" s="532" t="s">
        <v>4333</v>
      </c>
      <c r="D27" s="533" t="s">
        <v>5328</v>
      </c>
      <c r="E27" s="532" t="s">
        <v>4334</v>
      </c>
      <c r="F27" s="534" t="s">
        <v>5843</v>
      </c>
      <c r="G27" s="534" t="s">
        <v>5844</v>
      </c>
      <c r="H27" s="534" t="s">
        <v>6134</v>
      </c>
      <c r="I27" s="408" t="e">
        <f>VLOOKUP(A27,'Sandi BI Existing Debitur'!$D$8:$D$592,1,0)</f>
        <v>#N/A</v>
      </c>
      <c r="J27" s="404" t="s">
        <v>4830</v>
      </c>
      <c r="L27" s="532" t="s">
        <v>4334</v>
      </c>
      <c r="M27" s="534" t="s">
        <v>6128</v>
      </c>
    </row>
    <row r="28" spans="1:13" x14ac:dyDescent="0.25">
      <c r="A28" s="531" t="s">
        <v>4867</v>
      </c>
      <c r="B28" s="531" t="s">
        <v>4359</v>
      </c>
      <c r="C28" s="532" t="s">
        <v>4333</v>
      </c>
      <c r="D28" s="533" t="s">
        <v>5329</v>
      </c>
      <c r="E28" s="532" t="s">
        <v>4334</v>
      </c>
      <c r="F28" s="534" t="s">
        <v>5841</v>
      </c>
      <c r="G28" s="534" t="s">
        <v>5842</v>
      </c>
      <c r="H28" s="534" t="s">
        <v>6133</v>
      </c>
      <c r="I28" s="408" t="e">
        <f>VLOOKUP(A28,'Sandi BI Existing Debitur'!$D$8:$D$592,1,0)</f>
        <v>#N/A</v>
      </c>
      <c r="J28" s="404" t="s">
        <v>4829</v>
      </c>
      <c r="L28" s="532" t="s">
        <v>4392</v>
      </c>
      <c r="M28" s="534" t="s">
        <v>6127</v>
      </c>
    </row>
    <row r="29" spans="1:13" ht="25.5" x14ac:dyDescent="0.25">
      <c r="A29" s="531" t="s">
        <v>4868</v>
      </c>
      <c r="B29" s="531" t="s">
        <v>4360</v>
      </c>
      <c r="C29" s="532" t="s">
        <v>4333</v>
      </c>
      <c r="D29" s="533" t="s">
        <v>5330</v>
      </c>
      <c r="E29" s="532" t="s">
        <v>4334</v>
      </c>
      <c r="F29" s="534" t="s">
        <v>5845</v>
      </c>
      <c r="G29" s="534" t="s">
        <v>5846</v>
      </c>
      <c r="H29" s="534" t="s">
        <v>6135</v>
      </c>
      <c r="I29" s="408" t="e">
        <f>VLOOKUP(A29,'Sandi BI Existing Debitur'!$D$8:$D$592,1,0)</f>
        <v>#N/A</v>
      </c>
      <c r="J29" s="404" t="s">
        <v>4828</v>
      </c>
      <c r="L29" s="532" t="s">
        <v>4392</v>
      </c>
      <c r="M29" s="534" t="s">
        <v>6149</v>
      </c>
    </row>
    <row r="30" spans="1:13" x14ac:dyDescent="0.25">
      <c r="A30" s="531" t="s">
        <v>4869</v>
      </c>
      <c r="B30" s="531" t="s">
        <v>4361</v>
      </c>
      <c r="C30" s="532" t="s">
        <v>4333</v>
      </c>
      <c r="D30" s="533" t="s">
        <v>5331</v>
      </c>
      <c r="E30" s="532" t="s">
        <v>4334</v>
      </c>
      <c r="F30" s="534" t="s">
        <v>5847</v>
      </c>
      <c r="G30" s="534" t="s">
        <v>5848</v>
      </c>
      <c r="H30" s="534" t="s">
        <v>6136</v>
      </c>
      <c r="I30" s="408" t="e">
        <f>VLOOKUP(A30,'Sandi BI Existing Debitur'!$D$8:$D$592,1,0)</f>
        <v>#N/A</v>
      </c>
      <c r="J30" s="404" t="s">
        <v>6522</v>
      </c>
      <c r="L30" s="532" t="s">
        <v>4392</v>
      </c>
      <c r="M30" s="534" t="s">
        <v>6148</v>
      </c>
    </row>
    <row r="31" spans="1:13" ht="25.5" x14ac:dyDescent="0.25">
      <c r="A31" s="531" t="s">
        <v>4870</v>
      </c>
      <c r="B31" s="531" t="s">
        <v>4362</v>
      </c>
      <c r="C31" s="532" t="s">
        <v>4333</v>
      </c>
      <c r="D31" s="533" t="s">
        <v>5332</v>
      </c>
      <c r="E31" s="532" t="s">
        <v>4334</v>
      </c>
      <c r="F31" s="534" t="s">
        <v>5847</v>
      </c>
      <c r="G31" s="534" t="s">
        <v>5848</v>
      </c>
      <c r="H31" s="534" t="s">
        <v>6136</v>
      </c>
      <c r="I31" s="408" t="e">
        <f>VLOOKUP(A31,'Sandi BI Existing Debitur'!$D$8:$D$592,1,0)</f>
        <v>#N/A</v>
      </c>
      <c r="J31" t="s">
        <v>4823</v>
      </c>
      <c r="L31" s="532" t="s">
        <v>4392</v>
      </c>
      <c r="M31" s="534" t="s">
        <v>6153</v>
      </c>
    </row>
    <row r="32" spans="1:13" x14ac:dyDescent="0.25">
      <c r="A32" s="531" t="s">
        <v>4871</v>
      </c>
      <c r="B32" s="531" t="s">
        <v>4363</v>
      </c>
      <c r="C32" s="532" t="s">
        <v>4333</v>
      </c>
      <c r="D32" s="533" t="s">
        <v>5333</v>
      </c>
      <c r="E32" s="532" t="s">
        <v>4334</v>
      </c>
      <c r="F32" s="534" t="s">
        <v>5847</v>
      </c>
      <c r="G32" s="534" t="s">
        <v>5848</v>
      </c>
      <c r="H32" s="534" t="s">
        <v>6136</v>
      </c>
      <c r="I32" s="408" t="e">
        <f>VLOOKUP(A32,'Sandi BI Existing Debitur'!$D$8:$D$592,1,0)</f>
        <v>#N/A</v>
      </c>
      <c r="L32" s="532" t="s">
        <v>4392</v>
      </c>
      <c r="M32" s="534" t="s">
        <v>6152</v>
      </c>
    </row>
    <row r="33" spans="1:13" ht="25.5" x14ac:dyDescent="0.25">
      <c r="A33" s="531" t="s">
        <v>4872</v>
      </c>
      <c r="B33" s="531" t="s">
        <v>4364</v>
      </c>
      <c r="C33" s="532" t="s">
        <v>4333</v>
      </c>
      <c r="D33" s="533" t="s">
        <v>5334</v>
      </c>
      <c r="E33" s="532" t="s">
        <v>4334</v>
      </c>
      <c r="F33" s="534" t="s">
        <v>5973</v>
      </c>
      <c r="G33" s="534" t="s">
        <v>5974</v>
      </c>
      <c r="H33" s="534" t="s">
        <v>6128</v>
      </c>
      <c r="I33" s="408" t="e">
        <f>VLOOKUP(A33,'Sandi BI Existing Debitur'!$D$8:$D$592,1,0)</f>
        <v>#N/A</v>
      </c>
      <c r="L33" s="532" t="s">
        <v>4392</v>
      </c>
      <c r="M33" s="534" t="s">
        <v>6150</v>
      </c>
    </row>
    <row r="34" spans="1:13" x14ac:dyDescent="0.25">
      <c r="A34" s="531" t="s">
        <v>4873</v>
      </c>
      <c r="B34" s="531" t="s">
        <v>4365</v>
      </c>
      <c r="C34" s="532" t="s">
        <v>4333</v>
      </c>
      <c r="D34" s="533" t="s">
        <v>5335</v>
      </c>
      <c r="E34" s="532" t="s">
        <v>4334</v>
      </c>
      <c r="F34" s="534" t="s">
        <v>6001</v>
      </c>
      <c r="G34" s="534" t="s">
        <v>6002</v>
      </c>
      <c r="H34" s="534" t="s">
        <v>6137</v>
      </c>
      <c r="I34" s="408" t="str">
        <f>VLOOKUP(A34,'Sandi BI Existing Debitur'!$D$8:$D$592,1,0)</f>
        <v>532130</v>
      </c>
      <c r="L34" s="532" t="s">
        <v>4392</v>
      </c>
      <c r="M34" s="534" t="s">
        <v>6151</v>
      </c>
    </row>
    <row r="35" spans="1:13" x14ac:dyDescent="0.25">
      <c r="A35" s="531" t="s">
        <v>4874</v>
      </c>
      <c r="B35" s="531" t="s">
        <v>4366</v>
      </c>
      <c r="C35" s="532" t="s">
        <v>4333</v>
      </c>
      <c r="D35" s="533" t="s">
        <v>5336</v>
      </c>
      <c r="E35" s="532" t="s">
        <v>4334</v>
      </c>
      <c r="F35" s="534" t="s">
        <v>6011</v>
      </c>
      <c r="G35" s="534" t="s">
        <v>6012</v>
      </c>
      <c r="H35" s="534" t="s">
        <v>6138</v>
      </c>
      <c r="I35" s="408" t="str">
        <f>VLOOKUP(A35,'Sandi BI Existing Debitur'!$D$8:$D$592,1,0)</f>
        <v>532201</v>
      </c>
      <c r="L35" s="532" t="s">
        <v>5475</v>
      </c>
      <c r="M35" s="534" t="s">
        <v>6237</v>
      </c>
    </row>
    <row r="36" spans="1:13" x14ac:dyDescent="0.25">
      <c r="A36" s="531" t="s">
        <v>4875</v>
      </c>
      <c r="B36" s="535" t="s">
        <v>4367</v>
      </c>
      <c r="C36" s="532" t="s">
        <v>4333</v>
      </c>
      <c r="D36" s="533" t="s">
        <v>5337</v>
      </c>
      <c r="E36" s="532" t="s">
        <v>4334</v>
      </c>
      <c r="F36" s="534" t="s">
        <v>5783</v>
      </c>
      <c r="G36" s="534" t="s">
        <v>5784</v>
      </c>
      <c r="H36" s="534" t="s">
        <v>6139</v>
      </c>
      <c r="I36" s="408" t="e">
        <f>VLOOKUP(A36,'Sandi BI Existing Debitur'!$D$8:$D$592,1,0)</f>
        <v>#N/A</v>
      </c>
      <c r="L36" s="532" t="s">
        <v>5475</v>
      </c>
      <c r="M36" s="534" t="s">
        <v>6238</v>
      </c>
    </row>
    <row r="37" spans="1:13" x14ac:dyDescent="0.25">
      <c r="A37" s="531" t="s">
        <v>4876</v>
      </c>
      <c r="B37" s="535" t="s">
        <v>4368</v>
      </c>
      <c r="C37" s="532" t="s">
        <v>4333</v>
      </c>
      <c r="D37" s="533" t="s">
        <v>5338</v>
      </c>
      <c r="E37" s="532" t="s">
        <v>4334</v>
      </c>
      <c r="F37" s="534" t="s">
        <v>5785</v>
      </c>
      <c r="G37" s="534" t="s">
        <v>5786</v>
      </c>
      <c r="H37" s="534" t="s">
        <v>6140</v>
      </c>
      <c r="I37" s="408" t="e">
        <f>VLOOKUP(A37,'Sandi BI Existing Debitur'!$D$8:$D$592,1,0)</f>
        <v>#N/A</v>
      </c>
      <c r="L37" s="532" t="s">
        <v>5475</v>
      </c>
      <c r="M37" s="534" t="s">
        <v>6217</v>
      </c>
    </row>
    <row r="38" spans="1:13" x14ac:dyDescent="0.25">
      <c r="A38" s="531" t="s">
        <v>4877</v>
      </c>
      <c r="B38" s="535" t="s">
        <v>4369</v>
      </c>
      <c r="C38" s="532" t="s">
        <v>4333</v>
      </c>
      <c r="D38" s="533" t="s">
        <v>5339</v>
      </c>
      <c r="E38" s="532" t="s">
        <v>4334</v>
      </c>
      <c r="F38" s="534" t="s">
        <v>5787</v>
      </c>
      <c r="G38" s="534" t="s">
        <v>5788</v>
      </c>
      <c r="H38" s="534" t="s">
        <v>6141</v>
      </c>
      <c r="I38" s="408" t="e">
        <f>VLOOKUP(A38,'Sandi BI Existing Debitur'!$D$8:$D$592,1,0)</f>
        <v>#N/A</v>
      </c>
      <c r="L38" s="532" t="s">
        <v>5475</v>
      </c>
      <c r="M38" s="534" t="s">
        <v>6148</v>
      </c>
    </row>
    <row r="39" spans="1:13" x14ac:dyDescent="0.25">
      <c r="A39" s="531" t="s">
        <v>4878</v>
      </c>
      <c r="B39" s="535" t="s">
        <v>4370</v>
      </c>
      <c r="C39" s="532" t="s">
        <v>4333</v>
      </c>
      <c r="D39" s="533" t="s">
        <v>5340</v>
      </c>
      <c r="E39" s="532" t="s">
        <v>4334</v>
      </c>
      <c r="F39" s="534" t="s">
        <v>5789</v>
      </c>
      <c r="G39" s="534" t="s">
        <v>5790</v>
      </c>
      <c r="H39" s="534" t="s">
        <v>6142</v>
      </c>
      <c r="I39" s="408" t="e">
        <f>VLOOKUP(A39,'Sandi BI Existing Debitur'!$D$8:$D$592,1,0)</f>
        <v>#N/A</v>
      </c>
      <c r="L39" s="532" t="s">
        <v>4405</v>
      </c>
      <c r="M39" s="534" t="s">
        <v>6145</v>
      </c>
    </row>
    <row r="40" spans="1:13" ht="25.5" x14ac:dyDescent="0.25">
      <c r="A40" s="531" t="s">
        <v>4879</v>
      </c>
      <c r="B40" s="535" t="s">
        <v>4371</v>
      </c>
      <c r="C40" s="532" t="s">
        <v>4333</v>
      </c>
      <c r="D40" s="533" t="s">
        <v>5341</v>
      </c>
      <c r="E40" s="532" t="s">
        <v>4334</v>
      </c>
      <c r="F40" s="534" t="s">
        <v>5789</v>
      </c>
      <c r="G40" s="534" t="s">
        <v>5790</v>
      </c>
      <c r="H40" s="534" t="s">
        <v>6142</v>
      </c>
      <c r="I40" s="408" t="e">
        <f>VLOOKUP(A40,'Sandi BI Existing Debitur'!$D$8:$D$592,1,0)</f>
        <v>#N/A</v>
      </c>
      <c r="L40" s="532" t="s">
        <v>4405</v>
      </c>
      <c r="M40" s="534" t="s">
        <v>6156</v>
      </c>
    </row>
    <row r="41" spans="1:13" x14ac:dyDescent="0.25">
      <c r="A41" s="531" t="s">
        <v>4880</v>
      </c>
      <c r="B41" s="535" t="s">
        <v>4372</v>
      </c>
      <c r="C41" s="532" t="s">
        <v>4333</v>
      </c>
      <c r="D41" s="533" t="s">
        <v>5342</v>
      </c>
      <c r="E41" s="532" t="s">
        <v>4334</v>
      </c>
      <c r="F41" s="534" t="s">
        <v>5791</v>
      </c>
      <c r="G41" s="534" t="s">
        <v>5792</v>
      </c>
      <c r="H41" s="534" t="s">
        <v>6143</v>
      </c>
      <c r="I41" s="408" t="e">
        <f>VLOOKUP(A41,'Sandi BI Existing Debitur'!$D$8:$D$592,1,0)</f>
        <v>#N/A</v>
      </c>
      <c r="L41" s="532" t="s">
        <v>4405</v>
      </c>
      <c r="M41" s="534" t="s">
        <v>6159</v>
      </c>
    </row>
    <row r="42" spans="1:13" x14ac:dyDescent="0.25">
      <c r="A42" s="531" t="s">
        <v>4881</v>
      </c>
      <c r="B42" s="535" t="s">
        <v>4373</v>
      </c>
      <c r="C42" s="532" t="s">
        <v>4333</v>
      </c>
      <c r="D42" s="533" t="s">
        <v>5343</v>
      </c>
      <c r="E42" s="532" t="s">
        <v>4334</v>
      </c>
      <c r="F42" s="534" t="s">
        <v>5791</v>
      </c>
      <c r="G42" s="534" t="s">
        <v>5792</v>
      </c>
      <c r="H42" s="534" t="s">
        <v>6143</v>
      </c>
      <c r="I42" s="408" t="e">
        <f>VLOOKUP(A42,'Sandi BI Existing Debitur'!$D$8:$D$592,1,0)</f>
        <v>#N/A</v>
      </c>
      <c r="L42" s="532" t="s">
        <v>4405</v>
      </c>
      <c r="M42" s="534" t="s">
        <v>6155</v>
      </c>
    </row>
    <row r="43" spans="1:13" ht="25.5" x14ac:dyDescent="0.25">
      <c r="A43" s="531" t="s">
        <v>4882</v>
      </c>
      <c r="B43" s="535" t="s">
        <v>4374</v>
      </c>
      <c r="C43" s="532" t="s">
        <v>4333</v>
      </c>
      <c r="D43" s="533" t="s">
        <v>5344</v>
      </c>
      <c r="E43" s="532" t="s">
        <v>4334</v>
      </c>
      <c r="F43" s="534" t="s">
        <v>5791</v>
      </c>
      <c r="G43" s="534" t="s">
        <v>5792</v>
      </c>
      <c r="H43" s="534" t="s">
        <v>6143</v>
      </c>
      <c r="I43" s="408" t="e">
        <f>VLOOKUP(A43,'Sandi BI Existing Debitur'!$D$8:$D$592,1,0)</f>
        <v>#N/A</v>
      </c>
      <c r="L43" s="532" t="s">
        <v>4405</v>
      </c>
      <c r="M43" s="534" t="s">
        <v>6154</v>
      </c>
    </row>
    <row r="44" spans="1:13" ht="25.5" x14ac:dyDescent="0.25">
      <c r="A44" s="531" t="s">
        <v>4883</v>
      </c>
      <c r="B44" s="535" t="s">
        <v>4375</v>
      </c>
      <c r="C44" s="532" t="s">
        <v>4333</v>
      </c>
      <c r="D44" s="533" t="s">
        <v>5345</v>
      </c>
      <c r="E44" s="532" t="s">
        <v>4334</v>
      </c>
      <c r="F44" s="534" t="s">
        <v>5793</v>
      </c>
      <c r="G44" s="534" t="s">
        <v>5794</v>
      </c>
      <c r="H44" s="534" t="s">
        <v>6144</v>
      </c>
      <c r="I44" s="408" t="e">
        <f>VLOOKUP(A44,'Sandi BI Existing Debitur'!$D$8:$D$592,1,0)</f>
        <v>#N/A</v>
      </c>
      <c r="L44" s="532" t="s">
        <v>4405</v>
      </c>
      <c r="M44" s="534" t="s">
        <v>6127</v>
      </c>
    </row>
    <row r="45" spans="1:13" x14ac:dyDescent="0.25">
      <c r="A45" s="531" t="s">
        <v>4884</v>
      </c>
      <c r="B45" s="535" t="s">
        <v>4376</v>
      </c>
      <c r="C45" s="532" t="s">
        <v>4333</v>
      </c>
      <c r="D45" s="533" t="s">
        <v>5346</v>
      </c>
      <c r="E45" s="532" t="s">
        <v>4334</v>
      </c>
      <c r="F45" s="534" t="s">
        <v>5799</v>
      </c>
      <c r="G45" s="534" t="s">
        <v>5800</v>
      </c>
      <c r="H45" s="534" t="s">
        <v>6145</v>
      </c>
      <c r="I45" s="408" t="e">
        <f>VLOOKUP(A45,'Sandi BI Existing Debitur'!$D$8:$D$592,1,0)</f>
        <v>#N/A</v>
      </c>
      <c r="L45" s="532" t="s">
        <v>4405</v>
      </c>
      <c r="M45" s="534" t="s">
        <v>6157</v>
      </c>
    </row>
    <row r="46" spans="1:13" ht="26.25" x14ac:dyDescent="0.25">
      <c r="A46" s="531" t="s">
        <v>4885</v>
      </c>
      <c r="B46" s="535" t="s">
        <v>4377</v>
      </c>
      <c r="C46" s="532" t="s">
        <v>4333</v>
      </c>
      <c r="D46" s="533" t="s">
        <v>5347</v>
      </c>
      <c r="E46" s="532" t="s">
        <v>4334</v>
      </c>
      <c r="F46" s="534" t="s">
        <v>5799</v>
      </c>
      <c r="G46" s="534" t="s">
        <v>5800</v>
      </c>
      <c r="H46" s="534" t="s">
        <v>6145</v>
      </c>
      <c r="I46" s="408" t="e">
        <f>VLOOKUP(A46,'Sandi BI Existing Debitur'!$D$8:$D$592,1,0)</f>
        <v>#N/A</v>
      </c>
      <c r="L46" s="532" t="s">
        <v>4405</v>
      </c>
      <c r="M46" s="534" t="s">
        <v>6160</v>
      </c>
    </row>
    <row r="47" spans="1:13" ht="26.25" x14ac:dyDescent="0.25">
      <c r="A47" s="531" t="s">
        <v>4886</v>
      </c>
      <c r="B47" s="535" t="s">
        <v>4378</v>
      </c>
      <c r="C47" s="532" t="s">
        <v>4333</v>
      </c>
      <c r="D47" s="533" t="s">
        <v>5348</v>
      </c>
      <c r="E47" s="532" t="s">
        <v>4334</v>
      </c>
      <c r="F47" s="534" t="s">
        <v>5801</v>
      </c>
      <c r="G47" s="534" t="s">
        <v>5802</v>
      </c>
      <c r="H47" s="534" t="s">
        <v>6146</v>
      </c>
      <c r="I47" s="408" t="e">
        <f>VLOOKUP(A47,'Sandi BI Existing Debitur'!$D$8:$D$592,1,0)</f>
        <v>#N/A</v>
      </c>
      <c r="L47" s="532" t="s">
        <v>4405</v>
      </c>
      <c r="M47" s="534" t="s">
        <v>6158</v>
      </c>
    </row>
    <row r="48" spans="1:13" ht="26.25" x14ac:dyDescent="0.25">
      <c r="A48" s="531" t="s">
        <v>4887</v>
      </c>
      <c r="B48" s="535" t="s">
        <v>4379</v>
      </c>
      <c r="C48" s="532" t="s">
        <v>4333</v>
      </c>
      <c r="D48" s="533" t="s">
        <v>5349</v>
      </c>
      <c r="E48" s="532" t="s">
        <v>4334</v>
      </c>
      <c r="F48" s="534" t="s">
        <v>5801</v>
      </c>
      <c r="G48" s="534" t="s">
        <v>5802</v>
      </c>
      <c r="H48" s="534" t="s">
        <v>6146</v>
      </c>
      <c r="I48" s="408" t="e">
        <f>VLOOKUP(A48,'Sandi BI Existing Debitur'!$D$8:$D$592,1,0)</f>
        <v>#N/A</v>
      </c>
      <c r="L48" s="532" t="s">
        <v>4405</v>
      </c>
      <c r="M48" s="534" t="s">
        <v>6148</v>
      </c>
    </row>
    <row r="49" spans="1:13" ht="26.25" x14ac:dyDescent="0.25">
      <c r="A49" s="531" t="s">
        <v>4888</v>
      </c>
      <c r="B49" s="535" t="s">
        <v>4380</v>
      </c>
      <c r="C49" s="532" t="s">
        <v>4333</v>
      </c>
      <c r="D49" s="533" t="s">
        <v>5350</v>
      </c>
      <c r="E49" s="532" t="s">
        <v>4334</v>
      </c>
      <c r="F49" s="534" t="s">
        <v>5801</v>
      </c>
      <c r="G49" s="534" t="s">
        <v>5802</v>
      </c>
      <c r="H49" s="534" t="s">
        <v>6146</v>
      </c>
      <c r="I49" s="408" t="e">
        <f>VLOOKUP(A49,'Sandi BI Existing Debitur'!$D$8:$D$592,1,0)</f>
        <v>#N/A</v>
      </c>
      <c r="L49" s="532" t="s">
        <v>4421</v>
      </c>
      <c r="M49" s="534" t="s">
        <v>6165</v>
      </c>
    </row>
    <row r="50" spans="1:13" ht="25.5" x14ac:dyDescent="0.25">
      <c r="A50" s="531" t="s">
        <v>4889</v>
      </c>
      <c r="B50" s="535" t="s">
        <v>4381</v>
      </c>
      <c r="C50" s="532" t="s">
        <v>4333</v>
      </c>
      <c r="D50" s="533" t="s">
        <v>5351</v>
      </c>
      <c r="E50" s="532" t="s">
        <v>4334</v>
      </c>
      <c r="F50" s="534" t="s">
        <v>5801</v>
      </c>
      <c r="G50" s="534" t="s">
        <v>5802</v>
      </c>
      <c r="H50" s="534" t="s">
        <v>6146</v>
      </c>
      <c r="I50" s="408" t="e">
        <f>VLOOKUP(A50,'Sandi BI Existing Debitur'!$D$8:$D$592,1,0)</f>
        <v>#N/A</v>
      </c>
      <c r="L50" s="532" t="s">
        <v>4421</v>
      </c>
      <c r="M50" s="534" t="s">
        <v>6168</v>
      </c>
    </row>
    <row r="51" spans="1:13" ht="25.5" x14ac:dyDescent="0.25">
      <c r="A51" s="531" t="s">
        <v>4890</v>
      </c>
      <c r="B51" s="535" t="s">
        <v>4382</v>
      </c>
      <c r="C51" s="532" t="s">
        <v>4333</v>
      </c>
      <c r="D51" s="533" t="s">
        <v>5352</v>
      </c>
      <c r="E51" s="532" t="s">
        <v>4334</v>
      </c>
      <c r="F51" s="534" t="s">
        <v>5801</v>
      </c>
      <c r="G51" s="534" t="s">
        <v>5802</v>
      </c>
      <c r="H51" s="534" t="s">
        <v>6146</v>
      </c>
      <c r="I51" s="408" t="e">
        <f>VLOOKUP(A51,'Sandi BI Existing Debitur'!$D$8:$D$592,1,0)</f>
        <v>#N/A</v>
      </c>
      <c r="L51" s="532" t="s">
        <v>4421</v>
      </c>
      <c r="M51" s="534" t="s">
        <v>6166</v>
      </c>
    </row>
    <row r="52" spans="1:13" x14ac:dyDescent="0.25">
      <c r="A52" s="531" t="s">
        <v>4891</v>
      </c>
      <c r="B52" s="535" t="s">
        <v>4383</v>
      </c>
      <c r="C52" s="532" t="s">
        <v>4333</v>
      </c>
      <c r="D52" s="533" t="s">
        <v>5353</v>
      </c>
      <c r="E52" s="532" t="s">
        <v>4334</v>
      </c>
      <c r="F52" s="534" t="s">
        <v>5799</v>
      </c>
      <c r="G52" s="534" t="s">
        <v>5800</v>
      </c>
      <c r="H52" s="534" t="s">
        <v>6145</v>
      </c>
      <c r="I52" s="408" t="e">
        <f>VLOOKUP(A52,'Sandi BI Existing Debitur'!$D$8:$D$592,1,0)</f>
        <v>#N/A</v>
      </c>
      <c r="L52" s="532" t="s">
        <v>4421</v>
      </c>
      <c r="M52" s="534" t="s">
        <v>6167</v>
      </c>
    </row>
    <row r="53" spans="1:13" ht="38.25" x14ac:dyDescent="0.25">
      <c r="A53" s="531" t="s">
        <v>4892</v>
      </c>
      <c r="B53" s="535" t="s">
        <v>4384</v>
      </c>
      <c r="C53" s="532" t="s">
        <v>4333</v>
      </c>
      <c r="D53" s="533" t="s">
        <v>5354</v>
      </c>
      <c r="E53" s="532" t="s">
        <v>4334</v>
      </c>
      <c r="F53" s="534" t="s">
        <v>5801</v>
      </c>
      <c r="G53" s="534" t="s">
        <v>5802</v>
      </c>
      <c r="H53" s="534" t="s">
        <v>6146</v>
      </c>
      <c r="I53" s="408" t="e">
        <f>VLOOKUP(A53,'Sandi BI Existing Debitur'!$D$8:$D$592,1,0)</f>
        <v>#N/A</v>
      </c>
      <c r="L53" s="532" t="s">
        <v>4421</v>
      </c>
      <c r="M53" s="534" t="s">
        <v>6169</v>
      </c>
    </row>
    <row r="54" spans="1:13" ht="25.5" x14ac:dyDescent="0.25">
      <c r="A54" s="531" t="s">
        <v>4893</v>
      </c>
      <c r="B54" s="535" t="s">
        <v>4385</v>
      </c>
      <c r="C54" s="532" t="s">
        <v>4333</v>
      </c>
      <c r="D54" s="533" t="s">
        <v>5355</v>
      </c>
      <c r="E54" s="532" t="s">
        <v>4334</v>
      </c>
      <c r="F54" s="534" t="s">
        <v>5799</v>
      </c>
      <c r="G54" s="534" t="s">
        <v>5800</v>
      </c>
      <c r="H54" s="534" t="s">
        <v>6145</v>
      </c>
      <c r="I54" s="408" t="e">
        <f>VLOOKUP(A54,'Sandi BI Existing Debitur'!$D$8:$D$592,1,0)</f>
        <v>#N/A</v>
      </c>
      <c r="L54" s="532" t="s">
        <v>4421</v>
      </c>
      <c r="M54" s="534" t="s">
        <v>6161</v>
      </c>
    </row>
    <row r="55" spans="1:13" ht="25.5" x14ac:dyDescent="0.25">
      <c r="A55" s="531" t="s">
        <v>4894</v>
      </c>
      <c r="B55" s="535" t="s">
        <v>4386</v>
      </c>
      <c r="C55" s="532" t="s">
        <v>4333</v>
      </c>
      <c r="D55" s="533" t="s">
        <v>5356</v>
      </c>
      <c r="E55" s="532" t="s">
        <v>4334</v>
      </c>
      <c r="F55" s="534" t="s">
        <v>5799</v>
      </c>
      <c r="G55" s="534" t="s">
        <v>5800</v>
      </c>
      <c r="H55" s="534" t="s">
        <v>6145</v>
      </c>
      <c r="I55" s="408" t="e">
        <f>VLOOKUP(A55,'Sandi BI Existing Debitur'!$D$8:$D$592,1,0)</f>
        <v>#N/A</v>
      </c>
      <c r="L55" s="532" t="s">
        <v>4421</v>
      </c>
      <c r="M55" s="534" t="s">
        <v>6164</v>
      </c>
    </row>
    <row r="56" spans="1:13" ht="25.5" x14ac:dyDescent="0.25">
      <c r="A56" s="531" t="s">
        <v>4895</v>
      </c>
      <c r="B56" s="535" t="s">
        <v>4387</v>
      </c>
      <c r="C56" s="532" t="s">
        <v>4333</v>
      </c>
      <c r="D56" s="533" t="s">
        <v>5357</v>
      </c>
      <c r="E56" s="532" t="s">
        <v>4334</v>
      </c>
      <c r="F56" s="534" t="s">
        <v>5799</v>
      </c>
      <c r="G56" s="534" t="s">
        <v>5800</v>
      </c>
      <c r="H56" s="534" t="s">
        <v>6145</v>
      </c>
      <c r="I56" s="408" t="e">
        <f>VLOOKUP(A56,'Sandi BI Existing Debitur'!$D$8:$D$592,1,0)</f>
        <v>#N/A</v>
      </c>
      <c r="L56" s="532" t="s">
        <v>4421</v>
      </c>
      <c r="M56" s="534" t="s">
        <v>6162</v>
      </c>
    </row>
    <row r="57" spans="1:13" ht="25.5" x14ac:dyDescent="0.25">
      <c r="A57" s="531" t="s">
        <v>4896</v>
      </c>
      <c r="B57" s="535" t="s">
        <v>4388</v>
      </c>
      <c r="C57" s="532" t="s">
        <v>4333</v>
      </c>
      <c r="D57" s="533" t="s">
        <v>5358</v>
      </c>
      <c r="E57" s="532" t="s">
        <v>4334</v>
      </c>
      <c r="F57" s="534" t="s">
        <v>5799</v>
      </c>
      <c r="G57" s="534" t="s">
        <v>5800</v>
      </c>
      <c r="H57" s="534" t="s">
        <v>6145</v>
      </c>
      <c r="I57" s="408" t="e">
        <f>VLOOKUP(A57,'Sandi BI Existing Debitur'!$D$8:$D$592,1,0)</f>
        <v>#N/A</v>
      </c>
      <c r="L57" s="532" t="s">
        <v>4421</v>
      </c>
      <c r="M57" s="534" t="s">
        <v>6127</v>
      </c>
    </row>
    <row r="58" spans="1:13" x14ac:dyDescent="0.25">
      <c r="A58" s="531" t="s">
        <v>4897</v>
      </c>
      <c r="B58" s="535" t="s">
        <v>4389</v>
      </c>
      <c r="C58" s="532" t="s">
        <v>4333</v>
      </c>
      <c r="D58" s="533" t="s">
        <v>5359</v>
      </c>
      <c r="E58" s="532" t="s">
        <v>4334</v>
      </c>
      <c r="F58" s="534" t="s">
        <v>5803</v>
      </c>
      <c r="G58" s="534" t="s">
        <v>5804</v>
      </c>
      <c r="H58" s="534" t="s">
        <v>6147</v>
      </c>
      <c r="I58" s="408" t="e">
        <f>VLOOKUP(A58,'Sandi BI Existing Debitur'!$D$8:$D$592,1,0)</f>
        <v>#N/A</v>
      </c>
      <c r="L58" s="532" t="s">
        <v>4421</v>
      </c>
      <c r="M58" s="534" t="s">
        <v>6163</v>
      </c>
    </row>
    <row r="59" spans="1:13" ht="25.5" x14ac:dyDescent="0.25">
      <c r="A59" s="531" t="s">
        <v>4898</v>
      </c>
      <c r="B59" s="531" t="s">
        <v>4390</v>
      </c>
      <c r="C59" s="532" t="s">
        <v>4391</v>
      </c>
      <c r="D59" s="533" t="s">
        <v>5360</v>
      </c>
      <c r="E59" s="532" t="s">
        <v>4392</v>
      </c>
      <c r="F59" s="534" t="s">
        <v>5865</v>
      </c>
      <c r="G59" s="534" t="s">
        <v>5866</v>
      </c>
      <c r="H59" s="534" t="s">
        <v>6127</v>
      </c>
      <c r="I59" s="408" t="e">
        <f>VLOOKUP(A59,'Sandi BI Existing Debitur'!$D$8:$D$592,1,0)</f>
        <v>#N/A</v>
      </c>
      <c r="L59" s="532" t="s">
        <v>4421</v>
      </c>
      <c r="M59" s="534" t="s">
        <v>6170</v>
      </c>
    </row>
    <row r="60" spans="1:13" ht="26.25" x14ac:dyDescent="0.25">
      <c r="A60" s="531" t="s">
        <v>4899</v>
      </c>
      <c r="B60" s="531" t="s">
        <v>4393</v>
      </c>
      <c r="C60" s="532" t="s">
        <v>4391</v>
      </c>
      <c r="D60" s="533" t="s">
        <v>5361</v>
      </c>
      <c r="E60" s="532" t="s">
        <v>4392</v>
      </c>
      <c r="F60" s="534" t="s">
        <v>5865</v>
      </c>
      <c r="G60" s="534" t="s">
        <v>5866</v>
      </c>
      <c r="H60" s="534" t="s">
        <v>6127</v>
      </c>
      <c r="I60" s="408" t="e">
        <f>VLOOKUP(A60,'Sandi BI Existing Debitur'!$D$8:$D$592,1,0)</f>
        <v>#N/A</v>
      </c>
      <c r="L60" s="532" t="s">
        <v>4442</v>
      </c>
      <c r="M60" s="534" t="s">
        <v>6175</v>
      </c>
    </row>
    <row r="61" spans="1:13" ht="38.25" x14ac:dyDescent="0.25">
      <c r="A61" s="531" t="s">
        <v>4900</v>
      </c>
      <c r="B61" s="531" t="s">
        <v>4394</v>
      </c>
      <c r="C61" s="532" t="s">
        <v>4391</v>
      </c>
      <c r="D61" s="533" t="s">
        <v>5362</v>
      </c>
      <c r="E61" s="532" t="s">
        <v>4392</v>
      </c>
      <c r="F61" s="534" t="s">
        <v>5865</v>
      </c>
      <c r="G61" s="534" t="s">
        <v>5866</v>
      </c>
      <c r="H61" s="534" t="s">
        <v>6127</v>
      </c>
      <c r="I61" s="408" t="str">
        <f>VLOOKUP(A61,'Sandi BI Existing Debitur'!$D$8:$D$592,1,0)</f>
        <v>343000</v>
      </c>
      <c r="L61" s="532" t="s">
        <v>4442</v>
      </c>
      <c r="M61" s="534" t="s">
        <v>6176</v>
      </c>
    </row>
    <row r="62" spans="1:13" ht="38.25" x14ac:dyDescent="0.25">
      <c r="A62" s="531" t="s">
        <v>4901</v>
      </c>
      <c r="B62" s="531" t="s">
        <v>4395</v>
      </c>
      <c r="C62" s="532" t="s">
        <v>4391</v>
      </c>
      <c r="D62" s="533" t="s">
        <v>5363</v>
      </c>
      <c r="E62" s="532" t="s">
        <v>4392</v>
      </c>
      <c r="F62" s="534" t="s">
        <v>5865</v>
      </c>
      <c r="G62" s="534" t="s">
        <v>5866</v>
      </c>
      <c r="H62" s="534" t="s">
        <v>6127</v>
      </c>
      <c r="I62" s="408" t="e">
        <f>VLOOKUP(A62,'Sandi BI Existing Debitur'!$D$8:$D$592,1,0)</f>
        <v>#N/A</v>
      </c>
      <c r="L62" s="532" t="s">
        <v>4442</v>
      </c>
      <c r="M62" s="534" t="s">
        <v>6234</v>
      </c>
    </row>
    <row r="63" spans="1:13" x14ac:dyDescent="0.25">
      <c r="A63" s="531" t="s">
        <v>4902</v>
      </c>
      <c r="B63" s="531" t="s">
        <v>4396</v>
      </c>
      <c r="C63" s="532" t="s">
        <v>4391</v>
      </c>
      <c r="D63" s="533" t="s">
        <v>5364</v>
      </c>
      <c r="E63" s="532" t="s">
        <v>4392</v>
      </c>
      <c r="F63" s="534" t="s">
        <v>5951</v>
      </c>
      <c r="G63" s="534" t="s">
        <v>5952</v>
      </c>
      <c r="H63" s="534" t="s">
        <v>6148</v>
      </c>
      <c r="I63" s="408" t="str">
        <f>VLOOKUP(A63,'Sandi BI Existing Debitur'!$D$8:$D$592,1,0)</f>
        <v>501000</v>
      </c>
      <c r="L63" s="532" t="s">
        <v>4442</v>
      </c>
      <c r="M63" s="534" t="s">
        <v>6137</v>
      </c>
    </row>
    <row r="64" spans="1:13" ht="25.5" x14ac:dyDescent="0.25">
      <c r="A64" s="531" t="s">
        <v>4903</v>
      </c>
      <c r="B64" s="531" t="s">
        <v>4397</v>
      </c>
      <c r="C64" s="532" t="s">
        <v>4391</v>
      </c>
      <c r="D64" s="533" t="s">
        <v>5365</v>
      </c>
      <c r="E64" s="532" t="s">
        <v>4392</v>
      </c>
      <c r="F64" s="534" t="s">
        <v>5953</v>
      </c>
      <c r="G64" s="534" t="s">
        <v>5954</v>
      </c>
      <c r="H64" s="534" t="s">
        <v>6149</v>
      </c>
      <c r="I64" s="408" t="str">
        <f>VLOOKUP(A64,'Sandi BI Existing Debitur'!$D$8:$D$592,1,0)</f>
        <v>502000</v>
      </c>
      <c r="L64" s="532" t="s">
        <v>4442</v>
      </c>
      <c r="M64" s="534" t="s">
        <v>6186</v>
      </c>
    </row>
    <row r="65" spans="1:13" x14ac:dyDescent="0.25">
      <c r="A65" s="531" t="s">
        <v>4904</v>
      </c>
      <c r="B65" s="531" t="s">
        <v>4398</v>
      </c>
      <c r="C65" s="532" t="s">
        <v>4391</v>
      </c>
      <c r="D65" s="533" t="s">
        <v>5366</v>
      </c>
      <c r="E65" s="532" t="s">
        <v>4392</v>
      </c>
      <c r="F65" s="534" t="s">
        <v>5951</v>
      </c>
      <c r="G65" s="534" t="s">
        <v>5952</v>
      </c>
      <c r="H65" s="534" t="s">
        <v>6148</v>
      </c>
      <c r="I65" s="408" t="str">
        <f>VLOOKUP(A65,'Sandi BI Existing Debitur'!$D$8:$D$592,1,0)</f>
        <v>503001</v>
      </c>
      <c r="L65" s="532" t="s">
        <v>4442</v>
      </c>
      <c r="M65" s="534" t="s">
        <v>6201</v>
      </c>
    </row>
    <row r="66" spans="1:13" ht="25.5" x14ac:dyDescent="0.25">
      <c r="A66" s="531" t="s">
        <v>4905</v>
      </c>
      <c r="B66" s="531" t="s">
        <v>4399</v>
      </c>
      <c r="C66" s="532" t="s">
        <v>4391</v>
      </c>
      <c r="D66" s="533" t="s">
        <v>5367</v>
      </c>
      <c r="E66" s="532" t="s">
        <v>4392</v>
      </c>
      <c r="F66" s="534" t="s">
        <v>5953</v>
      </c>
      <c r="G66" s="534" t="s">
        <v>5954</v>
      </c>
      <c r="H66" s="534" t="s">
        <v>6149</v>
      </c>
      <c r="I66" s="408" t="str">
        <f>VLOOKUP(A66,'Sandi BI Existing Debitur'!$D$8:$D$592,1,0)</f>
        <v>503002</v>
      </c>
      <c r="L66" s="532" t="s">
        <v>4442</v>
      </c>
      <c r="M66" s="534" t="s">
        <v>6187</v>
      </c>
    </row>
    <row r="67" spans="1:13" ht="39" x14ac:dyDescent="0.25">
      <c r="A67" s="536" t="s">
        <v>4906</v>
      </c>
      <c r="B67" s="537" t="s">
        <v>4400</v>
      </c>
      <c r="C67" s="532" t="s">
        <v>4391</v>
      </c>
      <c r="D67" s="533" t="s">
        <v>5368</v>
      </c>
      <c r="E67" s="532" t="s">
        <v>4392</v>
      </c>
      <c r="F67" s="534" t="s">
        <v>5771</v>
      </c>
      <c r="G67" s="534" t="s">
        <v>5772</v>
      </c>
      <c r="H67" s="534" t="s">
        <v>6150</v>
      </c>
      <c r="I67" s="408" t="e">
        <f>VLOOKUP(A67,'Sandi BI Existing Debitur'!$D$8:$D$592,1,0)</f>
        <v>#N/A</v>
      </c>
      <c r="L67" s="532" t="s">
        <v>4442</v>
      </c>
      <c r="M67" s="534" t="s">
        <v>6173</v>
      </c>
    </row>
    <row r="68" spans="1:13" ht="39" x14ac:dyDescent="0.25">
      <c r="A68" s="536" t="s">
        <v>4907</v>
      </c>
      <c r="B68" s="537" t="s">
        <v>4401</v>
      </c>
      <c r="C68" s="532" t="s">
        <v>4391</v>
      </c>
      <c r="D68" s="533" t="s">
        <v>5369</v>
      </c>
      <c r="E68" s="532" t="s">
        <v>4392</v>
      </c>
      <c r="F68" s="534" t="s">
        <v>5773</v>
      </c>
      <c r="G68" s="534" t="s">
        <v>5774</v>
      </c>
      <c r="H68" s="534" t="s">
        <v>6151</v>
      </c>
      <c r="I68" s="408" t="e">
        <f>VLOOKUP(A68,'Sandi BI Existing Debitur'!$D$8:$D$592,1,0)</f>
        <v>#N/A</v>
      </c>
      <c r="L68" s="532" t="s">
        <v>4442</v>
      </c>
      <c r="M68" s="534" t="s">
        <v>6188</v>
      </c>
    </row>
    <row r="69" spans="1:13" ht="51.75" x14ac:dyDescent="0.25">
      <c r="A69" s="536" t="s">
        <v>4908</v>
      </c>
      <c r="B69" s="537" t="s">
        <v>4402</v>
      </c>
      <c r="C69" s="532" t="s">
        <v>4391</v>
      </c>
      <c r="D69" s="533" t="s">
        <v>5370</v>
      </c>
      <c r="E69" s="532" t="s">
        <v>4392</v>
      </c>
      <c r="F69" s="534" t="s">
        <v>5775</v>
      </c>
      <c r="G69" s="534" t="s">
        <v>5776</v>
      </c>
      <c r="H69" s="534" t="s">
        <v>6152</v>
      </c>
      <c r="I69" s="408" t="e">
        <f>VLOOKUP(A69,'Sandi BI Existing Debitur'!$D$8:$D$592,1,0)</f>
        <v>#N/A</v>
      </c>
      <c r="L69" s="532" t="s">
        <v>4442</v>
      </c>
      <c r="M69" s="534" t="s">
        <v>6179</v>
      </c>
    </row>
    <row r="70" spans="1:13" ht="51.75" x14ac:dyDescent="0.25">
      <c r="A70" s="536" t="s">
        <v>4909</v>
      </c>
      <c r="B70" s="537" t="s">
        <v>4403</v>
      </c>
      <c r="C70" s="532" t="s">
        <v>4391</v>
      </c>
      <c r="D70" s="533" t="s">
        <v>5371</v>
      </c>
      <c r="E70" s="532" t="s">
        <v>4392</v>
      </c>
      <c r="F70" s="534" t="s">
        <v>5777</v>
      </c>
      <c r="G70" s="534" t="s">
        <v>5778</v>
      </c>
      <c r="H70" s="534" t="s">
        <v>6153</v>
      </c>
      <c r="I70" s="408" t="e">
        <f>VLOOKUP(A70,'Sandi BI Existing Debitur'!$D$8:$D$592,1,0)</f>
        <v>#N/A</v>
      </c>
      <c r="L70" s="532" t="s">
        <v>4442</v>
      </c>
      <c r="M70" s="534" t="s">
        <v>6178</v>
      </c>
    </row>
    <row r="71" spans="1:13" ht="26.25" x14ac:dyDescent="0.25">
      <c r="A71" s="531" t="s">
        <v>5012</v>
      </c>
      <c r="B71" s="531" t="s">
        <v>4509</v>
      </c>
      <c r="C71" s="532" t="s">
        <v>5473</v>
      </c>
      <c r="D71" s="533" t="s">
        <v>5474</v>
      </c>
      <c r="E71" s="532" t="s">
        <v>5475</v>
      </c>
      <c r="F71" s="534" t="s">
        <v>5955</v>
      </c>
      <c r="G71" s="534" t="s">
        <v>5956</v>
      </c>
      <c r="H71" s="534" t="s">
        <v>6217</v>
      </c>
      <c r="I71" s="408" t="e">
        <f>VLOOKUP(A71,'Sandi BI Existing Debitur'!$D$8:$D$592,1,0)</f>
        <v>#N/A</v>
      </c>
      <c r="L71" s="532" t="s">
        <v>4442</v>
      </c>
      <c r="M71" s="534" t="s">
        <v>6189</v>
      </c>
    </row>
    <row r="72" spans="1:13" ht="25.5" x14ac:dyDescent="0.25">
      <c r="A72" s="531" t="s">
        <v>5076</v>
      </c>
      <c r="B72" s="531" t="s">
        <v>4575</v>
      </c>
      <c r="C72" s="532" t="s">
        <v>5473</v>
      </c>
      <c r="D72" s="533" t="s">
        <v>5539</v>
      </c>
      <c r="E72" s="532" t="s">
        <v>5475</v>
      </c>
      <c r="F72" s="534" t="s">
        <v>5951</v>
      </c>
      <c r="G72" s="534" t="s">
        <v>5952</v>
      </c>
      <c r="H72" s="534" t="s">
        <v>6148</v>
      </c>
      <c r="I72" s="408" t="str">
        <f>VLOOKUP(A72,'Sandi BI Existing Debitur'!$D$8:$D$592,1,0)</f>
        <v>523400</v>
      </c>
      <c r="L72" s="532" t="s">
        <v>4442</v>
      </c>
      <c r="M72" s="534" t="s">
        <v>6202</v>
      </c>
    </row>
    <row r="73" spans="1:13" ht="38.25" x14ac:dyDescent="0.25">
      <c r="A73" s="531" t="s">
        <v>5070</v>
      </c>
      <c r="B73" s="531" t="s">
        <v>4569</v>
      </c>
      <c r="C73" s="568" t="s">
        <v>5473</v>
      </c>
      <c r="D73" s="533" t="s">
        <v>5533</v>
      </c>
      <c r="E73" s="532" t="s">
        <v>5475</v>
      </c>
      <c r="F73" s="534" t="s">
        <v>5917</v>
      </c>
      <c r="G73" s="534" t="s">
        <v>5918</v>
      </c>
      <c r="H73" s="534" t="s">
        <v>6237</v>
      </c>
      <c r="I73" s="408" t="str">
        <f>VLOOKUP(A73,'Sandi BI Existing Debitur'!$D$8:$D$592,1,0)</f>
        <v>264000</v>
      </c>
      <c r="L73" s="532" t="s">
        <v>4442</v>
      </c>
      <c r="M73" s="534" t="s">
        <v>6184</v>
      </c>
    </row>
    <row r="74" spans="1:13" x14ac:dyDescent="0.25">
      <c r="A74" s="531" t="s">
        <v>5071</v>
      </c>
      <c r="B74" s="531" t="s">
        <v>4570</v>
      </c>
      <c r="C74" s="568" t="s">
        <v>5473</v>
      </c>
      <c r="D74" s="533" t="s">
        <v>5534</v>
      </c>
      <c r="E74" s="532" t="s">
        <v>5475</v>
      </c>
      <c r="F74" s="534" t="s">
        <v>5989</v>
      </c>
      <c r="G74" s="534" t="s">
        <v>5990</v>
      </c>
      <c r="H74" s="534" t="s">
        <v>6238</v>
      </c>
      <c r="I74" s="408" t="str">
        <f>VLOOKUP(A74,'Sandi BI Existing Debitur'!$D$8:$D$592,1,0)</f>
        <v>514301</v>
      </c>
      <c r="L74" s="532" t="s">
        <v>4442</v>
      </c>
      <c r="M74" s="534" t="s">
        <v>6185</v>
      </c>
    </row>
    <row r="75" spans="1:13" ht="38.25" x14ac:dyDescent="0.25">
      <c r="A75" s="531" t="s">
        <v>4910</v>
      </c>
      <c r="B75" s="531" t="s">
        <v>4404</v>
      </c>
      <c r="C75" s="532" t="s">
        <v>4840</v>
      </c>
      <c r="D75" s="533" t="s">
        <v>5372</v>
      </c>
      <c r="E75" s="532" t="s">
        <v>4405</v>
      </c>
      <c r="F75" s="534" t="s">
        <v>5865</v>
      </c>
      <c r="G75" s="534" t="s">
        <v>5866</v>
      </c>
      <c r="H75" s="534" t="s">
        <v>6127</v>
      </c>
      <c r="I75" s="408" t="e">
        <f>VLOOKUP(A75,'Sandi BI Existing Debitur'!$D$8:$D$592,1,0)</f>
        <v>#N/A</v>
      </c>
      <c r="L75" s="532" t="s">
        <v>4442</v>
      </c>
      <c r="M75" s="534" t="s">
        <v>6203</v>
      </c>
    </row>
    <row r="76" spans="1:13" x14ac:dyDescent="0.25">
      <c r="A76" s="531" t="s">
        <v>4911</v>
      </c>
      <c r="B76" s="531" t="s">
        <v>4406</v>
      </c>
      <c r="C76" s="532" t="s">
        <v>4840</v>
      </c>
      <c r="D76" s="533" t="s">
        <v>5373</v>
      </c>
      <c r="E76" s="532" t="s">
        <v>4405</v>
      </c>
      <c r="F76" s="534" t="s">
        <v>5865</v>
      </c>
      <c r="G76" s="534" t="s">
        <v>5866</v>
      </c>
      <c r="H76" s="534" t="s">
        <v>6127</v>
      </c>
      <c r="I76" s="408" t="str">
        <f>VLOOKUP(A76,'Sandi BI Existing Debitur'!$D$8:$D$592,1,0)</f>
        <v>242200</v>
      </c>
      <c r="L76" s="532" t="s">
        <v>4442</v>
      </c>
      <c r="M76" s="534" t="s">
        <v>6174</v>
      </c>
    </row>
    <row r="77" spans="1:13" x14ac:dyDescent="0.25">
      <c r="A77" s="531" t="s">
        <v>4912</v>
      </c>
      <c r="B77" s="531" t="s">
        <v>4407</v>
      </c>
      <c r="C77" s="532" t="s">
        <v>4840</v>
      </c>
      <c r="D77" s="533" t="s">
        <v>5374</v>
      </c>
      <c r="E77" s="532" t="s">
        <v>4405</v>
      </c>
      <c r="F77" s="534" t="s">
        <v>5903</v>
      </c>
      <c r="G77" s="534" t="s">
        <v>5904</v>
      </c>
      <c r="H77" s="534" t="s">
        <v>6154</v>
      </c>
      <c r="I77" s="408" t="e">
        <f>VLOOKUP(A77,'Sandi BI Existing Debitur'!$D$8:$D$592,1,0)</f>
        <v>#N/A</v>
      </c>
      <c r="L77" s="532" t="s">
        <v>4442</v>
      </c>
      <c r="M77" s="534" t="s">
        <v>6193</v>
      </c>
    </row>
    <row r="78" spans="1:13" ht="25.5" x14ac:dyDescent="0.25">
      <c r="A78" s="531" t="s">
        <v>4913</v>
      </c>
      <c r="B78" s="531" t="s">
        <v>4408</v>
      </c>
      <c r="C78" s="532" t="s">
        <v>4840</v>
      </c>
      <c r="D78" s="533" t="s">
        <v>5375</v>
      </c>
      <c r="E78" s="532" t="s">
        <v>4405</v>
      </c>
      <c r="F78" s="534" t="s">
        <v>5905</v>
      </c>
      <c r="G78" s="534" t="s">
        <v>5906</v>
      </c>
      <c r="H78" s="534" t="s">
        <v>6155</v>
      </c>
      <c r="I78" s="408" t="str">
        <f>VLOOKUP(A78,'Sandi BI Existing Debitur'!$D$8:$D$592,1,0)</f>
        <v>242990</v>
      </c>
      <c r="L78" s="532" t="s">
        <v>4442</v>
      </c>
      <c r="M78" s="534" t="s">
        <v>6194</v>
      </c>
    </row>
    <row r="79" spans="1:13" x14ac:dyDescent="0.25">
      <c r="A79" s="531" t="s">
        <v>4914</v>
      </c>
      <c r="B79" s="531" t="s">
        <v>4409</v>
      </c>
      <c r="C79" s="532" t="s">
        <v>4840</v>
      </c>
      <c r="D79" s="533" t="s">
        <v>5376</v>
      </c>
      <c r="E79" s="532" t="s">
        <v>4405</v>
      </c>
      <c r="F79" s="534" t="s">
        <v>5865</v>
      </c>
      <c r="G79" s="534" t="s">
        <v>5866</v>
      </c>
      <c r="H79" s="534" t="s">
        <v>6127</v>
      </c>
      <c r="I79" s="408" t="e">
        <f>VLOOKUP(A79,'Sandi BI Existing Debitur'!$D$8:$D$592,1,0)</f>
        <v>#N/A</v>
      </c>
      <c r="L79" s="532" t="s">
        <v>4442</v>
      </c>
      <c r="M79" s="534" t="s">
        <v>6190</v>
      </c>
    </row>
    <row r="80" spans="1:13" x14ac:dyDescent="0.25">
      <c r="A80" s="531" t="s">
        <v>4915</v>
      </c>
      <c r="B80" s="531" t="s">
        <v>4410</v>
      </c>
      <c r="C80" s="532" t="s">
        <v>4840</v>
      </c>
      <c r="D80" s="533" t="s">
        <v>5377</v>
      </c>
      <c r="E80" s="532" t="s">
        <v>4405</v>
      </c>
      <c r="F80" s="534" t="s">
        <v>5865</v>
      </c>
      <c r="G80" s="534" t="s">
        <v>5866</v>
      </c>
      <c r="H80" s="534" t="s">
        <v>6127</v>
      </c>
      <c r="I80" s="408" t="str">
        <f>VLOOKUP(A80,'Sandi BI Existing Debitur'!$D$8:$D$592,1,0)</f>
        <v>241100</v>
      </c>
      <c r="L80" s="532" t="s">
        <v>4442</v>
      </c>
      <c r="M80" s="534" t="s">
        <v>6191</v>
      </c>
    </row>
    <row r="81" spans="1:13" x14ac:dyDescent="0.25">
      <c r="A81" s="531" t="s">
        <v>4916</v>
      </c>
      <c r="B81" s="531" t="s">
        <v>4411</v>
      </c>
      <c r="C81" s="532" t="s">
        <v>4840</v>
      </c>
      <c r="D81" s="533" t="s">
        <v>5378</v>
      </c>
      <c r="E81" s="532" t="s">
        <v>4405</v>
      </c>
      <c r="F81" s="534" t="s">
        <v>5899</v>
      </c>
      <c r="G81" s="534" t="s">
        <v>5900</v>
      </c>
      <c r="H81" s="534" t="s">
        <v>6156</v>
      </c>
      <c r="I81" s="408" t="e">
        <f>VLOOKUP(A81,'Sandi BI Existing Debitur'!$D$8:$D$592,1,0)</f>
        <v>#N/A</v>
      </c>
      <c r="L81" s="532" t="s">
        <v>4442</v>
      </c>
      <c r="M81" s="534" t="s">
        <v>6192</v>
      </c>
    </row>
    <row r="82" spans="1:13" ht="25.5" x14ac:dyDescent="0.25">
      <c r="A82" s="531" t="s">
        <v>4917</v>
      </c>
      <c r="B82" s="531" t="s">
        <v>4412</v>
      </c>
      <c r="C82" s="532" t="s">
        <v>4840</v>
      </c>
      <c r="D82" s="533" t="s">
        <v>5379</v>
      </c>
      <c r="E82" s="532" t="s">
        <v>4405</v>
      </c>
      <c r="F82" s="534" t="s">
        <v>6077</v>
      </c>
      <c r="G82" s="534" t="s">
        <v>6078</v>
      </c>
      <c r="H82" s="534" t="s">
        <v>6157</v>
      </c>
      <c r="I82" s="408" t="e">
        <f>VLOOKUP(A82,'Sandi BI Existing Debitur'!$D$8:$D$592,1,0)</f>
        <v>#N/A</v>
      </c>
      <c r="L82" s="532" t="s">
        <v>4442</v>
      </c>
      <c r="M82" s="534" t="s">
        <v>6195</v>
      </c>
    </row>
    <row r="83" spans="1:13" ht="38.25" x14ac:dyDescent="0.25">
      <c r="A83" s="531" t="s">
        <v>4918</v>
      </c>
      <c r="B83" s="531" t="s">
        <v>4413</v>
      </c>
      <c r="C83" s="532" t="s">
        <v>4840</v>
      </c>
      <c r="D83" s="533" t="s">
        <v>5380</v>
      </c>
      <c r="E83" s="532" t="s">
        <v>4405</v>
      </c>
      <c r="F83" s="534" t="s">
        <v>5951</v>
      </c>
      <c r="G83" s="534" t="s">
        <v>5952</v>
      </c>
      <c r="H83" s="534" t="s">
        <v>6148</v>
      </c>
      <c r="I83" s="408" t="str">
        <f>VLOOKUP(A83,'Sandi BI Existing Debitur'!$D$8:$D$592,1,0)</f>
        <v>523100</v>
      </c>
      <c r="L83" s="532" t="s">
        <v>4442</v>
      </c>
      <c r="M83" s="534" t="s">
        <v>6182</v>
      </c>
    </row>
    <row r="84" spans="1:13" ht="38.25" x14ac:dyDescent="0.25">
      <c r="A84" s="531" t="s">
        <v>4919</v>
      </c>
      <c r="B84" s="531" t="s">
        <v>4414</v>
      </c>
      <c r="C84" s="532" t="s">
        <v>4840</v>
      </c>
      <c r="D84" s="533" t="s">
        <v>7637</v>
      </c>
      <c r="E84" s="532" t="s">
        <v>4405</v>
      </c>
      <c r="F84" s="534" t="s">
        <v>5951</v>
      </c>
      <c r="G84" s="534" t="s">
        <v>5952</v>
      </c>
      <c r="H84" s="534" t="s">
        <v>6148</v>
      </c>
      <c r="I84" s="408" t="e">
        <f>VLOOKUP(A84,'Sandi BI Existing Debitur'!$D$8:$D$592,1,0)</f>
        <v>#N/A</v>
      </c>
      <c r="L84" s="532" t="s">
        <v>4442</v>
      </c>
      <c r="M84" s="534" t="s">
        <v>6196</v>
      </c>
    </row>
    <row r="85" spans="1:13" ht="25.5" x14ac:dyDescent="0.25">
      <c r="A85" s="531" t="s">
        <v>4920</v>
      </c>
      <c r="B85" s="531" t="s">
        <v>4415</v>
      </c>
      <c r="C85" s="532" t="s">
        <v>4840</v>
      </c>
      <c r="D85" s="533" t="s">
        <v>5381</v>
      </c>
      <c r="E85" s="532" t="s">
        <v>4405</v>
      </c>
      <c r="F85" s="534" t="s">
        <v>5993</v>
      </c>
      <c r="G85" s="534" t="s">
        <v>5994</v>
      </c>
      <c r="H85" s="534" t="s">
        <v>6158</v>
      </c>
      <c r="I85" s="408" t="str">
        <f>VLOOKUP(A85,'Sandi BI Existing Debitur'!$D$8:$D$592,1,0)</f>
        <v>514901</v>
      </c>
      <c r="L85" s="532" t="s">
        <v>4442</v>
      </c>
      <c r="M85" s="534" t="s">
        <v>6177</v>
      </c>
    </row>
    <row r="86" spans="1:13" ht="25.5" x14ac:dyDescent="0.25">
      <c r="A86" s="531" t="s">
        <v>4921</v>
      </c>
      <c r="B86" s="535" t="s">
        <v>4416</v>
      </c>
      <c r="C86" s="532" t="s">
        <v>4840</v>
      </c>
      <c r="D86" s="533" t="s">
        <v>5382</v>
      </c>
      <c r="E86" s="532" t="s">
        <v>4405</v>
      </c>
      <c r="F86" s="534" t="s">
        <v>5799</v>
      </c>
      <c r="G86" s="534" t="s">
        <v>5800</v>
      </c>
      <c r="H86" s="534" t="s">
        <v>6145</v>
      </c>
      <c r="I86" s="408" t="e">
        <f>VLOOKUP(A86,'Sandi BI Existing Debitur'!$D$8:$D$592,1,0)</f>
        <v>#N/A</v>
      </c>
      <c r="L86" s="532" t="s">
        <v>4442</v>
      </c>
      <c r="M86" s="534" t="s">
        <v>6204</v>
      </c>
    </row>
    <row r="87" spans="1:13" x14ac:dyDescent="0.25">
      <c r="A87" s="531" t="s">
        <v>4922</v>
      </c>
      <c r="B87" s="531" t="s">
        <v>4417</v>
      </c>
      <c r="C87" s="532" t="s">
        <v>4840</v>
      </c>
      <c r="D87" s="533" t="s">
        <v>5383</v>
      </c>
      <c r="E87" s="532" t="s">
        <v>4405</v>
      </c>
      <c r="F87" s="534" t="s">
        <v>5901</v>
      </c>
      <c r="G87" s="534" t="s">
        <v>5902</v>
      </c>
      <c r="H87" s="534" t="s">
        <v>6159</v>
      </c>
      <c r="I87" s="408" t="e">
        <f>VLOOKUP(A87,'Sandi BI Existing Debitur'!$D$8:$D$592,1,0)</f>
        <v>#N/A</v>
      </c>
      <c r="L87" s="532" t="s">
        <v>4442</v>
      </c>
      <c r="M87" s="534" t="s">
        <v>6199</v>
      </c>
    </row>
    <row r="88" spans="1:13" x14ac:dyDescent="0.25">
      <c r="A88" s="531" t="s">
        <v>4923</v>
      </c>
      <c r="B88" s="531" t="s">
        <v>4418</v>
      </c>
      <c r="C88" s="532" t="s">
        <v>4840</v>
      </c>
      <c r="D88" s="533" t="s">
        <v>5384</v>
      </c>
      <c r="E88" s="532" t="s">
        <v>4405</v>
      </c>
      <c r="F88" s="534" t="s">
        <v>6079</v>
      </c>
      <c r="G88" s="534" t="s">
        <v>6080</v>
      </c>
      <c r="H88" s="534" t="s">
        <v>6160</v>
      </c>
      <c r="I88" s="408" t="e">
        <f>VLOOKUP(A88,'Sandi BI Existing Debitur'!$D$8:$D$592,1,0)</f>
        <v>#N/A</v>
      </c>
      <c r="L88" s="532" t="s">
        <v>4442</v>
      </c>
      <c r="M88" s="534" t="s">
        <v>6172</v>
      </c>
    </row>
    <row r="89" spans="1:13" ht="26.25" x14ac:dyDescent="0.25">
      <c r="A89" s="531" t="s">
        <v>4924</v>
      </c>
      <c r="B89" s="531" t="s">
        <v>4419</v>
      </c>
      <c r="C89" s="532" t="s">
        <v>4420</v>
      </c>
      <c r="D89" s="533" t="s">
        <v>5385</v>
      </c>
      <c r="E89" s="532" t="s">
        <v>4421</v>
      </c>
      <c r="F89" s="534" t="s">
        <v>5849</v>
      </c>
      <c r="G89" s="534" t="s">
        <v>5850</v>
      </c>
      <c r="H89" s="534" t="s">
        <v>6161</v>
      </c>
      <c r="I89" s="408" t="e">
        <f>VLOOKUP(A89,'Sandi BI Existing Debitur'!$D$8:$D$592,1,0)</f>
        <v>#N/A</v>
      </c>
      <c r="L89" s="532" t="s">
        <v>4442</v>
      </c>
      <c r="M89" s="534" t="s">
        <v>6183</v>
      </c>
    </row>
    <row r="90" spans="1:13" x14ac:dyDescent="0.25">
      <c r="A90" s="531" t="s">
        <v>4925</v>
      </c>
      <c r="B90" s="531" t="s">
        <v>4422</v>
      </c>
      <c r="C90" s="532" t="s">
        <v>4420</v>
      </c>
      <c r="D90" s="533" t="s">
        <v>5386</v>
      </c>
      <c r="E90" s="532" t="s">
        <v>4421</v>
      </c>
      <c r="F90" s="534" t="s">
        <v>5849</v>
      </c>
      <c r="G90" s="534" t="s">
        <v>5850</v>
      </c>
      <c r="H90" s="534" t="s">
        <v>6161</v>
      </c>
      <c r="I90" s="408" t="e">
        <f>VLOOKUP(A90,'Sandi BI Existing Debitur'!$D$8:$D$592,1,0)</f>
        <v>#N/A</v>
      </c>
      <c r="L90" s="532" t="s">
        <v>4442</v>
      </c>
      <c r="M90" s="534" t="s">
        <v>6171</v>
      </c>
    </row>
    <row r="91" spans="1:13" ht="25.5" x14ac:dyDescent="0.25">
      <c r="A91" s="531" t="s">
        <v>4926</v>
      </c>
      <c r="B91" s="531" t="s">
        <v>4423</v>
      </c>
      <c r="C91" s="532" t="s">
        <v>4420</v>
      </c>
      <c r="D91" s="533" t="s">
        <v>5387</v>
      </c>
      <c r="E91" s="532" t="s">
        <v>4421</v>
      </c>
      <c r="F91" s="534" t="s">
        <v>5895</v>
      </c>
      <c r="G91" s="534" t="s">
        <v>5896</v>
      </c>
      <c r="H91" s="534" t="s">
        <v>6162</v>
      </c>
      <c r="I91" s="408" t="e">
        <f>VLOOKUP(A91,'Sandi BI Existing Debitur'!$D$8:$D$592,1,0)</f>
        <v>#N/A</v>
      </c>
      <c r="L91" s="532" t="s">
        <v>4442</v>
      </c>
      <c r="M91" s="534" t="s">
        <v>6197</v>
      </c>
    </row>
    <row r="92" spans="1:13" ht="25.5" x14ac:dyDescent="0.25">
      <c r="A92" s="531" t="s">
        <v>4927</v>
      </c>
      <c r="B92" s="531" t="s">
        <v>4839</v>
      </c>
      <c r="C92" s="532" t="s">
        <v>4420</v>
      </c>
      <c r="D92" s="533" t="s">
        <v>5388</v>
      </c>
      <c r="E92" s="532" t="s">
        <v>4421</v>
      </c>
      <c r="F92" s="534" t="s">
        <v>6029</v>
      </c>
      <c r="G92" s="534" t="s">
        <v>6030</v>
      </c>
      <c r="H92" s="534" t="s">
        <v>6163</v>
      </c>
      <c r="I92" s="408" t="e">
        <f>VLOOKUP(A92,'Sandi BI Existing Debitur'!$D$8:$D$592,1,0)</f>
        <v>#N/A</v>
      </c>
      <c r="L92" s="532" t="s">
        <v>4442</v>
      </c>
      <c r="M92" s="534" t="s">
        <v>6198</v>
      </c>
    </row>
    <row r="93" spans="1:13" ht="25.5" x14ac:dyDescent="0.25">
      <c r="A93" s="531" t="s">
        <v>4928</v>
      </c>
      <c r="B93" s="531" t="s">
        <v>4424</v>
      </c>
      <c r="C93" s="532" t="s">
        <v>4420</v>
      </c>
      <c r="D93" s="533" t="s">
        <v>5389</v>
      </c>
      <c r="E93" s="532" t="s">
        <v>4421</v>
      </c>
      <c r="F93" s="534" t="s">
        <v>5853</v>
      </c>
      <c r="G93" s="534" t="s">
        <v>5854</v>
      </c>
      <c r="H93" s="534" t="s">
        <v>6164</v>
      </c>
      <c r="I93" s="408" t="e">
        <f>VLOOKUP(A93,'Sandi BI Existing Debitur'!$D$8:$D$592,1,0)</f>
        <v>#N/A</v>
      </c>
      <c r="L93" s="532" t="s">
        <v>4442</v>
      </c>
      <c r="M93" s="534" t="s">
        <v>6200</v>
      </c>
    </row>
    <row r="94" spans="1:13" ht="25.5" x14ac:dyDescent="0.25">
      <c r="A94" s="531" t="s">
        <v>4929</v>
      </c>
      <c r="B94" s="531" t="s">
        <v>4425</v>
      </c>
      <c r="C94" s="532" t="s">
        <v>4420</v>
      </c>
      <c r="D94" s="533" t="s">
        <v>5390</v>
      </c>
      <c r="E94" s="532" t="s">
        <v>4421</v>
      </c>
      <c r="F94" s="534" t="s">
        <v>5853</v>
      </c>
      <c r="G94" s="534" t="s">
        <v>5854</v>
      </c>
      <c r="H94" s="534" t="s">
        <v>6164</v>
      </c>
      <c r="I94" s="408" t="e">
        <f>VLOOKUP(A94,'Sandi BI Existing Debitur'!$D$8:$D$592,1,0)</f>
        <v>#N/A</v>
      </c>
      <c r="L94" s="532" t="s">
        <v>4482</v>
      </c>
      <c r="M94" s="534" t="s">
        <v>6208</v>
      </c>
    </row>
    <row r="95" spans="1:13" x14ac:dyDescent="0.25">
      <c r="A95" s="531" t="s">
        <v>4930</v>
      </c>
      <c r="B95" s="531" t="s">
        <v>4426</v>
      </c>
      <c r="C95" s="532" t="s">
        <v>4420</v>
      </c>
      <c r="D95" s="533" t="s">
        <v>5391</v>
      </c>
      <c r="E95" s="532" t="s">
        <v>4421</v>
      </c>
      <c r="F95" s="534" t="s">
        <v>5855</v>
      </c>
      <c r="G95" s="534" t="s">
        <v>5856</v>
      </c>
      <c r="H95" s="534" t="s">
        <v>6165</v>
      </c>
      <c r="I95" s="408" t="e">
        <f>VLOOKUP(A95,'Sandi BI Existing Debitur'!$D$8:$D$592,1,0)</f>
        <v>#N/A</v>
      </c>
      <c r="L95" s="532" t="s">
        <v>4482</v>
      </c>
      <c r="M95" s="534" t="s">
        <v>6209</v>
      </c>
    </row>
    <row r="96" spans="1:13" x14ac:dyDescent="0.25">
      <c r="A96" s="531" t="s">
        <v>4931</v>
      </c>
      <c r="B96" s="531" t="s">
        <v>4427</v>
      </c>
      <c r="C96" s="532" t="s">
        <v>4420</v>
      </c>
      <c r="D96" s="533" t="s">
        <v>5392</v>
      </c>
      <c r="E96" s="532" t="s">
        <v>4421</v>
      </c>
      <c r="F96" s="534" t="s">
        <v>5857</v>
      </c>
      <c r="G96" s="534" t="s">
        <v>5858</v>
      </c>
      <c r="H96" s="534" t="s">
        <v>6166</v>
      </c>
      <c r="I96" s="408" t="e">
        <f>VLOOKUP(A96,'Sandi BI Existing Debitur'!$D$8:$D$592,1,0)</f>
        <v>#N/A</v>
      </c>
      <c r="L96" s="532" t="s">
        <v>4482</v>
      </c>
      <c r="M96" s="534" t="s">
        <v>6210</v>
      </c>
    </row>
    <row r="97" spans="1:13" x14ac:dyDescent="0.25">
      <c r="A97" s="531" t="s">
        <v>4932</v>
      </c>
      <c r="B97" s="531" t="s">
        <v>4428</v>
      </c>
      <c r="C97" s="532" t="s">
        <v>4420</v>
      </c>
      <c r="D97" s="533" t="s">
        <v>5393</v>
      </c>
      <c r="E97" s="532" t="s">
        <v>4421</v>
      </c>
      <c r="F97" s="534" t="s">
        <v>5859</v>
      </c>
      <c r="G97" s="534" t="s">
        <v>5860</v>
      </c>
      <c r="H97" s="534" t="s">
        <v>6167</v>
      </c>
      <c r="I97" s="408" t="e">
        <f>VLOOKUP(A97,'Sandi BI Existing Debitur'!$D$8:$D$592,1,0)</f>
        <v>#N/A</v>
      </c>
      <c r="L97" s="532" t="s">
        <v>4482</v>
      </c>
      <c r="M97" s="534" t="s">
        <v>6211</v>
      </c>
    </row>
    <row r="98" spans="1:13" x14ac:dyDescent="0.25">
      <c r="A98" s="531" t="s">
        <v>4933</v>
      </c>
      <c r="B98" s="531" t="s">
        <v>4429</v>
      </c>
      <c r="C98" s="532" t="s">
        <v>4420</v>
      </c>
      <c r="D98" s="533" t="s">
        <v>5394</v>
      </c>
      <c r="E98" s="532" t="s">
        <v>4421</v>
      </c>
      <c r="F98" s="534" t="s">
        <v>5861</v>
      </c>
      <c r="G98" s="534" t="s">
        <v>5862</v>
      </c>
      <c r="H98" s="534" t="s">
        <v>6168</v>
      </c>
      <c r="I98" s="408" t="e">
        <f>VLOOKUP(A98,'Sandi BI Existing Debitur'!$D$8:$D$592,1,0)</f>
        <v>#N/A</v>
      </c>
      <c r="L98" s="532" t="s">
        <v>4482</v>
      </c>
      <c r="M98" s="534" t="s">
        <v>6206</v>
      </c>
    </row>
    <row r="99" spans="1:13" x14ac:dyDescent="0.25">
      <c r="A99" s="531" t="s">
        <v>4934</v>
      </c>
      <c r="B99" s="531" t="s">
        <v>4430</v>
      </c>
      <c r="C99" s="532" t="s">
        <v>4420</v>
      </c>
      <c r="D99" s="533" t="s">
        <v>5395</v>
      </c>
      <c r="E99" s="532" t="s">
        <v>4421</v>
      </c>
      <c r="F99" s="534" t="s">
        <v>5863</v>
      </c>
      <c r="G99" s="534" t="s">
        <v>5864</v>
      </c>
      <c r="H99" s="534" t="s">
        <v>6169</v>
      </c>
      <c r="I99" s="408" t="e">
        <f>VLOOKUP(A99,'Sandi BI Existing Debitur'!$D$8:$D$592,1,0)</f>
        <v>#N/A</v>
      </c>
      <c r="L99" s="532" t="s">
        <v>4482</v>
      </c>
      <c r="M99" s="534" t="s">
        <v>6207</v>
      </c>
    </row>
    <row r="100" spans="1:13" x14ac:dyDescent="0.25">
      <c r="A100" s="531" t="s">
        <v>4935</v>
      </c>
      <c r="B100" s="531" t="s">
        <v>4431</v>
      </c>
      <c r="C100" s="532" t="s">
        <v>4420</v>
      </c>
      <c r="D100" s="533" t="s">
        <v>5396</v>
      </c>
      <c r="E100" s="532" t="s">
        <v>4421</v>
      </c>
      <c r="F100" s="534" t="s">
        <v>5863</v>
      </c>
      <c r="G100" s="534" t="s">
        <v>5864</v>
      </c>
      <c r="H100" s="534" t="s">
        <v>6169</v>
      </c>
      <c r="I100" s="408" t="e">
        <f>VLOOKUP(A100,'Sandi BI Existing Debitur'!$D$8:$D$592,1,0)</f>
        <v>#N/A</v>
      </c>
      <c r="L100" s="532" t="s">
        <v>4482</v>
      </c>
      <c r="M100" s="534" t="s">
        <v>6212</v>
      </c>
    </row>
    <row r="101" spans="1:13" ht="25.5" x14ac:dyDescent="0.25">
      <c r="A101" s="531" t="s">
        <v>4936</v>
      </c>
      <c r="B101" s="531" t="s">
        <v>4432</v>
      </c>
      <c r="C101" s="532" t="s">
        <v>4420</v>
      </c>
      <c r="D101" s="533" t="s">
        <v>5397</v>
      </c>
      <c r="E101" s="532" t="s">
        <v>4421</v>
      </c>
      <c r="F101" s="534" t="s">
        <v>5853</v>
      </c>
      <c r="G101" s="534" t="s">
        <v>5854</v>
      </c>
      <c r="H101" s="534" t="s">
        <v>6164</v>
      </c>
      <c r="I101" s="408" t="e">
        <f>VLOOKUP(A101,'Sandi BI Existing Debitur'!$D$8:$D$592,1,0)</f>
        <v>#N/A</v>
      </c>
      <c r="L101" s="532" t="s">
        <v>4482</v>
      </c>
      <c r="M101" s="534" t="s">
        <v>6214</v>
      </c>
    </row>
    <row r="102" spans="1:13" ht="25.5" x14ac:dyDescent="0.25">
      <c r="A102" s="531" t="s">
        <v>4937</v>
      </c>
      <c r="B102" s="531" t="s">
        <v>4433</v>
      </c>
      <c r="C102" s="532" t="s">
        <v>4420</v>
      </c>
      <c r="D102" s="533" t="s">
        <v>5398</v>
      </c>
      <c r="E102" s="532" t="s">
        <v>4421</v>
      </c>
      <c r="F102" s="534" t="s">
        <v>5853</v>
      </c>
      <c r="G102" s="534" t="s">
        <v>5854</v>
      </c>
      <c r="H102" s="534" t="s">
        <v>6164</v>
      </c>
      <c r="I102" s="408" t="e">
        <f>VLOOKUP(A102,'Sandi BI Existing Debitur'!$D$8:$D$592,1,0)</f>
        <v>#N/A</v>
      </c>
      <c r="L102" s="532" t="s">
        <v>4482</v>
      </c>
      <c r="M102" s="534" t="s">
        <v>6213</v>
      </c>
    </row>
    <row r="103" spans="1:13" ht="25.5" x14ac:dyDescent="0.25">
      <c r="A103" s="531" t="s">
        <v>4938</v>
      </c>
      <c r="B103" s="531" t="s">
        <v>4434</v>
      </c>
      <c r="C103" s="532" t="s">
        <v>4420</v>
      </c>
      <c r="D103" s="533" t="s">
        <v>5399</v>
      </c>
      <c r="E103" s="532" t="s">
        <v>4421</v>
      </c>
      <c r="F103" s="534" t="s">
        <v>5853</v>
      </c>
      <c r="G103" s="534" t="s">
        <v>5854</v>
      </c>
      <c r="H103" s="534" t="s">
        <v>6164</v>
      </c>
      <c r="I103" s="408" t="e">
        <f>VLOOKUP(A103,'Sandi BI Existing Debitur'!$D$8:$D$592,1,0)</f>
        <v>#N/A</v>
      </c>
      <c r="L103" s="532" t="s">
        <v>4482</v>
      </c>
      <c r="M103" s="534" t="s">
        <v>6215</v>
      </c>
    </row>
    <row r="104" spans="1:13" x14ac:dyDescent="0.25">
      <c r="A104" s="531" t="s">
        <v>4939</v>
      </c>
      <c r="B104" s="531" t="s">
        <v>4435</v>
      </c>
      <c r="C104" s="532" t="s">
        <v>4420</v>
      </c>
      <c r="D104" s="533" t="s">
        <v>5400</v>
      </c>
      <c r="E104" s="532" t="s">
        <v>4421</v>
      </c>
      <c r="F104" s="534" t="s">
        <v>5853</v>
      </c>
      <c r="G104" s="534" t="s">
        <v>5854</v>
      </c>
      <c r="H104" s="534" t="s">
        <v>6164</v>
      </c>
      <c r="I104" s="408" t="e">
        <f>VLOOKUP(A104,'Sandi BI Existing Debitur'!$D$8:$D$592,1,0)</f>
        <v>#N/A</v>
      </c>
      <c r="L104" s="532" t="s">
        <v>4482</v>
      </c>
      <c r="M104" s="534" t="s">
        <v>6216</v>
      </c>
    </row>
    <row r="105" spans="1:13" ht="25.5" x14ac:dyDescent="0.25">
      <c r="A105" s="531" t="s">
        <v>4940</v>
      </c>
      <c r="B105" s="531" t="s">
        <v>4436</v>
      </c>
      <c r="C105" s="532" t="s">
        <v>4420</v>
      </c>
      <c r="D105" s="533" t="s">
        <v>5401</v>
      </c>
      <c r="E105" s="532" t="s">
        <v>4421</v>
      </c>
      <c r="F105" s="534" t="s">
        <v>5853</v>
      </c>
      <c r="G105" s="534" t="s">
        <v>5854</v>
      </c>
      <c r="H105" s="534" t="s">
        <v>6164</v>
      </c>
      <c r="I105" s="408" t="e">
        <f>VLOOKUP(A105,'Sandi BI Existing Debitur'!$D$8:$D$592,1,0)</f>
        <v>#N/A</v>
      </c>
      <c r="L105" s="532" t="s">
        <v>4482</v>
      </c>
      <c r="M105" s="534" t="s">
        <v>6205</v>
      </c>
    </row>
    <row r="106" spans="1:13" x14ac:dyDescent="0.25">
      <c r="A106" s="531" t="s">
        <v>4941</v>
      </c>
      <c r="B106" s="531" t="s">
        <v>4437</v>
      </c>
      <c r="C106" s="532" t="s">
        <v>4420</v>
      </c>
      <c r="D106" s="533" t="s">
        <v>5402</v>
      </c>
      <c r="E106" s="532" t="s">
        <v>4421</v>
      </c>
      <c r="F106" s="534" t="s">
        <v>5865</v>
      </c>
      <c r="G106" s="534" t="s">
        <v>5866</v>
      </c>
      <c r="H106" s="534" t="s">
        <v>6127</v>
      </c>
      <c r="I106" s="408" t="str">
        <f>VLOOKUP(A106,'Sandi BI Existing Debitur'!$D$8:$D$592,1,0)</f>
        <v>265000</v>
      </c>
      <c r="L106" s="532" t="s">
        <v>4482</v>
      </c>
      <c r="M106" s="534" t="s">
        <v>6218</v>
      </c>
    </row>
    <row r="107" spans="1:13" x14ac:dyDescent="0.25">
      <c r="A107" s="531" t="s">
        <v>4942</v>
      </c>
      <c r="B107" s="531" t="s">
        <v>4438</v>
      </c>
      <c r="C107" s="532" t="s">
        <v>4420</v>
      </c>
      <c r="D107" s="533" t="s">
        <v>5403</v>
      </c>
      <c r="E107" s="532" t="s">
        <v>4421</v>
      </c>
      <c r="F107" s="534" t="s">
        <v>5865</v>
      </c>
      <c r="G107" s="534" t="s">
        <v>5866</v>
      </c>
      <c r="H107" s="534" t="s">
        <v>6127</v>
      </c>
      <c r="I107" s="408" t="e">
        <f>VLOOKUP(A107,'Sandi BI Existing Debitur'!$D$8:$D$592,1,0)</f>
        <v>#N/A</v>
      </c>
      <c r="L107" s="532" t="s">
        <v>4482</v>
      </c>
      <c r="M107" s="534" t="s">
        <v>6232</v>
      </c>
    </row>
    <row r="108" spans="1:13" ht="25.5" x14ac:dyDescent="0.25">
      <c r="A108" s="531" t="s">
        <v>4943</v>
      </c>
      <c r="B108" s="531" t="s">
        <v>4439</v>
      </c>
      <c r="C108" s="532" t="s">
        <v>4420</v>
      </c>
      <c r="D108" s="533" t="s">
        <v>5404</v>
      </c>
      <c r="E108" s="532" t="s">
        <v>4421</v>
      </c>
      <c r="F108" s="534" t="s">
        <v>5865</v>
      </c>
      <c r="G108" s="534" t="s">
        <v>5866</v>
      </c>
      <c r="H108" s="534" t="s">
        <v>6127</v>
      </c>
      <c r="I108" s="408" t="str">
        <f>VLOOKUP(A108,'Sandi BI Existing Debitur'!$D$8:$D$592,1,0)</f>
        <v>269000</v>
      </c>
      <c r="L108" s="532" t="s">
        <v>4482</v>
      </c>
      <c r="M108" s="534" t="s">
        <v>6219</v>
      </c>
    </row>
    <row r="109" spans="1:13" ht="25.5" x14ac:dyDescent="0.25">
      <c r="A109" s="531" t="s">
        <v>4944</v>
      </c>
      <c r="B109" s="531" t="s">
        <v>4440</v>
      </c>
      <c r="C109" s="532" t="s">
        <v>4420</v>
      </c>
      <c r="D109" s="533" t="s">
        <v>5405</v>
      </c>
      <c r="E109" s="532" t="s">
        <v>4421</v>
      </c>
      <c r="F109" s="534" t="s">
        <v>6053</v>
      </c>
      <c r="G109" s="534" t="s">
        <v>6054</v>
      </c>
      <c r="H109" s="534" t="s">
        <v>6170</v>
      </c>
      <c r="I109" s="408" t="e">
        <f>VLOOKUP(A109,'Sandi BI Existing Debitur'!$D$8:$D$592,1,0)</f>
        <v>#N/A</v>
      </c>
      <c r="L109" s="532" t="s">
        <v>4514</v>
      </c>
      <c r="M109" s="534" t="s">
        <v>6224</v>
      </c>
    </row>
    <row r="110" spans="1:13" x14ac:dyDescent="0.25">
      <c r="A110" s="531" t="s">
        <v>4945</v>
      </c>
      <c r="B110" s="531" t="s">
        <v>4441</v>
      </c>
      <c r="C110" s="532" t="s">
        <v>4825</v>
      </c>
      <c r="D110" s="533" t="s">
        <v>5406</v>
      </c>
      <c r="E110" s="532" t="s">
        <v>4442</v>
      </c>
      <c r="F110" s="534" t="s">
        <v>5959</v>
      </c>
      <c r="G110" s="534" t="s">
        <v>5960</v>
      </c>
      <c r="H110" s="534" t="s">
        <v>6171</v>
      </c>
      <c r="I110" s="408" t="e">
        <f>VLOOKUP(A110,'Sandi BI Existing Debitur'!$D$8:$D$592,1,0)</f>
        <v>#N/A</v>
      </c>
      <c r="L110" s="532" t="s">
        <v>4514</v>
      </c>
      <c r="M110" s="534" t="s">
        <v>6225</v>
      </c>
    </row>
    <row r="111" spans="1:13" x14ac:dyDescent="0.25">
      <c r="A111" s="531" t="s">
        <v>4946</v>
      </c>
      <c r="B111" s="531" t="s">
        <v>4443</v>
      </c>
      <c r="C111" s="532" t="s">
        <v>4825</v>
      </c>
      <c r="D111" s="533" t="s">
        <v>5407</v>
      </c>
      <c r="E111" s="532" t="s">
        <v>4442</v>
      </c>
      <c r="F111" s="534" t="s">
        <v>5963</v>
      </c>
      <c r="G111" s="534" t="s">
        <v>5964</v>
      </c>
      <c r="H111" s="534" t="s">
        <v>6172</v>
      </c>
      <c r="I111" s="408" t="e">
        <f>VLOOKUP(A111,'Sandi BI Existing Debitur'!$D$8:$D$592,1,0)</f>
        <v>#N/A</v>
      </c>
      <c r="L111" s="532" t="s">
        <v>4514</v>
      </c>
      <c r="M111" s="534" t="s">
        <v>6232</v>
      </c>
    </row>
    <row r="112" spans="1:13" x14ac:dyDescent="0.25">
      <c r="A112" s="538" t="s">
        <v>4947</v>
      </c>
      <c r="B112" s="531" t="s">
        <v>4444</v>
      </c>
      <c r="C112" s="532" t="s">
        <v>4825</v>
      </c>
      <c r="D112" s="533" t="s">
        <v>5408</v>
      </c>
      <c r="E112" s="532" t="s">
        <v>4442</v>
      </c>
      <c r="F112" s="534" t="s">
        <v>6017</v>
      </c>
      <c r="G112" s="534" t="s">
        <v>6018</v>
      </c>
      <c r="H112" s="534" t="s">
        <v>6173</v>
      </c>
      <c r="I112" s="408" t="e">
        <f>VLOOKUP(A112,'Sandi BI Existing Debitur'!$D$8:$D$592,1,0)</f>
        <v>#N/A</v>
      </c>
      <c r="L112" s="532" t="s">
        <v>4514</v>
      </c>
      <c r="M112" s="534" t="s">
        <v>6217</v>
      </c>
    </row>
    <row r="113" spans="1:13" x14ac:dyDescent="0.25">
      <c r="A113" s="538" t="s">
        <v>4948</v>
      </c>
      <c r="B113" s="531" t="s">
        <v>4444</v>
      </c>
      <c r="C113" s="532" t="s">
        <v>4825</v>
      </c>
      <c r="D113" s="533" t="s">
        <v>5409</v>
      </c>
      <c r="E113" s="532" t="s">
        <v>4442</v>
      </c>
      <c r="F113" s="534" t="s">
        <v>6017</v>
      </c>
      <c r="G113" s="534" t="s">
        <v>6018</v>
      </c>
      <c r="H113" s="534" t="s">
        <v>6173</v>
      </c>
      <c r="I113" s="408" t="e">
        <f>VLOOKUP(A113,'Sandi BI Existing Debitur'!$D$8:$D$592,1,0)</f>
        <v>#N/A</v>
      </c>
      <c r="L113" s="532" t="s">
        <v>4514</v>
      </c>
      <c r="M113" s="534" t="s">
        <v>6226</v>
      </c>
    </row>
    <row r="114" spans="1:13" x14ac:dyDescent="0.25">
      <c r="A114" s="531" t="s">
        <v>4949</v>
      </c>
      <c r="B114" s="531" t="s">
        <v>4445</v>
      </c>
      <c r="C114" s="532" t="s">
        <v>4825</v>
      </c>
      <c r="D114" s="533" t="s">
        <v>5410</v>
      </c>
      <c r="E114" s="532" t="s">
        <v>4442</v>
      </c>
      <c r="F114" s="534" t="s">
        <v>6059</v>
      </c>
      <c r="G114" s="534" t="s">
        <v>6060</v>
      </c>
      <c r="H114" s="534" t="s">
        <v>6174</v>
      </c>
      <c r="I114" s="408" t="e">
        <f>VLOOKUP(A114,'Sandi BI Existing Debitur'!$D$8:$D$592,1,0)</f>
        <v>#N/A</v>
      </c>
      <c r="L114" s="532" t="s">
        <v>4514</v>
      </c>
      <c r="M114" s="534" t="s">
        <v>6230</v>
      </c>
    </row>
    <row r="115" spans="1:13" ht="25.5" x14ac:dyDescent="0.25">
      <c r="A115" s="531" t="s">
        <v>4950</v>
      </c>
      <c r="B115" s="531" t="s">
        <v>4446</v>
      </c>
      <c r="C115" s="532" t="s">
        <v>4825</v>
      </c>
      <c r="D115" s="533" t="s">
        <v>5411</v>
      </c>
      <c r="E115" s="532" t="s">
        <v>4442</v>
      </c>
      <c r="F115" s="534" t="s">
        <v>5869</v>
      </c>
      <c r="G115" s="534" t="s">
        <v>5870</v>
      </c>
      <c r="H115" s="534" t="s">
        <v>6175</v>
      </c>
      <c r="I115" s="408" t="e">
        <f>VLOOKUP(A115,'Sandi BI Existing Debitur'!$D$8:$D$592,1,0)</f>
        <v>#N/A</v>
      </c>
      <c r="L115" s="532" t="s">
        <v>4514</v>
      </c>
      <c r="M115" s="534" t="s">
        <v>6229</v>
      </c>
    </row>
    <row r="116" spans="1:13" ht="25.5" x14ac:dyDescent="0.25">
      <c r="A116" s="531" t="s">
        <v>4951</v>
      </c>
      <c r="B116" s="531" t="s">
        <v>4447</v>
      </c>
      <c r="C116" s="532" t="s">
        <v>4825</v>
      </c>
      <c r="D116" s="533" t="s">
        <v>5412</v>
      </c>
      <c r="E116" s="532" t="s">
        <v>4442</v>
      </c>
      <c r="F116" s="534" t="s">
        <v>5871</v>
      </c>
      <c r="G116" s="534" t="s">
        <v>5872</v>
      </c>
      <c r="H116" s="534" t="s">
        <v>6176</v>
      </c>
      <c r="I116" s="408" t="e">
        <f>VLOOKUP(A116,'Sandi BI Existing Debitur'!$D$8:$D$592,1,0)</f>
        <v>#N/A</v>
      </c>
      <c r="L116" s="532" t="s">
        <v>4514</v>
      </c>
      <c r="M116" s="534" t="s">
        <v>6231</v>
      </c>
    </row>
    <row r="117" spans="1:13" ht="25.5" x14ac:dyDescent="0.25">
      <c r="A117" s="531" t="s">
        <v>4952</v>
      </c>
      <c r="B117" s="531" t="s">
        <v>4448</v>
      </c>
      <c r="C117" s="532" t="s">
        <v>4825</v>
      </c>
      <c r="D117" s="533" t="s">
        <v>5413</v>
      </c>
      <c r="E117" s="532" t="s">
        <v>4442</v>
      </c>
      <c r="F117" s="534" t="s">
        <v>5967</v>
      </c>
      <c r="G117" s="534" t="s">
        <v>5968</v>
      </c>
      <c r="H117" s="534" t="s">
        <v>6177</v>
      </c>
      <c r="I117" s="408" t="str">
        <f>VLOOKUP(A117,'Sandi BI Existing Debitur'!$D$8:$D$592,1,0)</f>
        <v>512116</v>
      </c>
      <c r="L117" s="532" t="s">
        <v>4514</v>
      </c>
      <c r="M117" s="534" t="s">
        <v>6220</v>
      </c>
    </row>
    <row r="118" spans="1:13" ht="25.5" x14ac:dyDescent="0.25">
      <c r="A118" s="531" t="s">
        <v>4953</v>
      </c>
      <c r="B118" s="531" t="s">
        <v>4449</v>
      </c>
      <c r="C118" s="532" t="s">
        <v>4825</v>
      </c>
      <c r="D118" s="533" t="s">
        <v>5414</v>
      </c>
      <c r="E118" s="532" t="s">
        <v>4442</v>
      </c>
      <c r="F118" s="534" t="s">
        <v>5967</v>
      </c>
      <c r="G118" s="534" t="s">
        <v>5968</v>
      </c>
      <c r="H118" s="534" t="s">
        <v>6177</v>
      </c>
      <c r="I118" s="408" t="str">
        <f>VLOOKUP(A118,'Sandi BI Existing Debitur'!$D$8:$D$592,1,0)</f>
        <v>512206</v>
      </c>
      <c r="L118" s="532" t="s">
        <v>4514</v>
      </c>
      <c r="M118" s="534" t="s">
        <v>6228</v>
      </c>
    </row>
    <row r="119" spans="1:13" ht="25.5" x14ac:dyDescent="0.25">
      <c r="A119" s="531" t="s">
        <v>4954</v>
      </c>
      <c r="B119" s="531" t="s">
        <v>4450</v>
      </c>
      <c r="C119" s="532" t="s">
        <v>4825</v>
      </c>
      <c r="D119" s="533" t="s">
        <v>5415</v>
      </c>
      <c r="E119" s="532" t="s">
        <v>4442</v>
      </c>
      <c r="F119" s="534" t="s">
        <v>5997</v>
      </c>
      <c r="G119" s="534" t="s">
        <v>5998</v>
      </c>
      <c r="H119" s="534" t="s">
        <v>6178</v>
      </c>
      <c r="I119" s="408" t="e">
        <f>VLOOKUP(A119,'Sandi BI Existing Debitur'!$D$8:$D$592,1,0)</f>
        <v>#N/A</v>
      </c>
      <c r="L119" s="532" t="s">
        <v>4514</v>
      </c>
      <c r="M119" s="534" t="s">
        <v>6222</v>
      </c>
    </row>
    <row r="120" spans="1:13" ht="25.5" x14ac:dyDescent="0.25">
      <c r="A120" s="531" t="s">
        <v>4955</v>
      </c>
      <c r="B120" s="531" t="s">
        <v>4451</v>
      </c>
      <c r="C120" s="532" t="s">
        <v>4825</v>
      </c>
      <c r="D120" s="533" t="s">
        <v>5416</v>
      </c>
      <c r="E120" s="532" t="s">
        <v>4442</v>
      </c>
      <c r="F120" s="534" t="s">
        <v>6043</v>
      </c>
      <c r="G120" s="534" t="s">
        <v>6044</v>
      </c>
      <c r="H120" s="534" t="s">
        <v>6179</v>
      </c>
      <c r="I120" s="408" t="e">
        <f>VLOOKUP(A120,'Sandi BI Existing Debitur'!$D$8:$D$592,1,0)</f>
        <v>#N/A</v>
      </c>
      <c r="L120" s="532" t="s">
        <v>4514</v>
      </c>
      <c r="M120" s="534" t="s">
        <v>6221</v>
      </c>
    </row>
    <row r="121" spans="1:13" ht="25.5" x14ac:dyDescent="0.25">
      <c r="A121" s="531" t="s">
        <v>4956</v>
      </c>
      <c r="B121" s="531" t="s">
        <v>4452</v>
      </c>
      <c r="C121" s="532" t="s">
        <v>4825</v>
      </c>
      <c r="D121" s="533" t="s">
        <v>5417</v>
      </c>
      <c r="E121" s="532" t="s">
        <v>4442</v>
      </c>
      <c r="F121" s="534" t="s">
        <v>5997</v>
      </c>
      <c r="G121" s="534" t="s">
        <v>5998</v>
      </c>
      <c r="H121" s="534" t="s">
        <v>6178</v>
      </c>
      <c r="I121" s="408" t="e">
        <f>VLOOKUP(A121,'Sandi BI Existing Debitur'!$D$8:$D$592,1,0)</f>
        <v>#N/A</v>
      </c>
      <c r="L121" s="532" t="s">
        <v>4514</v>
      </c>
      <c r="M121" s="534" t="s">
        <v>6227</v>
      </c>
    </row>
    <row r="122" spans="1:13" x14ac:dyDescent="0.25">
      <c r="A122" s="531" t="s">
        <v>4961</v>
      </c>
      <c r="B122" s="531" t="s">
        <v>4457</v>
      </c>
      <c r="C122" s="532" t="s">
        <v>4825</v>
      </c>
      <c r="D122" s="533" t="s">
        <v>5422</v>
      </c>
      <c r="E122" s="532" t="s">
        <v>4442</v>
      </c>
      <c r="F122" s="534" t="s">
        <v>5957</v>
      </c>
      <c r="G122" s="534" t="s">
        <v>5958</v>
      </c>
      <c r="H122" s="534" t="s">
        <v>6182</v>
      </c>
      <c r="I122" s="408" t="e">
        <f>VLOOKUP(A122,'Sandi BI Existing Debitur'!$D$8:$D$592,1,0)</f>
        <v>#N/A</v>
      </c>
      <c r="L122" s="532" t="s">
        <v>4514</v>
      </c>
      <c r="M122" s="534" t="s">
        <v>6223</v>
      </c>
    </row>
    <row r="123" spans="1:13" x14ac:dyDescent="0.25">
      <c r="A123" s="531" t="s">
        <v>4962</v>
      </c>
      <c r="B123" s="531" t="s">
        <v>4458</v>
      </c>
      <c r="C123" s="532" t="s">
        <v>4825</v>
      </c>
      <c r="D123" s="533" t="s">
        <v>5423</v>
      </c>
      <c r="E123" s="532" t="s">
        <v>4442</v>
      </c>
      <c r="F123" s="534" t="s">
        <v>5965</v>
      </c>
      <c r="G123" s="534" t="s">
        <v>5966</v>
      </c>
      <c r="H123" s="534" t="s">
        <v>6183</v>
      </c>
      <c r="I123" s="408" t="e">
        <f>VLOOKUP(A123,'Sandi BI Existing Debitur'!$D$8:$D$592,1,0)</f>
        <v>#N/A</v>
      </c>
      <c r="L123" s="532" t="s">
        <v>7635</v>
      </c>
      <c r="M123" s="534" t="s">
        <v>6235</v>
      </c>
    </row>
    <row r="124" spans="1:13" x14ac:dyDescent="0.25">
      <c r="A124" s="531" t="s">
        <v>4963</v>
      </c>
      <c r="B124" s="531" t="s">
        <v>4459</v>
      </c>
      <c r="C124" s="532" t="s">
        <v>4825</v>
      </c>
      <c r="D124" s="533" t="s">
        <v>5424</v>
      </c>
      <c r="E124" s="532" t="s">
        <v>4442</v>
      </c>
      <c r="F124" s="534" t="s">
        <v>6013</v>
      </c>
      <c r="G124" s="534" t="s">
        <v>6014</v>
      </c>
      <c r="H124" s="534" t="s">
        <v>6184</v>
      </c>
      <c r="I124" s="408" t="e">
        <f>VLOOKUP(A124,'Sandi BI Existing Debitur'!$D$8:$D$592,1,0)</f>
        <v>#N/A</v>
      </c>
      <c r="L124" s="532" t="s">
        <v>7635</v>
      </c>
      <c r="M124" s="534" t="s">
        <v>6159</v>
      </c>
    </row>
    <row r="125" spans="1:13" x14ac:dyDescent="0.25">
      <c r="A125" s="531" t="s">
        <v>4964</v>
      </c>
      <c r="B125" s="531" t="s">
        <v>4460</v>
      </c>
      <c r="C125" s="532" t="s">
        <v>4825</v>
      </c>
      <c r="D125" s="533" t="s">
        <v>5425</v>
      </c>
      <c r="E125" s="532" t="s">
        <v>4442</v>
      </c>
      <c r="F125" s="534" t="s">
        <v>6015</v>
      </c>
      <c r="G125" s="534" t="s">
        <v>6016</v>
      </c>
      <c r="H125" s="534" t="s">
        <v>6185</v>
      </c>
      <c r="I125" s="408" t="e">
        <f>VLOOKUP(A125,'Sandi BI Existing Debitur'!$D$8:$D$592,1,0)</f>
        <v>#N/A</v>
      </c>
      <c r="L125" s="532" t="s">
        <v>7635</v>
      </c>
      <c r="M125" s="534" t="s">
        <v>6236</v>
      </c>
    </row>
    <row r="126" spans="1:13" x14ac:dyDescent="0.25">
      <c r="A126" s="531" t="s">
        <v>4965</v>
      </c>
      <c r="B126" s="531" t="s">
        <v>4461</v>
      </c>
      <c r="C126" s="532" t="s">
        <v>4825</v>
      </c>
      <c r="D126" s="533" t="s">
        <v>5426</v>
      </c>
      <c r="E126" s="532" t="s">
        <v>4442</v>
      </c>
      <c r="F126" s="534" t="s">
        <v>6025</v>
      </c>
      <c r="G126" s="534" t="s">
        <v>6026</v>
      </c>
      <c r="H126" s="534" t="s">
        <v>6186</v>
      </c>
      <c r="I126" s="408" t="e">
        <f>VLOOKUP(A126,'Sandi BI Existing Debitur'!$D$8:$D$592,1,0)</f>
        <v>#N/A</v>
      </c>
      <c r="L126" s="532" t="s">
        <v>7635</v>
      </c>
      <c r="M126" s="534" t="s">
        <v>6217</v>
      </c>
    </row>
    <row r="127" spans="1:13" x14ac:dyDescent="0.25">
      <c r="A127" s="531" t="s">
        <v>4966</v>
      </c>
      <c r="B127" s="531" t="s">
        <v>4462</v>
      </c>
      <c r="C127" s="532" t="s">
        <v>4825</v>
      </c>
      <c r="D127" s="533" t="s">
        <v>5427</v>
      </c>
      <c r="E127" s="532" t="s">
        <v>4442</v>
      </c>
      <c r="F127" s="534" t="s">
        <v>6037</v>
      </c>
      <c r="G127" s="534" t="s">
        <v>6038</v>
      </c>
      <c r="H127" s="534" t="s">
        <v>6187</v>
      </c>
      <c r="I127" s="408" t="e">
        <f>VLOOKUP(A127,'Sandi BI Existing Debitur'!$D$8:$D$592,1,0)</f>
        <v>#N/A</v>
      </c>
      <c r="L127" s="532" t="s">
        <v>7635</v>
      </c>
      <c r="M127" s="534" t="s">
        <v>6148</v>
      </c>
    </row>
    <row r="128" spans="1:13" x14ac:dyDescent="0.25">
      <c r="A128" s="531" t="s">
        <v>4967</v>
      </c>
      <c r="B128" s="531" t="s">
        <v>4463</v>
      </c>
      <c r="C128" s="532" t="s">
        <v>4825</v>
      </c>
      <c r="D128" s="533" t="s">
        <v>5428</v>
      </c>
      <c r="E128" s="532" t="s">
        <v>4442</v>
      </c>
      <c r="F128" s="534" t="s">
        <v>6041</v>
      </c>
      <c r="G128" s="534" t="s">
        <v>6042</v>
      </c>
      <c r="H128" s="534" t="s">
        <v>6188</v>
      </c>
      <c r="I128" s="408" t="e">
        <f>VLOOKUP(A128,'Sandi BI Existing Debitur'!$D$8:$D$592,1,0)</f>
        <v>#N/A</v>
      </c>
      <c r="L128" s="569" t="s">
        <v>4578</v>
      </c>
      <c r="M128" s="534" t="s">
        <v>6180</v>
      </c>
    </row>
    <row r="129" spans="1:13" x14ac:dyDescent="0.25">
      <c r="A129" s="531" t="s">
        <v>4968</v>
      </c>
      <c r="B129" s="531" t="s">
        <v>4464</v>
      </c>
      <c r="C129" s="532" t="s">
        <v>4825</v>
      </c>
      <c r="D129" s="533" t="s">
        <v>5429</v>
      </c>
      <c r="E129" s="532" t="s">
        <v>4442</v>
      </c>
      <c r="F129" s="534" t="s">
        <v>6045</v>
      </c>
      <c r="G129" s="534" t="s">
        <v>6046</v>
      </c>
      <c r="H129" s="534" t="s">
        <v>6189</v>
      </c>
      <c r="I129" s="408" t="e">
        <f>VLOOKUP(A129,'Sandi BI Existing Debitur'!$D$8:$D$592,1,0)</f>
        <v>#N/A</v>
      </c>
      <c r="L129" s="569" t="s">
        <v>4578</v>
      </c>
      <c r="M129" s="534" t="s">
        <v>6181</v>
      </c>
    </row>
    <row r="130" spans="1:13" x14ac:dyDescent="0.25">
      <c r="A130" s="531" t="s">
        <v>4969</v>
      </c>
      <c r="B130" s="531" t="s">
        <v>4465</v>
      </c>
      <c r="C130" s="532" t="s">
        <v>4825</v>
      </c>
      <c r="D130" s="533" t="s">
        <v>5430</v>
      </c>
      <c r="E130" s="532" t="s">
        <v>4442</v>
      </c>
      <c r="F130" s="534" t="s">
        <v>6061</v>
      </c>
      <c r="G130" s="534" t="s">
        <v>6062</v>
      </c>
      <c r="H130" s="534" t="s">
        <v>6190</v>
      </c>
      <c r="I130" s="408" t="e">
        <f>VLOOKUP(A130,'Sandi BI Existing Debitur'!$D$8:$D$592,1,0)</f>
        <v>#N/A</v>
      </c>
      <c r="L130" s="569" t="s">
        <v>4578</v>
      </c>
      <c r="M130" s="534" t="s">
        <v>6127</v>
      </c>
    </row>
    <row r="131" spans="1:13" x14ac:dyDescent="0.25">
      <c r="A131" s="531" t="s">
        <v>4970</v>
      </c>
      <c r="B131" s="531" t="s">
        <v>4466</v>
      </c>
      <c r="C131" s="532" t="s">
        <v>4825</v>
      </c>
      <c r="D131" s="533" t="s">
        <v>5431</v>
      </c>
      <c r="E131" s="532" t="s">
        <v>4442</v>
      </c>
      <c r="F131" s="534" t="s">
        <v>6063</v>
      </c>
      <c r="G131" s="534" t="s">
        <v>6064</v>
      </c>
      <c r="H131" s="534" t="s">
        <v>6191</v>
      </c>
      <c r="I131" s="408" t="e">
        <f>VLOOKUP(A131,'Sandi BI Existing Debitur'!$D$8:$D$592,1,0)</f>
        <v>#N/A</v>
      </c>
      <c r="L131" s="532" t="s">
        <v>4578</v>
      </c>
      <c r="M131" s="534" t="s">
        <v>6241</v>
      </c>
    </row>
    <row r="132" spans="1:13" x14ac:dyDescent="0.25">
      <c r="A132" s="531" t="s">
        <v>4971</v>
      </c>
      <c r="B132" s="531" t="s">
        <v>4467</v>
      </c>
      <c r="C132" s="532" t="s">
        <v>4825</v>
      </c>
      <c r="D132" s="533" t="s">
        <v>5432</v>
      </c>
      <c r="E132" s="532" t="s">
        <v>4442</v>
      </c>
      <c r="F132" s="534" t="s">
        <v>6065</v>
      </c>
      <c r="G132" s="534" t="s">
        <v>6066</v>
      </c>
      <c r="H132" s="534" t="s">
        <v>6192</v>
      </c>
      <c r="I132" s="408" t="e">
        <f>VLOOKUP(A132,'Sandi BI Existing Debitur'!$D$8:$D$592,1,0)</f>
        <v>#N/A</v>
      </c>
      <c r="L132" s="532" t="s">
        <v>4578</v>
      </c>
      <c r="M132" s="534" t="s">
        <v>6240</v>
      </c>
    </row>
    <row r="133" spans="1:13" x14ac:dyDescent="0.25">
      <c r="A133" s="531" t="s">
        <v>4972</v>
      </c>
      <c r="B133" s="531" t="s">
        <v>4468</v>
      </c>
      <c r="C133" s="532" t="s">
        <v>4825</v>
      </c>
      <c r="D133" s="533" t="s">
        <v>5433</v>
      </c>
      <c r="E133" s="532" t="s">
        <v>4442</v>
      </c>
      <c r="F133" s="534" t="s">
        <v>6069</v>
      </c>
      <c r="G133" s="534" t="s">
        <v>6070</v>
      </c>
      <c r="H133" s="534" t="s">
        <v>6193</v>
      </c>
      <c r="I133" s="408" t="e">
        <f>VLOOKUP(A133,'Sandi BI Existing Debitur'!$D$8:$D$592,1,0)</f>
        <v>#N/A</v>
      </c>
      <c r="L133" s="532" t="s">
        <v>4581</v>
      </c>
      <c r="M133" s="534" t="s">
        <v>6127</v>
      </c>
    </row>
    <row r="134" spans="1:13" x14ac:dyDescent="0.25">
      <c r="A134" s="531" t="s">
        <v>4973</v>
      </c>
      <c r="B134" s="531" t="s">
        <v>4469</v>
      </c>
      <c r="C134" s="532" t="s">
        <v>4825</v>
      </c>
      <c r="D134" s="533" t="s">
        <v>5434</v>
      </c>
      <c r="E134" s="532" t="s">
        <v>4442</v>
      </c>
      <c r="F134" s="534" t="s">
        <v>6071</v>
      </c>
      <c r="G134" s="534" t="s">
        <v>6072</v>
      </c>
      <c r="H134" s="534" t="s">
        <v>6194</v>
      </c>
      <c r="I134" s="408" t="e">
        <f>VLOOKUP(A134,'Sandi BI Existing Debitur'!$D$8:$D$592,1,0)</f>
        <v>#N/A</v>
      </c>
      <c r="L134" s="532" t="s">
        <v>4581</v>
      </c>
      <c r="M134" s="534" t="s">
        <v>6242</v>
      </c>
    </row>
    <row r="135" spans="1:13" x14ac:dyDescent="0.25">
      <c r="A135" s="531" t="s">
        <v>4974</v>
      </c>
      <c r="B135" s="531" t="s">
        <v>4470</v>
      </c>
      <c r="C135" s="532" t="s">
        <v>4825</v>
      </c>
      <c r="D135" s="533" t="s">
        <v>5435</v>
      </c>
      <c r="E135" s="532" t="s">
        <v>4442</v>
      </c>
      <c r="F135" s="534" t="s">
        <v>5977</v>
      </c>
      <c r="G135" s="534" t="s">
        <v>5978</v>
      </c>
      <c r="H135" s="534" t="s">
        <v>6195</v>
      </c>
      <c r="I135" s="408" t="str">
        <f>VLOOKUP(A135,'Sandi BI Existing Debitur'!$D$8:$D$592,1,0)</f>
        <v>512201</v>
      </c>
      <c r="L135" s="532" t="s">
        <v>4581</v>
      </c>
      <c r="M135" s="534" t="s">
        <v>6243</v>
      </c>
    </row>
    <row r="136" spans="1:13" x14ac:dyDescent="0.25">
      <c r="A136" s="531" t="s">
        <v>4975</v>
      </c>
      <c r="B136" s="531" t="s">
        <v>4471</v>
      </c>
      <c r="C136" s="532" t="s">
        <v>4825</v>
      </c>
      <c r="D136" s="533" t="s">
        <v>5436</v>
      </c>
      <c r="E136" s="532" t="s">
        <v>4442</v>
      </c>
      <c r="F136" s="534" t="s">
        <v>5979</v>
      </c>
      <c r="G136" s="534" t="s">
        <v>5980</v>
      </c>
      <c r="H136" s="534" t="s">
        <v>6196</v>
      </c>
      <c r="I136" s="408" t="e">
        <f>VLOOKUP(A136,'Sandi BI Existing Debitur'!$D$8:$D$592,1,0)</f>
        <v>#N/A</v>
      </c>
      <c r="L136" s="532" t="s">
        <v>4581</v>
      </c>
      <c r="M136" s="534" t="s">
        <v>6244</v>
      </c>
    </row>
    <row r="137" spans="1:13" x14ac:dyDescent="0.25">
      <c r="A137" s="531" t="s">
        <v>4976</v>
      </c>
      <c r="B137" s="531" t="s">
        <v>4472</v>
      </c>
      <c r="C137" s="532" t="s">
        <v>4825</v>
      </c>
      <c r="D137" s="533" t="s">
        <v>5437</v>
      </c>
      <c r="E137" s="532" t="s">
        <v>4442</v>
      </c>
      <c r="F137" s="534" t="s">
        <v>5981</v>
      </c>
      <c r="G137" s="534" t="s">
        <v>5982</v>
      </c>
      <c r="H137" s="534" t="s">
        <v>6197</v>
      </c>
      <c r="I137" s="408" t="e">
        <f>VLOOKUP(A137,'Sandi BI Existing Debitur'!$D$8:$D$592,1,0)</f>
        <v>#N/A</v>
      </c>
      <c r="L137" s="532" t="s">
        <v>4581</v>
      </c>
      <c r="M137" s="534" t="s">
        <v>6232</v>
      </c>
    </row>
    <row r="138" spans="1:13" x14ac:dyDescent="0.25">
      <c r="A138" s="531" t="s">
        <v>4977</v>
      </c>
      <c r="B138" s="531" t="s">
        <v>4473</v>
      </c>
      <c r="C138" s="532" t="s">
        <v>4825</v>
      </c>
      <c r="D138" s="533" t="s">
        <v>5438</v>
      </c>
      <c r="E138" s="532" t="s">
        <v>4442</v>
      </c>
      <c r="F138" s="534" t="s">
        <v>5983</v>
      </c>
      <c r="G138" s="534" t="s">
        <v>5984</v>
      </c>
      <c r="H138" s="534" t="s">
        <v>6198</v>
      </c>
      <c r="I138" s="408" t="e">
        <f>VLOOKUP(A138,'Sandi BI Existing Debitur'!$D$8:$D$592,1,0)</f>
        <v>#N/A</v>
      </c>
      <c r="L138" s="532" t="s">
        <v>4581</v>
      </c>
      <c r="M138" s="534" t="s">
        <v>6245</v>
      </c>
    </row>
    <row r="139" spans="1:13" x14ac:dyDescent="0.25">
      <c r="A139" s="531" t="s">
        <v>4978</v>
      </c>
      <c r="B139" s="531" t="s">
        <v>4474</v>
      </c>
      <c r="C139" s="532" t="s">
        <v>4825</v>
      </c>
      <c r="D139" s="533" t="s">
        <v>5439</v>
      </c>
      <c r="E139" s="532" t="s">
        <v>4442</v>
      </c>
      <c r="F139" s="534" t="s">
        <v>5987</v>
      </c>
      <c r="G139" s="534" t="s">
        <v>5988</v>
      </c>
      <c r="H139" s="534" t="s">
        <v>6199</v>
      </c>
      <c r="I139" s="408" t="e">
        <f>VLOOKUP(A139,'Sandi BI Existing Debitur'!$D$8:$D$592,1,0)</f>
        <v>#N/A</v>
      </c>
      <c r="L139" s="532" t="s">
        <v>4581</v>
      </c>
      <c r="M139" s="534" t="s">
        <v>6217</v>
      </c>
    </row>
    <row r="140" spans="1:13" ht="25.5" x14ac:dyDescent="0.25">
      <c r="A140" s="531" t="s">
        <v>4979</v>
      </c>
      <c r="B140" s="531" t="s">
        <v>4475</v>
      </c>
      <c r="C140" s="532" t="s">
        <v>4825</v>
      </c>
      <c r="D140" s="533" t="s">
        <v>5440</v>
      </c>
      <c r="E140" s="532" t="s">
        <v>4442</v>
      </c>
      <c r="F140" s="534" t="s">
        <v>5971</v>
      </c>
      <c r="G140" s="534" t="s">
        <v>5972</v>
      </c>
      <c r="H140" s="534" t="s">
        <v>6200</v>
      </c>
      <c r="I140" s="408" t="str">
        <f>VLOOKUP(A140,'Sandi BI Existing Debitur'!$D$8:$D$592,1,0)</f>
        <v>512119</v>
      </c>
      <c r="L140" s="532" t="s">
        <v>4581</v>
      </c>
      <c r="M140" s="534" t="s">
        <v>6148</v>
      </c>
    </row>
    <row r="141" spans="1:13" ht="26.25" x14ac:dyDescent="0.25">
      <c r="A141" s="531" t="s">
        <v>4980</v>
      </c>
      <c r="B141" s="531" t="s">
        <v>4476</v>
      </c>
      <c r="C141" s="532" t="s">
        <v>4825</v>
      </c>
      <c r="D141" s="533" t="s">
        <v>5441</v>
      </c>
      <c r="E141" s="532" t="s">
        <v>4442</v>
      </c>
      <c r="F141" s="534" t="s">
        <v>5999</v>
      </c>
      <c r="G141" s="534" t="s">
        <v>6000</v>
      </c>
      <c r="H141" s="534" t="s">
        <v>6201</v>
      </c>
      <c r="I141" s="408" t="str">
        <f>VLOOKUP(A141,'Sandi BI Existing Debitur'!$D$8:$D$592,1,0)</f>
        <v>532112</v>
      </c>
      <c r="L141" s="532" t="s">
        <v>4606</v>
      </c>
      <c r="M141" s="534" t="s">
        <v>6250</v>
      </c>
    </row>
    <row r="142" spans="1:13" ht="25.5" x14ac:dyDescent="0.25">
      <c r="A142" s="531" t="s">
        <v>4981</v>
      </c>
      <c r="B142" s="531" t="s">
        <v>4477</v>
      </c>
      <c r="C142" s="532" t="s">
        <v>4825</v>
      </c>
      <c r="D142" s="533" t="s">
        <v>5442</v>
      </c>
      <c r="E142" s="532" t="s">
        <v>4442</v>
      </c>
      <c r="F142" s="534" t="s">
        <v>6001</v>
      </c>
      <c r="G142" s="534" t="s">
        <v>6002</v>
      </c>
      <c r="H142" s="534" t="s">
        <v>6137</v>
      </c>
      <c r="I142" s="408" t="e">
        <f>VLOOKUP(A142,'Sandi BI Existing Debitur'!$D$8:$D$592,1,0)</f>
        <v>#N/A</v>
      </c>
      <c r="L142" s="532" t="s">
        <v>4606</v>
      </c>
      <c r="M142" s="534" t="s">
        <v>6249</v>
      </c>
    </row>
    <row r="143" spans="1:13" ht="26.25" x14ac:dyDescent="0.25">
      <c r="A143" s="531" t="s">
        <v>4982</v>
      </c>
      <c r="B143" s="531" t="s">
        <v>4478</v>
      </c>
      <c r="C143" s="532" t="s">
        <v>4825</v>
      </c>
      <c r="D143" s="533" t="s">
        <v>5443</v>
      </c>
      <c r="E143" s="532" t="s">
        <v>4442</v>
      </c>
      <c r="F143" s="534" t="s">
        <v>6047</v>
      </c>
      <c r="G143" s="534" t="s">
        <v>6048</v>
      </c>
      <c r="H143" s="534" t="s">
        <v>6202</v>
      </c>
      <c r="I143" s="408" t="e">
        <f>VLOOKUP(A143,'Sandi BI Existing Debitur'!$D$8:$D$592,1,0)</f>
        <v>#N/A</v>
      </c>
      <c r="L143" s="532" t="s">
        <v>4606</v>
      </c>
      <c r="M143" s="534" t="s">
        <v>6127</v>
      </c>
    </row>
    <row r="144" spans="1:13" ht="38.25" x14ac:dyDescent="0.25">
      <c r="A144" s="531" t="s">
        <v>4983</v>
      </c>
      <c r="B144" s="531" t="s">
        <v>4479</v>
      </c>
      <c r="C144" s="532" t="s">
        <v>4825</v>
      </c>
      <c r="D144" s="533" t="s">
        <v>5444</v>
      </c>
      <c r="E144" s="532" t="s">
        <v>4442</v>
      </c>
      <c r="F144" s="534" t="s">
        <v>6067</v>
      </c>
      <c r="G144" s="534" t="s">
        <v>6068</v>
      </c>
      <c r="H144" s="534" t="s">
        <v>6203</v>
      </c>
      <c r="I144" s="408" t="e">
        <f>VLOOKUP(A144,'Sandi BI Existing Debitur'!$D$8:$D$592,1,0)</f>
        <v>#N/A</v>
      </c>
      <c r="L144" s="532" t="s">
        <v>4606</v>
      </c>
      <c r="M144" s="534" t="s">
        <v>6246</v>
      </c>
    </row>
    <row r="145" spans="1:13" x14ac:dyDescent="0.25">
      <c r="A145" s="531" t="s">
        <v>4984</v>
      </c>
      <c r="B145" s="531" t="s">
        <v>4480</v>
      </c>
      <c r="C145" s="532" t="s">
        <v>4825</v>
      </c>
      <c r="D145" s="533" t="s">
        <v>5445</v>
      </c>
      <c r="E145" s="532" t="s">
        <v>4442</v>
      </c>
      <c r="F145" s="534" t="s">
        <v>5969</v>
      </c>
      <c r="G145" s="534" t="s">
        <v>5970</v>
      </c>
      <c r="H145" s="534" t="s">
        <v>6204</v>
      </c>
      <c r="I145" s="408" t="e">
        <f>VLOOKUP(A145,'Sandi BI Existing Debitur'!$D$8:$D$592,1,0)</f>
        <v>#N/A</v>
      </c>
      <c r="L145" s="532" t="s">
        <v>4606</v>
      </c>
      <c r="M145" s="534" t="s">
        <v>6201</v>
      </c>
    </row>
    <row r="146" spans="1:13" ht="25.5" x14ac:dyDescent="0.25">
      <c r="A146" s="531" t="s">
        <v>5064</v>
      </c>
      <c r="B146" s="531" t="s">
        <v>4563</v>
      </c>
      <c r="C146" s="568" t="s">
        <v>4825</v>
      </c>
      <c r="D146" s="533" t="s">
        <v>5527</v>
      </c>
      <c r="E146" s="532" t="s">
        <v>4442</v>
      </c>
      <c r="F146" s="534" t="s">
        <v>5883</v>
      </c>
      <c r="G146" s="534" t="s">
        <v>5884</v>
      </c>
      <c r="H146" s="534" t="s">
        <v>6234</v>
      </c>
      <c r="I146" s="408" t="e">
        <f>VLOOKUP(A146,'Sandi BI Existing Debitur'!$D$8:$D$592,1,0)</f>
        <v>#N/A</v>
      </c>
      <c r="L146" s="532" t="s">
        <v>4606</v>
      </c>
      <c r="M146" s="534" t="s">
        <v>6248</v>
      </c>
    </row>
    <row r="147" spans="1:13" ht="25.5" x14ac:dyDescent="0.25">
      <c r="A147" s="531" t="s">
        <v>4985</v>
      </c>
      <c r="B147" s="531" t="s">
        <v>4481</v>
      </c>
      <c r="C147" s="532" t="s">
        <v>4482</v>
      </c>
      <c r="D147" s="533" t="s">
        <v>5446</v>
      </c>
      <c r="E147" s="532" t="s">
        <v>4482</v>
      </c>
      <c r="F147" s="534" t="s">
        <v>5937</v>
      </c>
      <c r="G147" s="534" t="s">
        <v>5938</v>
      </c>
      <c r="H147" s="534" t="s">
        <v>6205</v>
      </c>
      <c r="I147" s="408" t="e">
        <f>VLOOKUP(A147,'Sandi BI Existing Debitur'!$D$8:$D$592,1,0)</f>
        <v>#N/A</v>
      </c>
      <c r="L147" s="532" t="s">
        <v>4606</v>
      </c>
      <c r="M147" s="534" t="s">
        <v>6219</v>
      </c>
    </row>
    <row r="148" spans="1:13" ht="25.5" x14ac:dyDescent="0.25">
      <c r="A148" s="531" t="s">
        <v>4986</v>
      </c>
      <c r="B148" s="531" t="s">
        <v>4483</v>
      </c>
      <c r="C148" s="532" t="s">
        <v>4482</v>
      </c>
      <c r="D148" s="533" t="s">
        <v>5447</v>
      </c>
      <c r="E148" s="532" t="s">
        <v>4482</v>
      </c>
      <c r="F148" s="534" t="s">
        <v>5927</v>
      </c>
      <c r="G148" s="534" t="s">
        <v>5928</v>
      </c>
      <c r="H148" s="534" t="s">
        <v>6206</v>
      </c>
      <c r="I148" s="408" t="e">
        <f>VLOOKUP(A148,'Sandi BI Existing Debitur'!$D$8:$D$592,1,0)</f>
        <v>#N/A</v>
      </c>
      <c r="L148" s="532" t="s">
        <v>4606</v>
      </c>
      <c r="M148" s="534" t="s">
        <v>6247</v>
      </c>
    </row>
    <row r="149" spans="1:13" x14ac:dyDescent="0.25">
      <c r="A149" s="531" t="s">
        <v>4987</v>
      </c>
      <c r="B149" s="531" t="s">
        <v>4484</v>
      </c>
      <c r="C149" s="532" t="s">
        <v>4482</v>
      </c>
      <c r="D149" s="533" t="s">
        <v>5448</v>
      </c>
      <c r="E149" s="532" t="s">
        <v>4482</v>
      </c>
      <c r="F149" s="534" t="s">
        <v>5929</v>
      </c>
      <c r="G149" s="534" t="s">
        <v>5930</v>
      </c>
      <c r="H149" s="534" t="s">
        <v>6207</v>
      </c>
      <c r="I149" s="408" t="e">
        <f>VLOOKUP(A149,'Sandi BI Existing Debitur'!$D$8:$D$592,1,0)</f>
        <v>#N/A</v>
      </c>
      <c r="L149" s="532" t="s">
        <v>4606</v>
      </c>
      <c r="M149" s="534" t="s">
        <v>6217</v>
      </c>
    </row>
    <row r="150" spans="1:13" x14ac:dyDescent="0.25">
      <c r="A150" s="531" t="s">
        <v>4988</v>
      </c>
      <c r="B150" s="531" t="s">
        <v>4485</v>
      </c>
      <c r="C150" s="532" t="s">
        <v>4482</v>
      </c>
      <c r="D150" s="533" t="s">
        <v>5449</v>
      </c>
      <c r="E150" s="532" t="s">
        <v>4482</v>
      </c>
      <c r="F150" s="534" t="s">
        <v>5927</v>
      </c>
      <c r="G150" s="534" t="s">
        <v>5928</v>
      </c>
      <c r="H150" s="534" t="s">
        <v>6206</v>
      </c>
      <c r="I150" s="408" t="str">
        <f>VLOOKUP(A150,'Sandi BI Existing Debitur'!$D$8:$D$592,1,0)</f>
        <v>451009</v>
      </c>
      <c r="L150" s="532" t="s">
        <v>4626</v>
      </c>
      <c r="M150" s="534" t="s">
        <v>6254</v>
      </c>
    </row>
    <row r="151" spans="1:13" ht="25.5" x14ac:dyDescent="0.25">
      <c r="A151" s="531" t="s">
        <v>4989</v>
      </c>
      <c r="B151" s="531" t="s">
        <v>4486</v>
      </c>
      <c r="C151" s="532" t="s">
        <v>4482</v>
      </c>
      <c r="D151" s="533" t="s">
        <v>5450</v>
      </c>
      <c r="E151" s="532" t="s">
        <v>4482</v>
      </c>
      <c r="F151" s="534" t="s">
        <v>5931</v>
      </c>
      <c r="G151" s="534" t="s">
        <v>5932</v>
      </c>
      <c r="H151" s="534" t="s">
        <v>6208</v>
      </c>
      <c r="I151" s="408" t="e">
        <f>VLOOKUP(A151,'Sandi BI Existing Debitur'!$D$8:$D$592,1,0)</f>
        <v>#N/A</v>
      </c>
      <c r="L151" s="532" t="s">
        <v>4626</v>
      </c>
      <c r="M151" s="534" t="s">
        <v>6253</v>
      </c>
    </row>
    <row r="152" spans="1:13" ht="25.5" x14ac:dyDescent="0.25">
      <c r="A152" s="531" t="s">
        <v>4990</v>
      </c>
      <c r="B152" s="531" t="s">
        <v>4487</v>
      </c>
      <c r="C152" s="532" t="s">
        <v>4482</v>
      </c>
      <c r="D152" s="533" t="s">
        <v>5451</v>
      </c>
      <c r="E152" s="532" t="s">
        <v>4482</v>
      </c>
      <c r="F152" s="534" t="s">
        <v>5933</v>
      </c>
      <c r="G152" s="534" t="s">
        <v>5934</v>
      </c>
      <c r="H152" s="534" t="s">
        <v>6209</v>
      </c>
      <c r="I152" s="408" t="e">
        <f>VLOOKUP(A152,'Sandi BI Existing Debitur'!$D$8:$D$592,1,0)</f>
        <v>#N/A</v>
      </c>
      <c r="L152" s="532" t="s">
        <v>4626</v>
      </c>
      <c r="M152" s="534" t="s">
        <v>6251</v>
      </c>
    </row>
    <row r="153" spans="1:13" ht="25.5" x14ac:dyDescent="0.25">
      <c r="A153" s="531" t="s">
        <v>4991</v>
      </c>
      <c r="B153" s="531" t="s">
        <v>4488</v>
      </c>
      <c r="C153" s="532" t="s">
        <v>4482</v>
      </c>
      <c r="D153" s="533" t="s">
        <v>5452</v>
      </c>
      <c r="E153" s="532" t="s">
        <v>4482</v>
      </c>
      <c r="F153" s="534" t="s">
        <v>5935</v>
      </c>
      <c r="G153" s="534" t="s">
        <v>5936</v>
      </c>
      <c r="H153" s="534" t="s">
        <v>6210</v>
      </c>
      <c r="I153" s="408" t="e">
        <f>VLOOKUP(A153,'Sandi BI Existing Debitur'!$D$8:$D$592,1,0)</f>
        <v>#N/A</v>
      </c>
      <c r="L153" s="532" t="s">
        <v>4626</v>
      </c>
      <c r="M153" s="534" t="s">
        <v>6255</v>
      </c>
    </row>
    <row r="154" spans="1:13" ht="25.5" x14ac:dyDescent="0.25">
      <c r="A154" s="531" t="s">
        <v>4992</v>
      </c>
      <c r="B154" s="531" t="s">
        <v>4489</v>
      </c>
      <c r="C154" s="532" t="s">
        <v>4482</v>
      </c>
      <c r="D154" s="533" t="s">
        <v>5453</v>
      </c>
      <c r="E154" s="532" t="s">
        <v>4482</v>
      </c>
      <c r="F154" s="534" t="s">
        <v>5935</v>
      </c>
      <c r="G154" s="534" t="s">
        <v>5936</v>
      </c>
      <c r="H154" s="534" t="s">
        <v>6210</v>
      </c>
      <c r="I154" s="408" t="str">
        <f>VLOOKUP(A154,'Sandi BI Existing Debitur'!$D$8:$D$592,1,0)</f>
        <v>452114</v>
      </c>
      <c r="L154" s="532" t="s">
        <v>4626</v>
      </c>
      <c r="M154" s="534" t="s">
        <v>6252</v>
      </c>
    </row>
    <row r="155" spans="1:13" ht="26.25" x14ac:dyDescent="0.25">
      <c r="A155" s="531" t="s">
        <v>4993</v>
      </c>
      <c r="B155" s="531" t="s">
        <v>4490</v>
      </c>
      <c r="C155" s="532" t="s">
        <v>4482</v>
      </c>
      <c r="D155" s="533" t="s">
        <v>5454</v>
      </c>
      <c r="E155" s="532" t="s">
        <v>4482</v>
      </c>
      <c r="F155" s="534" t="s">
        <v>5937</v>
      </c>
      <c r="G155" s="534" t="s">
        <v>5938</v>
      </c>
      <c r="H155" s="534" t="s">
        <v>6205</v>
      </c>
      <c r="I155" s="408" t="e">
        <f>VLOOKUP(A155,'Sandi BI Existing Debitur'!$D$8:$D$592,1,0)</f>
        <v>#N/A</v>
      </c>
      <c r="L155" s="532" t="s">
        <v>4626</v>
      </c>
      <c r="M155" s="534" t="s">
        <v>6127</v>
      </c>
    </row>
    <row r="156" spans="1:13" x14ac:dyDescent="0.25">
      <c r="A156" s="531" t="s">
        <v>4994</v>
      </c>
      <c r="B156" s="531" t="s">
        <v>4491</v>
      </c>
      <c r="C156" s="532" t="s">
        <v>4482</v>
      </c>
      <c r="D156" s="533" t="s">
        <v>5455</v>
      </c>
      <c r="E156" s="532" t="s">
        <v>4482</v>
      </c>
      <c r="F156" s="534" t="s">
        <v>5937</v>
      </c>
      <c r="G156" s="534" t="s">
        <v>5938</v>
      </c>
      <c r="H156" s="534" t="s">
        <v>6205</v>
      </c>
      <c r="I156" s="408" t="e">
        <f>VLOOKUP(A156,'Sandi BI Existing Debitur'!$D$8:$D$592,1,0)</f>
        <v>#N/A</v>
      </c>
      <c r="L156" s="532" t="s">
        <v>4626</v>
      </c>
      <c r="M156" s="534" t="s">
        <v>6256</v>
      </c>
    </row>
    <row r="157" spans="1:13" x14ac:dyDescent="0.25">
      <c r="A157" s="531" t="s">
        <v>4995</v>
      </c>
      <c r="B157" s="531" t="s">
        <v>4492</v>
      </c>
      <c r="C157" s="532" t="s">
        <v>4482</v>
      </c>
      <c r="D157" s="533" t="s">
        <v>5456</v>
      </c>
      <c r="E157" s="532" t="s">
        <v>4482</v>
      </c>
      <c r="F157" s="534" t="s">
        <v>5937</v>
      </c>
      <c r="G157" s="534" t="s">
        <v>5938</v>
      </c>
      <c r="H157" s="534" t="s">
        <v>6205</v>
      </c>
      <c r="I157" s="408" t="e">
        <f>VLOOKUP(A157,'Sandi BI Existing Debitur'!$D$8:$D$592,1,0)</f>
        <v>#N/A</v>
      </c>
      <c r="L157" s="532" t="s">
        <v>4626</v>
      </c>
      <c r="M157" s="534" t="s">
        <v>6257</v>
      </c>
    </row>
    <row r="158" spans="1:13" ht="25.5" x14ac:dyDescent="0.25">
      <c r="A158" s="531" t="s">
        <v>4996</v>
      </c>
      <c r="B158" s="531" t="s">
        <v>4493</v>
      </c>
      <c r="C158" s="532" t="s">
        <v>4482</v>
      </c>
      <c r="D158" s="533" t="s">
        <v>5457</v>
      </c>
      <c r="E158" s="532" t="s">
        <v>4482</v>
      </c>
      <c r="F158" s="534" t="s">
        <v>5939</v>
      </c>
      <c r="G158" s="534" t="s">
        <v>5940</v>
      </c>
      <c r="H158" s="534" t="s">
        <v>6211</v>
      </c>
      <c r="I158" s="408" t="e">
        <f>VLOOKUP(A158,'Sandi BI Existing Debitur'!$D$8:$D$592,1,0)</f>
        <v>#N/A</v>
      </c>
      <c r="L158" s="532" t="s">
        <v>4626</v>
      </c>
      <c r="M158" s="534" t="s">
        <v>6233</v>
      </c>
    </row>
    <row r="159" spans="1:13" x14ac:dyDescent="0.25">
      <c r="A159" s="531" t="s">
        <v>4997</v>
      </c>
      <c r="B159" s="531" t="s">
        <v>4494</v>
      </c>
      <c r="C159" s="532" t="s">
        <v>4482</v>
      </c>
      <c r="D159" s="533" t="s">
        <v>5458</v>
      </c>
      <c r="E159" s="532" t="s">
        <v>4482</v>
      </c>
      <c r="F159" s="534" t="s">
        <v>5937</v>
      </c>
      <c r="G159" s="534" t="s">
        <v>5938</v>
      </c>
      <c r="H159" s="534" t="s">
        <v>6205</v>
      </c>
      <c r="I159" s="408" t="str">
        <f>VLOOKUP(A159,'Sandi BI Existing Debitur'!$D$8:$D$592,1,0)</f>
        <v>452190</v>
      </c>
      <c r="L159" s="532" t="s">
        <v>4626</v>
      </c>
      <c r="M159" s="534" t="s">
        <v>6203</v>
      </c>
    </row>
    <row r="160" spans="1:13" x14ac:dyDescent="0.25">
      <c r="A160" s="531" t="s">
        <v>4998</v>
      </c>
      <c r="B160" s="531" t="s">
        <v>4495</v>
      </c>
      <c r="C160" s="532" t="s">
        <v>4482</v>
      </c>
      <c r="D160" s="533" t="s">
        <v>5459</v>
      </c>
      <c r="E160" s="532" t="s">
        <v>4482</v>
      </c>
      <c r="F160" s="534" t="s">
        <v>5941</v>
      </c>
      <c r="G160" s="534" t="s">
        <v>5942</v>
      </c>
      <c r="H160" s="534" t="s">
        <v>6212</v>
      </c>
      <c r="I160" s="408" t="str">
        <f>VLOOKUP(A160,'Sandi BI Existing Debitur'!$D$8:$D$592,1,0)</f>
        <v>452211</v>
      </c>
      <c r="L160" s="532" t="s">
        <v>4626</v>
      </c>
      <c r="M160" s="534" t="s">
        <v>6217</v>
      </c>
    </row>
    <row r="161" spans="1:13" x14ac:dyDescent="0.25">
      <c r="A161" s="531" t="s">
        <v>4999</v>
      </c>
      <c r="B161" s="531" t="s">
        <v>4496</v>
      </c>
      <c r="C161" s="532" t="s">
        <v>4482</v>
      </c>
      <c r="D161" s="533" t="s">
        <v>5460</v>
      </c>
      <c r="E161" s="532" t="s">
        <v>4482</v>
      </c>
      <c r="F161" s="534" t="s">
        <v>5941</v>
      </c>
      <c r="G161" s="534" t="s">
        <v>5942</v>
      </c>
      <c r="H161" s="534" t="s">
        <v>6212</v>
      </c>
      <c r="I161" s="408" t="e">
        <f>VLOOKUP(A161,'Sandi BI Existing Debitur'!$D$8:$D$592,1,0)</f>
        <v>#N/A</v>
      </c>
      <c r="L161" s="532" t="s">
        <v>4626</v>
      </c>
      <c r="M161" s="534" t="s">
        <v>6148</v>
      </c>
    </row>
    <row r="162" spans="1:13" ht="25.5" x14ac:dyDescent="0.25">
      <c r="A162" s="531" t="s">
        <v>5000</v>
      </c>
      <c r="B162" s="531" t="s">
        <v>4497</v>
      </c>
      <c r="C162" s="532" t="s">
        <v>4482</v>
      </c>
      <c r="D162" s="533" t="s">
        <v>5461</v>
      </c>
      <c r="E162" s="532" t="s">
        <v>4482</v>
      </c>
      <c r="F162" s="534" t="s">
        <v>5941</v>
      </c>
      <c r="G162" s="534" t="s">
        <v>5942</v>
      </c>
      <c r="H162" s="534" t="s">
        <v>6212</v>
      </c>
      <c r="I162" s="408" t="e">
        <f>VLOOKUP(A162,'Sandi BI Existing Debitur'!$D$8:$D$592,1,0)</f>
        <v>#N/A</v>
      </c>
      <c r="L162" s="532" t="s">
        <v>4626</v>
      </c>
      <c r="M162" s="534" t="s">
        <v>6258</v>
      </c>
    </row>
    <row r="163" spans="1:13" ht="25.5" x14ac:dyDescent="0.25">
      <c r="A163" s="531" t="s">
        <v>5001</v>
      </c>
      <c r="B163" s="531" t="s">
        <v>4498</v>
      </c>
      <c r="C163" s="532" t="s">
        <v>4482</v>
      </c>
      <c r="D163" s="533" t="s">
        <v>5462</v>
      </c>
      <c r="E163" s="532" t="s">
        <v>4482</v>
      </c>
      <c r="F163" s="534" t="s">
        <v>5941</v>
      </c>
      <c r="G163" s="534" t="s">
        <v>5942</v>
      </c>
      <c r="H163" s="534" t="s">
        <v>6212</v>
      </c>
      <c r="I163" s="408" t="e">
        <f>VLOOKUP(A163,'Sandi BI Existing Debitur'!$D$8:$D$592,1,0)</f>
        <v>#N/A</v>
      </c>
      <c r="L163" s="532" t="s">
        <v>4657</v>
      </c>
      <c r="M163" s="534" t="s">
        <v>6259</v>
      </c>
    </row>
    <row r="164" spans="1:13" x14ac:dyDescent="0.25">
      <c r="A164" s="531" t="s">
        <v>5002</v>
      </c>
      <c r="B164" s="531" t="s">
        <v>4499</v>
      </c>
      <c r="C164" s="532" t="s">
        <v>4482</v>
      </c>
      <c r="D164" s="533" t="s">
        <v>5463</v>
      </c>
      <c r="E164" s="532" t="s">
        <v>4482</v>
      </c>
      <c r="F164" s="534" t="s">
        <v>5943</v>
      </c>
      <c r="G164" s="534" t="s">
        <v>5944</v>
      </c>
      <c r="H164" s="534" t="s">
        <v>6213</v>
      </c>
      <c r="I164" s="408" t="str">
        <f>VLOOKUP(A164,'Sandi BI Existing Debitur'!$D$8:$D$592,1,0)</f>
        <v>452240</v>
      </c>
      <c r="L164" s="532" t="s">
        <v>4657</v>
      </c>
      <c r="M164" s="534" t="s">
        <v>6260</v>
      </c>
    </row>
    <row r="165" spans="1:13" x14ac:dyDescent="0.25">
      <c r="A165" s="531" t="s">
        <v>5003</v>
      </c>
      <c r="B165" s="531" t="s">
        <v>4500</v>
      </c>
      <c r="C165" s="532" t="s">
        <v>4482</v>
      </c>
      <c r="D165" s="533" t="s">
        <v>5464</v>
      </c>
      <c r="E165" s="532" t="s">
        <v>4482</v>
      </c>
      <c r="F165" s="534" t="s">
        <v>5945</v>
      </c>
      <c r="G165" s="534" t="s">
        <v>5946</v>
      </c>
      <c r="H165" s="534" t="s">
        <v>6214</v>
      </c>
      <c r="I165" s="408" t="e">
        <f>VLOOKUP(A165,'Sandi BI Existing Debitur'!$D$8:$D$592,1,0)</f>
        <v>#N/A</v>
      </c>
      <c r="L165" s="532" t="s">
        <v>4657</v>
      </c>
      <c r="M165" s="534" t="s">
        <v>6262</v>
      </c>
    </row>
    <row r="166" spans="1:13" x14ac:dyDescent="0.25">
      <c r="A166" s="531" t="s">
        <v>5004</v>
      </c>
      <c r="B166" s="531" t="s">
        <v>4501</v>
      </c>
      <c r="C166" s="532" t="s">
        <v>4482</v>
      </c>
      <c r="D166" s="533" t="s">
        <v>5465</v>
      </c>
      <c r="E166" s="532" t="s">
        <v>4482</v>
      </c>
      <c r="F166" s="534" t="s">
        <v>5941</v>
      </c>
      <c r="G166" s="534" t="s">
        <v>5942</v>
      </c>
      <c r="H166" s="534" t="s">
        <v>6212</v>
      </c>
      <c r="I166" s="408" t="str">
        <f>VLOOKUP(A166,'Sandi BI Existing Debitur'!$D$8:$D$592,1,0)</f>
        <v>452290</v>
      </c>
      <c r="L166" s="532" t="s">
        <v>4657</v>
      </c>
      <c r="M166" s="534" t="s">
        <v>6263</v>
      </c>
    </row>
    <row r="167" spans="1:13" ht="25.5" x14ac:dyDescent="0.25">
      <c r="A167" s="531" t="s">
        <v>5005</v>
      </c>
      <c r="B167" s="531" t="s">
        <v>4502</v>
      </c>
      <c r="C167" s="532" t="s">
        <v>4482</v>
      </c>
      <c r="D167" s="533" t="s">
        <v>5466</v>
      </c>
      <c r="E167" s="532" t="s">
        <v>4482</v>
      </c>
      <c r="F167" s="534" t="s">
        <v>5947</v>
      </c>
      <c r="G167" s="534" t="s">
        <v>5948</v>
      </c>
      <c r="H167" s="534" t="s">
        <v>6215</v>
      </c>
      <c r="I167" s="408" t="e">
        <f>VLOOKUP(A167,'Sandi BI Existing Debitur'!$D$8:$D$592,1,0)</f>
        <v>#N/A</v>
      </c>
      <c r="L167" s="532" t="s">
        <v>4657</v>
      </c>
      <c r="M167" s="534" t="s">
        <v>6264</v>
      </c>
    </row>
    <row r="168" spans="1:13" ht="25.5" x14ac:dyDescent="0.25">
      <c r="A168" s="531" t="s">
        <v>5006</v>
      </c>
      <c r="B168" s="531" t="s">
        <v>4503</v>
      </c>
      <c r="C168" s="532" t="s">
        <v>4482</v>
      </c>
      <c r="D168" s="533" t="s">
        <v>5467</v>
      </c>
      <c r="E168" s="532" t="s">
        <v>4482</v>
      </c>
      <c r="F168" s="534" t="s">
        <v>5949</v>
      </c>
      <c r="G168" s="534" t="s">
        <v>5950</v>
      </c>
      <c r="H168" s="534" t="s">
        <v>6216</v>
      </c>
      <c r="I168" s="408" t="str">
        <f>VLOOKUP(A168,'Sandi BI Existing Debitur'!$D$8:$D$592,1,0)</f>
        <v>452309</v>
      </c>
      <c r="L168" s="532" t="s">
        <v>4657</v>
      </c>
      <c r="M168" s="534" t="s">
        <v>6261</v>
      </c>
    </row>
    <row r="169" spans="1:13" x14ac:dyDescent="0.25">
      <c r="A169" s="531" t="s">
        <v>5007</v>
      </c>
      <c r="B169" s="531" t="s">
        <v>4504</v>
      </c>
      <c r="C169" s="532" t="s">
        <v>4482</v>
      </c>
      <c r="D169" s="533" t="s">
        <v>5468</v>
      </c>
      <c r="E169" s="532" t="s">
        <v>4482</v>
      </c>
      <c r="F169" s="534" t="s">
        <v>5937</v>
      </c>
      <c r="G169" s="534" t="s">
        <v>5938</v>
      </c>
      <c r="H169" s="534" t="s">
        <v>6205</v>
      </c>
      <c r="I169" s="408" t="str">
        <f>VLOOKUP(A169,'Sandi BI Existing Debitur'!$D$8:$D$592,1,0)</f>
        <v>452400</v>
      </c>
      <c r="L169" s="532" t="s">
        <v>4657</v>
      </c>
      <c r="M169" s="534" t="s">
        <v>6217</v>
      </c>
    </row>
    <row r="170" spans="1:13" x14ac:dyDescent="0.25">
      <c r="A170" s="531" t="s">
        <v>5008</v>
      </c>
      <c r="B170" s="531" t="s">
        <v>4505</v>
      </c>
      <c r="C170" s="532" t="s">
        <v>4482</v>
      </c>
      <c r="D170" s="533" t="s">
        <v>5469</v>
      </c>
      <c r="E170" s="532" t="s">
        <v>4482</v>
      </c>
      <c r="F170" s="534" t="s">
        <v>5937</v>
      </c>
      <c r="G170" s="534" t="s">
        <v>5938</v>
      </c>
      <c r="H170" s="534" t="s">
        <v>6205</v>
      </c>
      <c r="I170" s="408" t="e">
        <f>VLOOKUP(A170,'Sandi BI Existing Debitur'!$D$8:$D$592,1,0)</f>
        <v>#N/A</v>
      </c>
      <c r="L170" s="532" t="s">
        <v>7634</v>
      </c>
      <c r="M170" s="534" t="s">
        <v>6268</v>
      </c>
    </row>
    <row r="171" spans="1:13" x14ac:dyDescent="0.25">
      <c r="A171" s="531" t="s">
        <v>5009</v>
      </c>
      <c r="B171" s="531" t="s">
        <v>4506</v>
      </c>
      <c r="C171" s="532" t="s">
        <v>4482</v>
      </c>
      <c r="D171" s="533" t="s">
        <v>5470</v>
      </c>
      <c r="E171" s="532" t="s">
        <v>4482</v>
      </c>
      <c r="F171" s="534" t="s">
        <v>5937</v>
      </c>
      <c r="G171" s="534" t="s">
        <v>5938</v>
      </c>
      <c r="H171" s="534" t="s">
        <v>6205</v>
      </c>
      <c r="I171" s="408" t="e">
        <f>VLOOKUP(A171,'Sandi BI Existing Debitur'!$D$8:$D$592,1,0)</f>
        <v>#N/A</v>
      </c>
      <c r="L171" s="532" t="s">
        <v>7634</v>
      </c>
      <c r="M171" s="534" t="s">
        <v>6127</v>
      </c>
    </row>
    <row r="172" spans="1:13" x14ac:dyDescent="0.25">
      <c r="A172" s="531" t="s">
        <v>5010</v>
      </c>
      <c r="B172" s="531" t="s">
        <v>4507</v>
      </c>
      <c r="C172" s="532" t="s">
        <v>4482</v>
      </c>
      <c r="D172" s="533" t="s">
        <v>5471</v>
      </c>
      <c r="E172" s="532" t="s">
        <v>4482</v>
      </c>
      <c r="F172" s="534" t="s">
        <v>5937</v>
      </c>
      <c r="G172" s="534" t="s">
        <v>5938</v>
      </c>
      <c r="H172" s="534" t="s">
        <v>6205</v>
      </c>
      <c r="I172" s="408" t="e">
        <f>VLOOKUP(A172,'Sandi BI Existing Debitur'!$D$8:$D$592,1,0)</f>
        <v>#N/A</v>
      </c>
      <c r="L172" s="532" t="s">
        <v>7634</v>
      </c>
      <c r="M172" s="534" t="s">
        <v>6269</v>
      </c>
    </row>
    <row r="173" spans="1:13" ht="25.5" x14ac:dyDescent="0.25">
      <c r="A173" s="531" t="s">
        <v>5011</v>
      </c>
      <c r="B173" s="531" t="s">
        <v>4508</v>
      </c>
      <c r="C173" s="532" t="s">
        <v>4482</v>
      </c>
      <c r="D173" s="533" t="s">
        <v>5472</v>
      </c>
      <c r="E173" s="532" t="s">
        <v>4482</v>
      </c>
      <c r="F173" s="534" t="s">
        <v>5937</v>
      </c>
      <c r="G173" s="534" t="s">
        <v>5938</v>
      </c>
      <c r="H173" s="534" t="s">
        <v>6205</v>
      </c>
      <c r="I173" s="408" t="e">
        <f>VLOOKUP(A173,'Sandi BI Existing Debitur'!$D$8:$D$592,1,0)</f>
        <v>#N/A</v>
      </c>
      <c r="L173" s="532" t="s">
        <v>7634</v>
      </c>
      <c r="M173" s="534" t="s">
        <v>6203</v>
      </c>
    </row>
    <row r="174" spans="1:13" x14ac:dyDescent="0.25">
      <c r="A174" s="531" t="s">
        <v>5013</v>
      </c>
      <c r="B174" s="531" t="s">
        <v>4510</v>
      </c>
      <c r="C174" s="532" t="s">
        <v>4482</v>
      </c>
      <c r="D174" s="533" t="s">
        <v>5476</v>
      </c>
      <c r="E174" s="532" t="s">
        <v>4482</v>
      </c>
      <c r="F174" s="534" t="s">
        <v>6057</v>
      </c>
      <c r="G174" s="534" t="s">
        <v>6058</v>
      </c>
      <c r="H174" s="534" t="s">
        <v>6218</v>
      </c>
      <c r="I174" s="408" t="e">
        <f>VLOOKUP(A174,'Sandi BI Existing Debitur'!$D$8:$D$592,1,0)</f>
        <v>#N/A</v>
      </c>
      <c r="L174" s="532" t="s">
        <v>7634</v>
      </c>
      <c r="M174" s="534" t="s">
        <v>6217</v>
      </c>
    </row>
    <row r="175" spans="1:13" ht="25.5" x14ac:dyDescent="0.25">
      <c r="A175" s="531" t="s">
        <v>5014</v>
      </c>
      <c r="B175" s="531" t="s">
        <v>4511</v>
      </c>
      <c r="C175" s="532" t="s">
        <v>4482</v>
      </c>
      <c r="D175" s="533" t="s">
        <v>5477</v>
      </c>
      <c r="E175" s="532" t="s">
        <v>4482</v>
      </c>
      <c r="F175" s="534" t="s">
        <v>6073</v>
      </c>
      <c r="G175" s="534" t="s">
        <v>6074</v>
      </c>
      <c r="H175" s="534" t="s">
        <v>6219</v>
      </c>
      <c r="I175" s="408" t="e">
        <f>VLOOKUP(A175,'Sandi BI Existing Debitur'!$D$8:$D$592,1,0)</f>
        <v>#N/A</v>
      </c>
      <c r="L175" s="532" t="s">
        <v>7634</v>
      </c>
      <c r="M175" s="534" t="s">
        <v>6148</v>
      </c>
    </row>
    <row r="176" spans="1:13" ht="38.25" x14ac:dyDescent="0.25">
      <c r="A176" s="531" t="s">
        <v>5077</v>
      </c>
      <c r="B176" s="531" t="s">
        <v>4576</v>
      </c>
      <c r="C176" s="568" t="s">
        <v>4482</v>
      </c>
      <c r="D176" s="533" t="s">
        <v>5540</v>
      </c>
      <c r="E176" s="532" t="s">
        <v>4482</v>
      </c>
      <c r="F176" s="534" t="s">
        <v>6033</v>
      </c>
      <c r="G176" s="534" t="s">
        <v>6034</v>
      </c>
      <c r="H176" s="534" t="s">
        <v>6232</v>
      </c>
      <c r="I176" s="408" t="e">
        <f>VLOOKUP(A176,'Sandi BI Existing Debitur'!$D$8:$D$592,1,0)</f>
        <v>#N/A</v>
      </c>
      <c r="L176" s="532" t="s">
        <v>4667</v>
      </c>
      <c r="M176" s="534" t="s">
        <v>6127</v>
      </c>
    </row>
    <row r="177" spans="1:13" ht="26.25" x14ac:dyDescent="0.25">
      <c r="A177" s="531" t="s">
        <v>5015</v>
      </c>
      <c r="B177" s="537" t="s">
        <v>4512</v>
      </c>
      <c r="C177" s="532" t="s">
        <v>4513</v>
      </c>
      <c r="D177" s="533" t="s">
        <v>5478</v>
      </c>
      <c r="E177" s="532" t="s">
        <v>4514</v>
      </c>
      <c r="F177" s="534" t="s">
        <v>6085</v>
      </c>
      <c r="G177" s="534" t="s">
        <v>6086</v>
      </c>
      <c r="H177" s="534" t="s">
        <v>6220</v>
      </c>
      <c r="I177" s="408" t="e">
        <f>VLOOKUP(A177,'Sandi BI Existing Debitur'!$D$8:$D$592,1,0)</f>
        <v>#N/A</v>
      </c>
      <c r="L177" s="532" t="s">
        <v>4667</v>
      </c>
      <c r="M177" s="534" t="s">
        <v>6233</v>
      </c>
    </row>
    <row r="178" spans="1:13" ht="26.25" x14ac:dyDescent="0.25">
      <c r="A178" s="531" t="s">
        <v>5016</v>
      </c>
      <c r="B178" s="531" t="s">
        <v>4515</v>
      </c>
      <c r="C178" s="532" t="s">
        <v>4513</v>
      </c>
      <c r="D178" s="533" t="s">
        <v>5479</v>
      </c>
      <c r="E178" s="532" t="s">
        <v>4514</v>
      </c>
      <c r="F178" s="534" t="s">
        <v>6085</v>
      </c>
      <c r="G178" s="534" t="s">
        <v>6086</v>
      </c>
      <c r="H178" s="534" t="s">
        <v>6220</v>
      </c>
      <c r="I178" s="408" t="e">
        <f>VLOOKUP(A178,'Sandi BI Existing Debitur'!$D$8:$D$592,1,0)</f>
        <v>#N/A</v>
      </c>
      <c r="L178" s="532" t="s">
        <v>4667</v>
      </c>
      <c r="M178" s="534" t="s">
        <v>6219</v>
      </c>
    </row>
    <row r="179" spans="1:13" ht="25.5" x14ac:dyDescent="0.25">
      <c r="A179" s="531" t="s">
        <v>5017</v>
      </c>
      <c r="B179" s="531" t="s">
        <v>4516</v>
      </c>
      <c r="C179" s="532" t="s">
        <v>4513</v>
      </c>
      <c r="D179" s="533" t="s">
        <v>5480</v>
      </c>
      <c r="E179" s="532" t="s">
        <v>4514</v>
      </c>
      <c r="F179" s="534" t="s">
        <v>6085</v>
      </c>
      <c r="G179" s="534" t="s">
        <v>6086</v>
      </c>
      <c r="H179" s="534" t="s">
        <v>6220</v>
      </c>
      <c r="I179" s="408" t="e">
        <f>VLOOKUP(A179,'Sandi BI Existing Debitur'!$D$8:$D$592,1,0)</f>
        <v>#N/A</v>
      </c>
      <c r="L179" s="532" t="s">
        <v>4667</v>
      </c>
      <c r="M179" s="534" t="s">
        <v>6217</v>
      </c>
    </row>
    <row r="180" spans="1:13" x14ac:dyDescent="0.25">
      <c r="A180" s="531" t="s">
        <v>5018</v>
      </c>
      <c r="B180" s="531" t="s">
        <v>4517</v>
      </c>
      <c r="C180" s="532" t="s">
        <v>4513</v>
      </c>
      <c r="D180" s="533" t="s">
        <v>5481</v>
      </c>
      <c r="E180" s="532" t="s">
        <v>4514</v>
      </c>
      <c r="F180" s="534" t="s">
        <v>6085</v>
      </c>
      <c r="G180" s="534" t="s">
        <v>6086</v>
      </c>
      <c r="H180" s="534" t="s">
        <v>6220</v>
      </c>
      <c r="I180" s="408" t="e">
        <f>VLOOKUP(A180,'Sandi BI Existing Debitur'!$D$8:$D$592,1,0)</f>
        <v>#N/A</v>
      </c>
      <c r="L180" s="532" t="s">
        <v>4667</v>
      </c>
      <c r="M180" s="534" t="s">
        <v>6148</v>
      </c>
    </row>
    <row r="181" spans="1:13" x14ac:dyDescent="0.25">
      <c r="A181" s="531" t="s">
        <v>5019</v>
      </c>
      <c r="B181" s="531" t="s">
        <v>4518</v>
      </c>
      <c r="C181" s="532" t="s">
        <v>4513</v>
      </c>
      <c r="D181" s="533" t="s">
        <v>5482</v>
      </c>
      <c r="E181" s="532" t="s">
        <v>4514</v>
      </c>
      <c r="F181" s="534" t="s">
        <v>6085</v>
      </c>
      <c r="G181" s="534" t="s">
        <v>6086</v>
      </c>
      <c r="H181" s="534" t="s">
        <v>6220</v>
      </c>
      <c r="I181" s="408" t="e">
        <f>VLOOKUP(A181,'Sandi BI Existing Debitur'!$D$8:$D$592,1,0)</f>
        <v>#N/A</v>
      </c>
      <c r="L181" s="532" t="s">
        <v>4674</v>
      </c>
      <c r="M181" s="534" t="s">
        <v>6127</v>
      </c>
    </row>
    <row r="182" spans="1:13" ht="38.25" x14ac:dyDescent="0.25">
      <c r="A182" s="531" t="s">
        <v>5020</v>
      </c>
      <c r="B182" s="531" t="s">
        <v>4519</v>
      </c>
      <c r="C182" s="532" t="s">
        <v>4513</v>
      </c>
      <c r="D182" s="533" t="s">
        <v>5483</v>
      </c>
      <c r="E182" s="532" t="s">
        <v>4514</v>
      </c>
      <c r="F182" s="534" t="s">
        <v>6085</v>
      </c>
      <c r="G182" s="534" t="s">
        <v>6086</v>
      </c>
      <c r="H182" s="534" t="s">
        <v>6220</v>
      </c>
      <c r="I182" s="408" t="e">
        <f>VLOOKUP(A182,'Sandi BI Existing Debitur'!$D$8:$D$592,1,0)</f>
        <v>#N/A</v>
      </c>
      <c r="L182" s="532" t="s">
        <v>4674</v>
      </c>
      <c r="M182" s="534" t="s">
        <v>6228</v>
      </c>
    </row>
    <row r="183" spans="1:13" ht="25.5" x14ac:dyDescent="0.25">
      <c r="A183" s="531" t="s">
        <v>5021</v>
      </c>
      <c r="B183" s="531" t="s">
        <v>4520</v>
      </c>
      <c r="C183" s="532" t="s">
        <v>4513</v>
      </c>
      <c r="D183" s="533" t="s">
        <v>5484</v>
      </c>
      <c r="E183" s="532" t="s">
        <v>4514</v>
      </c>
      <c r="F183" s="534" t="s">
        <v>6085</v>
      </c>
      <c r="G183" s="534" t="s">
        <v>6086</v>
      </c>
      <c r="H183" s="534" t="s">
        <v>6220</v>
      </c>
      <c r="I183" s="408" t="e">
        <f>VLOOKUP(A183,'Sandi BI Existing Debitur'!$D$8:$D$592,1,0)</f>
        <v>#N/A</v>
      </c>
      <c r="L183" s="532" t="s">
        <v>4674</v>
      </c>
      <c r="M183" s="534" t="s">
        <v>6265</v>
      </c>
    </row>
    <row r="184" spans="1:13" ht="38.25" x14ac:dyDescent="0.25">
      <c r="A184" s="531" t="s">
        <v>5022</v>
      </c>
      <c r="B184" s="531" t="s">
        <v>4521</v>
      </c>
      <c r="C184" s="532" t="s">
        <v>4513</v>
      </c>
      <c r="D184" s="533" t="s">
        <v>5485</v>
      </c>
      <c r="E184" s="532" t="s">
        <v>4514</v>
      </c>
      <c r="F184" s="534" t="s">
        <v>6085</v>
      </c>
      <c r="G184" s="534" t="s">
        <v>6086</v>
      </c>
      <c r="H184" s="534" t="s">
        <v>6220</v>
      </c>
      <c r="I184" s="408" t="e">
        <f>VLOOKUP(A184,'Sandi BI Existing Debitur'!$D$8:$D$592,1,0)</f>
        <v>#N/A</v>
      </c>
      <c r="L184" s="532" t="s">
        <v>4681</v>
      </c>
      <c r="M184" s="534" t="s">
        <v>6266</v>
      </c>
    </row>
    <row r="185" spans="1:13" ht="38.25" x14ac:dyDescent="0.25">
      <c r="A185" s="531" t="s">
        <v>5023</v>
      </c>
      <c r="B185" s="531" t="s">
        <v>4522</v>
      </c>
      <c r="C185" s="532" t="s">
        <v>4513</v>
      </c>
      <c r="D185" s="533" t="s">
        <v>5486</v>
      </c>
      <c r="E185" s="532" t="s">
        <v>4514</v>
      </c>
      <c r="F185" s="534" t="s">
        <v>6085</v>
      </c>
      <c r="G185" s="534" t="s">
        <v>6086</v>
      </c>
      <c r="H185" s="534" t="s">
        <v>6220</v>
      </c>
      <c r="I185" s="408" t="e">
        <f>VLOOKUP(A185,'Sandi BI Existing Debitur'!$D$8:$D$592,1,0)</f>
        <v>#N/A</v>
      </c>
      <c r="L185" s="532" t="s">
        <v>4681</v>
      </c>
      <c r="M185" s="534" t="s">
        <v>6220</v>
      </c>
    </row>
    <row r="186" spans="1:13" ht="51" x14ac:dyDescent="0.25">
      <c r="A186" s="531" t="s">
        <v>5024</v>
      </c>
      <c r="B186" s="531" t="s">
        <v>4523</v>
      </c>
      <c r="C186" s="532" t="s">
        <v>4513</v>
      </c>
      <c r="D186" s="533" t="s">
        <v>5487</v>
      </c>
      <c r="E186" s="532" t="s">
        <v>4514</v>
      </c>
      <c r="F186" s="534" t="s">
        <v>6085</v>
      </c>
      <c r="G186" s="534" t="s">
        <v>6086</v>
      </c>
      <c r="H186" s="534" t="s">
        <v>6220</v>
      </c>
      <c r="I186" s="408" t="e">
        <f>VLOOKUP(A186,'Sandi BI Existing Debitur'!$D$8:$D$592,1,0)</f>
        <v>#N/A</v>
      </c>
      <c r="L186" s="532" t="s">
        <v>4685</v>
      </c>
      <c r="M186" s="534" t="s">
        <v>6268</v>
      </c>
    </row>
    <row r="187" spans="1:13" ht="38.25" x14ac:dyDescent="0.25">
      <c r="A187" s="531" t="s">
        <v>5025</v>
      </c>
      <c r="B187" s="531" t="s">
        <v>4524</v>
      </c>
      <c r="C187" s="532" t="s">
        <v>4513</v>
      </c>
      <c r="D187" s="533" t="s">
        <v>5488</v>
      </c>
      <c r="E187" s="532" t="s">
        <v>4514</v>
      </c>
      <c r="F187" s="534" t="s">
        <v>6085</v>
      </c>
      <c r="G187" s="534" t="s">
        <v>6086</v>
      </c>
      <c r="H187" s="534" t="s">
        <v>6220</v>
      </c>
      <c r="I187" s="408" t="e">
        <f>VLOOKUP(A187,'Sandi BI Existing Debitur'!$D$8:$D$592,1,0)</f>
        <v>#N/A</v>
      </c>
      <c r="L187" s="532" t="s">
        <v>4685</v>
      </c>
      <c r="M187" s="534" t="s">
        <v>6267</v>
      </c>
    </row>
    <row r="188" spans="1:13" x14ac:dyDescent="0.25">
      <c r="A188" s="531" t="s">
        <v>5026</v>
      </c>
      <c r="B188" s="531" t="s">
        <v>4525</v>
      </c>
      <c r="C188" s="532" t="s">
        <v>4513</v>
      </c>
      <c r="D188" s="533" t="s">
        <v>5489</v>
      </c>
      <c r="E188" s="532" t="s">
        <v>4514</v>
      </c>
      <c r="F188" s="534" t="s">
        <v>6111</v>
      </c>
      <c r="G188" s="534" t="s">
        <v>6112</v>
      </c>
      <c r="H188" s="534" t="s">
        <v>6221</v>
      </c>
      <c r="I188" s="408" t="e">
        <f>VLOOKUP(A188,'Sandi BI Existing Debitur'!$D$8:$D$592,1,0)</f>
        <v>#N/A</v>
      </c>
      <c r="L188" s="532" t="s">
        <v>4685</v>
      </c>
      <c r="M188" s="534" t="s">
        <v>6127</v>
      </c>
    </row>
    <row r="189" spans="1:13" x14ac:dyDescent="0.25">
      <c r="A189" s="531" t="s">
        <v>5027</v>
      </c>
      <c r="B189" s="531" t="s">
        <v>4526</v>
      </c>
      <c r="C189" s="532" t="s">
        <v>4513</v>
      </c>
      <c r="D189" s="533" t="s">
        <v>5490</v>
      </c>
      <c r="E189" s="532" t="s">
        <v>4514</v>
      </c>
      <c r="F189" s="534" t="s">
        <v>6111</v>
      </c>
      <c r="G189" s="534" t="s">
        <v>6112</v>
      </c>
      <c r="H189" s="534" t="s">
        <v>6221</v>
      </c>
      <c r="I189" s="408" t="e">
        <f>VLOOKUP(A189,'Sandi BI Existing Debitur'!$D$8:$D$592,1,0)</f>
        <v>#N/A</v>
      </c>
      <c r="L189" s="532" t="s">
        <v>4685</v>
      </c>
      <c r="M189" s="534" t="s">
        <v>6239</v>
      </c>
    </row>
    <row r="190" spans="1:13" x14ac:dyDescent="0.25">
      <c r="A190" s="531" t="s">
        <v>5028</v>
      </c>
      <c r="B190" s="531" t="s">
        <v>4527</v>
      </c>
      <c r="C190" s="532" t="s">
        <v>4513</v>
      </c>
      <c r="D190" s="533" t="s">
        <v>5491</v>
      </c>
      <c r="E190" s="532" t="s">
        <v>4514</v>
      </c>
      <c r="F190" s="534" t="s">
        <v>6113</v>
      </c>
      <c r="G190" s="534" t="s">
        <v>6114</v>
      </c>
      <c r="H190" s="534" t="s">
        <v>6222</v>
      </c>
      <c r="I190" s="408" t="e">
        <f>VLOOKUP(A190,'Sandi BI Existing Debitur'!$D$8:$D$592,1,0)</f>
        <v>#N/A</v>
      </c>
      <c r="L190" s="532" t="s">
        <v>4685</v>
      </c>
      <c r="M190" s="534" t="s">
        <v>6233</v>
      </c>
    </row>
    <row r="191" spans="1:13" x14ac:dyDescent="0.25">
      <c r="A191" s="531" t="s">
        <v>5029</v>
      </c>
      <c r="B191" s="531" t="s">
        <v>4528</v>
      </c>
      <c r="C191" s="532" t="s">
        <v>4513</v>
      </c>
      <c r="D191" s="533" t="s">
        <v>5492</v>
      </c>
      <c r="E191" s="532" t="s">
        <v>4514</v>
      </c>
      <c r="F191" s="534" t="s">
        <v>6111</v>
      </c>
      <c r="G191" s="534" t="s">
        <v>6112</v>
      </c>
      <c r="H191" s="534" t="s">
        <v>6221</v>
      </c>
      <c r="I191" s="408" t="e">
        <f>VLOOKUP(A191,'Sandi BI Existing Debitur'!$D$8:$D$592,1,0)</f>
        <v>#N/A</v>
      </c>
      <c r="L191" s="532" t="s">
        <v>4695</v>
      </c>
      <c r="M191" s="534" t="s">
        <v>6270</v>
      </c>
    </row>
    <row r="192" spans="1:13" x14ac:dyDescent="0.25">
      <c r="A192" s="531" t="s">
        <v>5030</v>
      </c>
      <c r="B192" s="531" t="s">
        <v>4529</v>
      </c>
      <c r="C192" s="532" t="s">
        <v>4513</v>
      </c>
      <c r="D192" s="533" t="s">
        <v>5493</v>
      </c>
      <c r="E192" s="532" t="s">
        <v>4514</v>
      </c>
      <c r="F192" s="534" t="s">
        <v>6085</v>
      </c>
      <c r="G192" s="534" t="s">
        <v>6086</v>
      </c>
      <c r="H192" s="534" t="s">
        <v>6220</v>
      </c>
      <c r="I192" s="408" t="str">
        <f>VLOOKUP(A192,'Sandi BI Existing Debitur'!$D$8:$D$592,1,0)</f>
        <v>651000</v>
      </c>
      <c r="L192" s="532" t="s">
        <v>4695</v>
      </c>
      <c r="M192" s="534" t="s">
        <v>6127</v>
      </c>
    </row>
    <row r="193" spans="1:13" ht="25.5" x14ac:dyDescent="0.25">
      <c r="A193" s="531" t="s">
        <v>5031</v>
      </c>
      <c r="B193" s="531" t="s">
        <v>4530</v>
      </c>
      <c r="C193" s="532" t="s">
        <v>4513</v>
      </c>
      <c r="D193" s="533" t="s">
        <v>5494</v>
      </c>
      <c r="E193" s="532" t="s">
        <v>4514</v>
      </c>
      <c r="F193" s="534" t="s">
        <v>6085</v>
      </c>
      <c r="G193" s="534" t="s">
        <v>6086</v>
      </c>
      <c r="H193" s="534" t="s">
        <v>6220</v>
      </c>
      <c r="I193" s="408" t="e">
        <f>VLOOKUP(A193,'Sandi BI Existing Debitur'!$D$8:$D$592,1,0)</f>
        <v>#N/A</v>
      </c>
      <c r="L193" s="532" t="s">
        <v>4695</v>
      </c>
      <c r="M193" s="534" t="s">
        <v>6244</v>
      </c>
    </row>
    <row r="194" spans="1:13" ht="25.5" x14ac:dyDescent="0.25">
      <c r="A194" s="531" t="s">
        <v>5032</v>
      </c>
      <c r="B194" s="531" t="s">
        <v>4531</v>
      </c>
      <c r="C194" s="532" t="s">
        <v>4513</v>
      </c>
      <c r="D194" s="533" t="s">
        <v>5495</v>
      </c>
      <c r="E194" s="532" t="s">
        <v>4514</v>
      </c>
      <c r="F194" s="534" t="s">
        <v>6085</v>
      </c>
      <c r="G194" s="534" t="s">
        <v>6086</v>
      </c>
      <c r="H194" s="534" t="s">
        <v>6220</v>
      </c>
      <c r="I194" s="408" t="e">
        <f>VLOOKUP(A194,'Sandi BI Existing Debitur'!$D$8:$D$592,1,0)</f>
        <v>#N/A</v>
      </c>
      <c r="L194" s="532" t="s">
        <v>4695</v>
      </c>
      <c r="M194" s="534" t="s">
        <v>6233</v>
      </c>
    </row>
    <row r="195" spans="1:13" x14ac:dyDescent="0.25">
      <c r="A195" s="531" t="s">
        <v>5033</v>
      </c>
      <c r="B195" s="531" t="s">
        <v>4532</v>
      </c>
      <c r="C195" s="532" t="s">
        <v>4513</v>
      </c>
      <c r="D195" s="533" t="s">
        <v>5496</v>
      </c>
      <c r="E195" s="532" t="s">
        <v>4514</v>
      </c>
      <c r="F195" s="534" t="s">
        <v>6085</v>
      </c>
      <c r="G195" s="534" t="s">
        <v>6086</v>
      </c>
      <c r="H195" s="534" t="s">
        <v>6220</v>
      </c>
      <c r="I195" s="408" t="e">
        <f>VLOOKUP(A195,'Sandi BI Existing Debitur'!$D$8:$D$592,1,0)</f>
        <v>#N/A</v>
      </c>
      <c r="L195" s="532" t="s">
        <v>4695</v>
      </c>
      <c r="M195" s="534" t="s">
        <v>6219</v>
      </c>
    </row>
    <row r="196" spans="1:13" ht="38.25" x14ac:dyDescent="0.25">
      <c r="A196" s="531" t="s">
        <v>5034</v>
      </c>
      <c r="B196" s="531" t="s">
        <v>4533</v>
      </c>
      <c r="C196" s="532" t="s">
        <v>4513</v>
      </c>
      <c r="D196" s="533" t="s">
        <v>5497</v>
      </c>
      <c r="E196" s="532" t="s">
        <v>4514</v>
      </c>
      <c r="F196" s="534" t="s">
        <v>6085</v>
      </c>
      <c r="G196" s="534" t="s">
        <v>6086</v>
      </c>
      <c r="H196" s="534" t="s">
        <v>6220</v>
      </c>
      <c r="I196" s="408" t="e">
        <f>VLOOKUP(A196,'Sandi BI Existing Debitur'!$D$8:$D$592,1,0)</f>
        <v>#N/A</v>
      </c>
      <c r="L196" s="532" t="s">
        <v>4695</v>
      </c>
      <c r="M196" s="534" t="s">
        <v>6148</v>
      </c>
    </row>
    <row r="197" spans="1:13" ht="25.5" x14ac:dyDescent="0.25">
      <c r="A197" s="531" t="s">
        <v>5035</v>
      </c>
      <c r="B197" s="531" t="s">
        <v>4534</v>
      </c>
      <c r="C197" s="532" t="s">
        <v>4513</v>
      </c>
      <c r="D197" s="533" t="s">
        <v>5498</v>
      </c>
      <c r="E197" s="532" t="s">
        <v>4514</v>
      </c>
      <c r="F197" s="534" t="s">
        <v>6085</v>
      </c>
      <c r="G197" s="534" t="s">
        <v>6086</v>
      </c>
      <c r="H197" s="534" t="s">
        <v>6220</v>
      </c>
      <c r="I197" s="408" t="e">
        <f>VLOOKUP(A197,'Sandi BI Existing Debitur'!$D$8:$D$592,1,0)</f>
        <v>#N/A</v>
      </c>
      <c r="L197" s="532" t="s">
        <v>4708</v>
      </c>
      <c r="M197" s="534" t="s">
        <v>6127</v>
      </c>
    </row>
    <row r="198" spans="1:13" x14ac:dyDescent="0.25">
      <c r="A198" s="531" t="s">
        <v>5036</v>
      </c>
      <c r="B198" s="531" t="s">
        <v>4535</v>
      </c>
      <c r="C198" s="532" t="s">
        <v>4513</v>
      </c>
      <c r="D198" s="533" t="s">
        <v>5499</v>
      </c>
      <c r="E198" s="532" t="s">
        <v>4514</v>
      </c>
      <c r="F198" s="534" t="s">
        <v>5781</v>
      </c>
      <c r="G198" s="534" t="s">
        <v>5782</v>
      </c>
      <c r="H198" s="534" t="s">
        <v>6223</v>
      </c>
      <c r="I198" s="408" t="e">
        <f>VLOOKUP(A198,'Sandi BI Existing Debitur'!$D$8:$D$592,1,0)</f>
        <v>#N/A</v>
      </c>
      <c r="L198" s="532" t="s">
        <v>4708</v>
      </c>
      <c r="M198" s="534" t="s">
        <v>6272</v>
      </c>
    </row>
    <row r="199" spans="1:13" ht="25.5" x14ac:dyDescent="0.25">
      <c r="A199" s="531" t="s">
        <v>5037</v>
      </c>
      <c r="B199" s="531" t="s">
        <v>4536</v>
      </c>
      <c r="C199" s="532" t="s">
        <v>4513</v>
      </c>
      <c r="D199" s="533" t="s">
        <v>5500</v>
      </c>
      <c r="E199" s="532" t="s">
        <v>4514</v>
      </c>
      <c r="F199" s="534" t="s">
        <v>5827</v>
      </c>
      <c r="G199" s="534" t="s">
        <v>5828</v>
      </c>
      <c r="H199" s="534" t="s">
        <v>6224</v>
      </c>
      <c r="I199" s="408" t="e">
        <f>VLOOKUP(A199,'Sandi BI Existing Debitur'!$D$8:$D$592,1,0)</f>
        <v>#N/A</v>
      </c>
      <c r="L199" s="532" t="s">
        <v>4708</v>
      </c>
      <c r="M199" s="534" t="s">
        <v>6271</v>
      </c>
    </row>
    <row r="200" spans="1:13" ht="25.5" x14ac:dyDescent="0.25">
      <c r="A200" s="531" t="s">
        <v>5038</v>
      </c>
      <c r="B200" s="531" t="s">
        <v>4537</v>
      </c>
      <c r="C200" s="532" t="s">
        <v>4513</v>
      </c>
      <c r="D200" s="533" t="s">
        <v>5501</v>
      </c>
      <c r="E200" s="532" t="s">
        <v>4514</v>
      </c>
      <c r="F200" s="534" t="s">
        <v>5925</v>
      </c>
      <c r="G200" s="534" t="s">
        <v>5926</v>
      </c>
      <c r="H200" s="534" t="s">
        <v>6225</v>
      </c>
      <c r="I200" s="408" t="e">
        <f>VLOOKUP(A200,'Sandi BI Existing Debitur'!$D$8:$D$592,1,0)</f>
        <v>#N/A</v>
      </c>
      <c r="L200" s="532" t="s">
        <v>4708</v>
      </c>
      <c r="M200" s="534" t="s">
        <v>6232</v>
      </c>
    </row>
    <row r="201" spans="1:13" x14ac:dyDescent="0.25">
      <c r="A201" s="531" t="s">
        <v>5039</v>
      </c>
      <c r="B201" s="531" t="s">
        <v>4538</v>
      </c>
      <c r="C201" s="532" t="s">
        <v>4513</v>
      </c>
      <c r="D201" s="533" t="s">
        <v>5502</v>
      </c>
      <c r="E201" s="532" t="s">
        <v>4514</v>
      </c>
      <c r="F201" s="534" t="s">
        <v>6091</v>
      </c>
      <c r="G201" s="534" t="s">
        <v>6092</v>
      </c>
      <c r="H201" s="534" t="s">
        <v>6226</v>
      </c>
      <c r="I201" s="408" t="e">
        <f>VLOOKUP(A201,'Sandi BI Existing Debitur'!$D$8:$D$592,1,0)</f>
        <v>#N/A</v>
      </c>
      <c r="L201" s="532" t="s">
        <v>4708</v>
      </c>
      <c r="M201" s="534" t="s">
        <v>6219</v>
      </c>
    </row>
    <row r="202" spans="1:13" ht="25.5" x14ac:dyDescent="0.25">
      <c r="A202" s="531" t="s">
        <v>5040</v>
      </c>
      <c r="B202" s="531" t="s">
        <v>4539</v>
      </c>
      <c r="C202" s="532" t="s">
        <v>4513</v>
      </c>
      <c r="D202" s="533" t="s">
        <v>5503</v>
      </c>
      <c r="E202" s="532" t="s">
        <v>4514</v>
      </c>
      <c r="F202" s="534" t="s">
        <v>6091</v>
      </c>
      <c r="G202" s="534" t="s">
        <v>6092</v>
      </c>
      <c r="H202" s="534" t="s">
        <v>6226</v>
      </c>
      <c r="I202" s="408" t="e">
        <f>VLOOKUP(A202,'Sandi BI Existing Debitur'!$D$8:$D$592,1,0)</f>
        <v>#N/A</v>
      </c>
      <c r="L202" s="532" t="s">
        <v>4708</v>
      </c>
      <c r="M202" s="534" t="s">
        <v>6217</v>
      </c>
    </row>
    <row r="203" spans="1:13" ht="38.25" x14ac:dyDescent="0.25">
      <c r="A203" s="531" t="s">
        <v>5041</v>
      </c>
      <c r="B203" s="531" t="s">
        <v>4540</v>
      </c>
      <c r="C203" s="532" t="s">
        <v>4513</v>
      </c>
      <c r="D203" s="533" t="s">
        <v>5504</v>
      </c>
      <c r="E203" s="532" t="s">
        <v>4514</v>
      </c>
      <c r="F203" s="534" t="s">
        <v>6085</v>
      </c>
      <c r="G203" s="534" t="s">
        <v>6086</v>
      </c>
      <c r="H203" s="534" t="s">
        <v>6220</v>
      </c>
      <c r="I203" s="408" t="str">
        <f>VLOOKUP(A203,'Sandi BI Existing Debitur'!$D$8:$D$592,1,0)</f>
        <v>633000</v>
      </c>
      <c r="L203" s="532" t="s">
        <v>4708</v>
      </c>
      <c r="M203" s="534" t="s">
        <v>6148</v>
      </c>
    </row>
    <row r="204" spans="1:13" x14ac:dyDescent="0.25">
      <c r="A204" s="531" t="s">
        <v>5042</v>
      </c>
      <c r="B204" s="531" t="s">
        <v>4541</v>
      </c>
      <c r="C204" s="532" t="s">
        <v>4513</v>
      </c>
      <c r="D204" s="533" t="s">
        <v>5505</v>
      </c>
      <c r="E204" s="532" t="s">
        <v>4514</v>
      </c>
      <c r="F204" s="534" t="s">
        <v>6085</v>
      </c>
      <c r="G204" s="534" t="s">
        <v>6086</v>
      </c>
      <c r="H204" s="534" t="s">
        <v>6220</v>
      </c>
      <c r="I204" s="408" t="str">
        <f>VLOOKUP(A204,'Sandi BI Existing Debitur'!$D$8:$D$592,1,0)</f>
        <v>749000</v>
      </c>
      <c r="L204" s="532" t="s">
        <v>4708</v>
      </c>
      <c r="M204" s="534" t="s">
        <v>6273</v>
      </c>
    </row>
    <row r="205" spans="1:13" ht="38.25" x14ac:dyDescent="0.25">
      <c r="A205" s="531" t="s">
        <v>5043</v>
      </c>
      <c r="B205" s="531" t="s">
        <v>4542</v>
      </c>
      <c r="C205" s="532" t="s">
        <v>4513</v>
      </c>
      <c r="D205" s="533" t="s">
        <v>5506</v>
      </c>
      <c r="E205" s="532" t="s">
        <v>4514</v>
      </c>
      <c r="F205" s="534" t="s">
        <v>5767</v>
      </c>
      <c r="G205" s="534" t="s">
        <v>5768</v>
      </c>
      <c r="H205" s="534" t="s">
        <v>6227</v>
      </c>
      <c r="I205" s="408" t="e">
        <f>VLOOKUP(A205,'Sandi BI Existing Debitur'!$D$8:$D$592,1,0)</f>
        <v>#N/A</v>
      </c>
      <c r="L205" s="532" t="s">
        <v>4708</v>
      </c>
      <c r="M205" s="534" t="s">
        <v>6223</v>
      </c>
    </row>
    <row r="206" spans="1:13" ht="25.5" x14ac:dyDescent="0.25">
      <c r="A206" s="531" t="s">
        <v>5044</v>
      </c>
      <c r="B206" s="531" t="s">
        <v>4543</v>
      </c>
      <c r="C206" s="532" t="s">
        <v>4513</v>
      </c>
      <c r="D206" s="533" t="s">
        <v>5507</v>
      </c>
      <c r="E206" s="532" t="s">
        <v>4514</v>
      </c>
      <c r="F206" s="534" t="s">
        <v>5767</v>
      </c>
      <c r="G206" s="534" t="s">
        <v>5768</v>
      </c>
      <c r="H206" s="534" t="s">
        <v>6227</v>
      </c>
      <c r="I206" s="408" t="e">
        <f>VLOOKUP(A206,'Sandi BI Existing Debitur'!$D$8:$D$592,1,0)</f>
        <v>#N/A</v>
      </c>
      <c r="L206" s="532" t="s">
        <v>4734</v>
      </c>
      <c r="M206" s="534" t="s">
        <v>6281</v>
      </c>
    </row>
    <row r="207" spans="1:13" x14ac:dyDescent="0.25">
      <c r="A207" s="531" t="s">
        <v>5045</v>
      </c>
      <c r="B207" s="531" t="s">
        <v>4544</v>
      </c>
      <c r="C207" s="532" t="s">
        <v>4513</v>
      </c>
      <c r="D207" s="533" t="s">
        <v>5508</v>
      </c>
      <c r="E207" s="532" t="s">
        <v>4514</v>
      </c>
      <c r="F207" s="534" t="s">
        <v>5767</v>
      </c>
      <c r="G207" s="534" t="s">
        <v>5768</v>
      </c>
      <c r="H207" s="534" t="s">
        <v>6227</v>
      </c>
      <c r="I207" s="408" t="e">
        <f>VLOOKUP(A207,'Sandi BI Existing Debitur'!$D$8:$D$592,1,0)</f>
        <v>#N/A</v>
      </c>
      <c r="L207" s="532" t="s">
        <v>4734</v>
      </c>
      <c r="M207" s="534" t="s">
        <v>6275</v>
      </c>
    </row>
    <row r="208" spans="1:13" x14ac:dyDescent="0.25">
      <c r="A208" s="531" t="s">
        <v>5046</v>
      </c>
      <c r="B208" s="531" t="s">
        <v>4545</v>
      </c>
      <c r="C208" s="532" t="s">
        <v>4513</v>
      </c>
      <c r="D208" s="533" t="s">
        <v>5509</v>
      </c>
      <c r="E208" s="532" t="s">
        <v>4514</v>
      </c>
      <c r="F208" s="534" t="s">
        <v>6117</v>
      </c>
      <c r="G208" s="534" t="s">
        <v>6118</v>
      </c>
      <c r="H208" s="534" t="s">
        <v>6228</v>
      </c>
      <c r="I208" s="408" t="e">
        <f>VLOOKUP(A208,'Sandi BI Existing Debitur'!$D$8:$D$592,1,0)</f>
        <v>#N/A</v>
      </c>
      <c r="L208" s="532" t="s">
        <v>4734</v>
      </c>
      <c r="M208" s="534" t="s">
        <v>6282</v>
      </c>
    </row>
    <row r="209" spans="1:13" x14ac:dyDescent="0.25">
      <c r="A209" s="531" t="s">
        <v>5047</v>
      </c>
      <c r="B209" s="531" t="s">
        <v>4546</v>
      </c>
      <c r="C209" s="532" t="s">
        <v>4513</v>
      </c>
      <c r="D209" s="533" t="s">
        <v>5510</v>
      </c>
      <c r="E209" s="532" t="s">
        <v>4514</v>
      </c>
      <c r="F209" s="534" t="s">
        <v>5767</v>
      </c>
      <c r="G209" s="534" t="s">
        <v>5768</v>
      </c>
      <c r="H209" s="534" t="s">
        <v>6227</v>
      </c>
      <c r="I209" s="408" t="e">
        <f>VLOOKUP(A209,'Sandi BI Existing Debitur'!$D$8:$D$592,1,0)</f>
        <v>#N/A</v>
      </c>
      <c r="L209" s="532" t="s">
        <v>4734</v>
      </c>
      <c r="M209" s="534" t="s">
        <v>6274</v>
      </c>
    </row>
    <row r="210" spans="1:13" x14ac:dyDescent="0.25">
      <c r="A210" s="531" t="s">
        <v>5048</v>
      </c>
      <c r="B210" s="531" t="s">
        <v>4547</v>
      </c>
      <c r="C210" s="532" t="s">
        <v>4513</v>
      </c>
      <c r="D210" s="533" t="s">
        <v>5511</v>
      </c>
      <c r="E210" s="532" t="s">
        <v>4514</v>
      </c>
      <c r="F210" s="534" t="s">
        <v>5767</v>
      </c>
      <c r="G210" s="534" t="s">
        <v>5768</v>
      </c>
      <c r="H210" s="534" t="s">
        <v>6227</v>
      </c>
      <c r="I210" s="408" t="e">
        <f>VLOOKUP(A210,'Sandi BI Existing Debitur'!$D$8:$D$592,1,0)</f>
        <v>#N/A</v>
      </c>
      <c r="L210" s="532" t="s">
        <v>4734</v>
      </c>
      <c r="M210" s="534" t="s">
        <v>6278</v>
      </c>
    </row>
    <row r="211" spans="1:13" ht="25.5" x14ac:dyDescent="0.25">
      <c r="A211" s="531" t="s">
        <v>5049</v>
      </c>
      <c r="B211" s="531" t="s">
        <v>4548</v>
      </c>
      <c r="C211" s="532" t="s">
        <v>4513</v>
      </c>
      <c r="D211" s="533" t="s">
        <v>5512</v>
      </c>
      <c r="E211" s="532" t="s">
        <v>4514</v>
      </c>
      <c r="F211" s="534" t="s">
        <v>6085</v>
      </c>
      <c r="G211" s="534" t="s">
        <v>6086</v>
      </c>
      <c r="H211" s="534" t="s">
        <v>6220</v>
      </c>
      <c r="I211" s="408" t="e">
        <f>VLOOKUP(A211,'Sandi BI Existing Debitur'!$D$8:$D$592,1,0)</f>
        <v>#N/A</v>
      </c>
      <c r="L211" s="532" t="s">
        <v>4734</v>
      </c>
      <c r="M211" s="534" t="s">
        <v>6276</v>
      </c>
    </row>
    <row r="212" spans="1:13" x14ac:dyDescent="0.25">
      <c r="A212" s="531" t="s">
        <v>5050</v>
      </c>
      <c r="B212" s="531" t="s">
        <v>4549</v>
      </c>
      <c r="C212" s="532" t="s">
        <v>4513</v>
      </c>
      <c r="D212" s="533" t="s">
        <v>5513</v>
      </c>
      <c r="E212" s="532" t="s">
        <v>4514</v>
      </c>
      <c r="F212" s="534" t="s">
        <v>6085</v>
      </c>
      <c r="G212" s="534" t="s">
        <v>6086</v>
      </c>
      <c r="H212" s="534" t="s">
        <v>6220</v>
      </c>
      <c r="I212" s="408" t="e">
        <f>VLOOKUP(A212,'Sandi BI Existing Debitur'!$D$8:$D$592,1,0)</f>
        <v>#N/A</v>
      </c>
      <c r="L212" s="532" t="s">
        <v>4734</v>
      </c>
      <c r="M212" s="534" t="s">
        <v>6283</v>
      </c>
    </row>
    <row r="213" spans="1:13" x14ac:dyDescent="0.25">
      <c r="A213" s="531" t="s">
        <v>5051</v>
      </c>
      <c r="B213" s="531" t="s">
        <v>4550</v>
      </c>
      <c r="C213" s="532" t="s">
        <v>4513</v>
      </c>
      <c r="D213" s="533" t="s">
        <v>5514</v>
      </c>
      <c r="E213" s="532" t="s">
        <v>4514</v>
      </c>
      <c r="F213" s="534" t="s">
        <v>6085</v>
      </c>
      <c r="G213" s="534" t="s">
        <v>6086</v>
      </c>
      <c r="H213" s="534" t="s">
        <v>6220</v>
      </c>
      <c r="I213" s="408" t="e">
        <f>VLOOKUP(A213,'Sandi BI Existing Debitur'!$D$8:$D$592,1,0)</f>
        <v>#N/A</v>
      </c>
      <c r="L213" s="532" t="s">
        <v>4734</v>
      </c>
      <c r="M213" s="534" t="s">
        <v>6279</v>
      </c>
    </row>
    <row r="214" spans="1:13" x14ac:dyDescent="0.25">
      <c r="A214" s="531" t="s">
        <v>5052</v>
      </c>
      <c r="B214" s="531" t="s">
        <v>4551</v>
      </c>
      <c r="C214" s="532" t="s">
        <v>4513</v>
      </c>
      <c r="D214" s="533" t="s">
        <v>5515</v>
      </c>
      <c r="E214" s="532" t="s">
        <v>4514</v>
      </c>
      <c r="F214" s="534" t="s">
        <v>5767</v>
      </c>
      <c r="G214" s="534" t="s">
        <v>5768</v>
      </c>
      <c r="H214" s="534" t="s">
        <v>6227</v>
      </c>
      <c r="I214" s="408" t="str">
        <f>VLOOKUP(A214,'Sandi BI Existing Debitur'!$D$8:$D$592,1,0)</f>
        <v>930000</v>
      </c>
      <c r="L214" s="532" t="s">
        <v>4734</v>
      </c>
      <c r="M214" s="534" t="s">
        <v>6280</v>
      </c>
    </row>
    <row r="215" spans="1:13" ht="25.5" x14ac:dyDescent="0.25">
      <c r="A215" s="531" t="s">
        <v>5053</v>
      </c>
      <c r="B215" s="531" t="s">
        <v>4552</v>
      </c>
      <c r="C215" s="532" t="s">
        <v>4513</v>
      </c>
      <c r="D215" s="533" t="s">
        <v>5516</v>
      </c>
      <c r="E215" s="532" t="s">
        <v>4514</v>
      </c>
      <c r="F215" s="534" t="s">
        <v>5767</v>
      </c>
      <c r="G215" s="534" t="s">
        <v>5768</v>
      </c>
      <c r="H215" s="534" t="s">
        <v>6227</v>
      </c>
      <c r="I215" s="408" t="e">
        <f>VLOOKUP(A215,'Sandi BI Existing Debitur'!$D$8:$D$592,1,0)</f>
        <v>#N/A</v>
      </c>
      <c r="L215" s="532" t="s">
        <v>4734</v>
      </c>
      <c r="M215" s="534" t="s">
        <v>6277</v>
      </c>
    </row>
    <row r="216" spans="1:13" ht="26.25" x14ac:dyDescent="0.25">
      <c r="A216" s="531" t="s">
        <v>5054</v>
      </c>
      <c r="B216" s="531" t="s">
        <v>4553</v>
      </c>
      <c r="C216" s="532" t="s">
        <v>4513</v>
      </c>
      <c r="D216" s="533" t="s">
        <v>5517</v>
      </c>
      <c r="E216" s="532" t="s">
        <v>4514</v>
      </c>
      <c r="F216" s="534" t="s">
        <v>5767</v>
      </c>
      <c r="G216" s="534" t="s">
        <v>5768</v>
      </c>
      <c r="H216" s="534" t="s">
        <v>6227</v>
      </c>
      <c r="I216" s="408" t="e">
        <f>VLOOKUP(A216,'Sandi BI Existing Debitur'!$D$8:$D$592,1,0)</f>
        <v>#N/A</v>
      </c>
      <c r="L216" s="532" t="s">
        <v>4734</v>
      </c>
      <c r="M216" s="534" t="s">
        <v>6145</v>
      </c>
    </row>
    <row r="217" spans="1:13" ht="26.25" x14ac:dyDescent="0.25">
      <c r="A217" s="531" t="s">
        <v>5055</v>
      </c>
      <c r="B217" s="531" t="s">
        <v>4554</v>
      </c>
      <c r="C217" s="532" t="s">
        <v>4513</v>
      </c>
      <c r="D217" s="533" t="s">
        <v>5518</v>
      </c>
      <c r="E217" s="532" t="s">
        <v>4514</v>
      </c>
      <c r="F217" s="534" t="s">
        <v>6099</v>
      </c>
      <c r="G217" s="534" t="s">
        <v>6100</v>
      </c>
      <c r="H217" s="534" t="s">
        <v>6229</v>
      </c>
      <c r="I217" s="408" t="e">
        <f>VLOOKUP(A217,'Sandi BI Existing Debitur'!$D$8:$D$592,1,0)</f>
        <v>#N/A</v>
      </c>
      <c r="L217" s="532" t="s">
        <v>4748</v>
      </c>
      <c r="M217" s="534" t="s">
        <v>6285</v>
      </c>
    </row>
    <row r="218" spans="1:13" x14ac:dyDescent="0.25">
      <c r="A218" s="531" t="s">
        <v>5056</v>
      </c>
      <c r="B218" s="531" t="s">
        <v>4555</v>
      </c>
      <c r="C218" s="532" t="s">
        <v>4513</v>
      </c>
      <c r="D218" s="533" t="s">
        <v>5519</v>
      </c>
      <c r="E218" s="532" t="s">
        <v>4514</v>
      </c>
      <c r="F218" s="534" t="s">
        <v>6101</v>
      </c>
      <c r="G218" s="534" t="s">
        <v>6102</v>
      </c>
      <c r="H218" s="534" t="s">
        <v>6230</v>
      </c>
      <c r="I218" s="408" t="str">
        <f>VLOOKUP(A218,'Sandi BI Existing Debitur'!$D$8:$D$592,1,0)</f>
        <v>634000</v>
      </c>
      <c r="L218" s="532" t="s">
        <v>4748</v>
      </c>
      <c r="M218" s="534" t="s">
        <v>6284</v>
      </c>
    </row>
    <row r="219" spans="1:13" ht="38.25" x14ac:dyDescent="0.25">
      <c r="A219" s="531" t="s">
        <v>5057</v>
      </c>
      <c r="B219" s="531" t="s">
        <v>4556</v>
      </c>
      <c r="C219" s="532" t="s">
        <v>4513</v>
      </c>
      <c r="D219" s="533" t="s">
        <v>5520</v>
      </c>
      <c r="E219" s="532" t="s">
        <v>4514</v>
      </c>
      <c r="F219" s="534" t="s">
        <v>6109</v>
      </c>
      <c r="G219" s="534" t="s">
        <v>6110</v>
      </c>
      <c r="H219" s="534" t="s">
        <v>6231</v>
      </c>
      <c r="I219" s="408" t="e">
        <f>VLOOKUP(A219,'Sandi BI Existing Debitur'!$D$8:$D$592,1,0)</f>
        <v>#N/A</v>
      </c>
      <c r="L219" s="569" t="s">
        <v>4748</v>
      </c>
      <c r="M219" s="534" t="s">
        <v>6127</v>
      </c>
    </row>
    <row r="220" spans="1:13" ht="26.25" x14ac:dyDescent="0.25">
      <c r="A220" s="531" t="s">
        <v>5058</v>
      </c>
      <c r="B220" s="531" t="s">
        <v>4557</v>
      </c>
      <c r="C220" s="532" t="s">
        <v>4513</v>
      </c>
      <c r="D220" s="533" t="s">
        <v>5521</v>
      </c>
      <c r="E220" s="532" t="s">
        <v>4514</v>
      </c>
      <c r="F220" s="534" t="s">
        <v>5955</v>
      </c>
      <c r="G220" s="534" t="s">
        <v>5956</v>
      </c>
      <c r="H220" s="534" t="s">
        <v>6217</v>
      </c>
      <c r="I220" s="408" t="e">
        <f>VLOOKUP(A220,'Sandi BI Existing Debitur'!$D$8:$D$592,1,0)</f>
        <v>#N/A</v>
      </c>
      <c r="L220" s="532" t="s">
        <v>4748</v>
      </c>
      <c r="M220" s="534" t="s">
        <v>6286</v>
      </c>
    </row>
    <row r="221" spans="1:13" ht="26.25" x14ac:dyDescent="0.25">
      <c r="A221" s="531" t="s">
        <v>5059</v>
      </c>
      <c r="B221" s="531" t="s">
        <v>4558</v>
      </c>
      <c r="C221" s="532" t="s">
        <v>4513</v>
      </c>
      <c r="D221" s="533" t="s">
        <v>5522</v>
      </c>
      <c r="E221" s="532" t="s">
        <v>4514</v>
      </c>
      <c r="F221" s="534" t="s">
        <v>5955</v>
      </c>
      <c r="G221" s="534" t="s">
        <v>5956</v>
      </c>
      <c r="H221" s="534" t="s">
        <v>6217</v>
      </c>
      <c r="I221" s="408" t="e">
        <f>VLOOKUP(A221,'Sandi BI Existing Debitur'!$D$8:$D$592,1,0)</f>
        <v>#N/A</v>
      </c>
      <c r="L221" s="532" t="s">
        <v>4755</v>
      </c>
      <c r="M221" s="534" t="s">
        <v>6288</v>
      </c>
    </row>
    <row r="222" spans="1:13" ht="26.25" x14ac:dyDescent="0.25">
      <c r="A222" s="531" t="s">
        <v>5060</v>
      </c>
      <c r="B222" s="531" t="s">
        <v>4559</v>
      </c>
      <c r="C222" s="532" t="s">
        <v>4513</v>
      </c>
      <c r="D222" s="533" t="s">
        <v>5523</v>
      </c>
      <c r="E222" s="532" t="s">
        <v>4514</v>
      </c>
      <c r="F222" s="534" t="s">
        <v>6033</v>
      </c>
      <c r="G222" s="534" t="s">
        <v>6034</v>
      </c>
      <c r="H222" s="534" t="s">
        <v>6232</v>
      </c>
      <c r="I222" s="408" t="e">
        <f>VLOOKUP(A222,'Sandi BI Existing Debitur'!$D$8:$D$592,1,0)</f>
        <v>#N/A</v>
      </c>
      <c r="L222" s="532" t="s">
        <v>4755</v>
      </c>
      <c r="M222" s="534" t="s">
        <v>6162</v>
      </c>
    </row>
    <row r="223" spans="1:13" ht="51" x14ac:dyDescent="0.25">
      <c r="A223" s="531" t="s">
        <v>5061</v>
      </c>
      <c r="B223" s="531" t="s">
        <v>4560</v>
      </c>
      <c r="C223" s="568" t="s">
        <v>7632</v>
      </c>
      <c r="D223" s="533" t="s">
        <v>5524</v>
      </c>
      <c r="E223" s="532" t="s">
        <v>7635</v>
      </c>
      <c r="F223" s="534" t="s">
        <v>5951</v>
      </c>
      <c r="G223" s="534" t="s">
        <v>5952</v>
      </c>
      <c r="H223" s="534" t="s">
        <v>6148</v>
      </c>
      <c r="I223" s="408" t="str">
        <f>VLOOKUP(A223,'Sandi BI Existing Debitur'!$D$8:$D$592,1,0)</f>
        <v>521900</v>
      </c>
      <c r="L223" s="532" t="s">
        <v>4755</v>
      </c>
      <c r="M223" s="534" t="s">
        <v>6127</v>
      </c>
    </row>
    <row r="224" spans="1:13" x14ac:dyDescent="0.25">
      <c r="A224" s="531" t="s">
        <v>5065</v>
      </c>
      <c r="B224" s="531" t="s">
        <v>4564</v>
      </c>
      <c r="C224" s="568" t="s">
        <v>7632</v>
      </c>
      <c r="D224" s="533" t="s">
        <v>5528</v>
      </c>
      <c r="E224" s="532" t="s">
        <v>7635</v>
      </c>
      <c r="F224" s="534" t="s">
        <v>5885</v>
      </c>
      <c r="G224" s="534" t="s">
        <v>5886</v>
      </c>
      <c r="H224" s="534" t="s">
        <v>6235</v>
      </c>
      <c r="I224" s="408" t="e">
        <f>VLOOKUP(A224,'Sandi BI Existing Debitur'!$D$8:$D$592,1,0)</f>
        <v>#N/A</v>
      </c>
      <c r="L224" s="532" t="s">
        <v>4755</v>
      </c>
      <c r="M224" s="534" t="s">
        <v>6220</v>
      </c>
    </row>
    <row r="225" spans="1:13" ht="25.5" x14ac:dyDescent="0.25">
      <c r="A225" s="531" t="s">
        <v>5066</v>
      </c>
      <c r="B225" s="531" t="s">
        <v>4565</v>
      </c>
      <c r="C225" s="568" t="s">
        <v>7632</v>
      </c>
      <c r="D225" s="533" t="s">
        <v>5529</v>
      </c>
      <c r="E225" s="532" t="s">
        <v>7635</v>
      </c>
      <c r="F225" s="534" t="s">
        <v>5885</v>
      </c>
      <c r="G225" s="534" t="s">
        <v>5886</v>
      </c>
      <c r="H225" s="534" t="s">
        <v>6235</v>
      </c>
      <c r="I225" s="408" t="e">
        <f>VLOOKUP(A225,'Sandi BI Existing Debitur'!$D$8:$D$592,1,0)</f>
        <v>#N/A</v>
      </c>
      <c r="L225" s="532" t="s">
        <v>4755</v>
      </c>
      <c r="M225" s="534" t="s">
        <v>6287</v>
      </c>
    </row>
    <row r="226" spans="1:13" x14ac:dyDescent="0.25">
      <c r="A226" s="531" t="s">
        <v>5067</v>
      </c>
      <c r="B226" s="531" t="s">
        <v>4566</v>
      </c>
      <c r="C226" s="568" t="s">
        <v>7632</v>
      </c>
      <c r="D226" s="533" t="s">
        <v>5530</v>
      </c>
      <c r="E226" s="532" t="s">
        <v>7635</v>
      </c>
      <c r="F226" s="534" t="s">
        <v>5955</v>
      </c>
      <c r="G226" s="534" t="s">
        <v>5956</v>
      </c>
      <c r="H226" s="534" t="s">
        <v>6217</v>
      </c>
      <c r="I226" s="408" t="e">
        <f>VLOOKUP(A226,'Sandi BI Existing Debitur'!$D$8:$D$592,1,0)</f>
        <v>#N/A</v>
      </c>
      <c r="L226" s="532" t="s">
        <v>4765</v>
      </c>
      <c r="M226" s="534" t="s">
        <v>6289</v>
      </c>
    </row>
    <row r="227" spans="1:13" x14ac:dyDescent="0.25">
      <c r="A227" s="531" t="s">
        <v>5068</v>
      </c>
      <c r="B227" s="531" t="s">
        <v>4567</v>
      </c>
      <c r="C227" s="568" t="s">
        <v>7632</v>
      </c>
      <c r="D227" s="533" t="s">
        <v>5531</v>
      </c>
      <c r="E227" s="532" t="s">
        <v>7635</v>
      </c>
      <c r="F227" s="534" t="s">
        <v>5985</v>
      </c>
      <c r="G227" s="534" t="s">
        <v>5986</v>
      </c>
      <c r="H227" s="534" t="s">
        <v>6236</v>
      </c>
      <c r="I227" s="408" t="e">
        <f>VLOOKUP(A227,'Sandi BI Existing Debitur'!$D$8:$D$592,1,0)</f>
        <v>#N/A</v>
      </c>
      <c r="L227" s="532" t="s">
        <v>4765</v>
      </c>
      <c r="M227" s="534" t="s">
        <v>6290</v>
      </c>
    </row>
    <row r="228" spans="1:13" ht="38.25" x14ac:dyDescent="0.25">
      <c r="A228" s="531" t="s">
        <v>5069</v>
      </c>
      <c r="B228" s="531" t="s">
        <v>4568</v>
      </c>
      <c r="C228" s="568" t="s">
        <v>7632</v>
      </c>
      <c r="D228" s="533" t="s">
        <v>5532</v>
      </c>
      <c r="E228" s="532" t="s">
        <v>7635</v>
      </c>
      <c r="F228" s="534" t="s">
        <v>5901</v>
      </c>
      <c r="G228" s="534" t="s">
        <v>5902</v>
      </c>
      <c r="H228" s="534" t="s">
        <v>6159</v>
      </c>
      <c r="I228" s="408" t="e">
        <f>VLOOKUP(A228,'Sandi BI Existing Debitur'!$D$8:$D$592,1,0)</f>
        <v>#N/A</v>
      </c>
      <c r="L228" s="532" t="s">
        <v>4765</v>
      </c>
      <c r="M228" s="534" t="s">
        <v>6231</v>
      </c>
    </row>
    <row r="229" spans="1:13" x14ac:dyDescent="0.25">
      <c r="A229" s="531" t="s">
        <v>4957</v>
      </c>
      <c r="B229" s="531" t="s">
        <v>4453</v>
      </c>
      <c r="C229" s="532" t="s">
        <v>4838</v>
      </c>
      <c r="D229" s="533" t="s">
        <v>5418</v>
      </c>
      <c r="E229" s="569" t="s">
        <v>4578</v>
      </c>
      <c r="F229" s="534" t="s">
        <v>5865</v>
      </c>
      <c r="G229" s="534" t="s">
        <v>5866</v>
      </c>
      <c r="H229" s="534" t="s">
        <v>6127</v>
      </c>
      <c r="I229" s="408" t="e">
        <f>VLOOKUP(A229,'Sandi BI Existing Debitur'!$D$8:$D$592,1,0)</f>
        <v>#N/A</v>
      </c>
      <c r="L229" s="532" t="s">
        <v>4765</v>
      </c>
      <c r="M229" s="534" t="s">
        <v>6291</v>
      </c>
    </row>
    <row r="230" spans="1:13" x14ac:dyDescent="0.25">
      <c r="A230" s="531" t="s">
        <v>4958</v>
      </c>
      <c r="B230" s="531" t="s">
        <v>4454</v>
      </c>
      <c r="C230" s="532" t="s">
        <v>4838</v>
      </c>
      <c r="D230" s="533" t="s">
        <v>5419</v>
      </c>
      <c r="E230" s="569" t="s">
        <v>4578</v>
      </c>
      <c r="F230" s="534" t="s">
        <v>5907</v>
      </c>
      <c r="G230" s="534" t="s">
        <v>5908</v>
      </c>
      <c r="H230" s="534" t="s">
        <v>6180</v>
      </c>
      <c r="I230" s="408" t="e">
        <f>VLOOKUP(A230,'Sandi BI Existing Debitur'!$D$8:$D$592,1,0)</f>
        <v>#N/A</v>
      </c>
      <c r="L230" s="532" t="s">
        <v>4783</v>
      </c>
      <c r="M230" s="534" t="s">
        <v>6220</v>
      </c>
    </row>
    <row r="231" spans="1:13" x14ac:dyDescent="0.25">
      <c r="A231" s="531" t="s">
        <v>4959</v>
      </c>
      <c r="B231" s="531" t="s">
        <v>4455</v>
      </c>
      <c r="C231" s="532" t="s">
        <v>4838</v>
      </c>
      <c r="D231" s="533" t="s">
        <v>5420</v>
      </c>
      <c r="E231" s="569" t="s">
        <v>4578</v>
      </c>
      <c r="F231" s="534" t="s">
        <v>5907</v>
      </c>
      <c r="G231" s="534" t="s">
        <v>5908</v>
      </c>
      <c r="H231" s="534" t="s">
        <v>6180</v>
      </c>
      <c r="I231" s="408" t="e">
        <f>VLOOKUP(A231,'Sandi BI Existing Debitur'!$D$8:$D$592,1,0)</f>
        <v>#N/A</v>
      </c>
      <c r="L231" s="532" t="s">
        <v>6522</v>
      </c>
      <c r="M231" s="534" t="s">
        <v>6217</v>
      </c>
    </row>
    <row r="232" spans="1:13" ht="25.5" x14ac:dyDescent="0.25">
      <c r="A232" s="531" t="s">
        <v>4960</v>
      </c>
      <c r="B232" s="531" t="s">
        <v>4456</v>
      </c>
      <c r="C232" s="532" t="s">
        <v>4838</v>
      </c>
      <c r="D232" s="533" t="s">
        <v>5421</v>
      </c>
      <c r="E232" s="569" t="s">
        <v>4578</v>
      </c>
      <c r="F232" s="534" t="s">
        <v>5909</v>
      </c>
      <c r="G232" s="534" t="s">
        <v>5910</v>
      </c>
      <c r="H232" s="534" t="s">
        <v>6181</v>
      </c>
      <c r="I232" s="408" t="str">
        <f>VLOOKUP(A232,'Sandi BI Existing Debitur'!$D$8:$D$592,1,0)</f>
        <v>251900</v>
      </c>
      <c r="L232" s="532" t="s">
        <v>6522</v>
      </c>
      <c r="M232" s="534" t="s">
        <v>6148</v>
      </c>
    </row>
    <row r="233" spans="1:13" x14ac:dyDescent="0.25">
      <c r="A233" s="531" t="s">
        <v>5078</v>
      </c>
      <c r="B233" s="531" t="s">
        <v>4577</v>
      </c>
      <c r="C233" s="532" t="s">
        <v>4838</v>
      </c>
      <c r="D233" s="533" t="s">
        <v>5541</v>
      </c>
      <c r="E233" s="532" t="s">
        <v>4578</v>
      </c>
      <c r="F233" s="534" t="s">
        <v>5961</v>
      </c>
      <c r="G233" s="534" t="s">
        <v>5962</v>
      </c>
      <c r="H233" s="534" t="s">
        <v>6240</v>
      </c>
      <c r="I233" s="408" t="e">
        <f>VLOOKUP(A233,'Sandi BI Existing Debitur'!$D$8:$D$592,1,0)</f>
        <v>#N/A</v>
      </c>
      <c r="L233" s="532" t="s">
        <v>4793</v>
      </c>
      <c r="M233" s="534" t="s">
        <v>6127</v>
      </c>
    </row>
    <row r="234" spans="1:13" x14ac:dyDescent="0.25">
      <c r="A234" s="531" t="s">
        <v>5079</v>
      </c>
      <c r="B234" s="531" t="s">
        <v>4579</v>
      </c>
      <c r="C234" s="532" t="s">
        <v>4838</v>
      </c>
      <c r="D234" s="533" t="s">
        <v>5542</v>
      </c>
      <c r="E234" s="532" t="s">
        <v>4578</v>
      </c>
      <c r="F234" s="534" t="s">
        <v>6039</v>
      </c>
      <c r="G234" s="534" t="s">
        <v>6040</v>
      </c>
      <c r="H234" s="534" t="s">
        <v>6241</v>
      </c>
      <c r="I234" s="408" t="e">
        <f>VLOOKUP(A234,'Sandi BI Existing Debitur'!$D$8:$D$592,1,0)</f>
        <v>#N/A</v>
      </c>
      <c r="L234" s="532" t="s">
        <v>4793</v>
      </c>
      <c r="M234" s="534" t="s">
        <v>6292</v>
      </c>
    </row>
    <row r="235" spans="1:13" x14ac:dyDescent="0.25">
      <c r="A235" s="531" t="s">
        <v>5080</v>
      </c>
      <c r="B235" s="531" t="s">
        <v>4580</v>
      </c>
      <c r="C235" s="532" t="s">
        <v>4837</v>
      </c>
      <c r="D235" s="533" t="s">
        <v>5543</v>
      </c>
      <c r="E235" s="532" t="s">
        <v>4581</v>
      </c>
      <c r="F235" s="534" t="s">
        <v>5865</v>
      </c>
      <c r="G235" s="534" t="s">
        <v>5866</v>
      </c>
      <c r="H235" s="534" t="s">
        <v>6127</v>
      </c>
      <c r="I235" s="408" t="e">
        <f>VLOOKUP(A235,'Sandi BI Existing Debitur'!$D$8:$D$592,1,0)</f>
        <v>#N/A</v>
      </c>
      <c r="L235" s="532" t="s">
        <v>4798</v>
      </c>
      <c r="M235" s="534" t="s">
        <v>6127</v>
      </c>
    </row>
    <row r="236" spans="1:13" ht="25.5" x14ac:dyDescent="0.25">
      <c r="A236" s="531" t="s">
        <v>5081</v>
      </c>
      <c r="B236" s="531" t="s">
        <v>4582</v>
      </c>
      <c r="C236" s="532" t="s">
        <v>4837</v>
      </c>
      <c r="D236" s="533" t="s">
        <v>5544</v>
      </c>
      <c r="E236" s="532" t="s">
        <v>4581</v>
      </c>
      <c r="F236" s="534" t="s">
        <v>5865</v>
      </c>
      <c r="G236" s="534" t="s">
        <v>5866</v>
      </c>
      <c r="H236" s="534" t="s">
        <v>6127</v>
      </c>
      <c r="I236" s="408" t="e">
        <f>VLOOKUP(A236,'Sandi BI Existing Debitur'!$D$8:$D$592,1,0)</f>
        <v>#N/A</v>
      </c>
      <c r="L236" s="532" t="s">
        <v>4798</v>
      </c>
      <c r="M236" s="534" t="s">
        <v>6226</v>
      </c>
    </row>
    <row r="237" spans="1:13" ht="25.5" x14ac:dyDescent="0.25">
      <c r="A237" s="531" t="s">
        <v>5082</v>
      </c>
      <c r="B237" s="531" t="s">
        <v>4583</v>
      </c>
      <c r="C237" s="532" t="s">
        <v>4837</v>
      </c>
      <c r="D237" s="533" t="s">
        <v>5545</v>
      </c>
      <c r="E237" s="532" t="s">
        <v>4581</v>
      </c>
      <c r="F237" s="534" t="s">
        <v>5865</v>
      </c>
      <c r="G237" s="534" t="s">
        <v>5866</v>
      </c>
      <c r="H237" s="534" t="s">
        <v>6127</v>
      </c>
      <c r="I237" s="408" t="str">
        <f>VLOOKUP(A237,'Sandi BI Existing Debitur'!$D$8:$D$592,1,0)</f>
        <v>312000</v>
      </c>
      <c r="L237" s="532" t="s">
        <v>4798</v>
      </c>
      <c r="M237" s="534" t="s">
        <v>6293</v>
      </c>
    </row>
    <row r="238" spans="1:13" ht="25.5" x14ac:dyDescent="0.25">
      <c r="A238" s="531" t="s">
        <v>5083</v>
      </c>
      <c r="B238" s="531" t="s">
        <v>4584</v>
      </c>
      <c r="C238" s="532" t="s">
        <v>4837</v>
      </c>
      <c r="D238" s="533" t="s">
        <v>5546</v>
      </c>
      <c r="E238" s="532" t="s">
        <v>4581</v>
      </c>
      <c r="F238" s="534" t="s">
        <v>5865</v>
      </c>
      <c r="G238" s="534" t="s">
        <v>5866</v>
      </c>
      <c r="H238" s="534" t="s">
        <v>6127</v>
      </c>
      <c r="I238" s="408" t="e">
        <f>VLOOKUP(A238,'Sandi BI Existing Debitur'!$D$8:$D$592,1,0)</f>
        <v>#N/A</v>
      </c>
      <c r="L238" s="532" t="s">
        <v>4798</v>
      </c>
      <c r="M238" s="534" t="s">
        <v>6296</v>
      </c>
    </row>
    <row r="239" spans="1:13" ht="25.5" x14ac:dyDescent="0.25">
      <c r="A239" s="531" t="s">
        <v>5084</v>
      </c>
      <c r="B239" s="531" t="s">
        <v>4585</v>
      </c>
      <c r="C239" s="532" t="s">
        <v>4837</v>
      </c>
      <c r="D239" s="533" t="s">
        <v>5547</v>
      </c>
      <c r="E239" s="532" t="s">
        <v>4581</v>
      </c>
      <c r="F239" s="534" t="s">
        <v>5865</v>
      </c>
      <c r="G239" s="534" t="s">
        <v>5866</v>
      </c>
      <c r="H239" s="534" t="s">
        <v>6127</v>
      </c>
      <c r="I239" s="408" t="e">
        <f>VLOOKUP(A239,'Sandi BI Existing Debitur'!$D$8:$D$592,1,0)</f>
        <v>#N/A</v>
      </c>
      <c r="L239" s="532" t="s">
        <v>4798</v>
      </c>
      <c r="M239" s="534" t="s">
        <v>6295</v>
      </c>
    </row>
    <row r="240" spans="1:13" ht="26.25" x14ac:dyDescent="0.25">
      <c r="A240" s="531" t="s">
        <v>5085</v>
      </c>
      <c r="B240" s="531" t="s">
        <v>4586</v>
      </c>
      <c r="C240" s="532" t="s">
        <v>4837</v>
      </c>
      <c r="D240" s="533" t="s">
        <v>5548</v>
      </c>
      <c r="E240" s="532" t="s">
        <v>4581</v>
      </c>
      <c r="F240" s="534" t="s">
        <v>5865</v>
      </c>
      <c r="G240" s="534" t="s">
        <v>5866</v>
      </c>
      <c r="H240" s="534" t="s">
        <v>6127</v>
      </c>
      <c r="I240" s="408" t="e">
        <f>VLOOKUP(A240,'Sandi BI Existing Debitur'!$D$8:$D$592,1,0)</f>
        <v>#N/A</v>
      </c>
      <c r="L240" s="532" t="s">
        <v>4798</v>
      </c>
      <c r="M240" s="534" t="s">
        <v>6294</v>
      </c>
    </row>
    <row r="241" spans="1:13" x14ac:dyDescent="0.25">
      <c r="A241" s="531" t="s">
        <v>5086</v>
      </c>
      <c r="B241" s="531" t="s">
        <v>4587</v>
      </c>
      <c r="C241" s="532" t="s">
        <v>4837</v>
      </c>
      <c r="D241" s="533" t="s">
        <v>5549</v>
      </c>
      <c r="E241" s="532" t="s">
        <v>4581</v>
      </c>
      <c r="F241" s="534" t="s">
        <v>5919</v>
      </c>
      <c r="G241" s="534" t="s">
        <v>5920</v>
      </c>
      <c r="H241" s="534" t="s">
        <v>6242</v>
      </c>
      <c r="I241" s="408" t="e">
        <f>VLOOKUP(A241,'Sandi BI Existing Debitur'!$D$8:$D$592,1,0)</f>
        <v>#N/A</v>
      </c>
      <c r="L241" s="532" t="s">
        <v>4798</v>
      </c>
      <c r="M241" s="534" t="s">
        <v>6220</v>
      </c>
    </row>
    <row r="242" spans="1:13" x14ac:dyDescent="0.25">
      <c r="A242" s="531" t="s">
        <v>5087</v>
      </c>
      <c r="B242" s="531" t="s">
        <v>4588</v>
      </c>
      <c r="C242" s="532" t="s">
        <v>4837</v>
      </c>
      <c r="D242" s="533" t="s">
        <v>5550</v>
      </c>
      <c r="E242" s="532" t="s">
        <v>4581</v>
      </c>
      <c r="F242" s="534" t="s">
        <v>5921</v>
      </c>
      <c r="G242" s="534" t="s">
        <v>5922</v>
      </c>
      <c r="H242" s="534" t="s">
        <v>6243</v>
      </c>
      <c r="I242" s="408" t="e">
        <f>VLOOKUP(A242,'Sandi BI Existing Debitur'!$D$8:$D$592,1,0)</f>
        <v>#N/A</v>
      </c>
      <c r="L242" s="532" t="s">
        <v>4815</v>
      </c>
      <c r="M242" s="534" t="s">
        <v>6259</v>
      </c>
    </row>
    <row r="243" spans="1:13" x14ac:dyDescent="0.25">
      <c r="A243" s="531" t="s">
        <v>5088</v>
      </c>
      <c r="B243" s="531" t="s">
        <v>4589</v>
      </c>
      <c r="C243" s="532" t="s">
        <v>4837</v>
      </c>
      <c r="D243" s="533" t="s">
        <v>5551</v>
      </c>
      <c r="E243" s="532" t="s">
        <v>4581</v>
      </c>
      <c r="F243" s="534" t="s">
        <v>5923</v>
      </c>
      <c r="G243" s="534" t="s">
        <v>5924</v>
      </c>
      <c r="H243" s="534" t="s">
        <v>6244</v>
      </c>
      <c r="I243" s="408" t="e">
        <f>VLOOKUP(A243,'Sandi BI Existing Debitur'!$D$8:$D$592,1,0)</f>
        <v>#N/A</v>
      </c>
      <c r="L243" s="532" t="s">
        <v>4815</v>
      </c>
      <c r="M243" s="534" t="s">
        <v>6297</v>
      </c>
    </row>
    <row r="244" spans="1:13" ht="26.25" x14ac:dyDescent="0.25">
      <c r="A244" s="531" t="s">
        <v>5089</v>
      </c>
      <c r="B244" s="531" t="s">
        <v>4590</v>
      </c>
      <c r="C244" s="532" t="s">
        <v>4837</v>
      </c>
      <c r="D244" s="533" t="s">
        <v>5552</v>
      </c>
      <c r="E244" s="532" t="s">
        <v>4581</v>
      </c>
      <c r="F244" s="534" t="s">
        <v>5865</v>
      </c>
      <c r="G244" s="534" t="s">
        <v>5866</v>
      </c>
      <c r="H244" s="534" t="s">
        <v>6127</v>
      </c>
      <c r="I244" s="408" t="e">
        <f>VLOOKUP(A244,'Sandi BI Existing Debitur'!$D$8:$D$592,1,0)</f>
        <v>#N/A</v>
      </c>
      <c r="L244" s="532" t="s">
        <v>4815</v>
      </c>
      <c r="M244" s="534" t="s">
        <v>6127</v>
      </c>
    </row>
    <row r="245" spans="1:13" ht="38.25" x14ac:dyDescent="0.25">
      <c r="A245" s="531" t="s">
        <v>5090</v>
      </c>
      <c r="B245" s="531" t="s">
        <v>4591</v>
      </c>
      <c r="C245" s="532" t="s">
        <v>4837</v>
      </c>
      <c r="D245" s="533" t="s">
        <v>5553</v>
      </c>
      <c r="E245" s="532" t="s">
        <v>4581</v>
      </c>
      <c r="F245" s="534" t="s">
        <v>5865</v>
      </c>
      <c r="G245" s="534" t="s">
        <v>5866</v>
      </c>
      <c r="H245" s="534" t="s">
        <v>6127</v>
      </c>
      <c r="I245" s="408" t="e">
        <f>VLOOKUP(A245,'Sandi BI Existing Debitur'!$D$8:$D$592,1,0)</f>
        <v>#N/A</v>
      </c>
      <c r="L245" s="532" t="s">
        <v>4815</v>
      </c>
      <c r="M245" s="534" t="s">
        <v>6298</v>
      </c>
    </row>
    <row r="246" spans="1:13" x14ac:dyDescent="0.25">
      <c r="A246" s="531" t="s">
        <v>5091</v>
      </c>
      <c r="B246" s="531" t="s">
        <v>4592</v>
      </c>
      <c r="C246" s="532" t="s">
        <v>4837</v>
      </c>
      <c r="D246" s="533" t="s">
        <v>5554</v>
      </c>
      <c r="E246" s="532" t="s">
        <v>4581</v>
      </c>
      <c r="F246" s="534" t="s">
        <v>5865</v>
      </c>
      <c r="G246" s="534" t="s">
        <v>5866</v>
      </c>
      <c r="H246" s="534" t="s">
        <v>6127</v>
      </c>
      <c r="I246" s="408" t="e">
        <f>VLOOKUP(A246,'Sandi BI Existing Debitur'!$D$8:$D$592,1,0)</f>
        <v>#N/A</v>
      </c>
      <c r="L246" s="532" t="s">
        <v>4815</v>
      </c>
      <c r="M246" s="534" t="s">
        <v>6271</v>
      </c>
    </row>
    <row r="247" spans="1:13" ht="38.25" x14ac:dyDescent="0.25">
      <c r="A247" s="531" t="s">
        <v>5092</v>
      </c>
      <c r="B247" s="531" t="s">
        <v>4593</v>
      </c>
      <c r="C247" s="532" t="s">
        <v>4837</v>
      </c>
      <c r="D247" s="533" t="s">
        <v>5555</v>
      </c>
      <c r="E247" s="532" t="s">
        <v>4581</v>
      </c>
      <c r="F247" s="534" t="s">
        <v>5865</v>
      </c>
      <c r="G247" s="534" t="s">
        <v>5866</v>
      </c>
      <c r="H247" s="534" t="s">
        <v>6127</v>
      </c>
      <c r="I247" s="408" t="e">
        <f>VLOOKUP(A247,'Sandi BI Existing Debitur'!$D$8:$D$592,1,0)</f>
        <v>#N/A</v>
      </c>
    </row>
    <row r="248" spans="1:13" ht="38.25" x14ac:dyDescent="0.25">
      <c r="A248" s="531" t="s">
        <v>5093</v>
      </c>
      <c r="B248" s="539" t="s">
        <v>4594</v>
      </c>
      <c r="C248" s="532" t="s">
        <v>4837</v>
      </c>
      <c r="D248" s="533" t="s">
        <v>5556</v>
      </c>
      <c r="E248" s="532" t="s">
        <v>4581</v>
      </c>
      <c r="F248" s="534" t="s">
        <v>5865</v>
      </c>
      <c r="G248" s="534" t="s">
        <v>5866</v>
      </c>
      <c r="H248" s="534" t="s">
        <v>6127</v>
      </c>
      <c r="I248" s="408" t="str">
        <f>VLOOKUP(A248,'Sandi BI Existing Debitur'!$D$8:$D$592,1,0)</f>
        <v>292400</v>
      </c>
    </row>
    <row r="249" spans="1:13" ht="26.25" x14ac:dyDescent="0.25">
      <c r="A249" s="531" t="s">
        <v>5094</v>
      </c>
      <c r="B249" s="531" t="s">
        <v>4595</v>
      </c>
      <c r="C249" s="532" t="s">
        <v>4837</v>
      </c>
      <c r="D249" s="533" t="s">
        <v>5557</v>
      </c>
      <c r="E249" s="532" t="s">
        <v>4581</v>
      </c>
      <c r="F249" s="534" t="s">
        <v>5865</v>
      </c>
      <c r="G249" s="534" t="s">
        <v>5866</v>
      </c>
      <c r="H249" s="534" t="s">
        <v>6127</v>
      </c>
      <c r="I249" s="408" t="e">
        <f>VLOOKUP(A249,'Sandi BI Existing Debitur'!$D$8:$D$592,1,0)</f>
        <v>#N/A</v>
      </c>
    </row>
    <row r="250" spans="1:13" ht="26.25" x14ac:dyDescent="0.25">
      <c r="A250" s="531" t="s">
        <v>5095</v>
      </c>
      <c r="B250" s="531" t="s">
        <v>4596</v>
      </c>
      <c r="C250" s="532" t="s">
        <v>4837</v>
      </c>
      <c r="D250" s="533" t="s">
        <v>5558</v>
      </c>
      <c r="E250" s="532" t="s">
        <v>4581</v>
      </c>
      <c r="F250" s="534" t="s">
        <v>5865</v>
      </c>
      <c r="G250" s="534" t="s">
        <v>5866</v>
      </c>
      <c r="H250" s="534" t="s">
        <v>6127</v>
      </c>
      <c r="I250" s="408" t="e">
        <f>VLOOKUP(A250,'Sandi BI Existing Debitur'!$D$8:$D$592,1,0)</f>
        <v>#N/A</v>
      </c>
    </row>
    <row r="251" spans="1:13" x14ac:dyDescent="0.25">
      <c r="A251" s="531" t="s">
        <v>5096</v>
      </c>
      <c r="B251" s="531" t="s">
        <v>4597</v>
      </c>
      <c r="C251" s="532" t="s">
        <v>4837</v>
      </c>
      <c r="D251" s="533" t="s">
        <v>5559</v>
      </c>
      <c r="E251" s="532" t="s">
        <v>4581</v>
      </c>
      <c r="F251" s="534" t="s">
        <v>5865</v>
      </c>
      <c r="G251" s="534" t="s">
        <v>5866</v>
      </c>
      <c r="H251" s="534" t="s">
        <v>6127</v>
      </c>
      <c r="I251" s="408" t="str">
        <f>VLOOKUP(A251,'Sandi BI Existing Debitur'!$D$8:$D$592,1,0)</f>
        <v>292900</v>
      </c>
    </row>
    <row r="252" spans="1:13" ht="26.25" x14ac:dyDescent="0.25">
      <c r="A252" s="531" t="s">
        <v>5097</v>
      </c>
      <c r="B252" s="531" t="s">
        <v>4598</v>
      </c>
      <c r="C252" s="532" t="s">
        <v>4837</v>
      </c>
      <c r="D252" s="533" t="s">
        <v>5560</v>
      </c>
      <c r="E252" s="532" t="s">
        <v>4581</v>
      </c>
      <c r="F252" s="534" t="s">
        <v>5865</v>
      </c>
      <c r="G252" s="534" t="s">
        <v>5866</v>
      </c>
      <c r="H252" s="534" t="s">
        <v>6127</v>
      </c>
      <c r="I252" s="408" t="e">
        <f>VLOOKUP(A252,'Sandi BI Existing Debitur'!$D$8:$D$592,1,0)</f>
        <v>#N/A</v>
      </c>
    </row>
    <row r="253" spans="1:13" ht="26.25" x14ac:dyDescent="0.25">
      <c r="A253" s="531" t="s">
        <v>5098</v>
      </c>
      <c r="B253" s="531" t="s">
        <v>4599</v>
      </c>
      <c r="C253" s="532" t="s">
        <v>4837</v>
      </c>
      <c r="D253" s="533" t="s">
        <v>5561</v>
      </c>
      <c r="E253" s="532" t="s">
        <v>4581</v>
      </c>
      <c r="F253" s="534" t="s">
        <v>5955</v>
      </c>
      <c r="G253" s="534" t="s">
        <v>5956</v>
      </c>
      <c r="H253" s="534" t="s">
        <v>6217</v>
      </c>
      <c r="I253" s="408" t="str">
        <f>VLOOKUP(A253,'Sandi BI Existing Debitur'!$D$8:$D$592,1,0)</f>
        <v>515000</v>
      </c>
    </row>
    <row r="254" spans="1:13" ht="26.25" x14ac:dyDescent="0.25">
      <c r="A254" s="531" t="s">
        <v>5099</v>
      </c>
      <c r="B254" s="531" t="s">
        <v>4600</v>
      </c>
      <c r="C254" s="532" t="s">
        <v>4837</v>
      </c>
      <c r="D254" s="533" t="s">
        <v>5562</v>
      </c>
      <c r="E254" s="532" t="s">
        <v>4581</v>
      </c>
      <c r="F254" s="534" t="s">
        <v>6033</v>
      </c>
      <c r="G254" s="534" t="s">
        <v>6034</v>
      </c>
      <c r="H254" s="534" t="s">
        <v>6232</v>
      </c>
      <c r="I254" s="408" t="e">
        <f>VLOOKUP(A254,'Sandi BI Existing Debitur'!$D$8:$D$592,1,0)</f>
        <v>#N/A</v>
      </c>
    </row>
    <row r="255" spans="1:13" ht="25.5" x14ac:dyDescent="0.25">
      <c r="A255" s="531" t="s">
        <v>5100</v>
      </c>
      <c r="B255" s="531" t="s">
        <v>4601</v>
      </c>
      <c r="C255" s="532" t="s">
        <v>4837</v>
      </c>
      <c r="D255" s="533" t="s">
        <v>5563</v>
      </c>
      <c r="E255" s="532" t="s">
        <v>4581</v>
      </c>
      <c r="F255" s="534" t="s">
        <v>6081</v>
      </c>
      <c r="G255" s="534" t="s">
        <v>6082</v>
      </c>
      <c r="H255" s="534" t="s">
        <v>6245</v>
      </c>
      <c r="I255" s="408" t="e">
        <f>VLOOKUP(A255,'Sandi BI Existing Debitur'!$D$8:$D$592,1,0)</f>
        <v>#N/A</v>
      </c>
    </row>
    <row r="256" spans="1:13" ht="38.25" x14ac:dyDescent="0.25">
      <c r="A256" s="531" t="s">
        <v>5101</v>
      </c>
      <c r="B256" s="531" t="s">
        <v>4602</v>
      </c>
      <c r="C256" s="532" t="s">
        <v>4837</v>
      </c>
      <c r="D256" s="533" t="s">
        <v>5564</v>
      </c>
      <c r="E256" s="532" t="s">
        <v>4581</v>
      </c>
      <c r="F256" s="534" t="s">
        <v>6081</v>
      </c>
      <c r="G256" s="534" t="s">
        <v>6082</v>
      </c>
      <c r="H256" s="534" t="s">
        <v>6245</v>
      </c>
      <c r="I256" s="408" t="e">
        <f>VLOOKUP(A256,'Sandi BI Existing Debitur'!$D$8:$D$592,1,0)</f>
        <v>#N/A</v>
      </c>
    </row>
    <row r="257" spans="1:9" ht="51" x14ac:dyDescent="0.25">
      <c r="A257" s="531" t="s">
        <v>5102</v>
      </c>
      <c r="B257" s="531" t="s">
        <v>4603</v>
      </c>
      <c r="C257" s="532" t="s">
        <v>4837</v>
      </c>
      <c r="D257" s="533" t="s">
        <v>5565</v>
      </c>
      <c r="E257" s="532" t="s">
        <v>4581</v>
      </c>
      <c r="F257" s="534" t="s">
        <v>5951</v>
      </c>
      <c r="G257" s="534" t="s">
        <v>5952</v>
      </c>
      <c r="H257" s="534" t="s">
        <v>6148</v>
      </c>
      <c r="I257" s="408" t="str">
        <f>VLOOKUP(A257,'Sandi BI Existing Debitur'!$D$8:$D$592,1,0)</f>
        <v>523700</v>
      </c>
    </row>
    <row r="258" spans="1:9" x14ac:dyDescent="0.25">
      <c r="A258" s="531" t="s">
        <v>5103</v>
      </c>
      <c r="B258" s="531" t="s">
        <v>4604</v>
      </c>
      <c r="C258" s="532" t="s">
        <v>4605</v>
      </c>
      <c r="D258" s="533" t="s">
        <v>5566</v>
      </c>
      <c r="E258" s="532" t="s">
        <v>4606</v>
      </c>
      <c r="F258" s="534" t="s">
        <v>5865</v>
      </c>
      <c r="G258" s="534" t="s">
        <v>5866</v>
      </c>
      <c r="H258" s="534" t="s">
        <v>6127</v>
      </c>
      <c r="I258" s="408" t="e">
        <f>VLOOKUP(A258,'Sandi BI Existing Debitur'!$D$8:$D$592,1,0)</f>
        <v>#N/A</v>
      </c>
    </row>
    <row r="259" spans="1:9" ht="25.5" x14ac:dyDescent="0.25">
      <c r="A259" s="531" t="s">
        <v>5104</v>
      </c>
      <c r="B259" s="531" t="s">
        <v>4607</v>
      </c>
      <c r="C259" s="532" t="s">
        <v>4605</v>
      </c>
      <c r="D259" s="533" t="s">
        <v>5567</v>
      </c>
      <c r="E259" s="532" t="s">
        <v>4606</v>
      </c>
      <c r="F259" s="534" t="s">
        <v>5865</v>
      </c>
      <c r="G259" s="534" t="s">
        <v>5866</v>
      </c>
      <c r="H259" s="534" t="s">
        <v>6127</v>
      </c>
      <c r="I259" s="408" t="e">
        <f>VLOOKUP(A259,'Sandi BI Existing Debitur'!$D$8:$D$592,1,0)</f>
        <v>#N/A</v>
      </c>
    </row>
    <row r="260" spans="1:9" ht="26.25" x14ac:dyDescent="0.25">
      <c r="A260" s="531" t="s">
        <v>5105</v>
      </c>
      <c r="B260" s="531" t="s">
        <v>4608</v>
      </c>
      <c r="C260" s="532" t="s">
        <v>4605</v>
      </c>
      <c r="D260" s="533" t="s">
        <v>5568</v>
      </c>
      <c r="E260" s="532" t="s">
        <v>4606</v>
      </c>
      <c r="F260" s="534" t="s">
        <v>5865</v>
      </c>
      <c r="G260" s="534" t="s">
        <v>5866</v>
      </c>
      <c r="H260" s="534" t="s">
        <v>6127</v>
      </c>
      <c r="I260" s="408" t="str">
        <f>VLOOKUP(A260,'Sandi BI Existing Debitur'!$D$8:$D$592,1,0)</f>
        <v>289900</v>
      </c>
    </row>
    <row r="261" spans="1:9" ht="25.5" x14ac:dyDescent="0.25">
      <c r="A261" s="531" t="s">
        <v>5106</v>
      </c>
      <c r="B261" s="531" t="s">
        <v>4609</v>
      </c>
      <c r="C261" s="532" t="s">
        <v>4605</v>
      </c>
      <c r="D261" s="533" t="s">
        <v>5569</v>
      </c>
      <c r="E261" s="532" t="s">
        <v>4606</v>
      </c>
      <c r="F261" s="534" t="s">
        <v>6027</v>
      </c>
      <c r="G261" s="534" t="s">
        <v>6028</v>
      </c>
      <c r="H261" s="534" t="s">
        <v>6246</v>
      </c>
      <c r="I261" s="408" t="e">
        <f>VLOOKUP(A261,'Sandi BI Existing Debitur'!$D$8:$D$592,1,0)</f>
        <v>#N/A</v>
      </c>
    </row>
    <row r="262" spans="1:9" ht="38.25" x14ac:dyDescent="0.25">
      <c r="A262" s="531" t="s">
        <v>5107</v>
      </c>
      <c r="B262" s="531" t="s">
        <v>4610</v>
      </c>
      <c r="C262" s="532" t="s">
        <v>4605</v>
      </c>
      <c r="D262" s="533" t="s">
        <v>5570</v>
      </c>
      <c r="E262" s="532" t="s">
        <v>4606</v>
      </c>
      <c r="F262" s="534" t="s">
        <v>5999</v>
      </c>
      <c r="G262" s="534" t="s">
        <v>6000</v>
      </c>
      <c r="H262" s="534" t="s">
        <v>6201</v>
      </c>
      <c r="I262" s="408" t="e">
        <f>VLOOKUP(A262,'Sandi BI Existing Debitur'!$D$8:$D$592,1,0)</f>
        <v>#N/A</v>
      </c>
    </row>
    <row r="263" spans="1:9" ht="25.5" x14ac:dyDescent="0.25">
      <c r="A263" s="531" t="s">
        <v>5108</v>
      </c>
      <c r="B263" s="531" t="s">
        <v>4611</v>
      </c>
      <c r="C263" s="532" t="s">
        <v>4605</v>
      </c>
      <c r="D263" s="533" t="s">
        <v>5571</v>
      </c>
      <c r="E263" s="532" t="s">
        <v>4606</v>
      </c>
      <c r="F263" s="534" t="s">
        <v>6073</v>
      </c>
      <c r="G263" s="534" t="s">
        <v>6074</v>
      </c>
      <c r="H263" s="534" t="s">
        <v>6219</v>
      </c>
      <c r="I263" s="408" t="e">
        <f>VLOOKUP(A263,'Sandi BI Existing Debitur'!$D$8:$D$592,1,0)</f>
        <v>#N/A</v>
      </c>
    </row>
    <row r="264" spans="1:9" x14ac:dyDescent="0.25">
      <c r="A264" s="531" t="s">
        <v>5109</v>
      </c>
      <c r="B264" s="531" t="s">
        <v>4612</v>
      </c>
      <c r="C264" s="532" t="s">
        <v>4605</v>
      </c>
      <c r="D264" s="533" t="s">
        <v>5572</v>
      </c>
      <c r="E264" s="532" t="s">
        <v>4606</v>
      </c>
      <c r="F264" s="534" t="s">
        <v>5865</v>
      </c>
      <c r="G264" s="534" t="s">
        <v>5866</v>
      </c>
      <c r="H264" s="534" t="s">
        <v>6127</v>
      </c>
      <c r="I264" s="408" t="str">
        <f>VLOOKUP(A264,'Sandi BI Existing Debitur'!$D$8:$D$592,1,0)</f>
        <v>271000</v>
      </c>
    </row>
    <row r="265" spans="1:9" x14ac:dyDescent="0.25">
      <c r="A265" s="531" t="s">
        <v>5110</v>
      </c>
      <c r="B265" s="531" t="s">
        <v>4613</v>
      </c>
      <c r="C265" s="532" t="s">
        <v>4605</v>
      </c>
      <c r="D265" s="533" t="s">
        <v>5573</v>
      </c>
      <c r="E265" s="532" t="s">
        <v>4606</v>
      </c>
      <c r="F265" s="534" t="s">
        <v>5865</v>
      </c>
      <c r="G265" s="534" t="s">
        <v>5866</v>
      </c>
      <c r="H265" s="534" t="s">
        <v>6127</v>
      </c>
      <c r="I265" s="408" t="e">
        <f>VLOOKUP(A265,'Sandi BI Existing Debitur'!$D$8:$D$592,1,0)</f>
        <v>#N/A</v>
      </c>
    </row>
    <row r="266" spans="1:9" ht="38.25" x14ac:dyDescent="0.25">
      <c r="A266" s="531" t="s">
        <v>5111</v>
      </c>
      <c r="B266" s="531" t="s">
        <v>4614</v>
      </c>
      <c r="C266" s="532" t="s">
        <v>4605</v>
      </c>
      <c r="D266" s="533" t="s">
        <v>5574</v>
      </c>
      <c r="E266" s="532" t="s">
        <v>4606</v>
      </c>
      <c r="F266" s="534" t="s">
        <v>5865</v>
      </c>
      <c r="G266" s="534" t="s">
        <v>5866</v>
      </c>
      <c r="H266" s="534" t="s">
        <v>6127</v>
      </c>
      <c r="I266" s="408" t="e">
        <f>VLOOKUP(A266,'Sandi BI Existing Debitur'!$D$8:$D$592,1,0)</f>
        <v>#N/A</v>
      </c>
    </row>
    <row r="267" spans="1:9" ht="25.5" x14ac:dyDescent="0.25">
      <c r="A267" s="531" t="s">
        <v>5112</v>
      </c>
      <c r="B267" s="531" t="s">
        <v>4615</v>
      </c>
      <c r="C267" s="532" t="s">
        <v>4605</v>
      </c>
      <c r="D267" s="533" t="s">
        <v>5575</v>
      </c>
      <c r="E267" s="532" t="s">
        <v>4606</v>
      </c>
      <c r="F267" s="534" t="s">
        <v>5955</v>
      </c>
      <c r="G267" s="534" t="s">
        <v>5956</v>
      </c>
      <c r="H267" s="534" t="s">
        <v>6217</v>
      </c>
      <c r="I267" s="408" t="str">
        <f>VLOOKUP(A267,'Sandi BI Existing Debitur'!$D$8:$D$592,1,0)</f>
        <v>514200</v>
      </c>
    </row>
    <row r="268" spans="1:9" ht="25.5" x14ac:dyDescent="0.25">
      <c r="A268" s="531" t="s">
        <v>5113</v>
      </c>
      <c r="B268" s="531" t="s">
        <v>4616</v>
      </c>
      <c r="C268" s="532" t="s">
        <v>4605</v>
      </c>
      <c r="D268" s="533" t="s">
        <v>5576</v>
      </c>
      <c r="E268" s="532" t="s">
        <v>4606</v>
      </c>
      <c r="F268" s="534" t="s">
        <v>5991</v>
      </c>
      <c r="G268" s="534" t="s">
        <v>5992</v>
      </c>
      <c r="H268" s="534" t="s">
        <v>6247</v>
      </c>
      <c r="I268" s="408" t="str">
        <f>VLOOKUP(A268,'Sandi BI Existing Debitur'!$D$8:$D$592,1,0)</f>
        <v>514302</v>
      </c>
    </row>
    <row r="269" spans="1:9" x14ac:dyDescent="0.25">
      <c r="A269" s="531" t="s">
        <v>5114</v>
      </c>
      <c r="B269" s="531" t="s">
        <v>4617</v>
      </c>
      <c r="C269" s="532" t="s">
        <v>4605</v>
      </c>
      <c r="D269" s="533" t="s">
        <v>5577</v>
      </c>
      <c r="E269" s="532" t="s">
        <v>4606</v>
      </c>
      <c r="F269" s="534" t="s">
        <v>6075</v>
      </c>
      <c r="G269" s="534" t="s">
        <v>6076</v>
      </c>
      <c r="H269" s="534" t="s">
        <v>6248</v>
      </c>
      <c r="I269" s="408" t="e">
        <f>VLOOKUP(A269,'Sandi BI Existing Debitur'!$D$8:$D$592,1,0)</f>
        <v>#N/A</v>
      </c>
    </row>
    <row r="270" spans="1:9" x14ac:dyDescent="0.25">
      <c r="A270" s="531" t="s">
        <v>5117</v>
      </c>
      <c r="B270" s="531" t="s">
        <v>4620</v>
      </c>
      <c r="C270" s="532" t="s">
        <v>4605</v>
      </c>
      <c r="D270" s="533" t="s">
        <v>5580</v>
      </c>
      <c r="E270" s="532" t="s">
        <v>4606</v>
      </c>
      <c r="F270" s="534" t="s">
        <v>5913</v>
      </c>
      <c r="G270" s="534" t="s">
        <v>5914</v>
      </c>
      <c r="H270" s="534" t="s">
        <v>6249</v>
      </c>
      <c r="I270" s="408" t="e">
        <f>VLOOKUP(A270,'Sandi BI Existing Debitur'!$D$8:$D$592,1,0)</f>
        <v>#N/A</v>
      </c>
    </row>
    <row r="271" spans="1:9" x14ac:dyDescent="0.25">
      <c r="A271" s="531" t="s">
        <v>5118</v>
      </c>
      <c r="B271" s="531" t="s">
        <v>4621</v>
      </c>
      <c r="C271" s="532" t="s">
        <v>4605</v>
      </c>
      <c r="D271" s="533" t="s">
        <v>5581</v>
      </c>
      <c r="E271" s="532" t="s">
        <v>4606</v>
      </c>
      <c r="F271" s="534" t="s">
        <v>5915</v>
      </c>
      <c r="G271" s="534" t="s">
        <v>5916</v>
      </c>
      <c r="H271" s="534" t="s">
        <v>6250</v>
      </c>
      <c r="I271" s="408" t="e">
        <f>VLOOKUP(A271,'Sandi BI Existing Debitur'!$D$8:$D$592,1,0)</f>
        <v>#N/A</v>
      </c>
    </row>
    <row r="272" spans="1:9" ht="25.5" x14ac:dyDescent="0.25">
      <c r="A272" s="531" t="s">
        <v>5119</v>
      </c>
      <c r="B272" s="531" t="s">
        <v>4622</v>
      </c>
      <c r="C272" s="532" t="s">
        <v>4605</v>
      </c>
      <c r="D272" s="533" t="s">
        <v>5582</v>
      </c>
      <c r="E272" s="532" t="s">
        <v>4606</v>
      </c>
      <c r="F272" s="534" t="s">
        <v>5915</v>
      </c>
      <c r="G272" s="534" t="s">
        <v>5916</v>
      </c>
      <c r="H272" s="534" t="s">
        <v>6250</v>
      </c>
      <c r="I272" s="408" t="e">
        <f>VLOOKUP(A272,'Sandi BI Existing Debitur'!$D$8:$D$592,1,0)</f>
        <v>#N/A</v>
      </c>
    </row>
    <row r="273" spans="1:9" x14ac:dyDescent="0.25">
      <c r="A273" s="531" t="s">
        <v>5120</v>
      </c>
      <c r="B273" s="531" t="s">
        <v>4623</v>
      </c>
      <c r="C273" s="532" t="s">
        <v>4605</v>
      </c>
      <c r="D273" s="533" t="s">
        <v>5583</v>
      </c>
      <c r="E273" s="532" t="s">
        <v>4606</v>
      </c>
      <c r="F273" s="534" t="s">
        <v>5865</v>
      </c>
      <c r="G273" s="534" t="s">
        <v>5866</v>
      </c>
      <c r="H273" s="534" t="s">
        <v>6127</v>
      </c>
      <c r="I273" s="408" t="str">
        <f>VLOOKUP(A273,'Sandi BI Existing Debitur'!$D$8:$D$592,1,0)</f>
        <v>371000</v>
      </c>
    </row>
    <row r="274" spans="1:9" ht="25.5" x14ac:dyDescent="0.25">
      <c r="A274" s="531" t="s">
        <v>5121</v>
      </c>
      <c r="B274" s="531" t="s">
        <v>4624</v>
      </c>
      <c r="C274" s="532" t="s">
        <v>4605</v>
      </c>
      <c r="D274" s="533" t="s">
        <v>5584</v>
      </c>
      <c r="E274" s="532" t="s">
        <v>4606</v>
      </c>
      <c r="F274" s="534" t="s">
        <v>5865</v>
      </c>
      <c r="G274" s="534" t="s">
        <v>5866</v>
      </c>
      <c r="H274" s="534" t="s">
        <v>6127</v>
      </c>
      <c r="I274" s="408" t="str">
        <f>VLOOKUP(A274,'Sandi BI Existing Debitur'!$D$8:$D$592,1,0)</f>
        <v>372000</v>
      </c>
    </row>
    <row r="275" spans="1:9" ht="26.25" x14ac:dyDescent="0.25">
      <c r="A275" s="531" t="s">
        <v>5122</v>
      </c>
      <c r="B275" s="531" t="s">
        <v>4625</v>
      </c>
      <c r="C275" s="532" t="s">
        <v>4826</v>
      </c>
      <c r="D275" s="533" t="s">
        <v>5585</v>
      </c>
      <c r="E275" s="532" t="s">
        <v>4626</v>
      </c>
      <c r="F275" s="534" t="s">
        <v>5951</v>
      </c>
      <c r="G275" s="534" t="s">
        <v>5952</v>
      </c>
      <c r="H275" s="534" t="s">
        <v>6148</v>
      </c>
      <c r="I275" s="408" t="e">
        <f>VLOOKUP(A275,'Sandi BI Existing Debitur'!$D$8:$D$592,1,0)</f>
        <v>#N/A</v>
      </c>
    </row>
    <row r="276" spans="1:9" ht="38.25" x14ac:dyDescent="0.25">
      <c r="A276" s="531" t="s">
        <v>5123</v>
      </c>
      <c r="B276" s="531" t="s">
        <v>4627</v>
      </c>
      <c r="C276" s="532" t="s">
        <v>4826</v>
      </c>
      <c r="D276" s="533" t="s">
        <v>5586</v>
      </c>
      <c r="E276" s="532" t="s">
        <v>4626</v>
      </c>
      <c r="F276" s="534" t="s">
        <v>5951</v>
      </c>
      <c r="G276" s="534" t="s">
        <v>5952</v>
      </c>
      <c r="H276" s="534" t="s">
        <v>6148</v>
      </c>
      <c r="I276" s="408" t="str">
        <f>VLOOKUP(A276,'Sandi BI Existing Debitur'!$D$8:$D$592,1,0)</f>
        <v>522200</v>
      </c>
    </row>
    <row r="277" spans="1:9" ht="38.25" x14ac:dyDescent="0.25">
      <c r="A277" s="531" t="s">
        <v>5124</v>
      </c>
      <c r="B277" s="531" t="s">
        <v>4628</v>
      </c>
      <c r="C277" s="532" t="s">
        <v>4826</v>
      </c>
      <c r="D277" s="533" t="s">
        <v>5587</v>
      </c>
      <c r="E277" s="532" t="s">
        <v>4626</v>
      </c>
      <c r="F277" s="534" t="s">
        <v>5951</v>
      </c>
      <c r="G277" s="534" t="s">
        <v>5952</v>
      </c>
      <c r="H277" s="534" t="s">
        <v>6148</v>
      </c>
      <c r="I277" s="408" t="e">
        <f>VLOOKUP(A277,'Sandi BI Existing Debitur'!$D$8:$D$592,1,0)</f>
        <v>#N/A</v>
      </c>
    </row>
    <row r="278" spans="1:9" ht="25.5" x14ac:dyDescent="0.25">
      <c r="A278" s="531" t="s">
        <v>5125</v>
      </c>
      <c r="B278" s="531" t="s">
        <v>4629</v>
      </c>
      <c r="C278" s="532" t="s">
        <v>4826</v>
      </c>
      <c r="D278" s="533" t="s">
        <v>5588</v>
      </c>
      <c r="E278" s="532" t="s">
        <v>4626</v>
      </c>
      <c r="F278" s="534" t="s">
        <v>5865</v>
      </c>
      <c r="G278" s="534" t="s">
        <v>5866</v>
      </c>
      <c r="H278" s="534" t="s">
        <v>6127</v>
      </c>
      <c r="I278" s="408" t="e">
        <f>VLOOKUP(A278,'Sandi BI Existing Debitur'!$D$8:$D$592,1,0)</f>
        <v>#N/A</v>
      </c>
    </row>
    <row r="279" spans="1:9" ht="26.25" x14ac:dyDescent="0.25">
      <c r="A279" s="531" t="s">
        <v>5126</v>
      </c>
      <c r="B279" s="531" t="s">
        <v>4630</v>
      </c>
      <c r="C279" s="532" t="s">
        <v>4826</v>
      </c>
      <c r="D279" s="533" t="s">
        <v>5589</v>
      </c>
      <c r="E279" s="532" t="s">
        <v>4626</v>
      </c>
      <c r="F279" s="534" t="s">
        <v>5865</v>
      </c>
      <c r="G279" s="534" t="s">
        <v>5866</v>
      </c>
      <c r="H279" s="534" t="s">
        <v>6127</v>
      </c>
      <c r="I279" s="408" t="e">
        <f>VLOOKUP(A279,'Sandi BI Existing Debitur'!$D$8:$D$592,1,0)</f>
        <v>#N/A</v>
      </c>
    </row>
    <row r="280" spans="1:9" ht="26.25" x14ac:dyDescent="0.25">
      <c r="A280" s="531" t="s">
        <v>5127</v>
      </c>
      <c r="B280" s="531" t="s">
        <v>4631</v>
      </c>
      <c r="C280" s="532" t="s">
        <v>4826</v>
      </c>
      <c r="D280" s="533" t="s">
        <v>5590</v>
      </c>
      <c r="E280" s="532" t="s">
        <v>4626</v>
      </c>
      <c r="F280" s="534" t="s">
        <v>5865</v>
      </c>
      <c r="G280" s="534" t="s">
        <v>5866</v>
      </c>
      <c r="H280" s="534" t="s">
        <v>6127</v>
      </c>
      <c r="I280" s="408" t="e">
        <f>VLOOKUP(A280,'Sandi BI Existing Debitur'!$D$8:$D$592,1,0)</f>
        <v>#N/A</v>
      </c>
    </row>
    <row r="281" spans="1:9" ht="26.25" x14ac:dyDescent="0.25">
      <c r="A281" s="531" t="s">
        <v>5128</v>
      </c>
      <c r="B281" s="531" t="s">
        <v>4632</v>
      </c>
      <c r="C281" s="532" t="s">
        <v>4826</v>
      </c>
      <c r="D281" s="533" t="s">
        <v>5591</v>
      </c>
      <c r="E281" s="532" t="s">
        <v>4626</v>
      </c>
      <c r="F281" s="534" t="s">
        <v>5867</v>
      </c>
      <c r="G281" s="534" t="s">
        <v>5868</v>
      </c>
      <c r="H281" s="534" t="s">
        <v>6251</v>
      </c>
      <c r="I281" s="408" t="e">
        <f>VLOOKUP(A281,'Sandi BI Existing Debitur'!$D$8:$D$592,1,0)</f>
        <v>#N/A</v>
      </c>
    </row>
    <row r="282" spans="1:9" x14ac:dyDescent="0.25">
      <c r="A282" s="531" t="s">
        <v>5129</v>
      </c>
      <c r="B282" s="531" t="s">
        <v>4633</v>
      </c>
      <c r="C282" s="532" t="s">
        <v>4826</v>
      </c>
      <c r="D282" s="533" t="s">
        <v>5592</v>
      </c>
      <c r="E282" s="532" t="s">
        <v>4626</v>
      </c>
      <c r="F282" s="534" t="s">
        <v>5867</v>
      </c>
      <c r="G282" s="534" t="s">
        <v>5868</v>
      </c>
      <c r="H282" s="534" t="s">
        <v>6251</v>
      </c>
      <c r="I282" s="408" t="e">
        <f>VLOOKUP(A282,'Sandi BI Existing Debitur'!$D$8:$D$592,1,0)</f>
        <v>#N/A</v>
      </c>
    </row>
    <row r="283" spans="1:9" x14ac:dyDescent="0.25">
      <c r="A283" s="531" t="s">
        <v>5130</v>
      </c>
      <c r="B283" s="531" t="s">
        <v>4634</v>
      </c>
      <c r="C283" s="532" t="s">
        <v>4826</v>
      </c>
      <c r="D283" s="533" t="s">
        <v>5593</v>
      </c>
      <c r="E283" s="532" t="s">
        <v>4626</v>
      </c>
      <c r="F283" s="534" t="s">
        <v>5873</v>
      </c>
      <c r="G283" s="534" t="s">
        <v>5874</v>
      </c>
      <c r="H283" s="534" t="s">
        <v>6252</v>
      </c>
      <c r="I283" s="408" t="e">
        <f>VLOOKUP(A283,'Sandi BI Existing Debitur'!$D$8:$D$592,1,0)</f>
        <v>#N/A</v>
      </c>
    </row>
    <row r="284" spans="1:9" ht="25.5" x14ac:dyDescent="0.25">
      <c r="A284" s="531" t="s">
        <v>5131</v>
      </c>
      <c r="B284" s="531" t="s">
        <v>4635</v>
      </c>
      <c r="C284" s="532" t="s">
        <v>4826</v>
      </c>
      <c r="D284" s="533" t="s">
        <v>5594</v>
      </c>
      <c r="E284" s="532" t="s">
        <v>4626</v>
      </c>
      <c r="F284" s="534" t="s">
        <v>5875</v>
      </c>
      <c r="G284" s="534" t="s">
        <v>5876</v>
      </c>
      <c r="H284" s="534" t="s">
        <v>6253</v>
      </c>
      <c r="I284" s="408" t="e">
        <f>VLOOKUP(A284,'Sandi BI Existing Debitur'!$D$8:$D$592,1,0)</f>
        <v>#N/A</v>
      </c>
    </row>
    <row r="285" spans="1:9" x14ac:dyDescent="0.25">
      <c r="A285" s="531" t="s">
        <v>5132</v>
      </c>
      <c r="B285" s="531" t="s">
        <v>4636</v>
      </c>
      <c r="C285" s="532" t="s">
        <v>4826</v>
      </c>
      <c r="D285" s="533" t="s">
        <v>5595</v>
      </c>
      <c r="E285" s="532" t="s">
        <v>4626</v>
      </c>
      <c r="F285" s="534" t="s">
        <v>5865</v>
      </c>
      <c r="G285" s="534" t="s">
        <v>5866</v>
      </c>
      <c r="H285" s="534" t="s">
        <v>6127</v>
      </c>
      <c r="I285" s="408" t="e">
        <f>VLOOKUP(A285,'Sandi BI Existing Debitur'!$D$8:$D$592,1,0)</f>
        <v>#N/A</v>
      </c>
    </row>
    <row r="286" spans="1:9" x14ac:dyDescent="0.25">
      <c r="A286" s="531" t="s">
        <v>5133</v>
      </c>
      <c r="B286" s="531" t="s">
        <v>4637</v>
      </c>
      <c r="C286" s="532" t="s">
        <v>4826</v>
      </c>
      <c r="D286" s="533" t="s">
        <v>5596</v>
      </c>
      <c r="E286" s="532" t="s">
        <v>4626</v>
      </c>
      <c r="F286" s="534" t="s">
        <v>5865</v>
      </c>
      <c r="G286" s="534" t="s">
        <v>5866</v>
      </c>
      <c r="H286" s="534" t="s">
        <v>6127</v>
      </c>
      <c r="I286" s="408" t="e">
        <f>VLOOKUP(A286,'Sandi BI Existing Debitur'!$D$8:$D$592,1,0)</f>
        <v>#N/A</v>
      </c>
    </row>
    <row r="287" spans="1:9" x14ac:dyDescent="0.25">
      <c r="A287" s="531" t="s">
        <v>5134</v>
      </c>
      <c r="B287" s="531" t="s">
        <v>4638</v>
      </c>
      <c r="C287" s="532" t="s">
        <v>4826</v>
      </c>
      <c r="D287" s="533" t="s">
        <v>5597</v>
      </c>
      <c r="E287" s="532" t="s">
        <v>4626</v>
      </c>
      <c r="F287" s="534" t="s">
        <v>5873</v>
      </c>
      <c r="G287" s="534" t="s">
        <v>5874</v>
      </c>
      <c r="H287" s="534" t="s">
        <v>6252</v>
      </c>
      <c r="I287" s="408" t="str">
        <f>VLOOKUP(A287,'Sandi BI Existing Debitur'!$D$8:$D$592,1,0)</f>
        <v>153200</v>
      </c>
    </row>
    <row r="288" spans="1:9" x14ac:dyDescent="0.25">
      <c r="A288" s="531" t="s">
        <v>5135</v>
      </c>
      <c r="B288" s="531" t="s">
        <v>4639</v>
      </c>
      <c r="C288" s="532" t="s">
        <v>4826</v>
      </c>
      <c r="D288" s="533" t="s">
        <v>5598</v>
      </c>
      <c r="E288" s="532" t="s">
        <v>4626</v>
      </c>
      <c r="F288" s="534" t="s">
        <v>5873</v>
      </c>
      <c r="G288" s="534" t="s">
        <v>5874</v>
      </c>
      <c r="H288" s="534" t="s">
        <v>6252</v>
      </c>
      <c r="I288" s="408" t="e">
        <f>VLOOKUP(A288,'Sandi BI Existing Debitur'!$D$8:$D$592,1,0)</f>
        <v>#N/A</v>
      </c>
    </row>
    <row r="289" spans="1:9" x14ac:dyDescent="0.25">
      <c r="A289" s="531" t="s">
        <v>5136</v>
      </c>
      <c r="B289" s="531" t="s">
        <v>4640</v>
      </c>
      <c r="C289" s="532" t="s">
        <v>4826</v>
      </c>
      <c r="D289" s="533" t="s">
        <v>5599</v>
      </c>
      <c r="E289" s="532" t="s">
        <v>4626</v>
      </c>
      <c r="F289" s="534" t="s">
        <v>5879</v>
      </c>
      <c r="G289" s="534" t="s">
        <v>5880</v>
      </c>
      <c r="H289" s="534" t="s">
        <v>6254</v>
      </c>
      <c r="I289" s="408" t="e">
        <f>VLOOKUP(A289,'Sandi BI Existing Debitur'!$D$8:$D$592,1,0)</f>
        <v>#N/A</v>
      </c>
    </row>
    <row r="290" spans="1:9" x14ac:dyDescent="0.25">
      <c r="A290" s="531" t="s">
        <v>5137</v>
      </c>
      <c r="B290" s="531" t="s">
        <v>4641</v>
      </c>
      <c r="C290" s="532" t="s">
        <v>4826</v>
      </c>
      <c r="D290" s="533" t="s">
        <v>5600</v>
      </c>
      <c r="E290" s="532" t="s">
        <v>4626</v>
      </c>
      <c r="F290" s="534" t="s">
        <v>5873</v>
      </c>
      <c r="G290" s="534" t="s">
        <v>5874</v>
      </c>
      <c r="H290" s="534" t="s">
        <v>6252</v>
      </c>
      <c r="I290" s="408" t="e">
        <f>VLOOKUP(A290,'Sandi BI Existing Debitur'!$D$8:$D$592,1,0)</f>
        <v>#N/A</v>
      </c>
    </row>
    <row r="291" spans="1:9" ht="26.25" x14ac:dyDescent="0.25">
      <c r="A291" s="531" t="s">
        <v>5138</v>
      </c>
      <c r="B291" s="531" t="s">
        <v>4642</v>
      </c>
      <c r="C291" s="532" t="s">
        <v>4826</v>
      </c>
      <c r="D291" s="533" t="s">
        <v>5601</v>
      </c>
      <c r="E291" s="532" t="s">
        <v>4626</v>
      </c>
      <c r="F291" s="534" t="s">
        <v>5873</v>
      </c>
      <c r="G291" s="534" t="s">
        <v>5874</v>
      </c>
      <c r="H291" s="534" t="s">
        <v>6252</v>
      </c>
      <c r="I291" s="408" t="str">
        <f>VLOOKUP(A291,'Sandi BI Existing Debitur'!$D$8:$D$592,1,0)</f>
        <v>154400</v>
      </c>
    </row>
    <row r="292" spans="1:9" x14ac:dyDescent="0.25">
      <c r="A292" s="531" t="s">
        <v>5139</v>
      </c>
      <c r="B292" s="531" t="s">
        <v>4643</v>
      </c>
      <c r="C292" s="532" t="s">
        <v>4826</v>
      </c>
      <c r="D292" s="533" t="s">
        <v>5602</v>
      </c>
      <c r="E292" s="532" t="s">
        <v>4626</v>
      </c>
      <c r="F292" s="534" t="s">
        <v>5873</v>
      </c>
      <c r="G292" s="534" t="s">
        <v>5874</v>
      </c>
      <c r="H292" s="534" t="s">
        <v>6252</v>
      </c>
      <c r="I292" s="408" t="str">
        <f>VLOOKUP(A292,'Sandi BI Existing Debitur'!$D$8:$D$592,1,0)</f>
        <v>154911</v>
      </c>
    </row>
    <row r="293" spans="1:9" x14ac:dyDescent="0.25">
      <c r="A293" s="531" t="s">
        <v>5140</v>
      </c>
      <c r="B293" s="531" t="s">
        <v>4644</v>
      </c>
      <c r="C293" s="532" t="s">
        <v>4826</v>
      </c>
      <c r="D293" s="533" t="s">
        <v>5603</v>
      </c>
      <c r="E293" s="532" t="s">
        <v>4626</v>
      </c>
      <c r="F293" s="534" t="s">
        <v>5873</v>
      </c>
      <c r="G293" s="534" t="s">
        <v>5874</v>
      </c>
      <c r="H293" s="534" t="s">
        <v>6252</v>
      </c>
      <c r="I293" s="408" t="e">
        <f>VLOOKUP(A293,'Sandi BI Existing Debitur'!$D$8:$D$592,1,0)</f>
        <v>#N/A</v>
      </c>
    </row>
    <row r="294" spans="1:9" x14ac:dyDescent="0.25">
      <c r="A294" s="531" t="s">
        <v>5141</v>
      </c>
      <c r="B294" s="531" t="s">
        <v>4645</v>
      </c>
      <c r="C294" s="532" t="s">
        <v>4826</v>
      </c>
      <c r="D294" s="533" t="s">
        <v>5604</v>
      </c>
      <c r="E294" s="532" t="s">
        <v>4626</v>
      </c>
      <c r="F294" s="534" t="s">
        <v>5873</v>
      </c>
      <c r="G294" s="534" t="s">
        <v>5874</v>
      </c>
      <c r="H294" s="534" t="s">
        <v>6252</v>
      </c>
      <c r="I294" s="408" t="e">
        <f>VLOOKUP(A294,'Sandi BI Existing Debitur'!$D$8:$D$592,1,0)</f>
        <v>#N/A</v>
      </c>
    </row>
    <row r="295" spans="1:9" x14ac:dyDescent="0.25">
      <c r="A295" s="531" t="s">
        <v>5142</v>
      </c>
      <c r="B295" s="531" t="s">
        <v>4646</v>
      </c>
      <c r="C295" s="532" t="s">
        <v>4826</v>
      </c>
      <c r="D295" s="533" t="s">
        <v>5605</v>
      </c>
      <c r="E295" s="532" t="s">
        <v>4626</v>
      </c>
      <c r="F295" s="534" t="s">
        <v>5873</v>
      </c>
      <c r="G295" s="534" t="s">
        <v>5874</v>
      </c>
      <c r="H295" s="534" t="s">
        <v>6252</v>
      </c>
      <c r="I295" s="408" t="e">
        <f>VLOOKUP(A295,'Sandi BI Existing Debitur'!$D$8:$D$592,1,0)</f>
        <v>#N/A</v>
      </c>
    </row>
    <row r="296" spans="1:9" ht="26.25" x14ac:dyDescent="0.25">
      <c r="A296" s="531" t="s">
        <v>5143</v>
      </c>
      <c r="B296" s="531" t="s">
        <v>4647</v>
      </c>
      <c r="C296" s="532" t="s">
        <v>4826</v>
      </c>
      <c r="D296" s="533" t="s">
        <v>5606</v>
      </c>
      <c r="E296" s="532" t="s">
        <v>4626</v>
      </c>
      <c r="F296" s="534" t="s">
        <v>5873</v>
      </c>
      <c r="G296" s="534" t="s">
        <v>5874</v>
      </c>
      <c r="H296" s="534" t="s">
        <v>6252</v>
      </c>
      <c r="I296" s="408" t="e">
        <f>VLOOKUP(A296,'Sandi BI Existing Debitur'!$D$8:$D$592,1,0)</f>
        <v>#N/A</v>
      </c>
    </row>
    <row r="297" spans="1:9" x14ac:dyDescent="0.25">
      <c r="A297" s="531" t="s">
        <v>5144</v>
      </c>
      <c r="B297" s="531" t="s">
        <v>4648</v>
      </c>
      <c r="C297" s="532" t="s">
        <v>4826</v>
      </c>
      <c r="D297" s="533" t="s">
        <v>5607</v>
      </c>
      <c r="E297" s="532" t="s">
        <v>4626</v>
      </c>
      <c r="F297" s="534" t="s">
        <v>5881</v>
      </c>
      <c r="G297" s="534" t="s">
        <v>5882</v>
      </c>
      <c r="H297" s="534" t="s">
        <v>6255</v>
      </c>
      <c r="I297" s="408" t="str">
        <f>VLOOKUP(A297,'Sandi BI Existing Debitur'!$D$8:$D$592,1,0)</f>
        <v>155000</v>
      </c>
    </row>
    <row r="298" spans="1:9" ht="26.25" x14ac:dyDescent="0.25">
      <c r="A298" s="531" t="s">
        <v>5145</v>
      </c>
      <c r="B298" s="531" t="s">
        <v>4649</v>
      </c>
      <c r="C298" s="532" t="s">
        <v>4826</v>
      </c>
      <c r="D298" s="533" t="s">
        <v>5608</v>
      </c>
      <c r="E298" s="532" t="s">
        <v>4626</v>
      </c>
      <c r="F298" s="534" t="s">
        <v>5955</v>
      </c>
      <c r="G298" s="534" t="s">
        <v>5956</v>
      </c>
      <c r="H298" s="534" t="s">
        <v>6217</v>
      </c>
      <c r="I298" s="408" t="str">
        <f>VLOOKUP(A298,'Sandi BI Existing Debitur'!$D$8:$D$592,1,0)</f>
        <v>512209</v>
      </c>
    </row>
    <row r="299" spans="1:9" ht="25.5" x14ac:dyDescent="0.25">
      <c r="A299" s="531" t="s">
        <v>5146</v>
      </c>
      <c r="B299" s="531" t="s">
        <v>4650</v>
      </c>
      <c r="C299" s="532" t="s">
        <v>4826</v>
      </c>
      <c r="D299" s="533" t="s">
        <v>5609</v>
      </c>
      <c r="E299" s="532" t="s">
        <v>4626</v>
      </c>
      <c r="F299" s="534" t="s">
        <v>6019</v>
      </c>
      <c r="G299" s="534" t="s">
        <v>6020</v>
      </c>
      <c r="H299" s="534" t="s">
        <v>6233</v>
      </c>
      <c r="I299" s="408" t="e">
        <f>VLOOKUP(A299,'Sandi BI Existing Debitur'!$D$8:$D$592,1,0)</f>
        <v>#N/A</v>
      </c>
    </row>
    <row r="300" spans="1:9" ht="25.5" x14ac:dyDescent="0.25">
      <c r="A300" s="531" t="s">
        <v>5147</v>
      </c>
      <c r="B300" s="531" t="s">
        <v>4651</v>
      </c>
      <c r="C300" s="532" t="s">
        <v>4826</v>
      </c>
      <c r="D300" s="533" t="s">
        <v>5610</v>
      </c>
      <c r="E300" s="532" t="s">
        <v>4626</v>
      </c>
      <c r="F300" s="534" t="s">
        <v>6049</v>
      </c>
      <c r="G300" s="534" t="s">
        <v>6050</v>
      </c>
      <c r="H300" s="534" t="s">
        <v>6256</v>
      </c>
      <c r="I300" s="408" t="e">
        <f>VLOOKUP(A300,'Sandi BI Existing Debitur'!$D$8:$D$592,1,0)</f>
        <v>#N/A</v>
      </c>
    </row>
    <row r="301" spans="1:9" ht="25.5" x14ac:dyDescent="0.25">
      <c r="A301" s="531" t="s">
        <v>5148</v>
      </c>
      <c r="B301" s="531" t="s">
        <v>4652</v>
      </c>
      <c r="C301" s="532" t="s">
        <v>4826</v>
      </c>
      <c r="D301" s="533" t="s">
        <v>5611</v>
      </c>
      <c r="E301" s="532" t="s">
        <v>4626</v>
      </c>
      <c r="F301" s="534" t="s">
        <v>6051</v>
      </c>
      <c r="G301" s="534" t="s">
        <v>6052</v>
      </c>
      <c r="H301" s="534" t="s">
        <v>6257</v>
      </c>
      <c r="I301" s="408" t="e">
        <f>VLOOKUP(A301,'Sandi BI Existing Debitur'!$D$8:$D$592,1,0)</f>
        <v>#N/A</v>
      </c>
    </row>
    <row r="302" spans="1:9" ht="26.25" x14ac:dyDescent="0.25">
      <c r="A302" s="531" t="s">
        <v>5149</v>
      </c>
      <c r="B302" s="531" t="s">
        <v>4836</v>
      </c>
      <c r="C302" s="532" t="s">
        <v>4826</v>
      </c>
      <c r="D302" s="533" t="s">
        <v>5612</v>
      </c>
      <c r="E302" s="532" t="s">
        <v>4626</v>
      </c>
      <c r="F302" s="534" t="s">
        <v>6067</v>
      </c>
      <c r="G302" s="534" t="s">
        <v>6068</v>
      </c>
      <c r="H302" s="534" t="s">
        <v>6203</v>
      </c>
      <c r="I302" s="408" t="e">
        <f>VLOOKUP(A302,'Sandi BI Existing Debitur'!$D$8:$D$592,1,0)</f>
        <v>#N/A</v>
      </c>
    </row>
    <row r="303" spans="1:9" ht="25.5" x14ac:dyDescent="0.25">
      <c r="A303" s="531" t="s">
        <v>5150</v>
      </c>
      <c r="B303" s="531" t="s">
        <v>4653</v>
      </c>
      <c r="C303" s="532" t="s">
        <v>4826</v>
      </c>
      <c r="D303" s="533" t="s">
        <v>5613</v>
      </c>
      <c r="E303" s="532" t="s">
        <v>4626</v>
      </c>
      <c r="F303" s="534" t="s">
        <v>6087</v>
      </c>
      <c r="G303" s="534" t="s">
        <v>6088</v>
      </c>
      <c r="H303" s="534" t="s">
        <v>6258</v>
      </c>
      <c r="I303" s="408" t="str">
        <f>VLOOKUP(A303,'Sandi BI Existing Debitur'!$D$8:$D$592,1,0)</f>
        <v>552009</v>
      </c>
    </row>
    <row r="304" spans="1:9" x14ac:dyDescent="0.25">
      <c r="A304" s="531" t="s">
        <v>5151</v>
      </c>
      <c r="B304" s="531" t="s">
        <v>4654</v>
      </c>
      <c r="C304" s="532" t="s">
        <v>4826</v>
      </c>
      <c r="D304" s="533" t="s">
        <v>5614</v>
      </c>
      <c r="E304" s="532" t="s">
        <v>4626</v>
      </c>
      <c r="F304" s="534" t="s">
        <v>6087</v>
      </c>
      <c r="G304" s="534" t="s">
        <v>6088</v>
      </c>
      <c r="H304" s="534" t="s">
        <v>6258</v>
      </c>
      <c r="I304" s="408" t="e">
        <f>VLOOKUP(A304,'Sandi BI Existing Debitur'!$D$8:$D$592,1,0)</f>
        <v>#N/A</v>
      </c>
    </row>
    <row r="305" spans="1:9" ht="38.25" x14ac:dyDescent="0.25">
      <c r="A305" s="531" t="s">
        <v>5152</v>
      </c>
      <c r="B305" s="531" t="s">
        <v>4655</v>
      </c>
      <c r="C305" s="532" t="s">
        <v>4826</v>
      </c>
      <c r="D305" s="533" t="s">
        <v>5615</v>
      </c>
      <c r="E305" s="532" t="s">
        <v>4626</v>
      </c>
      <c r="F305" s="534" t="s">
        <v>5951</v>
      </c>
      <c r="G305" s="534" t="s">
        <v>5952</v>
      </c>
      <c r="H305" s="534" t="s">
        <v>6148</v>
      </c>
      <c r="I305" s="408" t="str">
        <f>VLOOKUP(A305,'Sandi BI Existing Debitur'!$D$8:$D$592,1,0)</f>
        <v>521100</v>
      </c>
    </row>
    <row r="306" spans="1:9" x14ac:dyDescent="0.25">
      <c r="A306" s="531" t="s">
        <v>5153</v>
      </c>
      <c r="B306" s="531" t="s">
        <v>4656</v>
      </c>
      <c r="C306" s="532" t="s">
        <v>4657</v>
      </c>
      <c r="D306" s="533" t="s">
        <v>5616</v>
      </c>
      <c r="E306" s="532" t="s">
        <v>4657</v>
      </c>
      <c r="F306" s="534" t="s">
        <v>5831</v>
      </c>
      <c r="G306" s="534" t="s">
        <v>5832</v>
      </c>
      <c r="H306" s="534" t="s">
        <v>6259</v>
      </c>
      <c r="I306" s="408" t="e">
        <f>VLOOKUP(A306,'Sandi BI Existing Debitur'!$D$8:$D$592,1,0)</f>
        <v>#N/A</v>
      </c>
    </row>
    <row r="307" spans="1:9" ht="25.5" x14ac:dyDescent="0.25">
      <c r="A307" s="531" t="s">
        <v>5154</v>
      </c>
      <c r="B307" s="531" t="s">
        <v>4658</v>
      </c>
      <c r="C307" s="532" t="s">
        <v>4657</v>
      </c>
      <c r="D307" s="533" t="s">
        <v>5617</v>
      </c>
      <c r="E307" s="532" t="s">
        <v>4657</v>
      </c>
      <c r="F307" s="534" t="s">
        <v>5831</v>
      </c>
      <c r="G307" s="534" t="s">
        <v>5832</v>
      </c>
      <c r="H307" s="534" t="s">
        <v>6259</v>
      </c>
      <c r="I307" s="408" t="e">
        <f>VLOOKUP(A307,'Sandi BI Existing Debitur'!$D$8:$D$592,1,0)</f>
        <v>#N/A</v>
      </c>
    </row>
    <row r="308" spans="1:9" x14ac:dyDescent="0.25">
      <c r="A308" s="531" t="s">
        <v>5155</v>
      </c>
      <c r="B308" s="531" t="s">
        <v>4659</v>
      </c>
      <c r="C308" s="532" t="s">
        <v>4657</v>
      </c>
      <c r="D308" s="533" t="s">
        <v>5618</v>
      </c>
      <c r="E308" s="532" t="s">
        <v>4657</v>
      </c>
      <c r="F308" s="534" t="s">
        <v>5831</v>
      </c>
      <c r="G308" s="534" t="s">
        <v>5832</v>
      </c>
      <c r="H308" s="534" t="s">
        <v>6259</v>
      </c>
      <c r="I308" s="408" t="e">
        <f>VLOOKUP(A308,'Sandi BI Existing Debitur'!$D$8:$D$592,1,0)</f>
        <v>#N/A</v>
      </c>
    </row>
    <row r="309" spans="1:9" x14ac:dyDescent="0.25">
      <c r="A309" s="531" t="s">
        <v>5156</v>
      </c>
      <c r="B309" s="531" t="s">
        <v>4660</v>
      </c>
      <c r="C309" s="532" t="s">
        <v>4657</v>
      </c>
      <c r="D309" s="533" t="s">
        <v>5619</v>
      </c>
      <c r="E309" s="532" t="s">
        <v>4657</v>
      </c>
      <c r="F309" s="534" t="s">
        <v>5833</v>
      </c>
      <c r="G309" s="534" t="s">
        <v>5834</v>
      </c>
      <c r="H309" s="534" t="s">
        <v>6260</v>
      </c>
      <c r="I309" s="408" t="e">
        <f>VLOOKUP(A309,'Sandi BI Existing Debitur'!$D$8:$D$592,1,0)</f>
        <v>#N/A</v>
      </c>
    </row>
    <row r="310" spans="1:9" x14ac:dyDescent="0.25">
      <c r="A310" s="531" t="s">
        <v>5157</v>
      </c>
      <c r="B310" s="531" t="s">
        <v>4661</v>
      </c>
      <c r="C310" s="532" t="s">
        <v>4657</v>
      </c>
      <c r="D310" s="533" t="s">
        <v>5620</v>
      </c>
      <c r="E310" s="532" t="s">
        <v>4657</v>
      </c>
      <c r="F310" s="534" t="s">
        <v>5975</v>
      </c>
      <c r="G310" s="534" t="s">
        <v>5976</v>
      </c>
      <c r="H310" s="534" t="s">
        <v>6261</v>
      </c>
      <c r="I310" s="408" t="e">
        <f>VLOOKUP(A310,'Sandi BI Existing Debitur'!$D$8:$D$592,1,0)</f>
        <v>#N/A</v>
      </c>
    </row>
    <row r="311" spans="1:9" ht="38.25" x14ac:dyDescent="0.25">
      <c r="A311" s="531" t="s">
        <v>5158</v>
      </c>
      <c r="B311" s="531" t="s">
        <v>4662</v>
      </c>
      <c r="C311" s="532" t="s">
        <v>4657</v>
      </c>
      <c r="D311" s="533" t="s">
        <v>5621</v>
      </c>
      <c r="E311" s="532" t="s">
        <v>4657</v>
      </c>
      <c r="F311" s="534" t="s">
        <v>5955</v>
      </c>
      <c r="G311" s="534" t="s">
        <v>5956</v>
      </c>
      <c r="H311" s="534" t="s">
        <v>6217</v>
      </c>
      <c r="I311" s="408" t="e">
        <f>VLOOKUP(A311,'Sandi BI Existing Debitur'!$D$8:$D$592,1,0)</f>
        <v>#N/A</v>
      </c>
    </row>
    <row r="312" spans="1:9" x14ac:dyDescent="0.25">
      <c r="A312" s="531" t="s">
        <v>5159</v>
      </c>
      <c r="B312" s="531" t="s">
        <v>4663</v>
      </c>
      <c r="C312" s="532" t="s">
        <v>4657</v>
      </c>
      <c r="D312" s="533" t="s">
        <v>5622</v>
      </c>
      <c r="E312" s="532" t="s">
        <v>4657</v>
      </c>
      <c r="F312" s="534" t="s">
        <v>6005</v>
      </c>
      <c r="G312" s="534" t="s">
        <v>6006</v>
      </c>
      <c r="H312" s="534" t="s">
        <v>6262</v>
      </c>
      <c r="I312" s="408" t="e">
        <f>VLOOKUP(A312,'Sandi BI Existing Debitur'!$D$8:$D$592,1,0)</f>
        <v>#N/A</v>
      </c>
    </row>
    <row r="313" spans="1:9" x14ac:dyDescent="0.25">
      <c r="A313" s="531" t="s">
        <v>5160</v>
      </c>
      <c r="B313" s="531" t="s">
        <v>4664</v>
      </c>
      <c r="C313" s="532" t="s">
        <v>4657</v>
      </c>
      <c r="D313" s="533" t="s">
        <v>5623</v>
      </c>
      <c r="E313" s="532" t="s">
        <v>4657</v>
      </c>
      <c r="F313" s="534" t="s">
        <v>6007</v>
      </c>
      <c r="G313" s="534" t="s">
        <v>6008</v>
      </c>
      <c r="H313" s="534" t="s">
        <v>6263</v>
      </c>
      <c r="I313" s="408" t="e">
        <f>VLOOKUP(A313,'Sandi BI Existing Debitur'!$D$8:$D$592,1,0)</f>
        <v>#N/A</v>
      </c>
    </row>
    <row r="314" spans="1:9" ht="25.5" x14ac:dyDescent="0.25">
      <c r="A314" s="531" t="s">
        <v>5161</v>
      </c>
      <c r="B314" s="531" t="s">
        <v>4665</v>
      </c>
      <c r="C314" s="532" t="s">
        <v>4657</v>
      </c>
      <c r="D314" s="533" t="s">
        <v>5624</v>
      </c>
      <c r="E314" s="532" t="s">
        <v>4657</v>
      </c>
      <c r="F314" s="534" t="s">
        <v>6009</v>
      </c>
      <c r="G314" s="534" t="s">
        <v>6010</v>
      </c>
      <c r="H314" s="534" t="s">
        <v>6264</v>
      </c>
      <c r="I314" s="408" t="e">
        <f>VLOOKUP(A314,'Sandi BI Existing Debitur'!$D$8:$D$592,1,0)</f>
        <v>#N/A</v>
      </c>
    </row>
    <row r="315" spans="1:9" ht="38.25" x14ac:dyDescent="0.25">
      <c r="A315" s="531" t="s">
        <v>5063</v>
      </c>
      <c r="B315" s="531" t="s">
        <v>4562</v>
      </c>
      <c r="C315" s="568" t="s">
        <v>7699</v>
      </c>
      <c r="D315" s="533" t="s">
        <v>5526</v>
      </c>
      <c r="E315" s="532" t="s">
        <v>7634</v>
      </c>
      <c r="F315" s="534" t="s">
        <v>5951</v>
      </c>
      <c r="G315" s="534" t="s">
        <v>5952</v>
      </c>
      <c r="H315" s="534" t="s">
        <v>6148</v>
      </c>
      <c r="I315" s="408" t="str">
        <f>VLOOKUP(A315,'Sandi BI Existing Debitur'!$D$8:$D$592,1,0)</f>
        <v>523200</v>
      </c>
    </row>
    <row r="316" spans="1:9" ht="38.25" x14ac:dyDescent="0.25">
      <c r="A316" s="531" t="s">
        <v>5073</v>
      </c>
      <c r="B316" s="531" t="s">
        <v>4572</v>
      </c>
      <c r="C316" s="568" t="s">
        <v>7699</v>
      </c>
      <c r="D316" s="533" t="s">
        <v>5536</v>
      </c>
      <c r="E316" s="532" t="s">
        <v>7634</v>
      </c>
      <c r="F316" s="534" t="s">
        <v>5951</v>
      </c>
      <c r="G316" s="534" t="s">
        <v>5952</v>
      </c>
      <c r="H316" s="534" t="s">
        <v>6148</v>
      </c>
      <c r="I316" s="408" t="e">
        <f>VLOOKUP(A316,'Sandi BI Existing Debitur'!$D$8:$D$592,1,0)</f>
        <v>#N/A</v>
      </c>
    </row>
    <row r="317" spans="1:9" ht="25.5" x14ac:dyDescent="0.25">
      <c r="A317" s="531" t="s">
        <v>5074</v>
      </c>
      <c r="B317" s="531" t="s">
        <v>4573</v>
      </c>
      <c r="C317" s="568" t="s">
        <v>7699</v>
      </c>
      <c r="D317" s="533" t="s">
        <v>5537</v>
      </c>
      <c r="E317" s="532" t="s">
        <v>7634</v>
      </c>
      <c r="F317" s="534" t="s">
        <v>5955</v>
      </c>
      <c r="G317" s="534" t="s">
        <v>5956</v>
      </c>
      <c r="H317" s="534" t="s">
        <v>6217</v>
      </c>
      <c r="I317" s="408" t="str">
        <f>VLOOKUP(A317,'Sandi BI Existing Debitur'!$D$8:$D$592,1,0)</f>
        <v>513100</v>
      </c>
    </row>
    <row r="318" spans="1:9" ht="25.5" x14ac:dyDescent="0.25">
      <c r="A318" s="531" t="s">
        <v>5075</v>
      </c>
      <c r="B318" s="531" t="s">
        <v>4574</v>
      </c>
      <c r="C318" s="568" t="s">
        <v>7699</v>
      </c>
      <c r="D318" s="533" t="s">
        <v>5538</v>
      </c>
      <c r="E318" s="532" t="s">
        <v>7634</v>
      </c>
      <c r="F318" s="534" t="s">
        <v>6067</v>
      </c>
      <c r="G318" s="534" t="s">
        <v>6068</v>
      </c>
      <c r="H318" s="534" t="s">
        <v>6203</v>
      </c>
      <c r="I318" s="408" t="e">
        <f>VLOOKUP(A318,'Sandi BI Existing Debitur'!$D$8:$D$592,1,0)</f>
        <v>#N/A</v>
      </c>
    </row>
    <row r="319" spans="1:9" x14ac:dyDescent="0.25">
      <c r="A319" s="531" t="s">
        <v>5182</v>
      </c>
      <c r="B319" s="531" t="s">
        <v>4690</v>
      </c>
      <c r="C319" s="568" t="s">
        <v>7699</v>
      </c>
      <c r="D319" s="533" t="s">
        <v>5645</v>
      </c>
      <c r="E319" s="532" t="s">
        <v>7634</v>
      </c>
      <c r="F319" s="534" t="s">
        <v>6023</v>
      </c>
      <c r="G319" s="534" t="s">
        <v>6024</v>
      </c>
      <c r="H319" s="534" t="s">
        <v>6269</v>
      </c>
      <c r="I319" s="408" t="e">
        <f>VLOOKUP(A319,'Sandi BI Existing Debitur'!$D$8:$D$592,1,0)</f>
        <v>#N/A</v>
      </c>
    </row>
    <row r="320" spans="1:9" x14ac:dyDescent="0.25">
      <c r="A320" s="531" t="s">
        <v>5178</v>
      </c>
      <c r="B320" s="531" t="s">
        <v>4686</v>
      </c>
      <c r="C320" s="568" t="s">
        <v>7699</v>
      </c>
      <c r="D320" s="533" t="s">
        <v>5641</v>
      </c>
      <c r="E320" s="532" t="s">
        <v>7634</v>
      </c>
      <c r="F320" s="534" t="s">
        <v>5865</v>
      </c>
      <c r="G320" s="534" t="s">
        <v>5866</v>
      </c>
      <c r="H320" s="534" t="s">
        <v>6127</v>
      </c>
      <c r="I320" s="408" t="str">
        <f>VLOOKUP(A320,'Sandi BI Existing Debitur'!$D$8:$D$592,1,0)</f>
        <v>192000</v>
      </c>
    </row>
    <row r="321" spans="1:9" ht="25.5" x14ac:dyDescent="0.25">
      <c r="A321" s="531" t="s">
        <v>5179</v>
      </c>
      <c r="B321" s="531" t="s">
        <v>4687</v>
      </c>
      <c r="C321" s="568" t="s">
        <v>7699</v>
      </c>
      <c r="D321" s="533" t="s">
        <v>5642</v>
      </c>
      <c r="E321" s="532" t="s">
        <v>7634</v>
      </c>
      <c r="F321" s="534" t="s">
        <v>5887</v>
      </c>
      <c r="G321" s="534" t="s">
        <v>5888</v>
      </c>
      <c r="H321" s="534" t="s">
        <v>6268</v>
      </c>
      <c r="I321" s="408" t="str">
        <f>VLOOKUP(A321,'Sandi BI Existing Debitur'!$D$8:$D$592,1,0)</f>
        <v>172000</v>
      </c>
    </row>
    <row r="322" spans="1:9" ht="38.25" x14ac:dyDescent="0.25">
      <c r="A322" s="531" t="s">
        <v>5180</v>
      </c>
      <c r="B322" s="531" t="s">
        <v>4688</v>
      </c>
      <c r="C322" s="568" t="s">
        <v>7699</v>
      </c>
      <c r="D322" s="533" t="s">
        <v>5643</v>
      </c>
      <c r="E322" s="532" t="s">
        <v>7634</v>
      </c>
      <c r="F322" s="534" t="s">
        <v>5865</v>
      </c>
      <c r="G322" s="534" t="s">
        <v>5866</v>
      </c>
      <c r="H322" s="534" t="s">
        <v>6127</v>
      </c>
      <c r="I322" s="408" t="str">
        <f>VLOOKUP(A322,'Sandi BI Existing Debitur'!$D$8:$D$592,1,0)</f>
        <v>181000</v>
      </c>
    </row>
    <row r="323" spans="1:9" ht="38.25" x14ac:dyDescent="0.25">
      <c r="A323" s="531" t="s">
        <v>5162</v>
      </c>
      <c r="B323" s="531" t="s">
        <v>4666</v>
      </c>
      <c r="C323" s="532" t="s">
        <v>4835</v>
      </c>
      <c r="D323" s="533" t="s">
        <v>5625</v>
      </c>
      <c r="E323" s="532" t="s">
        <v>4667</v>
      </c>
      <c r="F323" s="534" t="s">
        <v>5865</v>
      </c>
      <c r="G323" s="534" t="s">
        <v>5866</v>
      </c>
      <c r="H323" s="534" t="s">
        <v>6127</v>
      </c>
      <c r="I323" s="408" t="e">
        <f>VLOOKUP(A323,'Sandi BI Existing Debitur'!$D$8:$D$592,1,0)</f>
        <v>#N/A</v>
      </c>
    </row>
    <row r="324" spans="1:9" ht="26.25" x14ac:dyDescent="0.25">
      <c r="A324" s="531" t="s">
        <v>5163</v>
      </c>
      <c r="B324" s="531" t="s">
        <v>4668</v>
      </c>
      <c r="C324" s="532" t="s">
        <v>4835</v>
      </c>
      <c r="D324" s="533" t="s">
        <v>5626</v>
      </c>
      <c r="E324" s="532" t="s">
        <v>4667</v>
      </c>
      <c r="F324" s="534" t="s">
        <v>5955</v>
      </c>
      <c r="G324" s="534" t="s">
        <v>5956</v>
      </c>
      <c r="H324" s="534" t="s">
        <v>6217</v>
      </c>
      <c r="I324" s="408" t="str">
        <f>VLOOKUP(A324,'Sandi BI Existing Debitur'!$D$8:$D$592,1,0)</f>
        <v>513900</v>
      </c>
    </row>
    <row r="325" spans="1:9" ht="26.25" x14ac:dyDescent="0.25">
      <c r="A325" s="531" t="s">
        <v>5164</v>
      </c>
      <c r="B325" s="531" t="s">
        <v>4669</v>
      </c>
      <c r="C325" s="532" t="s">
        <v>4835</v>
      </c>
      <c r="D325" s="533" t="s">
        <v>5627</v>
      </c>
      <c r="E325" s="532" t="s">
        <v>4667</v>
      </c>
      <c r="F325" s="534" t="s">
        <v>6019</v>
      </c>
      <c r="G325" s="534" t="s">
        <v>6020</v>
      </c>
      <c r="H325" s="534" t="s">
        <v>6233</v>
      </c>
      <c r="I325" s="408" t="e">
        <f>VLOOKUP(A325,'Sandi BI Existing Debitur'!$D$8:$D$592,1,0)</f>
        <v>#N/A</v>
      </c>
    </row>
    <row r="326" spans="1:9" ht="38.25" x14ac:dyDescent="0.25">
      <c r="A326" s="531" t="s">
        <v>5165</v>
      </c>
      <c r="B326" s="531" t="s">
        <v>4670</v>
      </c>
      <c r="C326" s="532" t="s">
        <v>4835</v>
      </c>
      <c r="D326" s="533" t="s">
        <v>5628</v>
      </c>
      <c r="E326" s="532" t="s">
        <v>4667</v>
      </c>
      <c r="F326" s="534" t="s">
        <v>6073</v>
      </c>
      <c r="G326" s="534" t="s">
        <v>6074</v>
      </c>
      <c r="H326" s="534" t="s">
        <v>6219</v>
      </c>
      <c r="I326" s="408" t="e">
        <f>VLOOKUP(A326,'Sandi BI Existing Debitur'!$D$8:$D$592,1,0)</f>
        <v>#N/A</v>
      </c>
    </row>
    <row r="327" spans="1:9" ht="38.25" x14ac:dyDescent="0.25">
      <c r="A327" s="531" t="s">
        <v>5166</v>
      </c>
      <c r="B327" s="531" t="s">
        <v>4671</v>
      </c>
      <c r="C327" s="532" t="s">
        <v>4835</v>
      </c>
      <c r="D327" s="533" t="s">
        <v>5629</v>
      </c>
      <c r="E327" s="532" t="s">
        <v>4667</v>
      </c>
      <c r="F327" s="534" t="s">
        <v>5951</v>
      </c>
      <c r="G327" s="534" t="s">
        <v>5952</v>
      </c>
      <c r="H327" s="534" t="s">
        <v>6148</v>
      </c>
      <c r="I327" s="408" t="str">
        <f>VLOOKUP(A327,'Sandi BI Existing Debitur'!$D$8:$D$592,1,0)</f>
        <v>523300</v>
      </c>
    </row>
    <row r="328" spans="1:9" ht="38.25" x14ac:dyDescent="0.25">
      <c r="A328" s="531" t="s">
        <v>5167</v>
      </c>
      <c r="B328" s="531" t="s">
        <v>4672</v>
      </c>
      <c r="C328" s="532" t="s">
        <v>4835</v>
      </c>
      <c r="D328" s="533" t="s">
        <v>5630</v>
      </c>
      <c r="E328" s="532" t="s">
        <v>4667</v>
      </c>
      <c r="F328" s="534" t="s">
        <v>5951</v>
      </c>
      <c r="G328" s="534" t="s">
        <v>5952</v>
      </c>
      <c r="H328" s="534" t="s">
        <v>6148</v>
      </c>
      <c r="I328" s="408" t="e">
        <f>VLOOKUP(A328,'Sandi BI Existing Debitur'!$D$8:$D$592,1,0)</f>
        <v>#N/A</v>
      </c>
    </row>
    <row r="329" spans="1:9" ht="51" x14ac:dyDescent="0.25">
      <c r="A329" s="531" t="s">
        <v>5240</v>
      </c>
      <c r="B329" s="531" t="s">
        <v>4752</v>
      </c>
      <c r="C329" s="532" t="s">
        <v>4835</v>
      </c>
      <c r="D329" s="570" t="s">
        <v>5703</v>
      </c>
      <c r="E329" s="532" t="s">
        <v>4667</v>
      </c>
      <c r="F329" s="534" t="s">
        <v>5951</v>
      </c>
      <c r="G329" s="534" t="s">
        <v>5952</v>
      </c>
      <c r="H329" s="534" t="s">
        <v>6148</v>
      </c>
      <c r="I329" s="408" t="str">
        <f>VLOOKUP(A329,'Sandi BI Existing Debitur'!$D$8:$D$592,1,0)</f>
        <v>523600</v>
      </c>
    </row>
    <row r="330" spans="1:9" ht="63.75" x14ac:dyDescent="0.25">
      <c r="A330" s="531" t="s">
        <v>5241</v>
      </c>
      <c r="B330" s="531" t="s">
        <v>4753</v>
      </c>
      <c r="C330" s="532" t="s">
        <v>4835</v>
      </c>
      <c r="D330" s="570" t="s">
        <v>5704</v>
      </c>
      <c r="E330" s="532" t="s">
        <v>4667</v>
      </c>
      <c r="F330" s="534" t="s">
        <v>5951</v>
      </c>
      <c r="G330" s="534" t="s">
        <v>5952</v>
      </c>
      <c r="H330" s="534" t="s">
        <v>6148</v>
      </c>
      <c r="I330" s="408" t="e">
        <f>VLOOKUP(A330,'Sandi BI Existing Debitur'!$D$8:$D$592,1,0)</f>
        <v>#N/A</v>
      </c>
    </row>
    <row r="331" spans="1:9" ht="51" x14ac:dyDescent="0.25">
      <c r="A331" s="531" t="s">
        <v>5168</v>
      </c>
      <c r="B331" s="531" t="s">
        <v>4673</v>
      </c>
      <c r="C331" s="532" t="s">
        <v>4834</v>
      </c>
      <c r="D331" s="533" t="s">
        <v>5631</v>
      </c>
      <c r="E331" s="532" t="s">
        <v>4674</v>
      </c>
      <c r="F331" s="534" t="s">
        <v>5865</v>
      </c>
      <c r="G331" s="534" t="s">
        <v>5866</v>
      </c>
      <c r="H331" s="534" t="s">
        <v>6127</v>
      </c>
      <c r="I331" s="408" t="e">
        <f>VLOOKUP(A331,'Sandi BI Existing Debitur'!$D$8:$D$592,1,0)</f>
        <v>#N/A</v>
      </c>
    </row>
    <row r="332" spans="1:9" ht="25.5" x14ac:dyDescent="0.25">
      <c r="A332" s="531" t="s">
        <v>5169</v>
      </c>
      <c r="B332" s="531" t="s">
        <v>4675</v>
      </c>
      <c r="C332" s="532" t="s">
        <v>4834</v>
      </c>
      <c r="D332" s="533" t="s">
        <v>5632</v>
      </c>
      <c r="E332" s="532" t="s">
        <v>4674</v>
      </c>
      <c r="F332" s="534" t="s">
        <v>5865</v>
      </c>
      <c r="G332" s="534" t="s">
        <v>5866</v>
      </c>
      <c r="H332" s="534" t="s">
        <v>6127</v>
      </c>
      <c r="I332" s="408" t="e">
        <f>VLOOKUP(A332,'Sandi BI Existing Debitur'!$D$8:$D$592,1,0)</f>
        <v>#N/A</v>
      </c>
    </row>
    <row r="333" spans="1:9" ht="25.5" x14ac:dyDescent="0.25">
      <c r="A333" s="531" t="s">
        <v>5170</v>
      </c>
      <c r="B333" s="531" t="s">
        <v>4676</v>
      </c>
      <c r="C333" s="532" t="s">
        <v>4834</v>
      </c>
      <c r="D333" s="533" t="s">
        <v>5633</v>
      </c>
      <c r="E333" s="532" t="s">
        <v>4674</v>
      </c>
      <c r="F333" s="534" t="s">
        <v>6115</v>
      </c>
      <c r="G333" s="534" t="s">
        <v>6116</v>
      </c>
      <c r="H333" s="534" t="s">
        <v>6265</v>
      </c>
      <c r="I333" s="408" t="e">
        <f>VLOOKUP(A333,'Sandi BI Existing Debitur'!$D$8:$D$592,1,0)</f>
        <v>#N/A</v>
      </c>
    </row>
    <row r="334" spans="1:9" ht="25.5" x14ac:dyDescent="0.25">
      <c r="A334" s="531" t="s">
        <v>5171</v>
      </c>
      <c r="B334" s="531" t="s">
        <v>4677</v>
      </c>
      <c r="C334" s="532" t="s">
        <v>4834</v>
      </c>
      <c r="D334" s="533" t="s">
        <v>5634</v>
      </c>
      <c r="E334" s="532" t="s">
        <v>4674</v>
      </c>
      <c r="F334" s="534" t="s">
        <v>6115</v>
      </c>
      <c r="G334" s="534" t="s">
        <v>6116</v>
      </c>
      <c r="H334" s="534" t="s">
        <v>6265</v>
      </c>
      <c r="I334" s="408" t="e">
        <f>VLOOKUP(A334,'Sandi BI Existing Debitur'!$D$8:$D$592,1,0)</f>
        <v>#N/A</v>
      </c>
    </row>
    <row r="335" spans="1:9" ht="26.25" x14ac:dyDescent="0.25">
      <c r="A335" s="531" t="s">
        <v>5172</v>
      </c>
      <c r="B335" s="531" t="s">
        <v>4678</v>
      </c>
      <c r="C335" s="532" t="s">
        <v>4834</v>
      </c>
      <c r="D335" s="533" t="s">
        <v>5635</v>
      </c>
      <c r="E335" s="532" t="s">
        <v>4674</v>
      </c>
      <c r="F335" s="534" t="s">
        <v>6115</v>
      </c>
      <c r="G335" s="534" t="s">
        <v>6116</v>
      </c>
      <c r="H335" s="534" t="s">
        <v>6265</v>
      </c>
      <c r="I335" s="408" t="str">
        <f>VLOOKUP(A335,'Sandi BI Existing Debitur'!$D$8:$D$592,1,0)</f>
        <v>851003</v>
      </c>
    </row>
    <row r="336" spans="1:9" ht="25.5" x14ac:dyDescent="0.25">
      <c r="A336" s="531" t="s">
        <v>5173</v>
      </c>
      <c r="B336" s="531" t="s">
        <v>4679</v>
      </c>
      <c r="C336" s="532" t="s">
        <v>4834</v>
      </c>
      <c r="D336" s="533" t="s">
        <v>5636</v>
      </c>
      <c r="E336" s="532" t="s">
        <v>4674</v>
      </c>
      <c r="F336" s="534" t="s">
        <v>6117</v>
      </c>
      <c r="G336" s="534" t="s">
        <v>6118</v>
      </c>
      <c r="H336" s="534" t="s">
        <v>6228</v>
      </c>
      <c r="I336" s="408" t="e">
        <f>VLOOKUP(A336,'Sandi BI Existing Debitur'!$D$8:$D$592,1,0)</f>
        <v>#N/A</v>
      </c>
    </row>
    <row r="337" spans="1:9" x14ac:dyDescent="0.25">
      <c r="A337" s="531" t="s">
        <v>5174</v>
      </c>
      <c r="B337" s="531" t="s">
        <v>4680</v>
      </c>
      <c r="C337" s="532" t="s">
        <v>4833</v>
      </c>
      <c r="D337" s="533" t="s">
        <v>5637</v>
      </c>
      <c r="E337" s="532" t="s">
        <v>4681</v>
      </c>
      <c r="F337" s="534" t="s">
        <v>6083</v>
      </c>
      <c r="G337" s="534" t="s">
        <v>6084</v>
      </c>
      <c r="H337" s="534" t="s">
        <v>6266</v>
      </c>
      <c r="I337" s="408" t="str">
        <f>VLOOKUP(A337,'Sandi BI Existing Debitur'!$D$8:$D$592,1,0)</f>
        <v>551100</v>
      </c>
    </row>
    <row r="338" spans="1:9" x14ac:dyDescent="0.25">
      <c r="A338" s="531" t="s">
        <v>5175</v>
      </c>
      <c r="B338" s="531" t="s">
        <v>4682</v>
      </c>
      <c r="C338" s="532" t="s">
        <v>4833</v>
      </c>
      <c r="D338" s="533" t="s">
        <v>5638</v>
      </c>
      <c r="E338" s="532" t="s">
        <v>4681</v>
      </c>
      <c r="F338" s="534" t="s">
        <v>6083</v>
      </c>
      <c r="G338" s="534" t="s">
        <v>6084</v>
      </c>
      <c r="H338" s="534" t="s">
        <v>6266</v>
      </c>
      <c r="I338" s="408" t="e">
        <f>VLOOKUP(A338,'Sandi BI Existing Debitur'!$D$8:$D$592,1,0)</f>
        <v>#N/A</v>
      </c>
    </row>
    <row r="339" spans="1:9" x14ac:dyDescent="0.25">
      <c r="A339" s="531" t="s">
        <v>5176</v>
      </c>
      <c r="B339" s="531" t="s">
        <v>4683</v>
      </c>
      <c r="C339" s="532" t="s">
        <v>4833</v>
      </c>
      <c r="D339" s="533" t="s">
        <v>5639</v>
      </c>
      <c r="E339" s="532" t="s">
        <v>4681</v>
      </c>
      <c r="F339" s="534" t="s">
        <v>6085</v>
      </c>
      <c r="G339" s="534" t="s">
        <v>6086</v>
      </c>
      <c r="H339" s="534" t="s">
        <v>6220</v>
      </c>
      <c r="I339" s="408" t="e">
        <f>VLOOKUP(A339,'Sandi BI Existing Debitur'!$D$8:$D$592,1,0)</f>
        <v>#N/A</v>
      </c>
    </row>
    <row r="340" spans="1:9" x14ac:dyDescent="0.25">
      <c r="A340" s="531" t="s">
        <v>5062</v>
      </c>
      <c r="B340" s="531" t="s">
        <v>4561</v>
      </c>
      <c r="C340" s="568" t="s">
        <v>7633</v>
      </c>
      <c r="D340" s="533" t="s">
        <v>5525</v>
      </c>
      <c r="E340" s="532" t="s">
        <v>4685</v>
      </c>
      <c r="F340" s="534" t="s">
        <v>6019</v>
      </c>
      <c r="G340" s="534" t="s">
        <v>6020</v>
      </c>
      <c r="H340" s="534" t="s">
        <v>6233</v>
      </c>
      <c r="I340" s="408" t="e">
        <f>VLOOKUP(A340,'Sandi BI Existing Debitur'!$D$8:$D$592,1,0)</f>
        <v>#N/A</v>
      </c>
    </row>
    <row r="341" spans="1:9" x14ac:dyDescent="0.25">
      <c r="A341" s="531" t="s">
        <v>5072</v>
      </c>
      <c r="B341" s="531" t="s">
        <v>4571</v>
      </c>
      <c r="C341" s="568" t="s">
        <v>7633</v>
      </c>
      <c r="D341" s="533" t="s">
        <v>5535</v>
      </c>
      <c r="E341" s="532" t="s">
        <v>4685</v>
      </c>
      <c r="F341" s="534" t="s">
        <v>6021</v>
      </c>
      <c r="G341" s="534" t="s">
        <v>6022</v>
      </c>
      <c r="H341" s="534" t="s">
        <v>6239</v>
      </c>
      <c r="I341" s="408" t="e">
        <f>VLOOKUP(A341,'Sandi BI Existing Debitur'!$D$8:$D$592,1,0)</f>
        <v>#N/A</v>
      </c>
    </row>
    <row r="342" spans="1:9" ht="26.25" x14ac:dyDescent="0.25">
      <c r="A342" s="531" t="s">
        <v>5177</v>
      </c>
      <c r="B342" s="531" t="s">
        <v>4684</v>
      </c>
      <c r="C342" s="568" t="s">
        <v>7633</v>
      </c>
      <c r="D342" s="533" t="s">
        <v>5640</v>
      </c>
      <c r="E342" s="532" t="s">
        <v>4685</v>
      </c>
      <c r="F342" s="534" t="s">
        <v>5889</v>
      </c>
      <c r="G342" s="534" t="s">
        <v>5890</v>
      </c>
      <c r="H342" s="534" t="s">
        <v>6267</v>
      </c>
      <c r="I342" s="408" t="e">
        <f>VLOOKUP(A342,'Sandi BI Existing Debitur'!$D$8:$D$592,1,0)</f>
        <v>#N/A</v>
      </c>
    </row>
    <row r="343" spans="1:9" ht="38.25" x14ac:dyDescent="0.25">
      <c r="A343" s="531" t="s">
        <v>5181</v>
      </c>
      <c r="B343" s="531" t="s">
        <v>4689</v>
      </c>
      <c r="C343" s="568" t="s">
        <v>7633</v>
      </c>
      <c r="D343" s="533" t="s">
        <v>5644</v>
      </c>
      <c r="E343" s="532" t="s">
        <v>4685</v>
      </c>
      <c r="F343" s="534" t="s">
        <v>5865</v>
      </c>
      <c r="G343" s="534" t="s">
        <v>5866</v>
      </c>
      <c r="H343" s="534" t="s">
        <v>6127</v>
      </c>
      <c r="I343" s="408" t="e">
        <f>VLOOKUP(A343,'Sandi BI Existing Debitur'!$D$8:$D$592,1,0)</f>
        <v>#N/A</v>
      </c>
    </row>
    <row r="344" spans="1:9" ht="26.25" x14ac:dyDescent="0.25">
      <c r="A344" s="531" t="s">
        <v>5183</v>
      </c>
      <c r="B344" s="531" t="s">
        <v>4691</v>
      </c>
      <c r="C344" s="568" t="s">
        <v>7633</v>
      </c>
      <c r="D344" s="533" t="s">
        <v>5646</v>
      </c>
      <c r="E344" s="532" t="s">
        <v>4685</v>
      </c>
      <c r="F344" s="534" t="s">
        <v>5887</v>
      </c>
      <c r="G344" s="534" t="s">
        <v>5888</v>
      </c>
      <c r="H344" s="534" t="s">
        <v>6268</v>
      </c>
      <c r="I344" s="408" t="str">
        <f>VLOOKUP(A344,'Sandi BI Existing Debitur'!$D$8:$D$592,1,0)</f>
        <v>171000</v>
      </c>
    </row>
    <row r="345" spans="1:9" x14ac:dyDescent="0.25">
      <c r="A345" s="531" t="s">
        <v>5184</v>
      </c>
      <c r="B345" s="531" t="s">
        <v>4692</v>
      </c>
      <c r="C345" s="568" t="s">
        <v>7633</v>
      </c>
      <c r="D345" s="533" t="s">
        <v>5647</v>
      </c>
      <c r="E345" s="532" t="s">
        <v>4685</v>
      </c>
      <c r="F345" s="534" t="s">
        <v>5887</v>
      </c>
      <c r="G345" s="534" t="s">
        <v>5888</v>
      </c>
      <c r="H345" s="534" t="s">
        <v>6268</v>
      </c>
      <c r="I345" s="408" t="str">
        <f>VLOOKUP(A345,'Sandi BI Existing Debitur'!$D$8:$D$592,1,0)</f>
        <v>173000</v>
      </c>
    </row>
    <row r="346" spans="1:9" x14ac:dyDescent="0.25">
      <c r="A346" s="531" t="s">
        <v>5185</v>
      </c>
      <c r="B346" s="531" t="s">
        <v>4693</v>
      </c>
      <c r="C346" s="568" t="s">
        <v>7633</v>
      </c>
      <c r="D346" s="533" t="s">
        <v>5648</v>
      </c>
      <c r="E346" s="532" t="s">
        <v>4685</v>
      </c>
      <c r="F346" s="534" t="s">
        <v>5865</v>
      </c>
      <c r="G346" s="534" t="s">
        <v>5866</v>
      </c>
      <c r="H346" s="534" t="s">
        <v>6127</v>
      </c>
      <c r="I346" s="408" t="e">
        <f>VLOOKUP(A346,'Sandi BI Existing Debitur'!$D$8:$D$592,1,0)</f>
        <v>#N/A</v>
      </c>
    </row>
    <row r="347" spans="1:9" x14ac:dyDescent="0.25">
      <c r="A347" s="531" t="s">
        <v>5186</v>
      </c>
      <c r="B347" s="531" t="s">
        <v>4694</v>
      </c>
      <c r="C347" s="532" t="s">
        <v>4832</v>
      </c>
      <c r="D347" s="533" t="s">
        <v>5649</v>
      </c>
      <c r="E347" s="532" t="s">
        <v>4695</v>
      </c>
      <c r="F347" s="534" t="s">
        <v>5851</v>
      </c>
      <c r="G347" s="534" t="s">
        <v>5852</v>
      </c>
      <c r="H347" s="534" t="s">
        <v>6270</v>
      </c>
      <c r="I347" s="408" t="e">
        <f>VLOOKUP(A347,'Sandi BI Existing Debitur'!$D$8:$D$592,1,0)</f>
        <v>#N/A</v>
      </c>
    </row>
    <row r="348" spans="1:9" x14ac:dyDescent="0.25">
      <c r="A348" s="531" t="s">
        <v>5187</v>
      </c>
      <c r="B348" s="531" t="s">
        <v>4696</v>
      </c>
      <c r="C348" s="532" t="s">
        <v>4832</v>
      </c>
      <c r="D348" s="533" t="s">
        <v>5650</v>
      </c>
      <c r="E348" s="532" t="s">
        <v>4695</v>
      </c>
      <c r="F348" s="534" t="s">
        <v>5851</v>
      </c>
      <c r="G348" s="534" t="s">
        <v>5852</v>
      </c>
      <c r="H348" s="534" t="s">
        <v>6270</v>
      </c>
      <c r="I348" s="408" t="e">
        <f>VLOOKUP(A348,'Sandi BI Existing Debitur'!$D$8:$D$592,1,0)</f>
        <v>#N/A</v>
      </c>
    </row>
    <row r="349" spans="1:9" ht="25.5" x14ac:dyDescent="0.25">
      <c r="A349" s="531" t="s">
        <v>5188</v>
      </c>
      <c r="B349" s="531" t="s">
        <v>4697</v>
      </c>
      <c r="C349" s="532" t="s">
        <v>4832</v>
      </c>
      <c r="D349" s="533" t="s">
        <v>5651</v>
      </c>
      <c r="E349" s="532" t="s">
        <v>4695</v>
      </c>
      <c r="F349" s="534" t="s">
        <v>5851</v>
      </c>
      <c r="G349" s="534" t="s">
        <v>5852</v>
      </c>
      <c r="H349" s="534" t="s">
        <v>6270</v>
      </c>
      <c r="I349" s="408" t="e">
        <f>VLOOKUP(A349,'Sandi BI Existing Debitur'!$D$8:$D$592,1,0)</f>
        <v>#N/A</v>
      </c>
    </row>
    <row r="350" spans="1:9" ht="51" x14ac:dyDescent="0.25">
      <c r="A350" s="531" t="s">
        <v>5189</v>
      </c>
      <c r="B350" s="531" t="s">
        <v>4698</v>
      </c>
      <c r="C350" s="532" t="s">
        <v>4832</v>
      </c>
      <c r="D350" s="533" t="s">
        <v>5652</v>
      </c>
      <c r="E350" s="532" t="s">
        <v>4695</v>
      </c>
      <c r="F350" s="534" t="s">
        <v>5865</v>
      </c>
      <c r="G350" s="534" t="s">
        <v>5866</v>
      </c>
      <c r="H350" s="534" t="s">
        <v>6127</v>
      </c>
      <c r="I350" s="408" t="e">
        <f>VLOOKUP(A350,'Sandi BI Existing Debitur'!$D$8:$D$592,1,0)</f>
        <v>#N/A</v>
      </c>
    </row>
    <row r="351" spans="1:9" ht="25.5" x14ac:dyDescent="0.25">
      <c r="A351" s="531" t="s">
        <v>5190</v>
      </c>
      <c r="B351" s="531" t="s">
        <v>4699</v>
      </c>
      <c r="C351" s="532" t="s">
        <v>4832</v>
      </c>
      <c r="D351" s="533" t="s">
        <v>5653</v>
      </c>
      <c r="E351" s="532" t="s">
        <v>4695</v>
      </c>
      <c r="F351" s="534" t="s">
        <v>5865</v>
      </c>
      <c r="G351" s="534" t="s">
        <v>5866</v>
      </c>
      <c r="H351" s="534" t="s">
        <v>6127</v>
      </c>
      <c r="I351" s="408" t="e">
        <f>VLOOKUP(A351,'Sandi BI Existing Debitur'!$D$8:$D$592,1,0)</f>
        <v>#N/A</v>
      </c>
    </row>
    <row r="352" spans="1:9" x14ac:dyDescent="0.25">
      <c r="A352" s="531" t="s">
        <v>5191</v>
      </c>
      <c r="B352" s="531" t="s">
        <v>4700</v>
      </c>
      <c r="C352" s="532" t="s">
        <v>4832</v>
      </c>
      <c r="D352" s="533" t="s">
        <v>5654</v>
      </c>
      <c r="E352" s="532" t="s">
        <v>4695</v>
      </c>
      <c r="F352" s="534" t="s">
        <v>5923</v>
      </c>
      <c r="G352" s="534" t="s">
        <v>5924</v>
      </c>
      <c r="H352" s="534" t="s">
        <v>6244</v>
      </c>
      <c r="I352" s="408" t="str">
        <f>VLOOKUP(A352,'Sandi BI Existing Debitur'!$D$8:$D$592,1,0)</f>
        <v>402000</v>
      </c>
    </row>
    <row r="353" spans="1:9" ht="38.25" x14ac:dyDescent="0.25">
      <c r="A353" s="531" t="s">
        <v>5195</v>
      </c>
      <c r="B353" s="531" t="s">
        <v>4704</v>
      </c>
      <c r="C353" s="532" t="s">
        <v>4832</v>
      </c>
      <c r="D353" s="533" t="s">
        <v>5658</v>
      </c>
      <c r="E353" s="532" t="s">
        <v>4695</v>
      </c>
      <c r="F353" s="534" t="s">
        <v>6019</v>
      </c>
      <c r="G353" s="534" t="s">
        <v>6020</v>
      </c>
      <c r="H353" s="534" t="s">
        <v>6233</v>
      </c>
      <c r="I353" s="408" t="e">
        <f>VLOOKUP(A353,'Sandi BI Existing Debitur'!$D$8:$D$592,1,0)</f>
        <v>#N/A</v>
      </c>
    </row>
    <row r="354" spans="1:9" ht="38.25" x14ac:dyDescent="0.25">
      <c r="A354" s="531" t="s">
        <v>5196</v>
      </c>
      <c r="B354" s="531" t="s">
        <v>4705</v>
      </c>
      <c r="C354" s="532" t="s">
        <v>4832</v>
      </c>
      <c r="D354" s="533" t="s">
        <v>5659</v>
      </c>
      <c r="E354" s="532" t="s">
        <v>4695</v>
      </c>
      <c r="F354" s="534" t="s">
        <v>6073</v>
      </c>
      <c r="G354" s="534" t="s">
        <v>6074</v>
      </c>
      <c r="H354" s="534" t="s">
        <v>6219</v>
      </c>
      <c r="I354" s="408" t="e">
        <f>VLOOKUP(A354,'Sandi BI Existing Debitur'!$D$8:$D$592,1,0)</f>
        <v>#N/A</v>
      </c>
    </row>
    <row r="355" spans="1:9" ht="25.5" x14ac:dyDescent="0.25">
      <c r="A355" s="531" t="s">
        <v>5197</v>
      </c>
      <c r="B355" s="531" t="s">
        <v>4706</v>
      </c>
      <c r="C355" s="532" t="s">
        <v>4832</v>
      </c>
      <c r="D355" s="533" t="s">
        <v>5660</v>
      </c>
      <c r="E355" s="532" t="s">
        <v>4695</v>
      </c>
      <c r="F355" s="534" t="s">
        <v>5951</v>
      </c>
      <c r="G355" s="534" t="s">
        <v>5952</v>
      </c>
      <c r="H355" s="534" t="s">
        <v>6148</v>
      </c>
      <c r="I355" s="408" t="e">
        <f>VLOOKUP(A355,'Sandi BI Existing Debitur'!$D$8:$D$592,1,0)</f>
        <v>#N/A</v>
      </c>
    </row>
    <row r="356" spans="1:9" ht="38.25" x14ac:dyDescent="0.25">
      <c r="A356" s="531" t="s">
        <v>5198</v>
      </c>
      <c r="B356" s="531" t="s">
        <v>4707</v>
      </c>
      <c r="C356" s="532" t="s">
        <v>4824</v>
      </c>
      <c r="D356" s="533" t="s">
        <v>5661</v>
      </c>
      <c r="E356" s="532" t="s">
        <v>4708</v>
      </c>
      <c r="F356" s="534" t="s">
        <v>5951</v>
      </c>
      <c r="G356" s="534" t="s">
        <v>5952</v>
      </c>
      <c r="H356" s="534" t="s">
        <v>6148</v>
      </c>
      <c r="I356" s="408" t="str">
        <f>VLOOKUP(A356,'Sandi BI Existing Debitur'!$D$8:$D$592,1,0)</f>
        <v>523800</v>
      </c>
    </row>
    <row r="357" spans="1:9" ht="38.25" x14ac:dyDescent="0.25">
      <c r="A357" s="531" t="s">
        <v>5199</v>
      </c>
      <c r="B357" s="531" t="s">
        <v>4709</v>
      </c>
      <c r="C357" s="532" t="s">
        <v>4824</v>
      </c>
      <c r="D357" s="533" t="s">
        <v>5662</v>
      </c>
      <c r="E357" s="532" t="s">
        <v>4708</v>
      </c>
      <c r="F357" s="534" t="s">
        <v>5951</v>
      </c>
      <c r="G357" s="534" t="s">
        <v>5952</v>
      </c>
      <c r="H357" s="534" t="s">
        <v>6148</v>
      </c>
      <c r="I357" s="408" t="e">
        <f>VLOOKUP(A357,'Sandi BI Existing Debitur'!$D$8:$D$592,1,0)</f>
        <v>#N/A</v>
      </c>
    </row>
    <row r="358" spans="1:9" ht="26.25" x14ac:dyDescent="0.25">
      <c r="A358" s="531" t="s">
        <v>5200</v>
      </c>
      <c r="B358" s="531" t="s">
        <v>4710</v>
      </c>
      <c r="C358" s="532" t="s">
        <v>4824</v>
      </c>
      <c r="D358" s="533" t="s">
        <v>5663</v>
      </c>
      <c r="E358" s="532" t="s">
        <v>4708</v>
      </c>
      <c r="F358" s="534" t="s">
        <v>6031</v>
      </c>
      <c r="G358" s="534" t="s">
        <v>6032</v>
      </c>
      <c r="H358" s="534" t="s">
        <v>6271</v>
      </c>
      <c r="I358" s="408" t="e">
        <f>VLOOKUP(A358,'Sandi BI Existing Debitur'!$D$8:$D$592,1,0)</f>
        <v>#N/A</v>
      </c>
    </row>
    <row r="359" spans="1:9" ht="38.25" x14ac:dyDescent="0.25">
      <c r="A359" s="531" t="s">
        <v>5201</v>
      </c>
      <c r="B359" s="531" t="s">
        <v>4711</v>
      </c>
      <c r="C359" s="532" t="s">
        <v>4824</v>
      </c>
      <c r="D359" s="533" t="s">
        <v>5664</v>
      </c>
      <c r="E359" s="532" t="s">
        <v>4708</v>
      </c>
      <c r="F359" s="534" t="s">
        <v>5951</v>
      </c>
      <c r="G359" s="534" t="s">
        <v>5952</v>
      </c>
      <c r="H359" s="534" t="s">
        <v>6148</v>
      </c>
      <c r="I359" s="408" t="str">
        <f>VLOOKUP(A359,'Sandi BI Existing Debitur'!$D$8:$D$592,1,0)</f>
        <v>523900</v>
      </c>
    </row>
    <row r="360" spans="1:9" ht="26.25" x14ac:dyDescent="0.25">
      <c r="A360" s="531" t="s">
        <v>5202</v>
      </c>
      <c r="B360" s="531" t="s">
        <v>4712</v>
      </c>
      <c r="C360" s="532" t="s">
        <v>4824</v>
      </c>
      <c r="D360" s="533" t="s">
        <v>5665</v>
      </c>
      <c r="E360" s="532" t="s">
        <v>4708</v>
      </c>
      <c r="F360" s="534" t="s">
        <v>5951</v>
      </c>
      <c r="G360" s="534" t="s">
        <v>5952</v>
      </c>
      <c r="H360" s="534" t="s">
        <v>6148</v>
      </c>
      <c r="I360" s="408" t="e">
        <f>VLOOKUP(A360,'Sandi BI Existing Debitur'!$D$8:$D$592,1,0)</f>
        <v>#N/A</v>
      </c>
    </row>
    <row r="361" spans="1:9" ht="25.5" x14ac:dyDescent="0.25">
      <c r="A361" s="531" t="s">
        <v>5203</v>
      </c>
      <c r="B361" s="531" t="s">
        <v>4713</v>
      </c>
      <c r="C361" s="532" t="s">
        <v>4824</v>
      </c>
      <c r="D361" s="533" t="s">
        <v>5666</v>
      </c>
      <c r="E361" s="532" t="s">
        <v>4708</v>
      </c>
      <c r="F361" s="534" t="s">
        <v>5951</v>
      </c>
      <c r="G361" s="534" t="s">
        <v>5952</v>
      </c>
      <c r="H361" s="534" t="s">
        <v>6148</v>
      </c>
      <c r="I361" s="408" t="e">
        <f>VLOOKUP(A361,'Sandi BI Existing Debitur'!$D$8:$D$592,1,0)</f>
        <v>#N/A</v>
      </c>
    </row>
    <row r="362" spans="1:9" ht="25.5" x14ac:dyDescent="0.25">
      <c r="A362" s="531" t="s">
        <v>5204</v>
      </c>
      <c r="B362" s="531" t="s">
        <v>4714</v>
      </c>
      <c r="C362" s="532" t="s">
        <v>4824</v>
      </c>
      <c r="D362" s="533" t="s">
        <v>5667</v>
      </c>
      <c r="E362" s="532" t="s">
        <v>4708</v>
      </c>
      <c r="F362" s="534" t="s">
        <v>5951</v>
      </c>
      <c r="G362" s="534" t="s">
        <v>5952</v>
      </c>
      <c r="H362" s="534" t="s">
        <v>6148</v>
      </c>
      <c r="I362" s="408" t="e">
        <f>VLOOKUP(A362,'Sandi BI Existing Debitur'!$D$8:$D$592,1,0)</f>
        <v>#N/A</v>
      </c>
    </row>
    <row r="363" spans="1:9" x14ac:dyDescent="0.25">
      <c r="A363" s="531" t="s">
        <v>5205</v>
      </c>
      <c r="B363" s="531" t="s">
        <v>4715</v>
      </c>
      <c r="C363" s="532" t="s">
        <v>4824</v>
      </c>
      <c r="D363" s="533" t="s">
        <v>5668</v>
      </c>
      <c r="E363" s="532" t="s">
        <v>4708</v>
      </c>
      <c r="F363" s="534" t="s">
        <v>5951</v>
      </c>
      <c r="G363" s="534" t="s">
        <v>5952</v>
      </c>
      <c r="H363" s="534" t="s">
        <v>6148</v>
      </c>
      <c r="I363" s="408" t="e">
        <f>VLOOKUP(A363,'Sandi BI Existing Debitur'!$D$8:$D$592,1,0)</f>
        <v>#N/A</v>
      </c>
    </row>
    <row r="364" spans="1:9" ht="25.5" x14ac:dyDescent="0.25">
      <c r="A364" s="531" t="s">
        <v>5206</v>
      </c>
      <c r="B364" s="531" t="s">
        <v>4716</v>
      </c>
      <c r="C364" s="532" t="s">
        <v>4824</v>
      </c>
      <c r="D364" s="533" t="s">
        <v>5669</v>
      </c>
      <c r="E364" s="532" t="s">
        <v>4708</v>
      </c>
      <c r="F364" s="534" t="s">
        <v>5955</v>
      </c>
      <c r="G364" s="534" t="s">
        <v>5956</v>
      </c>
      <c r="H364" s="534" t="s">
        <v>6217</v>
      </c>
      <c r="I364" s="408" t="str">
        <f>VLOOKUP(A364,'Sandi BI Existing Debitur'!$D$8:$D$592,1,0)</f>
        <v>514909</v>
      </c>
    </row>
    <row r="365" spans="1:9" ht="26.25" x14ac:dyDescent="0.25">
      <c r="A365" s="531" t="s">
        <v>5207</v>
      </c>
      <c r="B365" s="531" t="s">
        <v>4717</v>
      </c>
      <c r="C365" s="532" t="s">
        <v>4824</v>
      </c>
      <c r="D365" s="533" t="s">
        <v>5670</v>
      </c>
      <c r="E365" s="532" t="s">
        <v>4708</v>
      </c>
      <c r="F365" s="534" t="s">
        <v>5955</v>
      </c>
      <c r="G365" s="534" t="s">
        <v>5956</v>
      </c>
      <c r="H365" s="534" t="s">
        <v>6217</v>
      </c>
      <c r="I365" s="408" t="str">
        <f>VLOOKUP(A365,'Sandi BI Existing Debitur'!$D$8:$D$592,1,0)</f>
        <v>519009</v>
      </c>
    </row>
    <row r="366" spans="1:9" ht="51" x14ac:dyDescent="0.25">
      <c r="A366" s="531" t="s">
        <v>5208</v>
      </c>
      <c r="B366" s="531" t="s">
        <v>4718</v>
      </c>
      <c r="C366" s="532" t="s">
        <v>4824</v>
      </c>
      <c r="D366" s="533" t="s">
        <v>5671</v>
      </c>
      <c r="E366" s="532" t="s">
        <v>4708</v>
      </c>
      <c r="F366" s="534" t="s">
        <v>6033</v>
      </c>
      <c r="G366" s="534" t="s">
        <v>6034</v>
      </c>
      <c r="H366" s="534" t="s">
        <v>6232</v>
      </c>
      <c r="I366" s="408" t="e">
        <f>VLOOKUP(A366,'Sandi BI Existing Debitur'!$D$8:$D$592,1,0)</f>
        <v>#N/A</v>
      </c>
    </row>
    <row r="367" spans="1:9" ht="25.5" x14ac:dyDescent="0.25">
      <c r="A367" s="531" t="s">
        <v>5209</v>
      </c>
      <c r="B367" s="531" t="s">
        <v>4719</v>
      </c>
      <c r="C367" s="532" t="s">
        <v>4824</v>
      </c>
      <c r="D367" s="533" t="s">
        <v>5672</v>
      </c>
      <c r="E367" s="532" t="s">
        <v>4708</v>
      </c>
      <c r="F367" s="534" t="s">
        <v>6055</v>
      </c>
      <c r="G367" s="534" t="s">
        <v>6056</v>
      </c>
      <c r="H367" s="534" t="s">
        <v>6272</v>
      </c>
      <c r="I367" s="408" t="e">
        <f>VLOOKUP(A367,'Sandi BI Existing Debitur'!$D$8:$D$592,1,0)</f>
        <v>#N/A</v>
      </c>
    </row>
    <row r="368" spans="1:9" ht="26.25" x14ac:dyDescent="0.25">
      <c r="A368" s="531" t="s">
        <v>5210</v>
      </c>
      <c r="B368" s="531" t="s">
        <v>4720</v>
      </c>
      <c r="C368" s="532" t="s">
        <v>4824</v>
      </c>
      <c r="D368" s="533" t="s">
        <v>5673</v>
      </c>
      <c r="E368" s="532" t="s">
        <v>4708</v>
      </c>
      <c r="F368" s="534" t="s">
        <v>6033</v>
      </c>
      <c r="G368" s="534" t="s">
        <v>6034</v>
      </c>
      <c r="H368" s="534" t="s">
        <v>6232</v>
      </c>
      <c r="I368" s="408" t="e">
        <f>VLOOKUP(A368,'Sandi BI Existing Debitur'!$D$8:$D$592,1,0)</f>
        <v>#N/A</v>
      </c>
    </row>
    <row r="369" spans="1:9" ht="25.5" x14ac:dyDescent="0.25">
      <c r="A369" s="531" t="s">
        <v>5211</v>
      </c>
      <c r="B369" s="531" t="s">
        <v>4721</v>
      </c>
      <c r="C369" s="532" t="s">
        <v>4824</v>
      </c>
      <c r="D369" s="533" t="s">
        <v>5674</v>
      </c>
      <c r="E369" s="532" t="s">
        <v>4708</v>
      </c>
      <c r="F369" s="534" t="s">
        <v>6073</v>
      </c>
      <c r="G369" s="534" t="s">
        <v>6074</v>
      </c>
      <c r="H369" s="534" t="s">
        <v>6219</v>
      </c>
      <c r="I369" s="408" t="e">
        <f>VLOOKUP(A369,'Sandi BI Existing Debitur'!$D$8:$D$592,1,0)</f>
        <v>#N/A</v>
      </c>
    </row>
    <row r="370" spans="1:9" x14ac:dyDescent="0.25">
      <c r="A370" s="531" t="s">
        <v>5212</v>
      </c>
      <c r="B370" s="531" t="s">
        <v>4722</v>
      </c>
      <c r="C370" s="532" t="s">
        <v>4824</v>
      </c>
      <c r="D370" s="533" t="s">
        <v>5675</v>
      </c>
      <c r="E370" s="532" t="s">
        <v>4708</v>
      </c>
      <c r="F370" s="534" t="s">
        <v>6073</v>
      </c>
      <c r="G370" s="534" t="s">
        <v>6074</v>
      </c>
      <c r="H370" s="534" t="s">
        <v>6219</v>
      </c>
      <c r="I370" s="408" t="e">
        <f>VLOOKUP(A370,'Sandi BI Existing Debitur'!$D$8:$D$592,1,0)</f>
        <v>#N/A</v>
      </c>
    </row>
    <row r="371" spans="1:9" x14ac:dyDescent="0.25">
      <c r="A371" s="531" t="s">
        <v>5213</v>
      </c>
      <c r="B371" s="531" t="s">
        <v>4723</v>
      </c>
      <c r="C371" s="532" t="s">
        <v>4824</v>
      </c>
      <c r="D371" s="533" t="s">
        <v>5676</v>
      </c>
      <c r="E371" s="532" t="s">
        <v>4708</v>
      </c>
      <c r="F371" s="534" t="s">
        <v>5951</v>
      </c>
      <c r="G371" s="534" t="s">
        <v>5952</v>
      </c>
      <c r="H371" s="534" t="s">
        <v>6148</v>
      </c>
      <c r="I371" s="408" t="e">
        <f>VLOOKUP(A371,'Sandi BI Existing Debitur'!$D$8:$D$592,1,0)</f>
        <v>#N/A</v>
      </c>
    </row>
    <row r="372" spans="1:9" ht="64.5" x14ac:dyDescent="0.25">
      <c r="A372" s="536" t="s">
        <v>5214</v>
      </c>
      <c r="B372" s="537" t="s">
        <v>4724</v>
      </c>
      <c r="C372" s="532" t="s">
        <v>4824</v>
      </c>
      <c r="D372" s="533" t="s">
        <v>5677</v>
      </c>
      <c r="E372" s="532" t="s">
        <v>4708</v>
      </c>
      <c r="F372" s="534" t="s">
        <v>5779</v>
      </c>
      <c r="G372" s="534" t="s">
        <v>5780</v>
      </c>
      <c r="H372" s="534" t="s">
        <v>6273</v>
      </c>
      <c r="I372" s="408" t="e">
        <f>VLOOKUP(A372,'Sandi BI Existing Debitur'!$D$8:$D$592,1,0)</f>
        <v>#N/A</v>
      </c>
    </row>
    <row r="373" spans="1:9" ht="51.75" x14ac:dyDescent="0.25">
      <c r="A373" s="536" t="s">
        <v>5215</v>
      </c>
      <c r="B373" s="537" t="s">
        <v>4725</v>
      </c>
      <c r="C373" s="532" t="s">
        <v>4824</v>
      </c>
      <c r="D373" s="533" t="s">
        <v>5678</v>
      </c>
      <c r="E373" s="532" t="s">
        <v>4708</v>
      </c>
      <c r="F373" s="534" t="s">
        <v>5779</v>
      </c>
      <c r="G373" s="534" t="s">
        <v>5780</v>
      </c>
      <c r="H373" s="534" t="s">
        <v>6273</v>
      </c>
      <c r="I373" s="408" t="e">
        <f>VLOOKUP(A373,'Sandi BI Existing Debitur'!$D$8:$D$592,1,0)</f>
        <v>#N/A</v>
      </c>
    </row>
    <row r="374" spans="1:9" ht="51.75" x14ac:dyDescent="0.25">
      <c r="A374" s="536" t="s">
        <v>5216</v>
      </c>
      <c r="B374" s="537" t="s">
        <v>4726</v>
      </c>
      <c r="C374" s="532" t="s">
        <v>4824</v>
      </c>
      <c r="D374" s="533" t="s">
        <v>5679</v>
      </c>
      <c r="E374" s="532" t="s">
        <v>4708</v>
      </c>
      <c r="F374" s="534" t="s">
        <v>5781</v>
      </c>
      <c r="G374" s="534" t="s">
        <v>5782</v>
      </c>
      <c r="H374" s="534" t="s">
        <v>6223</v>
      </c>
      <c r="I374" s="408" t="e">
        <f>VLOOKUP(A374,'Sandi BI Existing Debitur'!$D$8:$D$592,1,0)</f>
        <v>#N/A</v>
      </c>
    </row>
    <row r="375" spans="1:9" ht="51.75" x14ac:dyDescent="0.25">
      <c r="A375" s="536" t="s">
        <v>5217</v>
      </c>
      <c r="B375" s="537" t="s">
        <v>4727</v>
      </c>
      <c r="C375" s="532" t="s">
        <v>4824</v>
      </c>
      <c r="D375" s="533" t="s">
        <v>5680</v>
      </c>
      <c r="E375" s="532" t="s">
        <v>4708</v>
      </c>
      <c r="F375" s="534" t="s">
        <v>5781</v>
      </c>
      <c r="G375" s="534" t="s">
        <v>5782</v>
      </c>
      <c r="H375" s="534" t="s">
        <v>6223</v>
      </c>
      <c r="I375" s="408" t="e">
        <f>VLOOKUP(A375,'Sandi BI Existing Debitur'!$D$8:$D$592,1,0)</f>
        <v>#N/A</v>
      </c>
    </row>
    <row r="376" spans="1:9" ht="39" x14ac:dyDescent="0.25">
      <c r="A376" s="536" t="s">
        <v>5218</v>
      </c>
      <c r="B376" s="537" t="s">
        <v>4728</v>
      </c>
      <c r="C376" s="532" t="s">
        <v>4824</v>
      </c>
      <c r="D376" s="533" t="s">
        <v>5681</v>
      </c>
      <c r="E376" s="532" t="s">
        <v>4708</v>
      </c>
      <c r="F376" s="534" t="s">
        <v>5951</v>
      </c>
      <c r="G376" s="534" t="s">
        <v>5952</v>
      </c>
      <c r="H376" s="534" t="s">
        <v>6148</v>
      </c>
      <c r="I376" s="408" t="e">
        <f>VLOOKUP(A376,'Sandi BI Existing Debitur'!$D$8:$D$592,1,0)</f>
        <v>#N/A</v>
      </c>
    </row>
    <row r="377" spans="1:9" x14ac:dyDescent="0.25">
      <c r="A377" s="531" t="s">
        <v>5219</v>
      </c>
      <c r="B377" s="531" t="s">
        <v>4729</v>
      </c>
      <c r="C377" s="532" t="s">
        <v>4824</v>
      </c>
      <c r="D377" s="533" t="s">
        <v>5682</v>
      </c>
      <c r="E377" s="532" t="s">
        <v>4708</v>
      </c>
      <c r="F377" s="534" t="s">
        <v>5865</v>
      </c>
      <c r="G377" s="534" t="s">
        <v>5866</v>
      </c>
      <c r="H377" s="534" t="s">
        <v>6127</v>
      </c>
      <c r="I377" s="408" t="e">
        <f>VLOOKUP(A377,'Sandi BI Existing Debitur'!$D$8:$D$592,1,0)</f>
        <v>#N/A</v>
      </c>
    </row>
    <row r="378" spans="1:9" x14ac:dyDescent="0.25">
      <c r="A378" s="531" t="s">
        <v>5220</v>
      </c>
      <c r="B378" s="531" t="s">
        <v>4730</v>
      </c>
      <c r="C378" s="532" t="s">
        <v>4824</v>
      </c>
      <c r="D378" s="533" t="s">
        <v>5683</v>
      </c>
      <c r="E378" s="532" t="s">
        <v>4708</v>
      </c>
      <c r="F378" s="534" t="s">
        <v>5865</v>
      </c>
      <c r="G378" s="534" t="s">
        <v>5866</v>
      </c>
      <c r="H378" s="534" t="s">
        <v>6127</v>
      </c>
      <c r="I378" s="408" t="str">
        <f>VLOOKUP(A378,'Sandi BI Existing Debitur'!$D$8:$D$592,1,0)</f>
        <v>369000</v>
      </c>
    </row>
    <row r="379" spans="1:9" ht="51.75" x14ac:dyDescent="0.25">
      <c r="A379" s="536" t="s">
        <v>5221</v>
      </c>
      <c r="B379" s="537" t="s">
        <v>4731</v>
      </c>
      <c r="C379" s="532" t="s">
        <v>4824</v>
      </c>
      <c r="D379" s="533" t="s">
        <v>5684</v>
      </c>
      <c r="E379" s="532" t="s">
        <v>4708</v>
      </c>
      <c r="F379" s="534" t="s">
        <v>5781</v>
      </c>
      <c r="G379" s="534" t="s">
        <v>5782</v>
      </c>
      <c r="H379" s="534" t="s">
        <v>6223</v>
      </c>
      <c r="I379" s="408" t="e">
        <f>VLOOKUP(A379,'Sandi BI Existing Debitur'!$D$8:$D$592,1,0)</f>
        <v>#N/A</v>
      </c>
    </row>
    <row r="380" spans="1:9" ht="64.5" x14ac:dyDescent="0.25">
      <c r="A380" s="536" t="s">
        <v>5222</v>
      </c>
      <c r="B380" s="537" t="s">
        <v>4732</v>
      </c>
      <c r="C380" s="532" t="s">
        <v>4824</v>
      </c>
      <c r="D380" s="533" t="s">
        <v>5685</v>
      </c>
      <c r="E380" s="532" t="s">
        <v>4708</v>
      </c>
      <c r="F380" s="534" t="s">
        <v>5781</v>
      </c>
      <c r="G380" s="534" t="s">
        <v>5782</v>
      </c>
      <c r="H380" s="534" t="s">
        <v>6223</v>
      </c>
      <c r="I380" s="408" t="e">
        <f>VLOOKUP(A380,'Sandi BI Existing Debitur'!$D$8:$D$592,1,0)</f>
        <v>#N/A</v>
      </c>
    </row>
    <row r="381" spans="1:9" ht="25.5" x14ac:dyDescent="0.25">
      <c r="A381" s="531" t="s">
        <v>5274</v>
      </c>
      <c r="B381" s="531" t="s">
        <v>4790</v>
      </c>
      <c r="C381" s="532" t="s">
        <v>4824</v>
      </c>
      <c r="D381" s="533" t="s">
        <v>5737</v>
      </c>
      <c r="E381" s="569" t="s">
        <v>4708</v>
      </c>
      <c r="F381" s="534" t="s">
        <v>5865</v>
      </c>
      <c r="G381" s="534" t="s">
        <v>5866</v>
      </c>
      <c r="H381" s="534" t="s">
        <v>6127</v>
      </c>
      <c r="I381" s="408" t="e">
        <f>VLOOKUP(A381,'Sandi BI Existing Debitur'!$D$8:$D$592,1,0)</f>
        <v>#N/A</v>
      </c>
    </row>
    <row r="382" spans="1:9" x14ac:dyDescent="0.25">
      <c r="A382" s="531" t="s">
        <v>5223</v>
      </c>
      <c r="B382" s="535" t="s">
        <v>4733</v>
      </c>
      <c r="C382" s="532" t="s">
        <v>4734</v>
      </c>
      <c r="D382" s="533" t="s">
        <v>5686</v>
      </c>
      <c r="E382" s="532" t="s">
        <v>4734</v>
      </c>
      <c r="F382" s="534" t="s">
        <v>5805</v>
      </c>
      <c r="G382" s="534" t="s">
        <v>5806</v>
      </c>
      <c r="H382" s="534" t="s">
        <v>6274</v>
      </c>
      <c r="I382" s="408" t="e">
        <f>VLOOKUP(A382,'Sandi BI Existing Debitur'!$D$8:$D$592,1,0)</f>
        <v>#N/A</v>
      </c>
    </row>
    <row r="383" spans="1:9" x14ac:dyDescent="0.25">
      <c r="A383" s="531" t="s">
        <v>5224</v>
      </c>
      <c r="B383" s="535" t="s">
        <v>4735</v>
      </c>
      <c r="C383" s="532" t="s">
        <v>4734</v>
      </c>
      <c r="D383" s="533" t="s">
        <v>5687</v>
      </c>
      <c r="E383" s="532" t="s">
        <v>4734</v>
      </c>
      <c r="F383" s="534" t="s">
        <v>5807</v>
      </c>
      <c r="G383" s="534" t="s">
        <v>5808</v>
      </c>
      <c r="H383" s="534" t="s">
        <v>6275</v>
      </c>
      <c r="I383" s="408" t="e">
        <f>VLOOKUP(A383,'Sandi BI Existing Debitur'!$D$8:$D$592,1,0)</f>
        <v>#N/A</v>
      </c>
    </row>
    <row r="384" spans="1:9" x14ac:dyDescent="0.25">
      <c r="A384" s="531" t="s">
        <v>5225</v>
      </c>
      <c r="B384" s="535" t="s">
        <v>4736</v>
      </c>
      <c r="C384" s="532" t="s">
        <v>4734</v>
      </c>
      <c r="D384" s="533" t="s">
        <v>5688</v>
      </c>
      <c r="E384" s="532" t="s">
        <v>4734</v>
      </c>
      <c r="F384" s="534" t="s">
        <v>5809</v>
      </c>
      <c r="G384" s="534" t="s">
        <v>5810</v>
      </c>
      <c r="H384" s="534" t="s">
        <v>6276</v>
      </c>
      <c r="I384" s="408" t="e">
        <f>VLOOKUP(A384,'Sandi BI Existing Debitur'!$D$8:$D$592,1,0)</f>
        <v>#N/A</v>
      </c>
    </row>
    <row r="385" spans="1:9" x14ac:dyDescent="0.25">
      <c r="A385" s="531" t="s">
        <v>5226</v>
      </c>
      <c r="B385" s="535" t="s">
        <v>4737</v>
      </c>
      <c r="C385" s="532" t="s">
        <v>4734</v>
      </c>
      <c r="D385" s="533" t="s">
        <v>5689</v>
      </c>
      <c r="E385" s="532" t="s">
        <v>4734</v>
      </c>
      <c r="F385" s="534" t="s">
        <v>5811</v>
      </c>
      <c r="G385" s="534" t="s">
        <v>5812</v>
      </c>
      <c r="H385" s="534" t="s">
        <v>6277</v>
      </c>
      <c r="I385" s="408" t="e">
        <f>VLOOKUP(A385,'Sandi BI Existing Debitur'!$D$8:$D$592,1,0)</f>
        <v>#N/A</v>
      </c>
    </row>
    <row r="386" spans="1:9" x14ac:dyDescent="0.25">
      <c r="A386" s="531" t="s">
        <v>5227</v>
      </c>
      <c r="B386" s="535" t="s">
        <v>4738</v>
      </c>
      <c r="C386" s="532" t="s">
        <v>4734</v>
      </c>
      <c r="D386" s="533" t="s">
        <v>5690</v>
      </c>
      <c r="E386" s="532" t="s">
        <v>4734</v>
      </c>
      <c r="F386" s="534" t="s">
        <v>5799</v>
      </c>
      <c r="G386" s="534" t="s">
        <v>5800</v>
      </c>
      <c r="H386" s="534" t="s">
        <v>6145</v>
      </c>
      <c r="I386" s="408" t="e">
        <f>VLOOKUP(A386,'Sandi BI Existing Debitur'!$D$8:$D$592,1,0)</f>
        <v>#N/A</v>
      </c>
    </row>
    <row r="387" spans="1:9" x14ac:dyDescent="0.25">
      <c r="A387" s="531" t="s">
        <v>5228</v>
      </c>
      <c r="B387" s="535" t="s">
        <v>4739</v>
      </c>
      <c r="C387" s="532" t="s">
        <v>4734</v>
      </c>
      <c r="D387" s="533" t="s">
        <v>5691</v>
      </c>
      <c r="E387" s="532" t="s">
        <v>4734</v>
      </c>
      <c r="F387" s="534" t="s">
        <v>5813</v>
      </c>
      <c r="G387" s="534" t="s">
        <v>5814</v>
      </c>
      <c r="H387" s="534" t="s">
        <v>6278</v>
      </c>
      <c r="I387" s="408" t="e">
        <f>VLOOKUP(A387,'Sandi BI Existing Debitur'!$D$8:$D$592,1,0)</f>
        <v>#N/A</v>
      </c>
    </row>
    <row r="388" spans="1:9" x14ac:dyDescent="0.25">
      <c r="A388" s="531" t="s">
        <v>5229</v>
      </c>
      <c r="B388" s="535" t="s">
        <v>4740</v>
      </c>
      <c r="C388" s="532" t="s">
        <v>4734</v>
      </c>
      <c r="D388" s="533" t="s">
        <v>5692</v>
      </c>
      <c r="E388" s="532" t="s">
        <v>4734</v>
      </c>
      <c r="F388" s="534" t="s">
        <v>5817</v>
      </c>
      <c r="G388" s="534" t="s">
        <v>5818</v>
      </c>
      <c r="H388" s="534" t="s">
        <v>6279</v>
      </c>
      <c r="I388" s="408" t="e">
        <f>VLOOKUP(A388,'Sandi BI Existing Debitur'!$D$8:$D$592,1,0)</f>
        <v>#N/A</v>
      </c>
    </row>
    <row r="389" spans="1:9" x14ac:dyDescent="0.25">
      <c r="A389" s="531" t="s">
        <v>5230</v>
      </c>
      <c r="B389" s="535" t="s">
        <v>4741</v>
      </c>
      <c r="C389" s="532" t="s">
        <v>4734</v>
      </c>
      <c r="D389" s="533" t="s">
        <v>5693</v>
      </c>
      <c r="E389" s="532" t="s">
        <v>4734</v>
      </c>
      <c r="F389" s="534" t="s">
        <v>5819</v>
      </c>
      <c r="G389" s="534" t="s">
        <v>5820</v>
      </c>
      <c r="H389" s="534" t="s">
        <v>6280</v>
      </c>
      <c r="I389" s="408" t="e">
        <f>VLOOKUP(A389,'Sandi BI Existing Debitur'!$D$8:$D$592,1,0)</f>
        <v>#N/A</v>
      </c>
    </row>
    <row r="390" spans="1:9" ht="26.25" x14ac:dyDescent="0.25">
      <c r="A390" s="531" t="s">
        <v>5231</v>
      </c>
      <c r="B390" s="531" t="s">
        <v>4742</v>
      </c>
      <c r="C390" s="532" t="s">
        <v>4734</v>
      </c>
      <c r="D390" s="533" t="s">
        <v>5694</v>
      </c>
      <c r="E390" s="532" t="s">
        <v>4734</v>
      </c>
      <c r="F390" s="534" t="s">
        <v>5799</v>
      </c>
      <c r="G390" s="534" t="s">
        <v>5800</v>
      </c>
      <c r="H390" s="534" t="s">
        <v>6145</v>
      </c>
      <c r="I390" s="408" t="e">
        <f>VLOOKUP(A390,'Sandi BI Existing Debitur'!$D$8:$D$592,1,0)</f>
        <v>#N/A</v>
      </c>
    </row>
    <row r="391" spans="1:9" ht="25.5" x14ac:dyDescent="0.25">
      <c r="A391" s="531" t="s">
        <v>5232</v>
      </c>
      <c r="B391" s="535" t="s">
        <v>4743</v>
      </c>
      <c r="C391" s="532" t="s">
        <v>4734</v>
      </c>
      <c r="D391" s="533" t="s">
        <v>5695</v>
      </c>
      <c r="E391" s="532" t="s">
        <v>4734</v>
      </c>
      <c r="F391" s="534" t="s">
        <v>5797</v>
      </c>
      <c r="G391" s="534" t="s">
        <v>5798</v>
      </c>
      <c r="H391" s="534" t="s">
        <v>6281</v>
      </c>
      <c r="I391" s="408" t="e">
        <f>VLOOKUP(A391,'Sandi BI Existing Debitur'!$D$8:$D$592,1,0)</f>
        <v>#N/A</v>
      </c>
    </row>
    <row r="392" spans="1:9" ht="25.5" x14ac:dyDescent="0.25">
      <c r="A392" s="531" t="s">
        <v>5233</v>
      </c>
      <c r="B392" s="535" t="s">
        <v>4744</v>
      </c>
      <c r="C392" s="532" t="s">
        <v>4734</v>
      </c>
      <c r="D392" s="533" t="s">
        <v>5696</v>
      </c>
      <c r="E392" s="532" t="s">
        <v>4734</v>
      </c>
      <c r="F392" s="534" t="s">
        <v>5799</v>
      </c>
      <c r="G392" s="534" t="s">
        <v>5800</v>
      </c>
      <c r="H392" s="534" t="s">
        <v>6145</v>
      </c>
      <c r="I392" s="408" t="e">
        <f>VLOOKUP(A392,'Sandi BI Existing Debitur'!$D$8:$D$592,1,0)</f>
        <v>#N/A</v>
      </c>
    </row>
    <row r="393" spans="1:9" x14ac:dyDescent="0.25">
      <c r="A393" s="531" t="s">
        <v>5234</v>
      </c>
      <c r="B393" s="535" t="s">
        <v>4745</v>
      </c>
      <c r="C393" s="532" t="s">
        <v>4734</v>
      </c>
      <c r="D393" s="533" t="s">
        <v>5697</v>
      </c>
      <c r="E393" s="532" t="s">
        <v>4734</v>
      </c>
      <c r="F393" s="534" t="s">
        <v>5795</v>
      </c>
      <c r="G393" s="534" t="s">
        <v>5796</v>
      </c>
      <c r="H393" s="534" t="s">
        <v>6282</v>
      </c>
      <c r="I393" s="408" t="e">
        <f>VLOOKUP(A393,'Sandi BI Existing Debitur'!$D$8:$D$592,1,0)</f>
        <v>#N/A</v>
      </c>
    </row>
    <row r="394" spans="1:9" x14ac:dyDescent="0.25">
      <c r="A394" s="531" t="s">
        <v>5235</v>
      </c>
      <c r="B394" s="535" t="s">
        <v>4746</v>
      </c>
      <c r="C394" s="532" t="s">
        <v>4734</v>
      </c>
      <c r="D394" s="533" t="s">
        <v>5698</v>
      </c>
      <c r="E394" s="532" t="s">
        <v>4734</v>
      </c>
      <c r="F394" s="534" t="s">
        <v>5815</v>
      </c>
      <c r="G394" s="534" t="s">
        <v>5816</v>
      </c>
      <c r="H394" s="534" t="s">
        <v>6283</v>
      </c>
      <c r="I394" s="408" t="e">
        <f>VLOOKUP(A394,'Sandi BI Existing Debitur'!$D$8:$D$592,1,0)</f>
        <v>#N/A</v>
      </c>
    </row>
    <row r="395" spans="1:9" ht="25.5" x14ac:dyDescent="0.25">
      <c r="A395" s="531" t="s">
        <v>5115</v>
      </c>
      <c r="B395" s="531" t="s">
        <v>4618</v>
      </c>
      <c r="C395" s="532" t="s">
        <v>4831</v>
      </c>
      <c r="D395" s="533" t="s">
        <v>5578</v>
      </c>
      <c r="E395" s="569" t="s">
        <v>4748</v>
      </c>
      <c r="F395" s="534" t="s">
        <v>5865</v>
      </c>
      <c r="G395" s="534" t="s">
        <v>5866</v>
      </c>
      <c r="H395" s="534" t="s">
        <v>6127</v>
      </c>
      <c r="I395" s="408" t="str">
        <f>VLOOKUP(A395,'Sandi BI Existing Debitur'!$D$8:$D$592,1,0)</f>
        <v>210200</v>
      </c>
    </row>
    <row r="396" spans="1:9" ht="38.25" x14ac:dyDescent="0.25">
      <c r="A396" s="531" t="s">
        <v>5116</v>
      </c>
      <c r="B396" s="531" t="s">
        <v>4619</v>
      </c>
      <c r="C396" s="532" t="s">
        <v>4831</v>
      </c>
      <c r="D396" s="533" t="s">
        <v>5579</v>
      </c>
      <c r="E396" s="569" t="s">
        <v>4748</v>
      </c>
      <c r="F396" s="534" t="s">
        <v>5865</v>
      </c>
      <c r="G396" s="534" t="s">
        <v>5866</v>
      </c>
      <c r="H396" s="534" t="s">
        <v>6127</v>
      </c>
      <c r="I396" s="408" t="str">
        <f>VLOOKUP(A396,'Sandi BI Existing Debitur'!$D$8:$D$592,1,0)</f>
        <v>210900</v>
      </c>
    </row>
    <row r="397" spans="1:9" x14ac:dyDescent="0.25">
      <c r="A397" s="531" t="s">
        <v>5236</v>
      </c>
      <c r="B397" s="531" t="s">
        <v>4747</v>
      </c>
      <c r="C397" s="532" t="s">
        <v>4831</v>
      </c>
      <c r="D397" s="533" t="s">
        <v>5699</v>
      </c>
      <c r="E397" s="532" t="s">
        <v>4748</v>
      </c>
      <c r="F397" s="534" t="s">
        <v>5865</v>
      </c>
      <c r="G397" s="534" t="s">
        <v>5866</v>
      </c>
      <c r="H397" s="534" t="s">
        <v>6127</v>
      </c>
      <c r="I397" s="408" t="str">
        <f>VLOOKUP(A397,'Sandi BI Existing Debitur'!$D$8:$D$592,1,0)</f>
        <v>241300</v>
      </c>
    </row>
    <row r="398" spans="1:9" x14ac:dyDescent="0.25">
      <c r="A398" s="531" t="s">
        <v>5237</v>
      </c>
      <c r="B398" s="531" t="s">
        <v>4749</v>
      </c>
      <c r="C398" s="532" t="s">
        <v>4831</v>
      </c>
      <c r="D398" s="533" t="s">
        <v>5700</v>
      </c>
      <c r="E398" s="532" t="s">
        <v>4748</v>
      </c>
      <c r="F398" s="534" t="s">
        <v>5911</v>
      </c>
      <c r="G398" s="534" t="s">
        <v>5912</v>
      </c>
      <c r="H398" s="534" t="s">
        <v>6284</v>
      </c>
      <c r="I398" s="408" t="str">
        <f>VLOOKUP(A398,'Sandi BI Existing Debitur'!$D$8:$D$592,1,0)</f>
        <v>252000</v>
      </c>
    </row>
    <row r="399" spans="1:9" ht="26.25" x14ac:dyDescent="0.25">
      <c r="A399" s="531" t="s">
        <v>5238</v>
      </c>
      <c r="B399" s="531" t="s">
        <v>4750</v>
      </c>
      <c r="C399" s="532" t="s">
        <v>4831</v>
      </c>
      <c r="D399" s="533" t="s">
        <v>5701</v>
      </c>
      <c r="E399" s="532" t="s">
        <v>4748</v>
      </c>
      <c r="F399" s="534" t="s">
        <v>5893</v>
      </c>
      <c r="G399" s="534" t="s">
        <v>5894</v>
      </c>
      <c r="H399" s="534" t="s">
        <v>6285</v>
      </c>
      <c r="I399" s="408" t="str">
        <f>VLOOKUP(A399,'Sandi BI Existing Debitur'!$D$8:$D$592,1,0)</f>
        <v>210100</v>
      </c>
    </row>
    <row r="400" spans="1:9" ht="25.5" x14ac:dyDescent="0.25">
      <c r="A400" s="531" t="s">
        <v>5239</v>
      </c>
      <c r="B400" s="531" t="s">
        <v>4751</v>
      </c>
      <c r="C400" s="532" t="s">
        <v>4831</v>
      </c>
      <c r="D400" s="533" t="s">
        <v>5702</v>
      </c>
      <c r="E400" s="532" t="s">
        <v>4748</v>
      </c>
      <c r="F400" s="534" t="s">
        <v>5995</v>
      </c>
      <c r="G400" s="534" t="s">
        <v>5996</v>
      </c>
      <c r="H400" s="534" t="s">
        <v>6286</v>
      </c>
      <c r="I400" s="408" t="e">
        <f>VLOOKUP(A400,'Sandi BI Existing Debitur'!$D$8:$D$592,1,0)</f>
        <v>#N/A</v>
      </c>
    </row>
    <row r="401" spans="1:9" x14ac:dyDescent="0.25">
      <c r="A401" s="531" t="s">
        <v>5242</v>
      </c>
      <c r="B401" s="531" t="s">
        <v>4754</v>
      </c>
      <c r="C401" s="532" t="s">
        <v>4827</v>
      </c>
      <c r="D401" s="533" t="s">
        <v>5705</v>
      </c>
      <c r="E401" s="532" t="s">
        <v>4755</v>
      </c>
      <c r="F401" s="534" t="s">
        <v>6085</v>
      </c>
      <c r="G401" s="534" t="s">
        <v>6086</v>
      </c>
      <c r="H401" s="534" t="s">
        <v>6220</v>
      </c>
      <c r="I401" s="408" t="e">
        <f>VLOOKUP(A401,'Sandi BI Existing Debitur'!$D$8:$D$592,1,0)</f>
        <v>#N/A</v>
      </c>
    </row>
    <row r="402" spans="1:9" ht="25.5" x14ac:dyDescent="0.25">
      <c r="A402" s="531" t="s">
        <v>5243</v>
      </c>
      <c r="B402" s="531" t="s">
        <v>4756</v>
      </c>
      <c r="C402" s="532" t="s">
        <v>4827</v>
      </c>
      <c r="D402" s="533" t="s">
        <v>5706</v>
      </c>
      <c r="E402" s="532" t="s">
        <v>4755</v>
      </c>
      <c r="F402" s="534" t="s">
        <v>5865</v>
      </c>
      <c r="G402" s="534" t="s">
        <v>5866</v>
      </c>
      <c r="H402" s="534" t="s">
        <v>6127</v>
      </c>
      <c r="I402" s="408" t="e">
        <f>VLOOKUP(A402,'Sandi BI Existing Debitur'!$D$8:$D$592,1,0)</f>
        <v>#N/A</v>
      </c>
    </row>
    <row r="403" spans="1:9" ht="38.25" x14ac:dyDescent="0.25">
      <c r="A403" s="531" t="s">
        <v>5244</v>
      </c>
      <c r="B403" s="531" t="s">
        <v>4757</v>
      </c>
      <c r="C403" s="532" t="s">
        <v>4827</v>
      </c>
      <c r="D403" s="533" t="s">
        <v>5707</v>
      </c>
      <c r="E403" s="532" t="s">
        <v>4755</v>
      </c>
      <c r="F403" s="534" t="s">
        <v>5865</v>
      </c>
      <c r="G403" s="534" t="s">
        <v>5866</v>
      </c>
      <c r="H403" s="534" t="s">
        <v>6127</v>
      </c>
      <c r="I403" s="408" t="e">
        <f>VLOOKUP(A403,'Sandi BI Existing Debitur'!$D$8:$D$592,1,0)</f>
        <v>#N/A</v>
      </c>
    </row>
    <row r="404" spans="1:9" ht="26.25" x14ac:dyDescent="0.25">
      <c r="A404" s="531" t="s">
        <v>5245</v>
      </c>
      <c r="B404" s="531" t="s">
        <v>4758</v>
      </c>
      <c r="C404" s="532" t="s">
        <v>4827</v>
      </c>
      <c r="D404" s="533" t="s">
        <v>5708</v>
      </c>
      <c r="E404" s="532" t="s">
        <v>4755</v>
      </c>
      <c r="F404" s="534" t="s">
        <v>6119</v>
      </c>
      <c r="G404" s="534" t="s">
        <v>6120</v>
      </c>
      <c r="H404" s="534" t="s">
        <v>6287</v>
      </c>
      <c r="I404" s="408" t="e">
        <f>VLOOKUP(A404,'Sandi BI Existing Debitur'!$D$8:$D$592,1,0)</f>
        <v>#N/A</v>
      </c>
    </row>
    <row r="405" spans="1:9" x14ac:dyDescent="0.25">
      <c r="A405" s="531" t="s">
        <v>5246</v>
      </c>
      <c r="B405" s="531" t="s">
        <v>4759</v>
      </c>
      <c r="C405" s="532" t="s">
        <v>4827</v>
      </c>
      <c r="D405" s="533" t="s">
        <v>5709</v>
      </c>
      <c r="E405" s="532" t="s">
        <v>4755</v>
      </c>
      <c r="F405" s="534" t="s">
        <v>6119</v>
      </c>
      <c r="G405" s="534" t="s">
        <v>6120</v>
      </c>
      <c r="H405" s="534" t="s">
        <v>6287</v>
      </c>
      <c r="I405" s="408" t="e">
        <f>VLOOKUP(A405,'Sandi BI Existing Debitur'!$D$8:$D$592,1,0)</f>
        <v>#N/A</v>
      </c>
    </row>
    <row r="406" spans="1:9" ht="26.25" x14ac:dyDescent="0.25">
      <c r="A406" s="531" t="s">
        <v>5247</v>
      </c>
      <c r="B406" s="531" t="s">
        <v>4760</v>
      </c>
      <c r="C406" s="532" t="s">
        <v>4827</v>
      </c>
      <c r="D406" s="533" t="s">
        <v>5710</v>
      </c>
      <c r="E406" s="532" t="s">
        <v>4755</v>
      </c>
      <c r="F406" s="534" t="s">
        <v>6119</v>
      </c>
      <c r="G406" s="534" t="s">
        <v>6120</v>
      </c>
      <c r="H406" s="534" t="s">
        <v>6287</v>
      </c>
      <c r="I406" s="408" t="e">
        <f>VLOOKUP(A406,'Sandi BI Existing Debitur'!$D$8:$D$592,1,0)</f>
        <v>#N/A</v>
      </c>
    </row>
    <row r="407" spans="1:9" x14ac:dyDescent="0.25">
      <c r="A407" s="531" t="s">
        <v>5248</v>
      </c>
      <c r="B407" s="531" t="s">
        <v>4761</v>
      </c>
      <c r="C407" s="532" t="s">
        <v>4827</v>
      </c>
      <c r="D407" s="533" t="s">
        <v>5711</v>
      </c>
      <c r="E407" s="532" t="s">
        <v>4755</v>
      </c>
      <c r="F407" s="534" t="s">
        <v>5895</v>
      </c>
      <c r="G407" s="534" t="s">
        <v>5896</v>
      </c>
      <c r="H407" s="534" t="s">
        <v>6162</v>
      </c>
      <c r="I407" s="408" t="e">
        <f>VLOOKUP(A407,'Sandi BI Existing Debitur'!$D$8:$D$592,1,0)</f>
        <v>#N/A</v>
      </c>
    </row>
    <row r="408" spans="1:9" ht="38.25" x14ac:dyDescent="0.25">
      <c r="A408" s="531" t="s">
        <v>5249</v>
      </c>
      <c r="B408" s="531" t="s">
        <v>4762</v>
      </c>
      <c r="C408" s="532" t="s">
        <v>4827</v>
      </c>
      <c r="D408" s="533" t="s">
        <v>5712</v>
      </c>
      <c r="E408" s="532" t="s">
        <v>4755</v>
      </c>
      <c r="F408" s="534" t="s">
        <v>5897</v>
      </c>
      <c r="G408" s="534" t="s">
        <v>5898</v>
      </c>
      <c r="H408" s="534" t="s">
        <v>6288</v>
      </c>
      <c r="I408" s="408" t="str">
        <f>VLOOKUP(A408,'Sandi BI Existing Debitur'!$D$8:$D$592,1,0)</f>
        <v>222000</v>
      </c>
    </row>
    <row r="409" spans="1:9" ht="25.5" x14ac:dyDescent="0.25">
      <c r="A409" s="531" t="s">
        <v>5250</v>
      </c>
      <c r="B409" s="531" t="s">
        <v>4763</v>
      </c>
      <c r="C409" s="532" t="s">
        <v>4764</v>
      </c>
      <c r="D409" s="533" t="s">
        <v>5713</v>
      </c>
      <c r="E409" s="532" t="s">
        <v>4765</v>
      </c>
      <c r="F409" s="534" t="s">
        <v>6105</v>
      </c>
      <c r="G409" s="534" t="s">
        <v>6106</v>
      </c>
      <c r="H409" s="534" t="s">
        <v>6289</v>
      </c>
      <c r="I409" s="408" t="e">
        <f>VLOOKUP(A409,'Sandi BI Existing Debitur'!$D$8:$D$592,1,0)</f>
        <v>#N/A</v>
      </c>
    </row>
    <row r="410" spans="1:9" ht="26.25" x14ac:dyDescent="0.25">
      <c r="A410" s="531" t="s">
        <v>5251</v>
      </c>
      <c r="B410" s="531" t="s">
        <v>4766</v>
      </c>
      <c r="C410" s="532" t="s">
        <v>4764</v>
      </c>
      <c r="D410" s="533" t="s">
        <v>5714</v>
      </c>
      <c r="E410" s="532" t="s">
        <v>4765</v>
      </c>
      <c r="F410" s="534" t="s">
        <v>6107</v>
      </c>
      <c r="G410" s="534" t="s">
        <v>6108</v>
      </c>
      <c r="H410" s="534" t="s">
        <v>6290</v>
      </c>
      <c r="I410" s="408" t="e">
        <f>VLOOKUP(A410,'Sandi BI Existing Debitur'!$D$8:$D$592,1,0)</f>
        <v>#N/A</v>
      </c>
    </row>
    <row r="411" spans="1:9" ht="26.25" x14ac:dyDescent="0.25">
      <c r="A411" s="531" t="s">
        <v>5252</v>
      </c>
      <c r="B411" s="531" t="s">
        <v>4767</v>
      </c>
      <c r="C411" s="532" t="s">
        <v>4764</v>
      </c>
      <c r="D411" s="533" t="s">
        <v>5715</v>
      </c>
      <c r="E411" s="532" t="s">
        <v>4765</v>
      </c>
      <c r="F411" s="534" t="s">
        <v>6107</v>
      </c>
      <c r="G411" s="534" t="s">
        <v>6108</v>
      </c>
      <c r="H411" s="534" t="s">
        <v>6290</v>
      </c>
      <c r="I411" s="408" t="e">
        <f>VLOOKUP(A411,'Sandi BI Existing Debitur'!$D$8:$D$592,1,0)</f>
        <v>#N/A</v>
      </c>
    </row>
    <row r="412" spans="1:9" ht="26.25" x14ac:dyDescent="0.25">
      <c r="A412" s="531" t="s">
        <v>5253</v>
      </c>
      <c r="B412" s="531" t="s">
        <v>4768</v>
      </c>
      <c r="C412" s="532" t="s">
        <v>4764</v>
      </c>
      <c r="D412" s="533" t="s">
        <v>5716</v>
      </c>
      <c r="E412" s="532" t="s">
        <v>4765</v>
      </c>
      <c r="F412" s="534" t="s">
        <v>6109</v>
      </c>
      <c r="G412" s="534" t="s">
        <v>6110</v>
      </c>
      <c r="H412" s="534" t="s">
        <v>6231</v>
      </c>
      <c r="I412" s="408" t="e">
        <f>VLOOKUP(A412,'Sandi BI Existing Debitur'!$D$8:$D$592,1,0)</f>
        <v>#N/A</v>
      </c>
    </row>
    <row r="413" spans="1:9" ht="25.5" x14ac:dyDescent="0.25">
      <c r="A413" s="531" t="s">
        <v>5254</v>
      </c>
      <c r="B413" s="531" t="s">
        <v>4769</v>
      </c>
      <c r="C413" s="532" t="s">
        <v>4764</v>
      </c>
      <c r="D413" s="533" t="s">
        <v>5717</v>
      </c>
      <c r="E413" s="532" t="s">
        <v>4765</v>
      </c>
      <c r="F413" s="534" t="s">
        <v>6109</v>
      </c>
      <c r="G413" s="534" t="s">
        <v>6110</v>
      </c>
      <c r="H413" s="534" t="s">
        <v>6231</v>
      </c>
      <c r="I413" s="408" t="e">
        <f>VLOOKUP(A413,'Sandi BI Existing Debitur'!$D$8:$D$592,1,0)</f>
        <v>#N/A</v>
      </c>
    </row>
    <row r="414" spans="1:9" ht="25.5" x14ac:dyDescent="0.25">
      <c r="A414" s="531" t="s">
        <v>5255</v>
      </c>
      <c r="B414" s="531" t="s">
        <v>4770</v>
      </c>
      <c r="C414" s="532" t="s">
        <v>4764</v>
      </c>
      <c r="D414" s="533" t="s">
        <v>5718</v>
      </c>
      <c r="E414" s="532" t="s">
        <v>4765</v>
      </c>
      <c r="F414" s="534" t="s">
        <v>6109</v>
      </c>
      <c r="G414" s="534" t="s">
        <v>6110</v>
      </c>
      <c r="H414" s="534" t="s">
        <v>6231</v>
      </c>
      <c r="I414" s="408" t="e">
        <f>VLOOKUP(A414,'Sandi BI Existing Debitur'!$D$8:$D$592,1,0)</f>
        <v>#N/A</v>
      </c>
    </row>
    <row r="415" spans="1:9" x14ac:dyDescent="0.25">
      <c r="A415" s="531" t="s">
        <v>5256</v>
      </c>
      <c r="B415" s="531" t="s">
        <v>4771</v>
      </c>
      <c r="C415" s="532" t="s">
        <v>4764</v>
      </c>
      <c r="D415" s="533" t="s">
        <v>5719</v>
      </c>
      <c r="E415" s="532" t="s">
        <v>4765</v>
      </c>
      <c r="F415" s="534" t="s">
        <v>6109</v>
      </c>
      <c r="G415" s="534" t="s">
        <v>6110</v>
      </c>
      <c r="H415" s="534" t="s">
        <v>6231</v>
      </c>
      <c r="I415" s="408" t="e">
        <f>VLOOKUP(A415,'Sandi BI Existing Debitur'!$D$8:$D$592,1,0)</f>
        <v>#N/A</v>
      </c>
    </row>
    <row r="416" spans="1:9" ht="26.25" x14ac:dyDescent="0.25">
      <c r="A416" s="531" t="s">
        <v>5257</v>
      </c>
      <c r="B416" s="531" t="s">
        <v>4772</v>
      </c>
      <c r="C416" s="532" t="s">
        <v>4764</v>
      </c>
      <c r="D416" s="533" t="s">
        <v>5720</v>
      </c>
      <c r="E416" s="532" t="s">
        <v>4765</v>
      </c>
      <c r="F416" s="534" t="s">
        <v>6109</v>
      </c>
      <c r="G416" s="534" t="s">
        <v>6110</v>
      </c>
      <c r="H416" s="534" t="s">
        <v>6231</v>
      </c>
      <c r="I416" s="408" t="e">
        <f>VLOOKUP(A416,'Sandi BI Existing Debitur'!$D$8:$D$592,1,0)</f>
        <v>#N/A</v>
      </c>
    </row>
    <row r="417" spans="1:9" x14ac:dyDescent="0.25">
      <c r="A417" s="531" t="s">
        <v>5258</v>
      </c>
      <c r="B417" s="531" t="s">
        <v>4773</v>
      </c>
      <c r="C417" s="532" t="s">
        <v>4764</v>
      </c>
      <c r="D417" s="533" t="s">
        <v>5721</v>
      </c>
      <c r="E417" s="532" t="s">
        <v>4765</v>
      </c>
      <c r="F417" s="534" t="s">
        <v>6109</v>
      </c>
      <c r="G417" s="534" t="s">
        <v>6110</v>
      </c>
      <c r="H417" s="534" t="s">
        <v>6231</v>
      </c>
      <c r="I417" s="408" t="e">
        <f>VLOOKUP(A417,'Sandi BI Existing Debitur'!$D$8:$D$592,1,0)</f>
        <v>#N/A</v>
      </c>
    </row>
    <row r="418" spans="1:9" ht="26.25" x14ac:dyDescent="0.25">
      <c r="A418" s="531" t="s">
        <v>5259</v>
      </c>
      <c r="B418" s="531" t="s">
        <v>4774</v>
      </c>
      <c r="C418" s="532" t="s">
        <v>4764</v>
      </c>
      <c r="D418" s="533" t="s">
        <v>5722</v>
      </c>
      <c r="E418" s="532" t="s">
        <v>4765</v>
      </c>
      <c r="F418" s="534" t="s">
        <v>6109</v>
      </c>
      <c r="G418" s="534" t="s">
        <v>6110</v>
      </c>
      <c r="H418" s="534" t="s">
        <v>6231</v>
      </c>
      <c r="I418" s="408" t="e">
        <f>VLOOKUP(A418,'Sandi BI Existing Debitur'!$D$8:$D$592,1,0)</f>
        <v>#N/A</v>
      </c>
    </row>
    <row r="419" spans="1:9" ht="64.5" x14ac:dyDescent="0.25">
      <c r="A419" s="536" t="s">
        <v>5260</v>
      </c>
      <c r="B419" s="537" t="s">
        <v>4775</v>
      </c>
      <c r="C419" s="532" t="s">
        <v>4764</v>
      </c>
      <c r="D419" s="533" t="s">
        <v>5723</v>
      </c>
      <c r="E419" s="532" t="s">
        <v>4765</v>
      </c>
      <c r="F419" s="534" t="s">
        <v>5769</v>
      </c>
      <c r="G419" s="534" t="s">
        <v>5770</v>
      </c>
      <c r="H419" s="534" t="s">
        <v>6291</v>
      </c>
      <c r="I419" s="408" t="e">
        <f>VLOOKUP(A419,'Sandi BI Existing Debitur'!$D$8:$D$592,1,0)</f>
        <v>#N/A</v>
      </c>
    </row>
    <row r="420" spans="1:9" ht="64.5" x14ac:dyDescent="0.25">
      <c r="A420" s="536" t="s">
        <v>5261</v>
      </c>
      <c r="B420" s="537" t="s">
        <v>4776</v>
      </c>
      <c r="C420" s="532" t="s">
        <v>4764</v>
      </c>
      <c r="D420" s="533" t="s">
        <v>5724</v>
      </c>
      <c r="E420" s="532" t="s">
        <v>4765</v>
      </c>
      <c r="F420" s="534" t="s">
        <v>5769</v>
      </c>
      <c r="G420" s="534" t="s">
        <v>5770</v>
      </c>
      <c r="H420" s="534" t="s">
        <v>6291</v>
      </c>
      <c r="I420" s="408" t="e">
        <f>VLOOKUP(A420,'Sandi BI Existing Debitur'!$D$8:$D$592,1,0)</f>
        <v>#N/A</v>
      </c>
    </row>
    <row r="421" spans="1:9" ht="64.5" x14ac:dyDescent="0.25">
      <c r="A421" s="536" t="s">
        <v>5262</v>
      </c>
      <c r="B421" s="537" t="s">
        <v>4777</v>
      </c>
      <c r="C421" s="532" t="s">
        <v>4764</v>
      </c>
      <c r="D421" s="533" t="s">
        <v>5725</v>
      </c>
      <c r="E421" s="532" t="s">
        <v>4765</v>
      </c>
      <c r="F421" s="534" t="s">
        <v>5769</v>
      </c>
      <c r="G421" s="534" t="s">
        <v>5770</v>
      </c>
      <c r="H421" s="534" t="s">
        <v>6291</v>
      </c>
      <c r="I421" s="408" t="e">
        <f>VLOOKUP(A421,'Sandi BI Existing Debitur'!$D$8:$D$592,1,0)</f>
        <v>#N/A</v>
      </c>
    </row>
    <row r="422" spans="1:9" ht="51.75" x14ac:dyDescent="0.25">
      <c r="A422" s="536" t="s">
        <v>5263</v>
      </c>
      <c r="B422" s="537" t="s">
        <v>4778</v>
      </c>
      <c r="C422" s="532" t="s">
        <v>4764</v>
      </c>
      <c r="D422" s="533" t="s">
        <v>5726</v>
      </c>
      <c r="E422" s="532" t="s">
        <v>4765</v>
      </c>
      <c r="F422" s="534" t="s">
        <v>5769</v>
      </c>
      <c r="G422" s="534" t="s">
        <v>5770</v>
      </c>
      <c r="H422" s="534" t="s">
        <v>6291</v>
      </c>
      <c r="I422" s="408" t="e">
        <f>VLOOKUP(A422,'Sandi BI Existing Debitur'!$D$8:$D$592,1,0)</f>
        <v>#N/A</v>
      </c>
    </row>
    <row r="423" spans="1:9" ht="51.75" x14ac:dyDescent="0.25">
      <c r="A423" s="536" t="s">
        <v>5264</v>
      </c>
      <c r="B423" s="537" t="s">
        <v>4779</v>
      </c>
      <c r="C423" s="532" t="s">
        <v>4764</v>
      </c>
      <c r="D423" s="533" t="s">
        <v>5727</v>
      </c>
      <c r="E423" s="532" t="s">
        <v>4765</v>
      </c>
      <c r="F423" s="534" t="s">
        <v>5769</v>
      </c>
      <c r="G423" s="534" t="s">
        <v>5770</v>
      </c>
      <c r="H423" s="534" t="s">
        <v>6291</v>
      </c>
      <c r="I423" s="408" t="e">
        <f>VLOOKUP(A423,'Sandi BI Existing Debitur'!$D$8:$D$592,1,0)</f>
        <v>#N/A</v>
      </c>
    </row>
    <row r="424" spans="1:9" ht="51.75" x14ac:dyDescent="0.25">
      <c r="A424" s="536" t="s">
        <v>5265</v>
      </c>
      <c r="B424" s="537" t="s">
        <v>4780</v>
      </c>
      <c r="C424" s="532" t="s">
        <v>4764</v>
      </c>
      <c r="D424" s="533" t="s">
        <v>5728</v>
      </c>
      <c r="E424" s="532" t="s">
        <v>4765</v>
      </c>
      <c r="F424" s="534" t="s">
        <v>5769</v>
      </c>
      <c r="G424" s="534" t="s">
        <v>5770</v>
      </c>
      <c r="H424" s="534" t="s">
        <v>6291</v>
      </c>
      <c r="I424" s="408" t="e">
        <f>VLOOKUP(A424,'Sandi BI Existing Debitur'!$D$8:$D$592,1,0)</f>
        <v>#N/A</v>
      </c>
    </row>
    <row r="425" spans="1:9" ht="64.5" x14ac:dyDescent="0.25">
      <c r="A425" s="536" t="s">
        <v>5266</v>
      </c>
      <c r="B425" s="537" t="s">
        <v>4781</v>
      </c>
      <c r="C425" s="532" t="s">
        <v>4764</v>
      </c>
      <c r="D425" s="533" t="s">
        <v>5729</v>
      </c>
      <c r="E425" s="532" t="s">
        <v>4765</v>
      </c>
      <c r="F425" s="534" t="s">
        <v>5769</v>
      </c>
      <c r="G425" s="534" t="s">
        <v>5770</v>
      </c>
      <c r="H425" s="534" t="s">
        <v>6291</v>
      </c>
      <c r="I425" s="408" t="e">
        <f>VLOOKUP(A425,'Sandi BI Existing Debitur'!$D$8:$D$592,1,0)</f>
        <v>#N/A</v>
      </c>
    </row>
    <row r="426" spans="1:9" ht="25.5" x14ac:dyDescent="0.25">
      <c r="A426" s="531" t="s">
        <v>5267</v>
      </c>
      <c r="B426" s="531" t="s">
        <v>4782</v>
      </c>
      <c r="C426" s="532" t="s">
        <v>4830</v>
      </c>
      <c r="D426" s="533" t="s">
        <v>5730</v>
      </c>
      <c r="E426" s="532" t="s">
        <v>4783</v>
      </c>
      <c r="F426" s="534" t="s">
        <v>6085</v>
      </c>
      <c r="G426" s="534" t="s">
        <v>6086</v>
      </c>
      <c r="H426" s="534" t="s">
        <v>6220</v>
      </c>
      <c r="I426" s="408" t="str">
        <f>VLOOKUP(A426,'Sandi BI Existing Debitur'!$D$8:$D$592,1,0)</f>
        <v>711100</v>
      </c>
    </row>
    <row r="427" spans="1:9" ht="25.5" x14ac:dyDescent="0.25">
      <c r="A427" s="531" t="s">
        <v>5268</v>
      </c>
      <c r="B427" s="531" t="s">
        <v>4784</v>
      </c>
      <c r="C427" s="532" t="s">
        <v>4830</v>
      </c>
      <c r="D427" s="533" t="s">
        <v>5731</v>
      </c>
      <c r="E427" s="532" t="s">
        <v>4783</v>
      </c>
      <c r="F427" s="534" t="s">
        <v>6085</v>
      </c>
      <c r="G427" s="534" t="s">
        <v>6086</v>
      </c>
      <c r="H427" s="534" t="s">
        <v>6220</v>
      </c>
      <c r="I427" s="408" t="e">
        <f>VLOOKUP(A427,'Sandi BI Existing Debitur'!$D$8:$D$592,1,0)</f>
        <v>#N/A</v>
      </c>
    </row>
    <row r="428" spans="1:9" ht="25.5" x14ac:dyDescent="0.25">
      <c r="A428" s="531" t="s">
        <v>5269</v>
      </c>
      <c r="B428" s="531" t="s">
        <v>4785</v>
      </c>
      <c r="C428" s="532" t="s">
        <v>4830</v>
      </c>
      <c r="D428" s="533" t="s">
        <v>5732</v>
      </c>
      <c r="E428" s="532" t="s">
        <v>4783</v>
      </c>
      <c r="F428" s="534" t="s">
        <v>6085</v>
      </c>
      <c r="G428" s="534" t="s">
        <v>6086</v>
      </c>
      <c r="H428" s="534" t="s">
        <v>6220</v>
      </c>
      <c r="I428" s="408" t="e">
        <f>VLOOKUP(A428,'Sandi BI Existing Debitur'!$D$8:$D$592,1,0)</f>
        <v>#N/A</v>
      </c>
    </row>
    <row r="429" spans="1:9" ht="26.25" x14ac:dyDescent="0.25">
      <c r="A429" s="531" t="s">
        <v>5270</v>
      </c>
      <c r="B429" s="531" t="s">
        <v>4786</v>
      </c>
      <c r="C429" s="532" t="s">
        <v>4830</v>
      </c>
      <c r="D429" s="533" t="s">
        <v>5733</v>
      </c>
      <c r="E429" s="532" t="s">
        <v>4783</v>
      </c>
      <c r="F429" s="534" t="s">
        <v>6085</v>
      </c>
      <c r="G429" s="534" t="s">
        <v>6086</v>
      </c>
      <c r="H429" s="534" t="s">
        <v>6220</v>
      </c>
      <c r="I429" s="408" t="str">
        <f>VLOOKUP(A429,'Sandi BI Existing Debitur'!$D$8:$D$592,1,0)</f>
        <v>712200</v>
      </c>
    </row>
    <row r="430" spans="1:9" ht="26.25" x14ac:dyDescent="0.25">
      <c r="A430" s="531" t="s">
        <v>5271</v>
      </c>
      <c r="B430" s="531" t="s">
        <v>4787</v>
      </c>
      <c r="C430" s="532" t="s">
        <v>4830</v>
      </c>
      <c r="D430" s="533" t="s">
        <v>5734</v>
      </c>
      <c r="E430" s="532" t="s">
        <v>4783</v>
      </c>
      <c r="F430" s="534" t="s">
        <v>6085</v>
      </c>
      <c r="G430" s="534" t="s">
        <v>6086</v>
      </c>
      <c r="H430" s="534" t="s">
        <v>6220</v>
      </c>
      <c r="I430" s="408" t="e">
        <f>VLOOKUP(A430,'Sandi BI Existing Debitur'!$D$8:$D$592,1,0)</f>
        <v>#N/A</v>
      </c>
    </row>
    <row r="431" spans="1:9" ht="38.25" x14ac:dyDescent="0.25">
      <c r="A431" s="531" t="s">
        <v>5272</v>
      </c>
      <c r="B431" s="531" t="s">
        <v>4788</v>
      </c>
      <c r="C431" s="532" t="s">
        <v>4830</v>
      </c>
      <c r="D431" s="533" t="s">
        <v>5735</v>
      </c>
      <c r="E431" s="532" t="s">
        <v>4783</v>
      </c>
      <c r="F431" s="534" t="s">
        <v>6085</v>
      </c>
      <c r="G431" s="534" t="s">
        <v>6086</v>
      </c>
      <c r="H431" s="534" t="s">
        <v>6220</v>
      </c>
      <c r="I431" s="408" t="str">
        <f>VLOOKUP(A431,'Sandi BI Existing Debitur'!$D$8:$D$592,1,0)</f>
        <v>712900</v>
      </c>
    </row>
    <row r="432" spans="1:9" ht="51" x14ac:dyDescent="0.25">
      <c r="A432" s="531" t="s">
        <v>5273</v>
      </c>
      <c r="B432" s="531" t="s">
        <v>4789</v>
      </c>
      <c r="C432" s="532" t="s">
        <v>4830</v>
      </c>
      <c r="D432" s="533" t="s">
        <v>5736</v>
      </c>
      <c r="E432" s="532" t="s">
        <v>4783</v>
      </c>
      <c r="F432" s="534" t="s">
        <v>6085</v>
      </c>
      <c r="G432" s="534" t="s">
        <v>6086</v>
      </c>
      <c r="H432" s="534" t="s">
        <v>6220</v>
      </c>
      <c r="I432" s="408" t="e">
        <f>VLOOKUP(A432,'Sandi BI Existing Debitur'!$D$8:$D$592,1,0)</f>
        <v>#N/A</v>
      </c>
    </row>
    <row r="433" spans="1:9" ht="25.5" x14ac:dyDescent="0.25">
      <c r="A433" s="531" t="s">
        <v>5275</v>
      </c>
      <c r="B433" s="531" t="s">
        <v>4791</v>
      </c>
      <c r="C433" s="532" t="s">
        <v>4830</v>
      </c>
      <c r="D433" s="533" t="s">
        <v>5738</v>
      </c>
      <c r="E433" s="532" t="s">
        <v>4783</v>
      </c>
      <c r="F433" s="534" t="s">
        <v>6085</v>
      </c>
      <c r="G433" s="534" t="s">
        <v>6086</v>
      </c>
      <c r="H433" s="534" t="s">
        <v>6220</v>
      </c>
      <c r="I433" s="408" t="str">
        <f>VLOOKUP(A433,'Sandi BI Existing Debitur'!$D$8:$D$592,1,0)</f>
        <v>711200</v>
      </c>
    </row>
    <row r="434" spans="1:9" ht="25.5" x14ac:dyDescent="0.25">
      <c r="A434" s="531" t="s">
        <v>5192</v>
      </c>
      <c r="B434" s="531" t="s">
        <v>4701</v>
      </c>
      <c r="C434" s="532" t="s">
        <v>4832</v>
      </c>
      <c r="D434" s="570" t="s">
        <v>5655</v>
      </c>
      <c r="E434" s="532" t="s">
        <v>6522</v>
      </c>
      <c r="F434" s="534" t="s">
        <v>5951</v>
      </c>
      <c r="G434" s="534" t="s">
        <v>5952</v>
      </c>
      <c r="H434" s="534" t="s">
        <v>6148</v>
      </c>
      <c r="I434" s="408" t="e">
        <f>VLOOKUP(A434,'Sandi BI Existing Debitur'!$D$8:$D$592,1,0)</f>
        <v>#N/A</v>
      </c>
    </row>
    <row r="435" spans="1:9" ht="26.25" x14ac:dyDescent="0.25">
      <c r="A435" s="531" t="s">
        <v>5193</v>
      </c>
      <c r="B435" s="531" t="s">
        <v>4702</v>
      </c>
      <c r="C435" s="532" t="s">
        <v>4832</v>
      </c>
      <c r="D435" s="570" t="s">
        <v>5656</v>
      </c>
      <c r="E435" s="532" t="s">
        <v>6522</v>
      </c>
      <c r="F435" s="534" t="s">
        <v>5955</v>
      </c>
      <c r="G435" s="534" t="s">
        <v>5956</v>
      </c>
      <c r="H435" s="534" t="s">
        <v>6217</v>
      </c>
      <c r="I435" s="408" t="str">
        <f>VLOOKUP(A435,'Sandi BI Existing Debitur'!$D$8:$D$592,1,0)</f>
        <v>514100</v>
      </c>
    </row>
    <row r="436" spans="1:9" ht="25.5" x14ac:dyDescent="0.25">
      <c r="A436" s="531" t="s">
        <v>5194</v>
      </c>
      <c r="B436" s="531" t="s">
        <v>4703</v>
      </c>
      <c r="C436" s="532" t="s">
        <v>4832</v>
      </c>
      <c r="D436" s="570" t="s">
        <v>5657</v>
      </c>
      <c r="E436" s="532" t="s">
        <v>6522</v>
      </c>
      <c r="F436" s="534" t="s">
        <v>5951</v>
      </c>
      <c r="G436" s="534" t="s">
        <v>5952</v>
      </c>
      <c r="H436" s="534" t="s">
        <v>6148</v>
      </c>
      <c r="I436" s="408" t="str">
        <f>VLOOKUP(A436,'Sandi BI Existing Debitur'!$D$8:$D$592,1,0)</f>
        <v>523500</v>
      </c>
    </row>
    <row r="437" spans="1:9" x14ac:dyDescent="0.25">
      <c r="A437" s="531" t="s">
        <v>5276</v>
      </c>
      <c r="B437" s="531" t="s">
        <v>4792</v>
      </c>
      <c r="C437" s="532" t="s">
        <v>4829</v>
      </c>
      <c r="D437" s="533" t="s">
        <v>5739</v>
      </c>
      <c r="E437" s="532" t="s">
        <v>4793</v>
      </c>
      <c r="F437" s="534" t="s">
        <v>5865</v>
      </c>
      <c r="G437" s="534" t="s">
        <v>5866</v>
      </c>
      <c r="H437" s="534" t="s">
        <v>6127</v>
      </c>
      <c r="I437" s="408" t="e">
        <f>VLOOKUP(A437,'Sandi BI Existing Debitur'!$D$8:$D$592,1,0)</f>
        <v>#N/A</v>
      </c>
    </row>
    <row r="438" spans="1:9" x14ac:dyDescent="0.25">
      <c r="A438" s="531" t="s">
        <v>5277</v>
      </c>
      <c r="B438" s="531" t="s">
        <v>4794</v>
      </c>
      <c r="C438" s="532" t="s">
        <v>4829</v>
      </c>
      <c r="D438" s="533" t="s">
        <v>5740</v>
      </c>
      <c r="E438" s="532" t="s">
        <v>4793</v>
      </c>
      <c r="F438" s="534" t="s">
        <v>6103</v>
      </c>
      <c r="G438" s="534" t="s">
        <v>6104</v>
      </c>
      <c r="H438" s="534" t="s">
        <v>6292</v>
      </c>
      <c r="I438" s="408" t="str">
        <f>VLOOKUP(A438,'Sandi BI Existing Debitur'!$D$8:$D$592,1,0)</f>
        <v>642000</v>
      </c>
    </row>
    <row r="439" spans="1:9" x14ac:dyDescent="0.25">
      <c r="A439" s="531" t="s">
        <v>5278</v>
      </c>
      <c r="B439" s="531" t="s">
        <v>4795</v>
      </c>
      <c r="C439" s="532" t="s">
        <v>4829</v>
      </c>
      <c r="D439" s="533" t="s">
        <v>5741</v>
      </c>
      <c r="E439" s="532" t="s">
        <v>4793</v>
      </c>
      <c r="F439" s="534" t="s">
        <v>6103</v>
      </c>
      <c r="G439" s="534" t="s">
        <v>6104</v>
      </c>
      <c r="H439" s="534" t="s">
        <v>6292</v>
      </c>
      <c r="I439" s="408" t="str">
        <f>VLOOKUP(A439,'Sandi BI Existing Debitur'!$D$8:$D$592,1,0)</f>
        <v>643000</v>
      </c>
    </row>
    <row r="440" spans="1:9" x14ac:dyDescent="0.25">
      <c r="A440" s="531" t="s">
        <v>5279</v>
      </c>
      <c r="B440" s="531" t="s">
        <v>4796</v>
      </c>
      <c r="C440" s="532" t="s">
        <v>4829</v>
      </c>
      <c r="D440" s="533" t="s">
        <v>5742</v>
      </c>
      <c r="E440" s="532" t="s">
        <v>4793</v>
      </c>
      <c r="F440" s="534" t="s">
        <v>6103</v>
      </c>
      <c r="G440" s="534" t="s">
        <v>6104</v>
      </c>
      <c r="H440" s="534" t="s">
        <v>6292</v>
      </c>
      <c r="I440" s="408" t="e">
        <f>VLOOKUP(A440,'Sandi BI Existing Debitur'!$D$8:$D$592,1,0)</f>
        <v>#N/A</v>
      </c>
    </row>
    <row r="441" spans="1:9" ht="25.5" x14ac:dyDescent="0.25">
      <c r="A441" s="531" t="s">
        <v>5280</v>
      </c>
      <c r="B441" s="531" t="s">
        <v>4797</v>
      </c>
      <c r="C441" s="532" t="s">
        <v>4828</v>
      </c>
      <c r="D441" s="533" t="s">
        <v>5743</v>
      </c>
      <c r="E441" s="532" t="s">
        <v>4798</v>
      </c>
      <c r="F441" s="534" t="s">
        <v>6085</v>
      </c>
      <c r="G441" s="534" t="s">
        <v>6086</v>
      </c>
      <c r="H441" s="534" t="s">
        <v>6220</v>
      </c>
      <c r="I441" s="408" t="e">
        <f>VLOOKUP(A441,'Sandi BI Existing Debitur'!$D$8:$D$592,1,0)</f>
        <v>#N/A</v>
      </c>
    </row>
    <row r="442" spans="1:9" ht="38.25" x14ac:dyDescent="0.25">
      <c r="A442" s="531" t="s">
        <v>5281</v>
      </c>
      <c r="B442" s="531" t="s">
        <v>4799</v>
      </c>
      <c r="C442" s="532" t="s">
        <v>4828</v>
      </c>
      <c r="D442" s="533" t="s">
        <v>5744</v>
      </c>
      <c r="E442" s="532" t="s">
        <v>4798</v>
      </c>
      <c r="F442" s="534" t="s">
        <v>5865</v>
      </c>
      <c r="G442" s="534" t="s">
        <v>5866</v>
      </c>
      <c r="H442" s="534" t="s">
        <v>6127</v>
      </c>
      <c r="I442" s="408" t="e">
        <f>VLOOKUP(A442,'Sandi BI Existing Debitur'!$D$8:$D$592,1,0)</f>
        <v>#N/A</v>
      </c>
    </row>
    <row r="443" spans="1:9" ht="38.25" x14ac:dyDescent="0.25">
      <c r="A443" s="531" t="s">
        <v>5282</v>
      </c>
      <c r="B443" s="531" t="s">
        <v>4800</v>
      </c>
      <c r="C443" s="532" t="s">
        <v>4828</v>
      </c>
      <c r="D443" s="533" t="s">
        <v>5745</v>
      </c>
      <c r="E443" s="532" t="s">
        <v>4798</v>
      </c>
      <c r="F443" s="534" t="s">
        <v>5865</v>
      </c>
      <c r="G443" s="534" t="s">
        <v>5866</v>
      </c>
      <c r="H443" s="534" t="s">
        <v>6127</v>
      </c>
      <c r="I443" s="408" t="e">
        <f>VLOOKUP(A443,'Sandi BI Existing Debitur'!$D$8:$D$592,1,0)</f>
        <v>#N/A</v>
      </c>
    </row>
    <row r="444" spans="1:9" ht="26.25" x14ac:dyDescent="0.25">
      <c r="A444" s="531" t="s">
        <v>5283</v>
      </c>
      <c r="B444" s="531" t="s">
        <v>4801</v>
      </c>
      <c r="C444" s="532" t="s">
        <v>4828</v>
      </c>
      <c r="D444" s="533" t="s">
        <v>5746</v>
      </c>
      <c r="E444" s="532" t="s">
        <v>4798</v>
      </c>
      <c r="F444" s="534" t="s">
        <v>5865</v>
      </c>
      <c r="G444" s="534" t="s">
        <v>5866</v>
      </c>
      <c r="H444" s="534" t="s">
        <v>6127</v>
      </c>
      <c r="I444" s="408" t="e">
        <f>VLOOKUP(A444,'Sandi BI Existing Debitur'!$D$8:$D$592,1,0)</f>
        <v>#N/A</v>
      </c>
    </row>
    <row r="445" spans="1:9" x14ac:dyDescent="0.25">
      <c r="A445" s="531" t="s">
        <v>5284</v>
      </c>
      <c r="B445" s="531" t="s">
        <v>4802</v>
      </c>
      <c r="C445" s="532" t="s">
        <v>4828</v>
      </c>
      <c r="D445" s="533" t="s">
        <v>5747</v>
      </c>
      <c r="E445" s="532" t="s">
        <v>4798</v>
      </c>
      <c r="F445" s="534" t="s">
        <v>6089</v>
      </c>
      <c r="G445" s="534" t="s">
        <v>6090</v>
      </c>
      <c r="H445" s="534" t="s">
        <v>6293</v>
      </c>
      <c r="I445" s="408" t="e">
        <f>VLOOKUP(A445,'Sandi BI Existing Debitur'!$D$8:$D$592,1,0)</f>
        <v>#N/A</v>
      </c>
    </row>
    <row r="446" spans="1:9" ht="25.5" x14ac:dyDescent="0.25">
      <c r="A446" s="531" t="s">
        <v>5285</v>
      </c>
      <c r="B446" s="531" t="s">
        <v>4803</v>
      </c>
      <c r="C446" s="532" t="s">
        <v>4828</v>
      </c>
      <c r="D446" s="533" t="s">
        <v>5748</v>
      </c>
      <c r="E446" s="532" t="s">
        <v>4798</v>
      </c>
      <c r="F446" s="534" t="s">
        <v>6085</v>
      </c>
      <c r="G446" s="534" t="s">
        <v>6086</v>
      </c>
      <c r="H446" s="534" t="s">
        <v>6220</v>
      </c>
      <c r="I446" s="408" t="str">
        <f>VLOOKUP(A446,'Sandi BI Existing Debitur'!$D$8:$D$592,1,0)</f>
        <v>602100</v>
      </c>
    </row>
    <row r="447" spans="1:9" ht="26.25" x14ac:dyDescent="0.25">
      <c r="A447" s="531" t="s">
        <v>5286</v>
      </c>
      <c r="B447" s="531" t="s">
        <v>4804</v>
      </c>
      <c r="C447" s="532" t="s">
        <v>4828</v>
      </c>
      <c r="D447" s="533" t="s">
        <v>5749</v>
      </c>
      <c r="E447" s="532" t="s">
        <v>4798</v>
      </c>
      <c r="F447" s="534" t="s">
        <v>6085</v>
      </c>
      <c r="G447" s="534" t="s">
        <v>6086</v>
      </c>
      <c r="H447" s="534" t="s">
        <v>6220</v>
      </c>
      <c r="I447" s="408" t="str">
        <f>VLOOKUP(A447,'Sandi BI Existing Debitur'!$D$8:$D$592,1,0)</f>
        <v>602200</v>
      </c>
    </row>
    <row r="448" spans="1:9" x14ac:dyDescent="0.25">
      <c r="A448" s="531" t="s">
        <v>5287</v>
      </c>
      <c r="B448" s="531" t="s">
        <v>4805</v>
      </c>
      <c r="C448" s="532" t="s">
        <v>4828</v>
      </c>
      <c r="D448" s="533" t="s">
        <v>5750</v>
      </c>
      <c r="E448" s="532" t="s">
        <v>4798</v>
      </c>
      <c r="F448" s="534" t="s">
        <v>6091</v>
      </c>
      <c r="G448" s="534" t="s">
        <v>6092</v>
      </c>
      <c r="H448" s="534" t="s">
        <v>6226</v>
      </c>
      <c r="I448" s="408" t="str">
        <f>VLOOKUP(A448,'Sandi BI Existing Debitur'!$D$8:$D$592,1,0)</f>
        <v>602300</v>
      </c>
    </row>
    <row r="449" spans="1:9" x14ac:dyDescent="0.25">
      <c r="A449" s="531" t="s">
        <v>5288</v>
      </c>
      <c r="B449" s="531" t="s">
        <v>4806</v>
      </c>
      <c r="C449" s="532" t="s">
        <v>4828</v>
      </c>
      <c r="D449" s="533" t="s">
        <v>5751</v>
      </c>
      <c r="E449" s="532" t="s">
        <v>4798</v>
      </c>
      <c r="F449" s="534" t="s">
        <v>6097</v>
      </c>
      <c r="G449" s="534" t="s">
        <v>6098</v>
      </c>
      <c r="H449" s="534" t="s">
        <v>6294</v>
      </c>
      <c r="I449" s="408" t="e">
        <f>VLOOKUP(A449,'Sandi BI Existing Debitur'!$D$8:$D$592,1,0)</f>
        <v>#N/A</v>
      </c>
    </row>
    <row r="450" spans="1:9" ht="25.5" x14ac:dyDescent="0.25">
      <c r="A450" s="531" t="s">
        <v>5289</v>
      </c>
      <c r="B450" s="531" t="s">
        <v>4807</v>
      </c>
      <c r="C450" s="532" t="s">
        <v>4828</v>
      </c>
      <c r="D450" s="533" t="s">
        <v>5752</v>
      </c>
      <c r="E450" s="532" t="s">
        <v>4798</v>
      </c>
      <c r="F450" s="534" t="s">
        <v>6097</v>
      </c>
      <c r="G450" s="534" t="s">
        <v>6098</v>
      </c>
      <c r="H450" s="534" t="s">
        <v>6294</v>
      </c>
      <c r="I450" s="408" t="e">
        <f>VLOOKUP(A450,'Sandi BI Existing Debitur'!$D$8:$D$592,1,0)</f>
        <v>#N/A</v>
      </c>
    </row>
    <row r="451" spans="1:9" x14ac:dyDescent="0.25">
      <c r="A451" s="531" t="s">
        <v>5290</v>
      </c>
      <c r="B451" s="531" t="s">
        <v>4808</v>
      </c>
      <c r="C451" s="532" t="s">
        <v>4828</v>
      </c>
      <c r="D451" s="533" t="s">
        <v>5753</v>
      </c>
      <c r="E451" s="532" t="s">
        <v>4798</v>
      </c>
      <c r="F451" s="534" t="s">
        <v>6097</v>
      </c>
      <c r="G451" s="534" t="s">
        <v>6098</v>
      </c>
      <c r="H451" s="534" t="s">
        <v>6294</v>
      </c>
      <c r="I451" s="408" t="e">
        <f>VLOOKUP(A451,'Sandi BI Existing Debitur'!$D$8:$D$592,1,0)</f>
        <v>#N/A</v>
      </c>
    </row>
    <row r="452" spans="1:9" ht="25.5" x14ac:dyDescent="0.25">
      <c r="A452" s="531" t="s">
        <v>5291</v>
      </c>
      <c r="B452" s="531" t="s">
        <v>4809</v>
      </c>
      <c r="C452" s="532" t="s">
        <v>4828</v>
      </c>
      <c r="D452" s="533" t="s">
        <v>5754</v>
      </c>
      <c r="E452" s="532" t="s">
        <v>4798</v>
      </c>
      <c r="F452" s="534" t="s">
        <v>6085</v>
      </c>
      <c r="G452" s="534" t="s">
        <v>6086</v>
      </c>
      <c r="H452" s="534" t="s">
        <v>6220</v>
      </c>
      <c r="I452" s="408" t="str">
        <f>VLOOKUP(A452,'Sandi BI Existing Debitur'!$D$8:$D$592,1,0)</f>
        <v>635000</v>
      </c>
    </row>
    <row r="453" spans="1:9" x14ac:dyDescent="0.25">
      <c r="A453" s="531" t="s">
        <v>5292</v>
      </c>
      <c r="B453" s="531" t="s">
        <v>4810</v>
      </c>
      <c r="C453" s="532" t="s">
        <v>4828</v>
      </c>
      <c r="D453" s="533" t="s">
        <v>5755</v>
      </c>
      <c r="E453" s="532" t="s">
        <v>4798</v>
      </c>
      <c r="F453" s="534" t="s">
        <v>6093</v>
      </c>
      <c r="G453" s="534" t="s">
        <v>6094</v>
      </c>
      <c r="H453" s="534" t="s">
        <v>6295</v>
      </c>
      <c r="I453" s="408" t="str">
        <f>VLOOKUP(A453,'Sandi BI Existing Debitur'!$D$8:$D$592,1,0)</f>
        <v>611100</v>
      </c>
    </row>
    <row r="454" spans="1:9" x14ac:dyDescent="0.25">
      <c r="A454" s="531" t="s">
        <v>5293</v>
      </c>
      <c r="B454" s="531" t="s">
        <v>4811</v>
      </c>
      <c r="C454" s="532" t="s">
        <v>4828</v>
      </c>
      <c r="D454" s="533" t="s">
        <v>5756</v>
      </c>
      <c r="E454" s="532" t="s">
        <v>4798</v>
      </c>
      <c r="F454" s="534" t="s">
        <v>6093</v>
      </c>
      <c r="G454" s="534" t="s">
        <v>6094</v>
      </c>
      <c r="H454" s="534" t="s">
        <v>6295</v>
      </c>
      <c r="I454" s="408" t="e">
        <f>VLOOKUP(A454,'Sandi BI Existing Debitur'!$D$8:$D$592,1,0)</f>
        <v>#N/A</v>
      </c>
    </row>
    <row r="455" spans="1:9" x14ac:dyDescent="0.25">
      <c r="A455" s="531" t="s">
        <v>5294</v>
      </c>
      <c r="B455" s="531" t="s">
        <v>4812</v>
      </c>
      <c r="C455" s="532" t="s">
        <v>4828</v>
      </c>
      <c r="D455" s="533" t="s">
        <v>5757</v>
      </c>
      <c r="E455" s="532" t="s">
        <v>4798</v>
      </c>
      <c r="F455" s="534" t="s">
        <v>6095</v>
      </c>
      <c r="G455" s="534" t="s">
        <v>6096</v>
      </c>
      <c r="H455" s="534" t="s">
        <v>6296</v>
      </c>
      <c r="I455" s="408" t="e">
        <f>VLOOKUP(A455,'Sandi BI Existing Debitur'!$D$8:$D$592,1,0)</f>
        <v>#N/A</v>
      </c>
    </row>
    <row r="456" spans="1:9" ht="25.5" x14ac:dyDescent="0.25">
      <c r="A456" s="531" t="s">
        <v>5295</v>
      </c>
      <c r="B456" s="531" t="s">
        <v>4813</v>
      </c>
      <c r="C456" s="532" t="s">
        <v>4828</v>
      </c>
      <c r="D456" s="533" t="s">
        <v>5758</v>
      </c>
      <c r="E456" s="532" t="s">
        <v>4798</v>
      </c>
      <c r="F456" s="534" t="s">
        <v>6093</v>
      </c>
      <c r="G456" s="534" t="s">
        <v>6094</v>
      </c>
      <c r="H456" s="534" t="s">
        <v>6295</v>
      </c>
      <c r="I456" s="408" t="e">
        <f>VLOOKUP(A456,'Sandi BI Existing Debitur'!$D$8:$D$592,1,0)</f>
        <v>#N/A</v>
      </c>
    </row>
    <row r="457" spans="1:9" x14ac:dyDescent="0.25">
      <c r="A457" s="531" t="s">
        <v>5296</v>
      </c>
      <c r="B457" s="531" t="s">
        <v>4814</v>
      </c>
      <c r="C457" s="532" t="s">
        <v>4823</v>
      </c>
      <c r="D457" s="533" t="s">
        <v>5759</v>
      </c>
      <c r="E457" s="532" t="s">
        <v>4815</v>
      </c>
      <c r="F457" s="534" t="s">
        <v>5831</v>
      </c>
      <c r="G457" s="534" t="s">
        <v>5832</v>
      </c>
      <c r="H457" s="534" t="s">
        <v>6259</v>
      </c>
      <c r="I457" s="408" t="e">
        <f>VLOOKUP(A457,'Sandi BI Existing Debitur'!$D$8:$D$592,1,0)</f>
        <v>#N/A</v>
      </c>
    </row>
    <row r="458" spans="1:9" ht="38.25" x14ac:dyDescent="0.25">
      <c r="A458" s="531" t="s">
        <v>5297</v>
      </c>
      <c r="B458" s="531" t="s">
        <v>4816</v>
      </c>
      <c r="C458" s="532" t="s">
        <v>4823</v>
      </c>
      <c r="D458" s="533" t="s">
        <v>5760</v>
      </c>
      <c r="E458" s="532" t="s">
        <v>4815</v>
      </c>
      <c r="F458" s="534" t="s">
        <v>5865</v>
      </c>
      <c r="G458" s="534" t="s">
        <v>5866</v>
      </c>
      <c r="H458" s="534" t="s">
        <v>6127</v>
      </c>
      <c r="I458" s="408" t="e">
        <f>VLOOKUP(A458,'Sandi BI Existing Debitur'!$D$8:$D$592,1,0)</f>
        <v>#N/A</v>
      </c>
    </row>
    <row r="459" spans="1:9" ht="25.5" x14ac:dyDescent="0.25">
      <c r="A459" s="531" t="s">
        <v>5298</v>
      </c>
      <c r="B459" s="531" t="s">
        <v>4817</v>
      </c>
      <c r="C459" s="532" t="s">
        <v>4823</v>
      </c>
      <c r="D459" s="533" t="s">
        <v>5761</v>
      </c>
      <c r="E459" s="532" t="s">
        <v>4815</v>
      </c>
      <c r="F459" s="534" t="s">
        <v>5891</v>
      </c>
      <c r="G459" s="534" t="s">
        <v>5892</v>
      </c>
      <c r="H459" s="534" t="s">
        <v>6297</v>
      </c>
      <c r="I459" s="408" t="str">
        <f>VLOOKUP(A459,'Sandi BI Existing Debitur'!$D$8:$D$592,1,0)</f>
        <v>202100</v>
      </c>
    </row>
    <row r="460" spans="1:9" ht="38.25" x14ac:dyDescent="0.25">
      <c r="A460" s="531" t="s">
        <v>5299</v>
      </c>
      <c r="B460" s="531" t="s">
        <v>4818</v>
      </c>
      <c r="C460" s="532" t="s">
        <v>4823</v>
      </c>
      <c r="D460" s="533" t="s">
        <v>5762</v>
      </c>
      <c r="E460" s="532" t="s">
        <v>4815</v>
      </c>
      <c r="F460" s="534" t="s">
        <v>5891</v>
      </c>
      <c r="G460" s="534" t="s">
        <v>5892</v>
      </c>
      <c r="H460" s="534" t="s">
        <v>6297</v>
      </c>
      <c r="I460" s="408" t="e">
        <f>VLOOKUP(A460,'Sandi BI Existing Debitur'!$D$8:$D$592,1,0)</f>
        <v>#N/A</v>
      </c>
    </row>
    <row r="461" spans="1:9" x14ac:dyDescent="0.25">
      <c r="A461" s="531" t="s">
        <v>5300</v>
      </c>
      <c r="B461" s="531" t="s">
        <v>4819</v>
      </c>
      <c r="C461" s="532" t="s">
        <v>4823</v>
      </c>
      <c r="D461" s="533" t="s">
        <v>5763</v>
      </c>
      <c r="E461" s="532" t="s">
        <v>4815</v>
      </c>
      <c r="F461" s="534" t="s">
        <v>6031</v>
      </c>
      <c r="G461" s="534" t="s">
        <v>6032</v>
      </c>
      <c r="H461" s="534" t="s">
        <v>6271</v>
      </c>
      <c r="I461" s="408" t="e">
        <f>VLOOKUP(A461,'Sandi BI Existing Debitur'!$D$8:$D$592,1,0)</f>
        <v>#N/A</v>
      </c>
    </row>
    <row r="462" spans="1:9" x14ac:dyDescent="0.25">
      <c r="A462" s="531" t="s">
        <v>5301</v>
      </c>
      <c r="B462" s="531" t="s">
        <v>4820</v>
      </c>
      <c r="C462" s="532" t="s">
        <v>4823</v>
      </c>
      <c r="D462" s="533" t="s">
        <v>5764</v>
      </c>
      <c r="E462" s="532" t="s">
        <v>4815</v>
      </c>
      <c r="F462" s="534" t="s">
        <v>6035</v>
      </c>
      <c r="G462" s="534" t="s">
        <v>6036</v>
      </c>
      <c r="H462" s="534" t="s">
        <v>6298</v>
      </c>
      <c r="I462" s="408" t="e">
        <f>VLOOKUP(A462,'Sandi BI Existing Debitur'!$D$8:$D$592,1,0)</f>
        <v>#N/A</v>
      </c>
    </row>
    <row r="463" spans="1:9" ht="26.25" x14ac:dyDescent="0.25">
      <c r="A463" s="531" t="s">
        <v>5302</v>
      </c>
      <c r="B463" s="531" t="s">
        <v>4821</v>
      </c>
      <c r="C463" s="532" t="s">
        <v>4823</v>
      </c>
      <c r="D463" s="533" t="s">
        <v>5765</v>
      </c>
      <c r="E463" s="532" t="s">
        <v>4815</v>
      </c>
      <c r="F463" s="534" t="s">
        <v>6031</v>
      </c>
      <c r="G463" s="534" t="s">
        <v>6032</v>
      </c>
      <c r="H463" s="534" t="s">
        <v>6271</v>
      </c>
      <c r="I463" s="408" t="e">
        <f>VLOOKUP(A463,'Sandi BI Existing Debitur'!$D$8:$D$592,1,0)</f>
        <v>#N/A</v>
      </c>
    </row>
    <row r="464" spans="1:9" x14ac:dyDescent="0.25">
      <c r="A464" s="531" t="s">
        <v>5303</v>
      </c>
      <c r="B464" s="531" t="s">
        <v>4822</v>
      </c>
      <c r="C464" s="532" t="s">
        <v>4823</v>
      </c>
      <c r="D464" s="533" t="s">
        <v>5766</v>
      </c>
      <c r="E464" s="532" t="s">
        <v>4815</v>
      </c>
      <c r="F464" s="534" t="s">
        <v>5865</v>
      </c>
      <c r="G464" s="534" t="s">
        <v>5866</v>
      </c>
      <c r="H464" s="534" t="s">
        <v>6127</v>
      </c>
      <c r="I464" s="408" t="str">
        <f>VLOOKUP(A464,'Sandi BI Existing Debitur'!$D$8:$D$592,1,0)</f>
        <v>361000</v>
      </c>
    </row>
  </sheetData>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AB276"/>
  <sheetViews>
    <sheetView showGridLines="0" showZeros="0" topLeftCell="A205" zoomScale="80" zoomScaleNormal="80" zoomScaleSheetLayoutView="100" workbookViewId="0">
      <selection activeCell="F113" sqref="F113:G113"/>
    </sheetView>
  </sheetViews>
  <sheetFormatPr defaultRowHeight="15" x14ac:dyDescent="0.25"/>
  <cols>
    <col min="1" max="1" width="3.28515625" style="348" customWidth="1"/>
    <col min="2" max="2" width="4.42578125" style="348" customWidth="1"/>
    <col min="3" max="3" width="4.5703125" style="348" customWidth="1"/>
    <col min="4" max="4" width="28.85546875" style="348" customWidth="1"/>
    <col min="5" max="5" width="1.7109375" style="373" customWidth="1"/>
    <col min="6" max="6" width="24.85546875" style="379" customWidth="1"/>
    <col min="7" max="7" width="40.7109375" style="348" customWidth="1"/>
    <col min="8" max="9" width="4.85546875" style="348" customWidth="1"/>
    <col min="10" max="10" width="65.140625" style="628" hidden="1" customWidth="1"/>
    <col min="11" max="14" width="9.140625" style="348" hidden="1" customWidth="1"/>
    <col min="15" max="17" width="0" style="348" hidden="1" customWidth="1"/>
    <col min="18" max="28" width="9.140625" style="348"/>
    <col min="29" max="16384" width="9.140625" style="408"/>
  </cols>
  <sheetData>
    <row r="2" spans="1:28" ht="41.25" customHeight="1" x14ac:dyDescent="0.25">
      <c r="A2"/>
      <c r="B2"/>
      <c r="C2"/>
      <c r="D2"/>
      <c r="E2" s="250"/>
      <c r="F2" s="249"/>
      <c r="G2"/>
      <c r="H2" s="408"/>
    </row>
    <row r="3" spans="1:28" ht="21" x14ac:dyDescent="0.35">
      <c r="A3" s="2146" t="s">
        <v>610</v>
      </c>
      <c r="B3" s="2146"/>
      <c r="C3" s="2146"/>
      <c r="D3" s="2146"/>
      <c r="E3" s="2146"/>
      <c r="F3" s="2146"/>
      <c r="G3" s="2146"/>
      <c r="H3" s="408"/>
    </row>
    <row r="4" spans="1:28" x14ac:dyDescent="0.25">
      <c r="A4"/>
      <c r="B4"/>
      <c r="C4"/>
      <c r="D4"/>
      <c r="E4" s="117"/>
      <c r="F4" s="131"/>
      <c r="G4"/>
      <c r="H4" s="408"/>
    </row>
    <row r="5" spans="1:28" x14ac:dyDescent="0.25">
      <c r="A5" t="s">
        <v>584</v>
      </c>
      <c r="B5"/>
      <c r="C5" s="143" t="s">
        <v>7</v>
      </c>
      <c r="D5" s="2198"/>
      <c r="E5" s="2198"/>
      <c r="F5" s="131"/>
      <c r="G5"/>
      <c r="H5" s="408"/>
    </row>
    <row r="6" spans="1:28" x14ac:dyDescent="0.25">
      <c r="A6" t="s">
        <v>26</v>
      </c>
      <c r="B6"/>
      <c r="C6" s="143" t="s">
        <v>7</v>
      </c>
      <c r="D6" s="2199"/>
      <c r="E6" s="2199"/>
      <c r="F6" s="131"/>
      <c r="G6"/>
      <c r="H6" s="408"/>
    </row>
    <row r="7" spans="1:28" x14ac:dyDescent="0.25">
      <c r="A7" s="621">
        <f>IF(ISBLANK('Informasi Debitur'!J4)=TRUE,"",'Informasi Debitur'!J4)</f>
        <v>43255</v>
      </c>
      <c r="B7"/>
      <c r="C7"/>
      <c r="D7"/>
      <c r="E7" s="117"/>
      <c r="F7" s="131"/>
      <c r="G7" s="622"/>
      <c r="H7" s="408"/>
    </row>
    <row r="8" spans="1:28" x14ac:dyDescent="0.25">
      <c r="A8" t="s">
        <v>585</v>
      </c>
      <c r="B8"/>
      <c r="C8"/>
      <c r="D8"/>
      <c r="E8" s="117"/>
      <c r="F8" s="131"/>
      <c r="G8"/>
      <c r="H8" s="408"/>
    </row>
    <row r="9" spans="1:28" x14ac:dyDescent="0.25">
      <c r="A9" t="str">
        <f>IF(COUNTA('Informasi Debitur'!J5)=0,"",'Informasi Debitur'!J5)</f>
        <v xml:space="preserve">OH NJEN LIENG </v>
      </c>
      <c r="B9"/>
      <c r="C9"/>
      <c r="D9"/>
      <c r="E9" s="117"/>
      <c r="F9" s="131"/>
      <c r="G9"/>
      <c r="H9" s="408"/>
    </row>
    <row r="10" spans="1:28" x14ac:dyDescent="0.25">
      <c r="A10" t="str">
        <f>IF(COUNTA('Informasi Debitur'!D20)=0,"",'Informasi Debitur'!D20)</f>
        <v>Jl A Yani km 6,5 No 31 Kertak Hanyar I Kertak Hanyar , Kab Banjar</v>
      </c>
      <c r="B10"/>
      <c r="C10"/>
      <c r="D10" s="9"/>
      <c r="E10" s="620"/>
      <c r="F10" s="131"/>
      <c r="G10"/>
      <c r="H10" s="408"/>
    </row>
    <row r="11" spans="1:28" x14ac:dyDescent="0.25">
      <c r="A11" t="s">
        <v>649</v>
      </c>
      <c r="B11"/>
      <c r="C11" t="s">
        <v>7650</v>
      </c>
      <c r="D11" s="2189"/>
      <c r="E11" s="2189"/>
      <c r="F11" s="131"/>
      <c r="G11"/>
      <c r="H11" s="408"/>
    </row>
    <row r="12" spans="1:28" x14ac:dyDescent="0.25">
      <c r="A12"/>
      <c r="B12"/>
      <c r="C12"/>
      <c r="D12"/>
      <c r="E12" s="117"/>
      <c r="F12" s="131"/>
      <c r="G12"/>
      <c r="H12" s="408"/>
    </row>
    <row r="13" spans="1:28" x14ac:dyDescent="0.25">
      <c r="A13" t="s">
        <v>611</v>
      </c>
      <c r="B13"/>
      <c r="C13"/>
      <c r="D13"/>
      <c r="E13" s="117"/>
      <c r="F13" s="131"/>
      <c r="G13"/>
      <c r="H13" s="408"/>
    </row>
    <row r="14" spans="1:28" ht="45" customHeight="1" x14ac:dyDescent="0.25">
      <c r="A14" s="2192" t="str">
        <f>CONCATENATE("Sehubungan dengan permohonan pengajuan kredit atas nama ",A9," berdasarkan Formulir Permohonan Kredit (FPK) tanggal [isi tanggal FPK], maka dengan ini diinformasikan bahwa Kami telah menyetujui permohonan kredit atas nama ",A9," ","dengan ketentuan sebagai berikut:" )</f>
        <v>Sehubungan dengan permohonan pengajuan kredit atas nama OH NJEN LIENG  berdasarkan Formulir Permohonan Kredit (FPK) tanggal [isi tanggal FPK], maka dengan ini diinformasikan bahwa Kami telah menyetujui permohonan kredit atas nama OH NJEN LIENG  dengan ketentuan sebagai berikut:</v>
      </c>
      <c r="B14" s="2192"/>
      <c r="C14" s="2192"/>
      <c r="D14" s="2192"/>
      <c r="E14" s="2192"/>
      <c r="F14" s="2192"/>
      <c r="G14" s="2192"/>
      <c r="H14" s="408"/>
    </row>
    <row r="15" spans="1:28" ht="15.75" customHeight="1" x14ac:dyDescent="0.25">
      <c r="A15" s="616"/>
      <c r="B15" s="616"/>
      <c r="C15" s="616"/>
      <c r="D15" s="616"/>
      <c r="E15" s="616"/>
      <c r="F15" s="616"/>
      <c r="G15" s="616"/>
      <c r="H15" s="408"/>
      <c r="I15" s="385"/>
      <c r="K15" s="385"/>
      <c r="L15" s="385"/>
      <c r="M15" s="385"/>
      <c r="N15" s="385"/>
      <c r="O15" s="385"/>
      <c r="P15" s="385"/>
      <c r="Q15" s="385"/>
      <c r="R15" s="385"/>
      <c r="S15" s="385"/>
      <c r="T15" s="385"/>
      <c r="U15" s="385"/>
      <c r="V15" s="385"/>
      <c r="W15" s="385"/>
      <c r="X15" s="385"/>
      <c r="Y15" s="385"/>
      <c r="Z15" s="385"/>
      <c r="AA15" s="385"/>
      <c r="AB15" s="385"/>
    </row>
    <row r="16" spans="1:28" ht="17.25" customHeight="1" x14ac:dyDescent="0.25">
      <c r="A16" s="2182" t="s">
        <v>7669</v>
      </c>
      <c r="B16" s="2182"/>
      <c r="C16" s="2182"/>
      <c r="D16" s="2182"/>
      <c r="E16" s="2182"/>
      <c r="F16" s="2182"/>
      <c r="G16" s="2182"/>
      <c r="H16" s="408"/>
      <c r="M16" s="385" t="s">
        <v>7654</v>
      </c>
      <c r="N16" s="385" t="s">
        <v>7655</v>
      </c>
      <c r="O16" s="628" t="s">
        <v>7657</v>
      </c>
    </row>
    <row r="17" spans="1:28" ht="20.25" customHeight="1" x14ac:dyDescent="0.25">
      <c r="A17" s="635"/>
      <c r="B17" s="635"/>
      <c r="C17" s="635"/>
      <c r="D17" s="635"/>
      <c r="E17" s="635"/>
      <c r="F17" s="635"/>
      <c r="G17" s="637"/>
      <c r="H17" s="641"/>
      <c r="I17" s="763" t="s">
        <v>7803</v>
      </c>
      <c r="K17" s="385"/>
      <c r="L17" s="385"/>
      <c r="M17" s="385"/>
      <c r="N17" s="385"/>
      <c r="O17" s="628"/>
      <c r="P17" s="385"/>
      <c r="Q17" s="385"/>
      <c r="R17" s="385"/>
      <c r="S17" s="385"/>
      <c r="T17" s="385"/>
      <c r="U17" s="385"/>
      <c r="V17" s="385"/>
      <c r="W17" s="385"/>
      <c r="X17" s="385"/>
      <c r="Y17" s="385"/>
      <c r="Z17" s="385"/>
      <c r="AA17" s="385"/>
      <c r="AB17" s="385"/>
    </row>
    <row r="18" spans="1:28" ht="18.75" customHeight="1" x14ac:dyDescent="0.25">
      <c r="A18"/>
      <c r="B18" s="117">
        <v>1</v>
      </c>
      <c r="C18" t="s">
        <v>587</v>
      </c>
      <c r="D18"/>
      <c r="E18" s="117"/>
      <c r="F18" s="131"/>
      <c r="G18"/>
      <c r="H18" s="407">
        <v>1</v>
      </c>
      <c r="L18" s="385" t="s">
        <v>108</v>
      </c>
      <c r="M18" s="10" t="s">
        <v>7652</v>
      </c>
      <c r="N18" s="10" t="s">
        <v>7659</v>
      </c>
    </row>
    <row r="19" spans="1:28" x14ac:dyDescent="0.25">
      <c r="A19"/>
      <c r="B19"/>
      <c r="C19" s="117"/>
      <c r="D19" t="s">
        <v>589</v>
      </c>
      <c r="E19" s="117" t="s">
        <v>7</v>
      </c>
      <c r="F19" s="2187" t="str">
        <f>MKK!A34</f>
        <v>PRK</v>
      </c>
      <c r="G19" s="2187"/>
      <c r="H19" s="407">
        <v>1</v>
      </c>
      <c r="L19" s="385" t="s">
        <v>106</v>
      </c>
      <c r="M19" s="10" t="s">
        <v>7653</v>
      </c>
      <c r="N19" s="10" t="s">
        <v>7656</v>
      </c>
    </row>
    <row r="20" spans="1:28" x14ac:dyDescent="0.25">
      <c r="A20"/>
      <c r="B20"/>
      <c r="C20" s="117"/>
      <c r="D20" t="s">
        <v>590</v>
      </c>
      <c r="E20" s="117" t="s">
        <v>7</v>
      </c>
      <c r="F20" s="2188">
        <f>MKK!G34*1000000</f>
        <v>1000000000</v>
      </c>
      <c r="G20" s="2188"/>
      <c r="H20" s="407">
        <v>1</v>
      </c>
      <c r="L20" s="385" t="s">
        <v>107</v>
      </c>
      <c r="M20" s="10" t="s">
        <v>7652</v>
      </c>
      <c r="N20" s="10" t="s">
        <v>7656</v>
      </c>
    </row>
    <row r="21" spans="1:28" x14ac:dyDescent="0.25">
      <c r="A21"/>
      <c r="B21"/>
      <c r="C21" s="117"/>
      <c r="D21" t="s">
        <v>591</v>
      </c>
      <c r="E21" s="117" t="s">
        <v>7</v>
      </c>
      <c r="F21" s="2187" t="str">
        <f>MKK!B34</f>
        <v>Modal Kerja</v>
      </c>
      <c r="G21" s="2187"/>
      <c r="H21" s="407">
        <v>1</v>
      </c>
    </row>
    <row r="22" spans="1:28" x14ac:dyDescent="0.25">
      <c r="A22"/>
      <c r="B22"/>
      <c r="C22" s="117"/>
      <c r="D22" t="s">
        <v>592</v>
      </c>
      <c r="E22" s="117" t="s">
        <v>7</v>
      </c>
      <c r="F22" s="2186">
        <f>'Informasi Debitur'!L101</f>
        <v>0.12</v>
      </c>
      <c r="G22" s="2186"/>
      <c r="H22" s="407">
        <v>1</v>
      </c>
    </row>
    <row r="23" spans="1:28" x14ac:dyDescent="0.25">
      <c r="A23"/>
      <c r="B23"/>
      <c r="C23" s="117"/>
      <c r="D23" t="s">
        <v>593</v>
      </c>
      <c r="E23" s="117" t="s">
        <v>7</v>
      </c>
      <c r="F23" s="2193">
        <f>IF(SUM(MKK!H34)&lt;&gt;0,MKK!H34,(MKK!J34-MKK!I34)/365)</f>
        <v>1</v>
      </c>
      <c r="G23" s="2193"/>
      <c r="H23" s="407">
        <v>1</v>
      </c>
    </row>
    <row r="24" spans="1:28" x14ac:dyDescent="0.25">
      <c r="A24"/>
      <c r="B24"/>
      <c r="C24" s="117"/>
      <c r="D24" t="s">
        <v>594</v>
      </c>
      <c r="E24" s="117" t="s">
        <v>7</v>
      </c>
      <c r="F24" s="2186">
        <f>'Informasi Debitur'!M101</f>
        <v>5.0000000000000001E-3</v>
      </c>
      <c r="G24" s="2186"/>
      <c r="H24" s="407">
        <v>1</v>
      </c>
    </row>
    <row r="25" spans="1:28" x14ac:dyDescent="0.25">
      <c r="A25"/>
      <c r="B25"/>
      <c r="C25" s="117"/>
      <c r="D25" t="s">
        <v>595</v>
      </c>
      <c r="E25" s="117" t="s">
        <v>7</v>
      </c>
      <c r="F25" s="2187"/>
      <c r="G25" s="2187"/>
      <c r="H25" s="407">
        <v>1</v>
      </c>
    </row>
    <row r="26" spans="1:28" ht="45" x14ac:dyDescent="0.25">
      <c r="A26"/>
      <c r="B26"/>
      <c r="C26" s="614"/>
      <c r="D26" s="613" t="s">
        <v>7651</v>
      </c>
      <c r="E26" s="115" t="s">
        <v>7650</v>
      </c>
      <c r="F26" s="2190" t="str">
        <f>IFERROR(IF(LEFT(F19,2)="PB",VLOOKUP(LEFT(F19,2),$L$18:$O$20,2,0),VLOOKUP(LEFT(F19,3),$L$18:$O$20,2,0)),"")</f>
        <v>2,5% per bulan atas cerukan yang melebihi batas plafond PRK dan atau atas total plafond PRK jika keterlambatan terkait dengan PRK yang belum dilakukan proses perpanjangan.</v>
      </c>
      <c r="G26" s="2190"/>
      <c r="H26" s="407">
        <v>1</v>
      </c>
      <c r="I26" s="385"/>
      <c r="J26" s="629" t="str">
        <f>F26</f>
        <v>2,5% per bulan atas cerukan yang melebihi batas plafond PRK dan atau atas total plafond PRK jika keterlambatan terkait dengan PRK yang belum dilakukan proses perpanjangan.</v>
      </c>
      <c r="K26" s="385"/>
      <c r="L26" s="385"/>
      <c r="M26" s="385"/>
      <c r="N26" s="385"/>
      <c r="O26" s="385"/>
      <c r="P26" s="385"/>
      <c r="Q26" s="385"/>
      <c r="R26" s="385"/>
      <c r="S26" s="385"/>
      <c r="T26" s="385"/>
      <c r="U26" s="385"/>
      <c r="V26" s="385"/>
      <c r="W26" s="385"/>
      <c r="X26" s="385"/>
      <c r="Y26" s="385"/>
      <c r="Z26" s="385"/>
      <c r="AA26" s="385"/>
      <c r="AB26" s="385"/>
    </row>
    <row r="27" spans="1:28" ht="15" customHeight="1" x14ac:dyDescent="0.25">
      <c r="A27"/>
      <c r="B27"/>
      <c r="C27" s="614"/>
      <c r="D27" s="613" t="s">
        <v>7658</v>
      </c>
      <c r="E27" s="115" t="s">
        <v>7</v>
      </c>
      <c r="F27" s="2190" t="str">
        <f>IFERROR(IF(LEFT(F19,2)="PB",VLOOKUP(LEFT(F19,2),$L$18:$O$20,3,0),VLOOKUP(LEFT(F19,3),$L$18:$O$20,3,0)),"")</f>
        <v>2% dari jumlah plafond kredit yang dilunasi</v>
      </c>
      <c r="G27" s="2190"/>
      <c r="H27" s="407">
        <v>1</v>
      </c>
      <c r="I27" s="385"/>
      <c r="K27" s="385"/>
      <c r="L27" s="385"/>
      <c r="M27" s="385"/>
      <c r="N27" s="385"/>
      <c r="O27" s="385"/>
      <c r="P27" s="385"/>
      <c r="Q27" s="385"/>
      <c r="R27" s="385"/>
      <c r="S27" s="385"/>
      <c r="T27" s="385"/>
      <c r="U27" s="385"/>
      <c r="V27" s="385"/>
      <c r="W27" s="385"/>
      <c r="X27" s="385"/>
      <c r="Y27" s="385"/>
      <c r="Z27" s="385"/>
      <c r="AA27" s="385"/>
      <c r="AB27" s="385"/>
    </row>
    <row r="28" spans="1:28" x14ac:dyDescent="0.25">
      <c r="A28"/>
      <c r="B28"/>
      <c r="C28" s="614"/>
      <c r="D28" s="623" t="s">
        <v>7660</v>
      </c>
      <c r="E28" s="624" t="s">
        <v>7</v>
      </c>
      <c r="F28" s="625" t="s">
        <v>7673</v>
      </c>
      <c r="G28" s="639" t="s">
        <v>7671</v>
      </c>
      <c r="H28" s="407">
        <v>1</v>
      </c>
      <c r="I28" s="385"/>
      <c r="K28" s="385"/>
      <c r="L28" s="385"/>
      <c r="M28" s="385"/>
      <c r="N28" s="385"/>
      <c r="O28" s="385"/>
      <c r="P28" s="385"/>
      <c r="Q28" s="385"/>
      <c r="R28" s="385"/>
      <c r="S28" s="385"/>
      <c r="T28" s="385"/>
      <c r="U28" s="385"/>
      <c r="V28" s="385"/>
      <c r="W28" s="385"/>
      <c r="X28" s="385"/>
      <c r="Y28" s="385"/>
      <c r="Z28" s="385"/>
      <c r="AA28" s="385"/>
      <c r="AB28" s="385"/>
    </row>
    <row r="29" spans="1:28" ht="30" x14ac:dyDescent="0.25">
      <c r="A29"/>
      <c r="B29"/>
      <c r="C29" s="614"/>
      <c r="D29" s="626" t="s">
        <v>7661</v>
      </c>
      <c r="E29" s="624" t="s">
        <v>7</v>
      </c>
      <c r="F29" s="2191" t="s">
        <v>7662</v>
      </c>
      <c r="G29" s="2191"/>
      <c r="H29" s="407">
        <v>1</v>
      </c>
      <c r="I29" s="385"/>
      <c r="K29" s="385"/>
      <c r="L29" s="385"/>
      <c r="M29" s="385"/>
      <c r="N29" s="385"/>
      <c r="O29" s="385"/>
      <c r="P29" s="385"/>
      <c r="Q29" s="385"/>
      <c r="R29" s="385"/>
      <c r="S29" s="385"/>
      <c r="T29" s="385"/>
      <c r="U29" s="385"/>
      <c r="V29" s="385"/>
      <c r="W29" s="385"/>
      <c r="X29" s="385"/>
      <c r="Y29" s="385"/>
      <c r="Z29" s="385"/>
      <c r="AA29" s="385"/>
      <c r="AB29" s="385"/>
    </row>
    <row r="30" spans="1:28" x14ac:dyDescent="0.25">
      <c r="A30"/>
      <c r="B30"/>
      <c r="C30"/>
      <c r="D30"/>
      <c r="E30" s="117"/>
      <c r="F30" s="610"/>
      <c r="G30"/>
      <c r="H30" s="407">
        <v>1</v>
      </c>
    </row>
    <row r="31" spans="1:28" x14ac:dyDescent="0.25">
      <c r="A31"/>
      <c r="B31" s="117">
        <v>2</v>
      </c>
      <c r="C31" t="s">
        <v>598</v>
      </c>
      <c r="D31"/>
      <c r="E31" s="117"/>
      <c r="F31" s="131"/>
      <c r="G31"/>
      <c r="H31" s="407">
        <v>2</v>
      </c>
    </row>
    <row r="32" spans="1:28" x14ac:dyDescent="0.25">
      <c r="A32"/>
      <c r="B32"/>
      <c r="C32" s="117"/>
      <c r="D32" t="s">
        <v>589</v>
      </c>
      <c r="E32" s="117" t="s">
        <v>7</v>
      </c>
      <c r="F32" s="2187">
        <f>MKK!A35</f>
        <v>0</v>
      </c>
      <c r="G32" s="2187"/>
      <c r="H32" s="407">
        <v>2</v>
      </c>
    </row>
    <row r="33" spans="1:10" x14ac:dyDescent="0.25">
      <c r="A33"/>
      <c r="B33"/>
      <c r="C33" s="117"/>
      <c r="D33" t="s">
        <v>590</v>
      </c>
      <c r="E33" s="117" t="s">
        <v>7</v>
      </c>
      <c r="F33" s="2188">
        <f>MKK!G35*1000000</f>
        <v>0</v>
      </c>
      <c r="G33" s="2188"/>
      <c r="H33" s="407">
        <v>2</v>
      </c>
    </row>
    <row r="34" spans="1:10" x14ac:dyDescent="0.25">
      <c r="A34"/>
      <c r="B34"/>
      <c r="C34" s="117"/>
      <c r="D34" t="s">
        <v>591</v>
      </c>
      <c r="E34" s="117" t="s">
        <v>7</v>
      </c>
      <c r="F34" s="2187" t="str">
        <f>MKK!B35</f>
        <v/>
      </c>
      <c r="G34" s="2187"/>
      <c r="H34" s="407">
        <v>2</v>
      </c>
    </row>
    <row r="35" spans="1:10" x14ac:dyDescent="0.25">
      <c r="A35"/>
      <c r="B35"/>
      <c r="C35" s="117"/>
      <c r="D35" t="s">
        <v>592</v>
      </c>
      <c r="E35" s="117" t="s">
        <v>7</v>
      </c>
      <c r="F35" s="2186">
        <f>'Informasi Debitur'!L102</f>
        <v>0</v>
      </c>
      <c r="G35" s="2186"/>
      <c r="H35" s="407">
        <v>2</v>
      </c>
    </row>
    <row r="36" spans="1:10" x14ac:dyDescent="0.25">
      <c r="A36"/>
      <c r="B36"/>
      <c r="C36" s="117"/>
      <c r="D36" t="s">
        <v>593</v>
      </c>
      <c r="E36" s="117" t="s">
        <v>7</v>
      </c>
      <c r="F36" s="2193">
        <f>IF(SUM(MKK!H35)&lt;&gt;0,MKK!H35,(MKK!J35-MKK!I35)/365)</f>
        <v>0</v>
      </c>
      <c r="G36" s="2193"/>
      <c r="H36" s="407">
        <v>2</v>
      </c>
    </row>
    <row r="37" spans="1:10" x14ac:dyDescent="0.25">
      <c r="A37"/>
      <c r="B37"/>
      <c r="C37" s="117"/>
      <c r="D37" t="s">
        <v>594</v>
      </c>
      <c r="E37" s="117" t="s">
        <v>7</v>
      </c>
      <c r="F37" s="2186">
        <f>'Informasi Debitur'!M102</f>
        <v>0</v>
      </c>
      <c r="G37" s="2186"/>
      <c r="H37" s="407">
        <v>2</v>
      </c>
    </row>
    <row r="38" spans="1:10" x14ac:dyDescent="0.25">
      <c r="A38"/>
      <c r="B38"/>
      <c r="C38" s="117"/>
      <c r="D38" t="s">
        <v>595</v>
      </c>
      <c r="E38" s="117" t="s">
        <v>7</v>
      </c>
      <c r="F38" s="2187"/>
      <c r="G38" s="2187"/>
      <c r="H38" s="407">
        <v>2</v>
      </c>
    </row>
    <row r="39" spans="1:10" x14ac:dyDescent="0.25">
      <c r="A39"/>
      <c r="B39"/>
      <c r="C39" s="614"/>
      <c r="D39" s="613" t="s">
        <v>7651</v>
      </c>
      <c r="E39" s="115" t="s">
        <v>7650</v>
      </c>
      <c r="F39" s="2190" t="str">
        <f>IFERROR(IF(LEFT(F32,2)="PB",VLOOKUP(LEFT(F32,2),$L$18:$O$20,2,0),VLOOKUP(LEFT(F32,3),$L$18:$O$20,2,0)),"")</f>
        <v/>
      </c>
      <c r="G39" s="2190"/>
      <c r="H39" s="407">
        <v>2</v>
      </c>
      <c r="J39" s="629" t="str">
        <f>F39</f>
        <v/>
      </c>
    </row>
    <row r="40" spans="1:10" x14ac:dyDescent="0.25">
      <c r="A40"/>
      <c r="B40"/>
      <c r="C40" s="614"/>
      <c r="D40" s="613" t="s">
        <v>7658</v>
      </c>
      <c r="E40" s="115" t="s">
        <v>7</v>
      </c>
      <c r="F40" s="2190" t="str">
        <f>IFERROR(IF(LEFT(F32,2)="PB",VLOOKUP(LEFT(F32,2),$L$18:$O$20,3,0),VLOOKUP(LEFT(F32,3),$L$18:$O$20,3,0)),"")</f>
        <v/>
      </c>
      <c r="G40" s="2190"/>
      <c r="H40" s="407">
        <v>2</v>
      </c>
    </row>
    <row r="41" spans="1:10" x14ac:dyDescent="0.25">
      <c r="A41"/>
      <c r="B41"/>
      <c r="C41" s="614"/>
      <c r="D41" s="623" t="s">
        <v>7660</v>
      </c>
      <c r="E41" s="624" t="s">
        <v>7</v>
      </c>
      <c r="F41" s="625" t="s">
        <v>7673</v>
      </c>
      <c r="G41" s="639" t="s">
        <v>7671</v>
      </c>
      <c r="H41" s="407">
        <v>2</v>
      </c>
    </row>
    <row r="42" spans="1:10" ht="30" customHeight="1" x14ac:dyDescent="0.25">
      <c r="A42"/>
      <c r="B42"/>
      <c r="C42" s="614"/>
      <c r="D42" s="626" t="s">
        <v>7661</v>
      </c>
      <c r="E42" s="624" t="s">
        <v>7</v>
      </c>
      <c r="F42" s="2191" t="s">
        <v>7662</v>
      </c>
      <c r="G42" s="2191"/>
      <c r="H42" s="407">
        <v>2</v>
      </c>
    </row>
    <row r="43" spans="1:10" ht="12" customHeight="1" x14ac:dyDescent="0.25">
      <c r="A43"/>
      <c r="B43"/>
      <c r="C43"/>
      <c r="D43"/>
      <c r="E43" s="614"/>
      <c r="F43" s="610"/>
      <c r="G43"/>
      <c r="H43" s="407">
        <v>2</v>
      </c>
    </row>
    <row r="44" spans="1:10" x14ac:dyDescent="0.25">
      <c r="A44"/>
      <c r="B44" s="117">
        <v>3</v>
      </c>
      <c r="C44" t="s">
        <v>599</v>
      </c>
      <c r="D44"/>
      <c r="E44" s="117"/>
      <c r="F44" s="131"/>
      <c r="G44"/>
      <c r="H44" s="407">
        <v>3</v>
      </c>
    </row>
    <row r="45" spans="1:10" x14ac:dyDescent="0.25">
      <c r="A45"/>
      <c r="B45"/>
      <c r="C45" s="117"/>
      <c r="D45" t="s">
        <v>589</v>
      </c>
      <c r="E45" s="117" t="s">
        <v>7</v>
      </c>
      <c r="F45" s="2187">
        <f>MKK!A36</f>
        <v>0</v>
      </c>
      <c r="G45" s="2187"/>
      <c r="H45" s="407">
        <v>3</v>
      </c>
    </row>
    <row r="46" spans="1:10" x14ac:dyDescent="0.25">
      <c r="A46"/>
      <c r="B46"/>
      <c r="C46" s="117"/>
      <c r="D46" t="s">
        <v>590</v>
      </c>
      <c r="E46" s="117" t="s">
        <v>7</v>
      </c>
      <c r="F46" s="2188">
        <f>MKK!G36*1000000</f>
        <v>0</v>
      </c>
      <c r="G46" s="2188"/>
      <c r="H46" s="407">
        <v>3</v>
      </c>
    </row>
    <row r="47" spans="1:10" x14ac:dyDescent="0.25">
      <c r="A47"/>
      <c r="B47"/>
      <c r="C47" s="117"/>
      <c r="D47" t="s">
        <v>591</v>
      </c>
      <c r="E47" s="117" t="s">
        <v>7</v>
      </c>
      <c r="F47" s="2187" t="str">
        <f>MKK!B36</f>
        <v/>
      </c>
      <c r="G47" s="2187"/>
      <c r="H47" s="407">
        <v>3</v>
      </c>
    </row>
    <row r="48" spans="1:10" x14ac:dyDescent="0.25">
      <c r="A48"/>
      <c r="B48"/>
      <c r="C48" s="117"/>
      <c r="D48" t="s">
        <v>592</v>
      </c>
      <c r="E48" s="117" t="s">
        <v>7</v>
      </c>
      <c r="F48" s="2186">
        <f>'Informasi Debitur'!L103</f>
        <v>0</v>
      </c>
      <c r="G48" s="2186"/>
      <c r="H48" s="407">
        <v>3</v>
      </c>
    </row>
    <row r="49" spans="1:10" x14ac:dyDescent="0.25">
      <c r="A49"/>
      <c r="B49"/>
      <c r="C49" s="117"/>
      <c r="D49" t="s">
        <v>593</v>
      </c>
      <c r="E49" s="117" t="s">
        <v>7</v>
      </c>
      <c r="F49" s="2193">
        <f>IF(SUM(MKK!H36)&lt;&gt;0,MKK!H36,(MKK!J36-MKK!I36)/365)</f>
        <v>0</v>
      </c>
      <c r="G49" s="2193"/>
      <c r="H49" s="407">
        <v>3</v>
      </c>
    </row>
    <row r="50" spans="1:10" x14ac:dyDescent="0.25">
      <c r="A50"/>
      <c r="B50"/>
      <c r="C50" s="117"/>
      <c r="D50" t="s">
        <v>594</v>
      </c>
      <c r="E50" s="117" t="s">
        <v>7</v>
      </c>
      <c r="F50" s="2186">
        <f>'Informasi Debitur'!M103</f>
        <v>0</v>
      </c>
      <c r="G50" s="2186"/>
      <c r="H50" s="407">
        <v>3</v>
      </c>
    </row>
    <row r="51" spans="1:10" x14ac:dyDescent="0.25">
      <c r="A51"/>
      <c r="B51"/>
      <c r="C51" s="117"/>
      <c r="D51" t="s">
        <v>595</v>
      </c>
      <c r="E51" s="117" t="s">
        <v>7</v>
      </c>
      <c r="F51" s="2194"/>
      <c r="G51" s="2194"/>
      <c r="H51" s="407">
        <v>3</v>
      </c>
    </row>
    <row r="52" spans="1:10" x14ac:dyDescent="0.25">
      <c r="A52"/>
      <c r="B52"/>
      <c r="C52" s="614"/>
      <c r="D52" s="613" t="s">
        <v>7651</v>
      </c>
      <c r="E52" s="115" t="s">
        <v>7650</v>
      </c>
      <c r="F52" s="2190" t="str">
        <f>IFERROR(IF(LEFT(F45,2)="PB",VLOOKUP(LEFT(F45,2),$L$18:$O$20,2,0),VLOOKUP(LEFT(F45,3),$L$18:$O$20,2,0)),"")</f>
        <v/>
      </c>
      <c r="G52" s="2190"/>
      <c r="H52" s="407">
        <v>3</v>
      </c>
      <c r="J52" s="629" t="str">
        <f>F52</f>
        <v/>
      </c>
    </row>
    <row r="53" spans="1:10" x14ac:dyDescent="0.25">
      <c r="A53"/>
      <c r="B53"/>
      <c r="C53" s="614"/>
      <c r="D53" s="613" t="s">
        <v>7658</v>
      </c>
      <c r="E53" s="115" t="s">
        <v>7</v>
      </c>
      <c r="F53" s="2190" t="str">
        <f>IFERROR(IF(LEFT(F45,2)="PB",VLOOKUP(LEFT(F45,2),$L$18:$O$20,3,0),VLOOKUP(LEFT(F45,3),$L$18:$O$20,3,0)),"")</f>
        <v/>
      </c>
      <c r="G53" s="2190"/>
      <c r="H53" s="407">
        <v>3</v>
      </c>
    </row>
    <row r="54" spans="1:10" x14ac:dyDescent="0.25">
      <c r="A54"/>
      <c r="B54"/>
      <c r="C54" s="614"/>
      <c r="D54" s="623" t="s">
        <v>7660</v>
      </c>
      <c r="E54" s="624" t="s">
        <v>7</v>
      </c>
      <c r="F54" s="625" t="s">
        <v>7673</v>
      </c>
      <c r="G54" s="639" t="s">
        <v>7671</v>
      </c>
      <c r="H54" s="407">
        <v>3</v>
      </c>
    </row>
    <row r="55" spans="1:10" ht="30" customHeight="1" x14ac:dyDescent="0.25">
      <c r="A55"/>
      <c r="B55"/>
      <c r="C55" s="614"/>
      <c r="D55" s="627" t="s">
        <v>7661</v>
      </c>
      <c r="E55" s="624" t="s">
        <v>7</v>
      </c>
      <c r="F55" s="2191" t="s">
        <v>7662</v>
      </c>
      <c r="G55" s="2191"/>
      <c r="H55" s="407">
        <v>3</v>
      </c>
    </row>
    <row r="56" spans="1:10" x14ac:dyDescent="0.25">
      <c r="A56"/>
      <c r="B56"/>
      <c r="C56"/>
      <c r="D56"/>
      <c r="E56" s="117"/>
      <c r="F56" s="131"/>
      <c r="G56"/>
      <c r="H56" s="407">
        <v>3</v>
      </c>
    </row>
    <row r="57" spans="1:10" x14ac:dyDescent="0.25">
      <c r="A57"/>
      <c r="B57" s="117">
        <v>4</v>
      </c>
      <c r="C57" t="s">
        <v>600</v>
      </c>
      <c r="D57"/>
      <c r="E57" s="117"/>
      <c r="F57" s="131"/>
      <c r="G57"/>
      <c r="H57" s="407">
        <v>4</v>
      </c>
    </row>
    <row r="58" spans="1:10" x14ac:dyDescent="0.25">
      <c r="A58"/>
      <c r="B58"/>
      <c r="C58" s="117"/>
      <c r="D58" t="s">
        <v>589</v>
      </c>
      <c r="E58" s="117" t="s">
        <v>7</v>
      </c>
      <c r="F58" s="2187">
        <f>MKK!A37</f>
        <v>0</v>
      </c>
      <c r="G58" s="2187"/>
      <c r="H58" s="407">
        <v>4</v>
      </c>
    </row>
    <row r="59" spans="1:10" x14ac:dyDescent="0.25">
      <c r="A59"/>
      <c r="B59"/>
      <c r="C59" s="117"/>
      <c r="D59" t="s">
        <v>590</v>
      </c>
      <c r="E59" s="117" t="s">
        <v>7</v>
      </c>
      <c r="F59" s="2188">
        <f>MKK!G37*1000000</f>
        <v>0</v>
      </c>
      <c r="G59" s="2188"/>
      <c r="H59" s="407">
        <v>4</v>
      </c>
    </row>
    <row r="60" spans="1:10" x14ac:dyDescent="0.25">
      <c r="A60"/>
      <c r="B60"/>
      <c r="C60" s="117"/>
      <c r="D60" t="s">
        <v>591</v>
      </c>
      <c r="E60" s="117" t="s">
        <v>7</v>
      </c>
      <c r="F60" s="2187" t="str">
        <f>MKK!B37</f>
        <v/>
      </c>
      <c r="G60" s="2187"/>
      <c r="H60" s="407">
        <v>4</v>
      </c>
    </row>
    <row r="61" spans="1:10" x14ac:dyDescent="0.25">
      <c r="A61"/>
      <c r="B61"/>
      <c r="C61" s="117"/>
      <c r="D61" t="s">
        <v>592</v>
      </c>
      <c r="E61" s="117" t="s">
        <v>7</v>
      </c>
      <c r="F61" s="2186">
        <f>'Informasi Debitur'!L104</f>
        <v>0</v>
      </c>
      <c r="G61" s="2186"/>
      <c r="H61" s="407">
        <v>4</v>
      </c>
    </row>
    <row r="62" spans="1:10" x14ac:dyDescent="0.25">
      <c r="A62"/>
      <c r="B62"/>
      <c r="C62" s="117"/>
      <c r="D62" t="s">
        <v>593</v>
      </c>
      <c r="E62" s="117" t="s">
        <v>7</v>
      </c>
      <c r="F62" s="2193">
        <f>IF(SUM(MKK!H37)&lt;&gt;0,MKK!H37,(MKK!J37-MKK!I37)/365)</f>
        <v>0</v>
      </c>
      <c r="G62" s="2193"/>
      <c r="H62" s="407">
        <v>4</v>
      </c>
    </row>
    <row r="63" spans="1:10" x14ac:dyDescent="0.25">
      <c r="A63"/>
      <c r="B63"/>
      <c r="C63" s="117"/>
      <c r="D63" t="s">
        <v>594</v>
      </c>
      <c r="E63" s="117" t="s">
        <v>7</v>
      </c>
      <c r="F63" s="2186">
        <f>'Informasi Debitur'!M104</f>
        <v>0</v>
      </c>
      <c r="G63" s="2186"/>
      <c r="H63" s="407">
        <v>4</v>
      </c>
    </row>
    <row r="64" spans="1:10" x14ac:dyDescent="0.25">
      <c r="A64"/>
      <c r="B64"/>
      <c r="C64" s="117"/>
      <c r="D64" t="s">
        <v>595</v>
      </c>
      <c r="E64" s="117" t="s">
        <v>7</v>
      </c>
      <c r="F64" s="2187"/>
      <c r="G64" s="2187"/>
      <c r="H64" s="407">
        <v>4</v>
      </c>
    </row>
    <row r="65" spans="1:10" x14ac:dyDescent="0.25">
      <c r="A65"/>
      <c r="B65"/>
      <c r="C65" s="614"/>
      <c r="D65" s="613" t="s">
        <v>7651</v>
      </c>
      <c r="E65" s="115" t="s">
        <v>7650</v>
      </c>
      <c r="F65" s="2190" t="str">
        <f>IFERROR(IF(LEFT(F58,2)="PB",VLOOKUP(LEFT(F58,2),$L$18:$O$20,2,0),VLOOKUP(LEFT(F58,3),$L$18:$O$20,2,0)),"")</f>
        <v/>
      </c>
      <c r="G65" s="2190"/>
      <c r="H65" s="407">
        <v>4</v>
      </c>
      <c r="J65" s="629" t="str">
        <f>F65</f>
        <v/>
      </c>
    </row>
    <row r="66" spans="1:10" x14ac:dyDescent="0.25">
      <c r="A66"/>
      <c r="B66"/>
      <c r="C66" s="614"/>
      <c r="D66" s="613" t="s">
        <v>7658</v>
      </c>
      <c r="E66" s="115" t="s">
        <v>7</v>
      </c>
      <c r="F66" s="2190" t="str">
        <f>IFERROR(IF(LEFT(F58,2)="PB",VLOOKUP(LEFT(F58,2),$L$18:$O$20,3,0),VLOOKUP(LEFT(F58,3),$L$18:$O$20,3,0)),"")</f>
        <v/>
      </c>
      <c r="G66" s="2190"/>
      <c r="H66" s="407">
        <v>4</v>
      </c>
    </row>
    <row r="67" spans="1:10" x14ac:dyDescent="0.25">
      <c r="A67"/>
      <c r="B67"/>
      <c r="C67" s="614"/>
      <c r="D67" s="623" t="s">
        <v>7660</v>
      </c>
      <c r="E67" s="624" t="s">
        <v>7</v>
      </c>
      <c r="F67" s="625" t="s">
        <v>7672</v>
      </c>
      <c r="G67" s="639" t="s">
        <v>7671</v>
      </c>
      <c r="H67" s="407">
        <v>4</v>
      </c>
    </row>
    <row r="68" spans="1:10" ht="30" customHeight="1" x14ac:dyDescent="0.25">
      <c r="A68"/>
      <c r="B68"/>
      <c r="C68" s="614"/>
      <c r="D68" s="627" t="s">
        <v>7661</v>
      </c>
      <c r="E68" s="624" t="s">
        <v>7</v>
      </c>
      <c r="F68" s="2191" t="s">
        <v>7662</v>
      </c>
      <c r="G68" s="2191"/>
      <c r="H68" s="407">
        <v>4</v>
      </c>
    </row>
    <row r="69" spans="1:10" x14ac:dyDescent="0.25">
      <c r="A69"/>
      <c r="B69"/>
      <c r="C69"/>
      <c r="D69"/>
      <c r="E69" s="117"/>
      <c r="F69" s="131"/>
      <c r="G69"/>
      <c r="H69" s="407">
        <v>4</v>
      </c>
    </row>
    <row r="70" spans="1:10" x14ac:dyDescent="0.25">
      <c r="A70"/>
      <c r="B70" s="117">
        <v>5</v>
      </c>
      <c r="C70" t="s">
        <v>601</v>
      </c>
      <c r="D70"/>
      <c r="E70" s="117"/>
      <c r="F70" s="131"/>
      <c r="G70"/>
      <c r="H70" s="407">
        <v>5</v>
      </c>
    </row>
    <row r="71" spans="1:10" x14ac:dyDescent="0.25">
      <c r="A71"/>
      <c r="B71"/>
      <c r="C71" s="117"/>
      <c r="D71" t="s">
        <v>589</v>
      </c>
      <c r="E71" s="117" t="s">
        <v>7</v>
      </c>
      <c r="F71" s="2187">
        <f>MKK!A38</f>
        <v>0</v>
      </c>
      <c r="G71" s="2187"/>
      <c r="H71" s="407">
        <v>5</v>
      </c>
    </row>
    <row r="72" spans="1:10" x14ac:dyDescent="0.25">
      <c r="A72"/>
      <c r="B72"/>
      <c r="C72" s="117"/>
      <c r="D72" t="s">
        <v>590</v>
      </c>
      <c r="E72" s="117" t="s">
        <v>7</v>
      </c>
      <c r="F72" s="2188">
        <f>MKK!G38*1000000</f>
        <v>0</v>
      </c>
      <c r="G72" s="2188"/>
      <c r="H72" s="407">
        <v>5</v>
      </c>
    </row>
    <row r="73" spans="1:10" x14ac:dyDescent="0.25">
      <c r="A73"/>
      <c r="B73"/>
      <c r="C73" s="117"/>
      <c r="D73" t="s">
        <v>591</v>
      </c>
      <c r="E73" s="117" t="s">
        <v>7</v>
      </c>
      <c r="F73" s="2187" t="str">
        <f>MKK!B38</f>
        <v/>
      </c>
      <c r="G73" s="2187"/>
      <c r="H73" s="407">
        <v>5</v>
      </c>
    </row>
    <row r="74" spans="1:10" x14ac:dyDescent="0.25">
      <c r="A74"/>
      <c r="B74"/>
      <c r="C74" s="117"/>
      <c r="D74" t="s">
        <v>592</v>
      </c>
      <c r="E74" s="117" t="s">
        <v>7</v>
      </c>
      <c r="F74" s="2186">
        <f>'Informasi Debitur'!L105</f>
        <v>0</v>
      </c>
      <c r="G74" s="2186"/>
      <c r="H74" s="407">
        <v>5</v>
      </c>
    </row>
    <row r="75" spans="1:10" x14ac:dyDescent="0.25">
      <c r="A75"/>
      <c r="B75"/>
      <c r="C75" s="117"/>
      <c r="D75" t="s">
        <v>593</v>
      </c>
      <c r="E75" s="117" t="s">
        <v>7</v>
      </c>
      <c r="F75" s="2193">
        <f>IF(SUM(MKK!H38)&lt;&gt;0,MKK!H38,(MKK!J38-MKK!I38)/365)</f>
        <v>0</v>
      </c>
      <c r="G75" s="2193"/>
      <c r="H75" s="407">
        <v>5</v>
      </c>
    </row>
    <row r="76" spans="1:10" x14ac:dyDescent="0.25">
      <c r="A76"/>
      <c r="B76"/>
      <c r="C76" s="117"/>
      <c r="D76" t="s">
        <v>594</v>
      </c>
      <c r="E76" s="117" t="s">
        <v>7</v>
      </c>
      <c r="F76" s="2186">
        <f>'Informasi Debitur'!M105</f>
        <v>0</v>
      </c>
      <c r="G76" s="2186"/>
      <c r="H76" s="407">
        <v>5</v>
      </c>
    </row>
    <row r="77" spans="1:10" x14ac:dyDescent="0.25">
      <c r="A77"/>
      <c r="B77"/>
      <c r="C77" s="117"/>
      <c r="D77" t="s">
        <v>595</v>
      </c>
      <c r="E77" s="117" t="s">
        <v>7</v>
      </c>
      <c r="F77" s="2187"/>
      <c r="G77" s="2187"/>
      <c r="H77" s="407">
        <v>5</v>
      </c>
    </row>
    <row r="78" spans="1:10" x14ac:dyDescent="0.25">
      <c r="A78"/>
      <c r="B78"/>
      <c r="C78" s="614"/>
      <c r="D78" s="613" t="s">
        <v>7651</v>
      </c>
      <c r="E78" s="115" t="s">
        <v>7650</v>
      </c>
      <c r="F78" s="2190" t="str">
        <f>IFERROR(IF(LEFT(F71,2)="PB",VLOOKUP(LEFT(F71,2),$L$18:$O$20,2,0),VLOOKUP(LEFT(F71,3),$L$18:$O$20,2,0)),"")</f>
        <v/>
      </c>
      <c r="G78" s="2190"/>
      <c r="H78" s="407">
        <v>5</v>
      </c>
      <c r="J78" s="629" t="str">
        <f>F78</f>
        <v/>
      </c>
    </row>
    <row r="79" spans="1:10" x14ac:dyDescent="0.25">
      <c r="A79"/>
      <c r="B79"/>
      <c r="C79" s="614"/>
      <c r="D79" s="613" t="s">
        <v>7658</v>
      </c>
      <c r="E79" s="115" t="s">
        <v>7</v>
      </c>
      <c r="F79" s="2190" t="str">
        <f>IFERROR(IF(LEFT(F71,2)="PB",VLOOKUP(LEFT(F71,2),$L$18:$O$20,3,0),VLOOKUP(LEFT(F71,3),$L$18:$O$20,3,0)),"")</f>
        <v/>
      </c>
      <c r="G79" s="2190"/>
      <c r="H79" s="407">
        <v>5</v>
      </c>
    </row>
    <row r="80" spans="1:10" x14ac:dyDescent="0.25">
      <c r="A80"/>
      <c r="B80"/>
      <c r="C80" s="614"/>
      <c r="D80" s="623" t="s">
        <v>7660</v>
      </c>
      <c r="E80" s="624" t="s">
        <v>7</v>
      </c>
      <c r="F80" s="625" t="s">
        <v>7673</v>
      </c>
      <c r="G80" s="639" t="s">
        <v>7671</v>
      </c>
      <c r="H80" s="407">
        <v>5</v>
      </c>
    </row>
    <row r="81" spans="1:10" ht="30" customHeight="1" x14ac:dyDescent="0.25">
      <c r="A81"/>
      <c r="B81"/>
      <c r="C81" s="614"/>
      <c r="D81" s="638" t="s">
        <v>7661</v>
      </c>
      <c r="E81" s="624" t="s">
        <v>7</v>
      </c>
      <c r="F81" s="2191" t="s">
        <v>7662</v>
      </c>
      <c r="G81" s="2191"/>
      <c r="H81" s="407">
        <v>5</v>
      </c>
    </row>
    <row r="82" spans="1:10" x14ac:dyDescent="0.25">
      <c r="A82"/>
      <c r="B82"/>
      <c r="C82"/>
      <c r="D82"/>
      <c r="E82" s="614"/>
      <c r="F82" s="610"/>
      <c r="G82"/>
      <c r="H82" s="407">
        <v>5</v>
      </c>
    </row>
    <row r="83" spans="1:10" x14ac:dyDescent="0.25">
      <c r="A83"/>
      <c r="B83" s="117">
        <v>6</v>
      </c>
      <c r="C83" t="s">
        <v>602</v>
      </c>
      <c r="D83"/>
      <c r="E83" s="117"/>
      <c r="F83" s="131"/>
      <c r="G83"/>
      <c r="H83" s="407">
        <v>6</v>
      </c>
    </row>
    <row r="84" spans="1:10" x14ac:dyDescent="0.25">
      <c r="A84"/>
      <c r="B84"/>
      <c r="C84" s="117"/>
      <c r="D84" t="s">
        <v>589</v>
      </c>
      <c r="E84" s="117" t="s">
        <v>7</v>
      </c>
      <c r="F84" s="2187">
        <f>MKK!A39</f>
        <v>0</v>
      </c>
      <c r="G84" s="2187"/>
      <c r="H84" s="407">
        <v>6</v>
      </c>
    </row>
    <row r="85" spans="1:10" x14ac:dyDescent="0.25">
      <c r="A85"/>
      <c r="B85"/>
      <c r="C85" s="117"/>
      <c r="D85" t="s">
        <v>590</v>
      </c>
      <c r="E85" s="117" t="s">
        <v>7</v>
      </c>
      <c r="F85" s="2188">
        <f>MKK!G39*1000000</f>
        <v>0</v>
      </c>
      <c r="G85" s="2188"/>
      <c r="H85" s="407">
        <v>6</v>
      </c>
    </row>
    <row r="86" spans="1:10" x14ac:dyDescent="0.25">
      <c r="A86"/>
      <c r="B86"/>
      <c r="C86" s="117"/>
      <c r="D86" t="s">
        <v>591</v>
      </c>
      <c r="E86" s="117" t="s">
        <v>7</v>
      </c>
      <c r="F86" s="2187" t="str">
        <f>MKK!B39</f>
        <v/>
      </c>
      <c r="G86" s="2187"/>
      <c r="H86" s="407">
        <v>6</v>
      </c>
    </row>
    <row r="87" spans="1:10" x14ac:dyDescent="0.25">
      <c r="A87"/>
      <c r="B87"/>
      <c r="C87" s="117"/>
      <c r="D87" t="s">
        <v>592</v>
      </c>
      <c r="E87" s="117" t="s">
        <v>7</v>
      </c>
      <c r="F87" s="2186">
        <f>'Informasi Debitur'!L106</f>
        <v>0</v>
      </c>
      <c r="G87" s="2186"/>
      <c r="H87" s="407">
        <v>6</v>
      </c>
    </row>
    <row r="88" spans="1:10" x14ac:dyDescent="0.25">
      <c r="A88"/>
      <c r="B88"/>
      <c r="C88" s="117"/>
      <c r="D88" t="s">
        <v>593</v>
      </c>
      <c r="E88" s="117" t="s">
        <v>7</v>
      </c>
      <c r="F88" s="2193">
        <f>IF(SUM(MKK!H39)&lt;&gt;0,MKK!H39,(MKK!J39-MKK!I39)/365)</f>
        <v>0</v>
      </c>
      <c r="G88" s="2193"/>
      <c r="H88" s="407">
        <v>6</v>
      </c>
    </row>
    <row r="89" spans="1:10" x14ac:dyDescent="0.25">
      <c r="A89"/>
      <c r="B89"/>
      <c r="C89" s="117"/>
      <c r="D89" t="s">
        <v>594</v>
      </c>
      <c r="E89" s="117" t="s">
        <v>7</v>
      </c>
      <c r="F89" s="2186">
        <f>'Informasi Debitur'!M106</f>
        <v>0</v>
      </c>
      <c r="G89" s="2186"/>
      <c r="H89" s="407">
        <v>6</v>
      </c>
    </row>
    <row r="90" spans="1:10" x14ac:dyDescent="0.25">
      <c r="A90"/>
      <c r="B90"/>
      <c r="C90" s="117"/>
      <c r="D90" t="s">
        <v>595</v>
      </c>
      <c r="E90" s="117" t="s">
        <v>7</v>
      </c>
      <c r="F90" s="2187"/>
      <c r="G90" s="2187"/>
      <c r="H90" s="407">
        <v>6</v>
      </c>
    </row>
    <row r="91" spans="1:10" x14ac:dyDescent="0.25">
      <c r="A91"/>
      <c r="B91"/>
      <c r="C91" s="614"/>
      <c r="D91" s="613" t="s">
        <v>7651</v>
      </c>
      <c r="E91" s="115" t="s">
        <v>7650</v>
      </c>
      <c r="F91" s="2190" t="str">
        <f>IFERROR(IF(LEFT(F84,2)="PB",VLOOKUP(LEFT(F84,2),$L$18:$O$20,2,0),VLOOKUP(LEFT(F84,3),$L$18:$O$20,2,0)),"")</f>
        <v/>
      </c>
      <c r="G91" s="2190"/>
      <c r="H91" s="407">
        <v>6</v>
      </c>
      <c r="J91" s="629" t="str">
        <f>F91</f>
        <v/>
      </c>
    </row>
    <row r="92" spans="1:10" x14ac:dyDescent="0.25">
      <c r="A92"/>
      <c r="B92"/>
      <c r="C92" s="614"/>
      <c r="D92" s="613" t="s">
        <v>7658</v>
      </c>
      <c r="E92" s="115" t="s">
        <v>7</v>
      </c>
      <c r="F92" s="2190" t="str">
        <f>IFERROR(IF(LEFT(F84,2)="PB",VLOOKUP(LEFT(F84,2),$L$18:$O$20,3,0),VLOOKUP(LEFT(F84,3),$L$18:$O$20,3,0)),"")</f>
        <v/>
      </c>
      <c r="G92" s="2190"/>
      <c r="H92" s="407">
        <v>6</v>
      </c>
    </row>
    <row r="93" spans="1:10" x14ac:dyDescent="0.25">
      <c r="A93"/>
      <c r="B93"/>
      <c r="C93" s="614"/>
      <c r="D93" s="623" t="s">
        <v>7660</v>
      </c>
      <c r="E93" s="624" t="s">
        <v>7</v>
      </c>
      <c r="F93" s="625" t="s">
        <v>7673</v>
      </c>
      <c r="G93" s="639" t="s">
        <v>7671</v>
      </c>
      <c r="H93" s="407">
        <v>6</v>
      </c>
    </row>
    <row r="94" spans="1:10" ht="30" customHeight="1" x14ac:dyDescent="0.25">
      <c r="A94"/>
      <c r="B94"/>
      <c r="C94" s="614"/>
      <c r="D94" s="638" t="s">
        <v>7661</v>
      </c>
      <c r="E94" s="624" t="s">
        <v>7</v>
      </c>
      <c r="F94" s="2191" t="s">
        <v>7662</v>
      </c>
      <c r="G94" s="2191"/>
      <c r="H94" s="407">
        <v>6</v>
      </c>
    </row>
    <row r="95" spans="1:10" x14ac:dyDescent="0.25">
      <c r="A95"/>
      <c r="B95"/>
      <c r="C95"/>
      <c r="D95"/>
      <c r="E95" s="614"/>
      <c r="F95" s="610"/>
      <c r="G95"/>
      <c r="H95" s="407">
        <v>6</v>
      </c>
    </row>
    <row r="96" spans="1:10" x14ac:dyDescent="0.25">
      <c r="A96"/>
      <c r="B96"/>
      <c r="C96"/>
      <c r="D96"/>
      <c r="E96" s="117"/>
      <c r="F96" s="131"/>
      <c r="G96"/>
      <c r="H96" s="407">
        <v>6</v>
      </c>
    </row>
    <row r="97" spans="1:28" x14ac:dyDescent="0.25">
      <c r="A97"/>
      <c r="B97" s="117">
        <v>7</v>
      </c>
      <c r="C97" t="s">
        <v>603</v>
      </c>
      <c r="D97"/>
      <c r="E97" s="117"/>
      <c r="F97" s="131"/>
      <c r="G97"/>
      <c r="H97" s="407">
        <v>7</v>
      </c>
    </row>
    <row r="98" spans="1:28" x14ac:dyDescent="0.25">
      <c r="A98"/>
      <c r="B98"/>
      <c r="C98" s="117"/>
      <c r="D98" t="s">
        <v>589</v>
      </c>
      <c r="E98" s="117" t="s">
        <v>7</v>
      </c>
      <c r="F98" s="2187">
        <f>MKK!A40</f>
        <v>0</v>
      </c>
      <c r="G98" s="2187"/>
      <c r="H98" s="407">
        <v>7</v>
      </c>
    </row>
    <row r="99" spans="1:28" x14ac:dyDescent="0.25">
      <c r="A99"/>
      <c r="B99"/>
      <c r="C99" s="117"/>
      <c r="D99" t="s">
        <v>590</v>
      </c>
      <c r="E99" s="117" t="s">
        <v>7</v>
      </c>
      <c r="F99" s="2188">
        <f>MKK!G40*1000000</f>
        <v>0</v>
      </c>
      <c r="G99" s="2188"/>
      <c r="H99" s="407">
        <v>7</v>
      </c>
    </row>
    <row r="100" spans="1:28" x14ac:dyDescent="0.25">
      <c r="A100"/>
      <c r="B100"/>
      <c r="C100" s="117"/>
      <c r="D100" t="s">
        <v>591</v>
      </c>
      <c r="E100" s="117" t="s">
        <v>7</v>
      </c>
      <c r="F100" s="2187" t="str">
        <f>MKK!B40</f>
        <v/>
      </c>
      <c r="G100" s="2187"/>
      <c r="H100" s="407">
        <v>7</v>
      </c>
    </row>
    <row r="101" spans="1:28" x14ac:dyDescent="0.25">
      <c r="A101"/>
      <c r="B101"/>
      <c r="C101" s="117"/>
      <c r="D101" t="s">
        <v>592</v>
      </c>
      <c r="E101" s="117" t="s">
        <v>7</v>
      </c>
      <c r="F101" s="2186">
        <f>'Informasi Debitur'!L107</f>
        <v>0</v>
      </c>
      <c r="G101" s="2186"/>
      <c r="H101" s="407">
        <v>7</v>
      </c>
    </row>
    <row r="102" spans="1:28" x14ac:dyDescent="0.25">
      <c r="A102"/>
      <c r="B102"/>
      <c r="C102" s="117"/>
      <c r="D102" t="s">
        <v>593</v>
      </c>
      <c r="E102" s="117" t="s">
        <v>7</v>
      </c>
      <c r="F102" s="2193">
        <f>IF(SUM(MKK!H40)&lt;&gt;0,MKK!H40,(MKK!J40-MKK!I40)/365)</f>
        <v>0</v>
      </c>
      <c r="G102" s="2193"/>
      <c r="H102" s="407">
        <v>7</v>
      </c>
    </row>
    <row r="103" spans="1:28" x14ac:dyDescent="0.25">
      <c r="A103"/>
      <c r="B103"/>
      <c r="C103" s="117"/>
      <c r="D103" t="s">
        <v>594</v>
      </c>
      <c r="E103" s="117" t="s">
        <v>7</v>
      </c>
      <c r="F103" s="2186">
        <f>'Informasi Debitur'!M107</f>
        <v>0</v>
      </c>
      <c r="G103" s="2186"/>
      <c r="H103" s="407">
        <v>7</v>
      </c>
    </row>
    <row r="104" spans="1:28" x14ac:dyDescent="0.25">
      <c r="A104"/>
      <c r="B104"/>
      <c r="C104" s="117"/>
      <c r="D104" t="s">
        <v>595</v>
      </c>
      <c r="E104" s="117" t="s">
        <v>7</v>
      </c>
      <c r="F104" s="2187"/>
      <c r="G104" s="2187"/>
      <c r="H104" s="407">
        <v>7</v>
      </c>
    </row>
    <row r="105" spans="1:28" x14ac:dyDescent="0.25">
      <c r="A105"/>
      <c r="B105"/>
      <c r="C105" s="614"/>
      <c r="D105" s="613" t="s">
        <v>7651</v>
      </c>
      <c r="E105" s="115" t="s">
        <v>7650</v>
      </c>
      <c r="F105" s="2190" t="str">
        <f>IFERROR(IF(LEFT(F98,2)="PB",VLOOKUP(LEFT(F98,2),$L$18:$O$20,2,0),VLOOKUP(LEFT(F98,3),$L$18:$O$20,2,0)),"")</f>
        <v/>
      </c>
      <c r="G105" s="2190"/>
      <c r="H105" s="407">
        <v>7</v>
      </c>
      <c r="J105" s="629" t="str">
        <f>F105</f>
        <v/>
      </c>
    </row>
    <row r="106" spans="1:28" x14ac:dyDescent="0.25">
      <c r="A106"/>
      <c r="B106"/>
      <c r="C106" s="614"/>
      <c r="D106" s="613" t="s">
        <v>7658</v>
      </c>
      <c r="E106" s="115" t="s">
        <v>7</v>
      </c>
      <c r="F106" s="2190" t="str">
        <f>IFERROR(IF(LEFT(F98,2)="PB",VLOOKUP(LEFT(F98,2),$L$18:$O$20,3,0),VLOOKUP(LEFT(F98,3),$L$18:$O$20,3,0)),"")</f>
        <v/>
      </c>
      <c r="G106" s="2190"/>
      <c r="H106" s="407">
        <v>7</v>
      </c>
    </row>
    <row r="107" spans="1:28" x14ac:dyDescent="0.25">
      <c r="A107"/>
      <c r="B107"/>
      <c r="C107" s="614"/>
      <c r="D107" s="623" t="s">
        <v>7660</v>
      </c>
      <c r="E107" s="624" t="s">
        <v>7</v>
      </c>
      <c r="F107" s="625" t="s">
        <v>7673</v>
      </c>
      <c r="G107" s="639" t="s">
        <v>7671</v>
      </c>
      <c r="H107" s="407">
        <v>7</v>
      </c>
    </row>
    <row r="108" spans="1:28" ht="30" customHeight="1" x14ac:dyDescent="0.25">
      <c r="A108"/>
      <c r="B108"/>
      <c r="C108" s="614"/>
      <c r="D108" s="638" t="s">
        <v>7661</v>
      </c>
      <c r="E108" s="624" t="s">
        <v>7</v>
      </c>
      <c r="F108" s="2191" t="s">
        <v>7662</v>
      </c>
      <c r="G108" s="2191"/>
      <c r="H108" s="407">
        <v>7</v>
      </c>
    </row>
    <row r="109" spans="1:28" x14ac:dyDescent="0.25">
      <c r="A109"/>
      <c r="B109"/>
      <c r="C109"/>
      <c r="D109"/>
      <c r="E109" s="614"/>
      <c r="F109" s="610"/>
      <c r="G109"/>
      <c r="H109" s="408"/>
    </row>
    <row r="110" spans="1:28" s="632" customFormat="1" x14ac:dyDescent="0.25">
      <c r="A110" s="2182" t="s">
        <v>7664</v>
      </c>
      <c r="B110" s="2182"/>
      <c r="C110" s="2182"/>
      <c r="D110" s="2182"/>
      <c r="E110" s="2182"/>
      <c r="F110" s="2182"/>
      <c r="G110" s="2182"/>
      <c r="H110" s="764"/>
      <c r="I110" s="765"/>
      <c r="J110" s="628"/>
      <c r="K110" s="385"/>
      <c r="L110" s="385"/>
      <c r="M110" s="385"/>
      <c r="N110" s="385"/>
      <c r="O110" s="583"/>
      <c r="P110" s="583"/>
      <c r="Q110" s="583"/>
      <c r="R110" s="765"/>
      <c r="S110" s="583"/>
      <c r="T110" s="583"/>
      <c r="U110" s="583"/>
      <c r="V110" s="583"/>
      <c r="W110" s="583"/>
      <c r="X110" s="583"/>
      <c r="Y110" s="583"/>
      <c r="Z110" s="583"/>
      <c r="AA110" s="583"/>
      <c r="AB110" s="583"/>
    </row>
    <row r="111" spans="1:28" s="632" customFormat="1" x14ac:dyDescent="0.25">
      <c r="A111" s="635"/>
      <c r="B111" s="635"/>
      <c r="C111" s="635"/>
      <c r="D111" s="635"/>
      <c r="E111" s="635"/>
      <c r="F111" s="635"/>
      <c r="G111" s="637"/>
      <c r="I111" s="628"/>
      <c r="J111" s="628"/>
      <c r="K111" s="385"/>
      <c r="L111" s="385"/>
      <c r="M111" s="385"/>
      <c r="N111" s="385"/>
      <c r="O111" s="583"/>
      <c r="P111" s="583"/>
      <c r="Q111" s="583"/>
      <c r="R111" s="583"/>
      <c r="S111" s="583"/>
      <c r="T111" s="583"/>
      <c r="U111" s="583"/>
      <c r="V111" s="583"/>
      <c r="W111" s="583"/>
      <c r="X111" s="583"/>
      <c r="Y111" s="583"/>
      <c r="Z111" s="583"/>
      <c r="AA111" s="583"/>
      <c r="AB111" s="583"/>
    </row>
    <row r="112" spans="1:28" ht="27" customHeight="1" x14ac:dyDescent="0.25">
      <c r="A112"/>
      <c r="B112" s="117">
        <v>1</v>
      </c>
      <c r="C112" t="s">
        <v>540</v>
      </c>
      <c r="D112"/>
      <c r="E112" s="117"/>
      <c r="F112" s="131"/>
      <c r="G112"/>
      <c r="H112" s="408"/>
      <c r="I112" s="628"/>
    </row>
    <row r="113" spans="1:9" x14ac:dyDescent="0.25">
      <c r="A113"/>
      <c r="B113"/>
      <c r="C113" s="117" t="s">
        <v>588</v>
      </c>
      <c r="D113" t="s">
        <v>615</v>
      </c>
      <c r="E113" s="117" t="s">
        <v>7</v>
      </c>
      <c r="F113" s="2195" t="str">
        <f>MKK!A96</f>
        <v>Tanah dan Bangunan</v>
      </c>
      <c r="G113" s="2195"/>
      <c r="H113" s="408"/>
      <c r="I113" s="628"/>
    </row>
    <row r="114" spans="1:9" x14ac:dyDescent="0.25">
      <c r="A114"/>
      <c r="B114"/>
      <c r="C114" s="117" t="s">
        <v>604</v>
      </c>
      <c r="D114" t="s">
        <v>9</v>
      </c>
      <c r="E114" s="117" t="s">
        <v>7</v>
      </c>
      <c r="F114" s="2196" t="str">
        <f>MKK!E96</f>
        <v>SHM 2895</v>
      </c>
      <c r="G114" s="2196"/>
      <c r="H114" s="408"/>
      <c r="I114" s="628"/>
    </row>
    <row r="115" spans="1:9" x14ac:dyDescent="0.25">
      <c r="A115"/>
      <c r="B115"/>
      <c r="C115" s="117" t="s">
        <v>605</v>
      </c>
      <c r="D115" t="s">
        <v>616</v>
      </c>
      <c r="E115" s="117" t="s">
        <v>7</v>
      </c>
      <c r="F115" s="2195" t="str">
        <f>MKK!G96</f>
        <v>Yuanita</v>
      </c>
      <c r="G115" s="2195"/>
      <c r="H115" s="408"/>
      <c r="I115" s="628"/>
    </row>
    <row r="116" spans="1:9" x14ac:dyDescent="0.25">
      <c r="A116"/>
      <c r="B116"/>
      <c r="C116" s="117" t="s">
        <v>606</v>
      </c>
      <c r="D116" t="s">
        <v>539</v>
      </c>
      <c r="E116" s="117" t="s">
        <v>7</v>
      </c>
      <c r="F116" s="2195" t="str">
        <f>MKK!C96</f>
        <v xml:space="preserve">Jalan A. Yani km 7 Komplek Bunyamin Residence Blok A No. 16, RT 13, Kel. Kertak Hanyar II, Kec. Kertak Hanyar, Kabupaten Banjar- Propinsi Kalimantan Selatan </v>
      </c>
      <c r="G116" s="2195"/>
      <c r="H116" s="408"/>
      <c r="I116" s="628"/>
    </row>
    <row r="117" spans="1:9" x14ac:dyDescent="0.25">
      <c r="A117"/>
      <c r="B117"/>
      <c r="C117" s="117"/>
      <c r="D117"/>
      <c r="E117" s="117"/>
      <c r="F117" s="131"/>
      <c r="G117"/>
      <c r="H117" s="408"/>
      <c r="I117" s="628"/>
    </row>
    <row r="118" spans="1:9" x14ac:dyDescent="0.25">
      <c r="A118"/>
      <c r="B118" s="117">
        <v>2</v>
      </c>
      <c r="C118" t="s">
        <v>541</v>
      </c>
      <c r="D118"/>
      <c r="E118" s="117"/>
      <c r="F118" s="131"/>
      <c r="G118"/>
      <c r="H118" s="408"/>
      <c r="I118" s="628"/>
    </row>
    <row r="119" spans="1:9" x14ac:dyDescent="0.25">
      <c r="A119"/>
      <c r="B119"/>
      <c r="C119" s="117" t="s">
        <v>588</v>
      </c>
      <c r="D119" t="s">
        <v>615</v>
      </c>
      <c r="E119" s="117" t="s">
        <v>7</v>
      </c>
      <c r="F119" s="2197">
        <f>MKK!A97</f>
        <v>0</v>
      </c>
      <c r="G119" s="2197"/>
      <c r="H119" s="408"/>
      <c r="I119" s="628"/>
    </row>
    <row r="120" spans="1:9" x14ac:dyDescent="0.25">
      <c r="A120"/>
      <c r="B120"/>
      <c r="C120" s="117" t="s">
        <v>604</v>
      </c>
      <c r="D120" t="s">
        <v>9</v>
      </c>
      <c r="E120" s="117" t="s">
        <v>7</v>
      </c>
      <c r="F120" s="2180">
        <f>MKK!E97</f>
        <v>0</v>
      </c>
      <c r="G120" s="2180"/>
      <c r="H120" s="408"/>
      <c r="I120" s="628"/>
    </row>
    <row r="121" spans="1:9" x14ac:dyDescent="0.25">
      <c r="A121"/>
      <c r="B121"/>
      <c r="C121" s="117" t="s">
        <v>605</v>
      </c>
      <c r="D121" t="s">
        <v>616</v>
      </c>
      <c r="E121" s="117" t="s">
        <v>7</v>
      </c>
      <c r="F121" s="2197">
        <f>MKK!G97</f>
        <v>0</v>
      </c>
      <c r="G121" s="2197"/>
      <c r="H121" s="408"/>
      <c r="I121" s="628"/>
    </row>
    <row r="122" spans="1:9" x14ac:dyDescent="0.25">
      <c r="A122"/>
      <c r="B122"/>
      <c r="C122" s="117" t="s">
        <v>606</v>
      </c>
      <c r="D122" t="s">
        <v>539</v>
      </c>
      <c r="E122" s="117" t="s">
        <v>7</v>
      </c>
      <c r="F122" s="2197">
        <f>MKK!C97</f>
        <v>0</v>
      </c>
      <c r="G122" s="2197"/>
      <c r="H122" s="408"/>
      <c r="I122" s="628"/>
    </row>
    <row r="123" spans="1:9" x14ac:dyDescent="0.25">
      <c r="A123"/>
      <c r="B123"/>
      <c r="C123"/>
      <c r="D123"/>
      <c r="E123" s="117"/>
      <c r="F123" s="131"/>
      <c r="G123"/>
      <c r="H123" s="408"/>
      <c r="I123" s="628"/>
    </row>
    <row r="124" spans="1:9" x14ac:dyDescent="0.25">
      <c r="A124"/>
      <c r="B124" s="117">
        <v>3</v>
      </c>
      <c r="C124" t="s">
        <v>617</v>
      </c>
      <c r="D124"/>
      <c r="E124" s="117"/>
      <c r="F124" s="131"/>
      <c r="G124"/>
      <c r="H124" s="408"/>
      <c r="I124" s="628"/>
    </row>
    <row r="125" spans="1:9" x14ac:dyDescent="0.25">
      <c r="A125"/>
      <c r="B125"/>
      <c r="C125" s="117" t="s">
        <v>588</v>
      </c>
      <c r="D125" t="s">
        <v>615</v>
      </c>
      <c r="E125" s="117" t="s">
        <v>7</v>
      </c>
      <c r="F125" s="2197">
        <f>MKK!A98</f>
        <v>0</v>
      </c>
      <c r="G125" s="2197"/>
      <c r="H125" s="408"/>
      <c r="I125" s="628"/>
    </row>
    <row r="126" spans="1:9" x14ac:dyDescent="0.25">
      <c r="A126"/>
      <c r="B126"/>
      <c r="C126" s="117" t="s">
        <v>604</v>
      </c>
      <c r="D126" t="s">
        <v>9</v>
      </c>
      <c r="E126" s="117" t="s">
        <v>7</v>
      </c>
      <c r="F126" s="2180">
        <f>MKK!E98</f>
        <v>0</v>
      </c>
      <c r="G126" s="2180"/>
      <c r="H126" s="408"/>
      <c r="I126" s="628"/>
    </row>
    <row r="127" spans="1:9" x14ac:dyDescent="0.25">
      <c r="A127"/>
      <c r="B127"/>
      <c r="C127" s="117" t="s">
        <v>605</v>
      </c>
      <c r="D127" t="s">
        <v>616</v>
      </c>
      <c r="E127" s="117" t="s">
        <v>7</v>
      </c>
      <c r="F127" s="2197">
        <f>MKK!G98</f>
        <v>0</v>
      </c>
      <c r="G127" s="2197"/>
      <c r="H127" s="408"/>
      <c r="I127" s="628"/>
    </row>
    <row r="128" spans="1:9" x14ac:dyDescent="0.25">
      <c r="A128"/>
      <c r="B128"/>
      <c r="C128" s="117" t="s">
        <v>606</v>
      </c>
      <c r="D128" t="s">
        <v>539</v>
      </c>
      <c r="E128" s="117" t="s">
        <v>7</v>
      </c>
      <c r="F128" s="2197">
        <f>MKK!C98</f>
        <v>0</v>
      </c>
      <c r="G128" s="2197"/>
      <c r="H128" s="408"/>
      <c r="I128" s="628"/>
    </row>
    <row r="129" spans="1:9" x14ac:dyDescent="0.25">
      <c r="A129"/>
      <c r="B129"/>
      <c r="C129"/>
      <c r="D129"/>
      <c r="E129" s="117"/>
      <c r="F129" s="131"/>
      <c r="G129"/>
      <c r="H129" s="408"/>
      <c r="I129" s="628"/>
    </row>
    <row r="130" spans="1:9" x14ac:dyDescent="0.25">
      <c r="A130"/>
      <c r="B130" s="117">
        <v>4</v>
      </c>
      <c r="C130" t="s">
        <v>542</v>
      </c>
      <c r="D130"/>
      <c r="E130" s="117"/>
      <c r="F130" s="131"/>
      <c r="G130"/>
      <c r="H130" s="408"/>
      <c r="I130" s="628"/>
    </row>
    <row r="131" spans="1:9" x14ac:dyDescent="0.25">
      <c r="A131"/>
      <c r="B131"/>
      <c r="C131" s="117" t="s">
        <v>588</v>
      </c>
      <c r="D131" t="s">
        <v>615</v>
      </c>
      <c r="E131" s="117" t="s">
        <v>7</v>
      </c>
      <c r="F131" s="2197">
        <f>MKK!A99</f>
        <v>0</v>
      </c>
      <c r="G131" s="2197"/>
      <c r="H131" s="408"/>
      <c r="I131" s="628"/>
    </row>
    <row r="132" spans="1:9" x14ac:dyDescent="0.25">
      <c r="A132"/>
      <c r="B132"/>
      <c r="C132" s="117" t="s">
        <v>604</v>
      </c>
      <c r="D132" t="s">
        <v>9</v>
      </c>
      <c r="E132" s="117" t="s">
        <v>7</v>
      </c>
      <c r="F132" s="2180">
        <f>MKK!E99</f>
        <v>0</v>
      </c>
      <c r="G132" s="2180"/>
      <c r="H132" s="408"/>
      <c r="I132" s="628"/>
    </row>
    <row r="133" spans="1:9" x14ac:dyDescent="0.25">
      <c r="A133"/>
      <c r="B133"/>
      <c r="C133" s="117" t="s">
        <v>605</v>
      </c>
      <c r="D133" t="s">
        <v>616</v>
      </c>
      <c r="E133" s="117" t="s">
        <v>7</v>
      </c>
      <c r="F133" s="2197">
        <f>MKK!G99</f>
        <v>0</v>
      </c>
      <c r="G133" s="2197"/>
      <c r="H133" s="408"/>
      <c r="I133" s="628"/>
    </row>
    <row r="134" spans="1:9" x14ac:dyDescent="0.25">
      <c r="A134"/>
      <c r="B134"/>
      <c r="C134" s="117" t="s">
        <v>606</v>
      </c>
      <c r="D134" t="s">
        <v>539</v>
      </c>
      <c r="E134" s="117" t="s">
        <v>7</v>
      </c>
      <c r="F134" s="2197">
        <f>MKK!C99</f>
        <v>0</v>
      </c>
      <c r="G134" s="2197"/>
      <c r="H134" s="408"/>
      <c r="I134" s="628"/>
    </row>
    <row r="135" spans="1:9" x14ac:dyDescent="0.25">
      <c r="A135"/>
      <c r="B135"/>
      <c r="C135"/>
      <c r="D135"/>
      <c r="E135" s="117"/>
      <c r="F135" s="131"/>
      <c r="G135"/>
      <c r="H135" s="408"/>
      <c r="I135" s="628"/>
    </row>
    <row r="136" spans="1:9" x14ac:dyDescent="0.25">
      <c r="A136"/>
      <c r="B136" s="117">
        <v>5</v>
      </c>
      <c r="C136" t="s">
        <v>618</v>
      </c>
      <c r="D136"/>
      <c r="E136" s="117"/>
      <c r="F136" s="131"/>
      <c r="G136"/>
      <c r="H136" s="408"/>
      <c r="I136" s="628"/>
    </row>
    <row r="137" spans="1:9" x14ac:dyDescent="0.25">
      <c r="A137"/>
      <c r="B137"/>
      <c r="C137" s="117" t="s">
        <v>588</v>
      </c>
      <c r="D137" t="s">
        <v>615</v>
      </c>
      <c r="E137" s="117" t="s">
        <v>7</v>
      </c>
      <c r="F137" s="2197">
        <f>MKK!A100</f>
        <v>0</v>
      </c>
      <c r="G137" s="2197"/>
      <c r="H137" s="408"/>
      <c r="I137" s="628"/>
    </row>
    <row r="138" spans="1:9" x14ac:dyDescent="0.25">
      <c r="A138"/>
      <c r="B138"/>
      <c r="C138" s="117" t="s">
        <v>604</v>
      </c>
      <c r="D138" t="s">
        <v>9</v>
      </c>
      <c r="E138" s="117" t="s">
        <v>7</v>
      </c>
      <c r="F138" s="2180">
        <f>MKK!E100</f>
        <v>0</v>
      </c>
      <c r="G138" s="2180"/>
      <c r="H138" s="408"/>
      <c r="I138" s="628"/>
    </row>
    <row r="139" spans="1:9" x14ac:dyDescent="0.25">
      <c r="A139"/>
      <c r="B139"/>
      <c r="C139" s="117" t="s">
        <v>605</v>
      </c>
      <c r="D139" t="s">
        <v>616</v>
      </c>
      <c r="E139" s="117" t="s">
        <v>7</v>
      </c>
      <c r="F139" s="2197">
        <f>MKK!G100</f>
        <v>0</v>
      </c>
      <c r="G139" s="2197"/>
      <c r="H139" s="408"/>
      <c r="I139" s="628"/>
    </row>
    <row r="140" spans="1:9" x14ac:dyDescent="0.25">
      <c r="A140"/>
      <c r="B140"/>
      <c r="C140" s="117" t="s">
        <v>606</v>
      </c>
      <c r="D140" t="s">
        <v>539</v>
      </c>
      <c r="E140" s="117" t="s">
        <v>7</v>
      </c>
      <c r="F140" s="2197">
        <f>MKK!C100</f>
        <v>0</v>
      </c>
      <c r="G140" s="2197"/>
      <c r="H140" s="408"/>
      <c r="I140" s="628"/>
    </row>
    <row r="141" spans="1:9" x14ac:dyDescent="0.25">
      <c r="A141"/>
      <c r="B141"/>
      <c r="C141"/>
      <c r="D141"/>
      <c r="E141" s="117"/>
      <c r="F141" s="131"/>
      <c r="G141"/>
      <c r="H141" s="408"/>
      <c r="I141" s="628"/>
    </row>
    <row r="142" spans="1:9" x14ac:dyDescent="0.25">
      <c r="A142"/>
      <c r="B142" s="117">
        <v>6</v>
      </c>
      <c r="C142" t="s">
        <v>619</v>
      </c>
      <c r="D142"/>
      <c r="E142" s="117"/>
      <c r="F142" s="131"/>
      <c r="G142"/>
      <c r="H142" s="408"/>
      <c r="I142" s="628"/>
    </row>
    <row r="143" spans="1:9" x14ac:dyDescent="0.25">
      <c r="A143"/>
      <c r="B143"/>
      <c r="C143" s="117" t="s">
        <v>588</v>
      </c>
      <c r="D143" t="s">
        <v>615</v>
      </c>
      <c r="E143" s="117" t="s">
        <v>7</v>
      </c>
      <c r="F143" s="2197">
        <f>MKK!A101</f>
        <v>0</v>
      </c>
      <c r="G143" s="2197"/>
      <c r="H143" s="408"/>
      <c r="I143" s="628"/>
    </row>
    <row r="144" spans="1:9" x14ac:dyDescent="0.25">
      <c r="A144"/>
      <c r="B144"/>
      <c r="C144" s="117" t="s">
        <v>604</v>
      </c>
      <c r="D144" t="s">
        <v>9</v>
      </c>
      <c r="E144" s="117" t="s">
        <v>7</v>
      </c>
      <c r="F144" s="2180">
        <f>MKK!E101</f>
        <v>0</v>
      </c>
      <c r="G144" s="2180"/>
      <c r="H144" s="408"/>
      <c r="I144" s="628"/>
    </row>
    <row r="145" spans="1:9" x14ac:dyDescent="0.25">
      <c r="A145"/>
      <c r="B145"/>
      <c r="C145" s="117" t="s">
        <v>605</v>
      </c>
      <c r="D145" t="s">
        <v>616</v>
      </c>
      <c r="E145" s="117" t="s">
        <v>7</v>
      </c>
      <c r="F145" s="2197">
        <f>MKK!G101</f>
        <v>0</v>
      </c>
      <c r="G145" s="2197"/>
      <c r="H145" s="408"/>
      <c r="I145" s="628"/>
    </row>
    <row r="146" spans="1:9" x14ac:dyDescent="0.25">
      <c r="A146"/>
      <c r="B146"/>
      <c r="C146" s="117" t="s">
        <v>606</v>
      </c>
      <c r="D146" t="s">
        <v>539</v>
      </c>
      <c r="E146" s="117" t="s">
        <v>7</v>
      </c>
      <c r="F146" s="2197">
        <f>MKK!C101</f>
        <v>0</v>
      </c>
      <c r="G146" s="2197"/>
      <c r="H146" s="408"/>
      <c r="I146" s="628"/>
    </row>
    <row r="147" spans="1:9" x14ac:dyDescent="0.25">
      <c r="A147"/>
      <c r="B147"/>
      <c r="C147"/>
      <c r="D147"/>
      <c r="E147" s="117"/>
      <c r="F147" s="131"/>
      <c r="G147"/>
      <c r="H147" s="408"/>
      <c r="I147" s="628"/>
    </row>
    <row r="148" spans="1:9" x14ac:dyDescent="0.25">
      <c r="A148"/>
      <c r="B148" s="117">
        <v>7</v>
      </c>
      <c r="C148" t="s">
        <v>620</v>
      </c>
      <c r="D148"/>
      <c r="E148" s="117"/>
      <c r="F148" s="131"/>
      <c r="G148"/>
      <c r="H148" s="408"/>
      <c r="I148" s="628"/>
    </row>
    <row r="149" spans="1:9" x14ac:dyDescent="0.25">
      <c r="A149"/>
      <c r="B149"/>
      <c r="C149" s="117" t="s">
        <v>588</v>
      </c>
      <c r="D149" t="s">
        <v>615</v>
      </c>
      <c r="E149" s="117" t="s">
        <v>7</v>
      </c>
      <c r="F149" s="2197">
        <f>MKK!A102</f>
        <v>0</v>
      </c>
      <c r="G149" s="2197"/>
      <c r="H149" s="408"/>
      <c r="I149" s="628"/>
    </row>
    <row r="150" spans="1:9" x14ac:dyDescent="0.25">
      <c r="A150"/>
      <c r="B150"/>
      <c r="C150" s="117" t="s">
        <v>604</v>
      </c>
      <c r="D150" t="s">
        <v>9</v>
      </c>
      <c r="E150" s="117" t="s">
        <v>7</v>
      </c>
      <c r="F150" s="2180">
        <f>MKK!E102</f>
        <v>0</v>
      </c>
      <c r="G150" s="2180"/>
      <c r="H150" s="408"/>
      <c r="I150" s="628"/>
    </row>
    <row r="151" spans="1:9" x14ac:dyDescent="0.25">
      <c r="A151"/>
      <c r="B151"/>
      <c r="C151" s="117" t="s">
        <v>605</v>
      </c>
      <c r="D151" t="s">
        <v>616</v>
      </c>
      <c r="E151" s="117" t="s">
        <v>7</v>
      </c>
      <c r="F151" s="2197">
        <f>MKK!G102</f>
        <v>0</v>
      </c>
      <c r="G151" s="2197"/>
      <c r="H151" s="408"/>
      <c r="I151" s="628"/>
    </row>
    <row r="152" spans="1:9" x14ac:dyDescent="0.25">
      <c r="A152"/>
      <c r="B152"/>
      <c r="C152" s="117" t="s">
        <v>606</v>
      </c>
      <c r="D152" t="s">
        <v>539</v>
      </c>
      <c r="E152" s="117" t="s">
        <v>7</v>
      </c>
      <c r="F152" s="2197">
        <f>MKK!C102</f>
        <v>0</v>
      </c>
      <c r="G152" s="2197"/>
      <c r="H152" s="408"/>
      <c r="I152" s="628"/>
    </row>
    <row r="153" spans="1:9" x14ac:dyDescent="0.25">
      <c r="A153"/>
      <c r="B153"/>
      <c r="C153"/>
      <c r="D153"/>
      <c r="E153" s="117"/>
      <c r="F153" s="131"/>
      <c r="G153"/>
      <c r="H153" s="408"/>
      <c r="I153" s="628"/>
    </row>
    <row r="154" spans="1:9" x14ac:dyDescent="0.25">
      <c r="A154"/>
      <c r="B154" s="117">
        <v>8</v>
      </c>
      <c r="C154" t="s">
        <v>621</v>
      </c>
      <c r="D154"/>
      <c r="E154" s="117"/>
      <c r="F154" s="131"/>
      <c r="G154"/>
      <c r="H154" s="408"/>
      <c r="I154" s="628"/>
    </row>
    <row r="155" spans="1:9" x14ac:dyDescent="0.25">
      <c r="A155"/>
      <c r="B155"/>
      <c r="C155" s="117" t="s">
        <v>588</v>
      </c>
      <c r="D155" t="s">
        <v>615</v>
      </c>
      <c r="E155" s="117" t="s">
        <v>7</v>
      </c>
      <c r="F155" s="2197">
        <f>MKK!A103</f>
        <v>0</v>
      </c>
      <c r="G155" s="2197"/>
      <c r="H155" s="408"/>
      <c r="I155" s="628"/>
    </row>
    <row r="156" spans="1:9" x14ac:dyDescent="0.25">
      <c r="A156"/>
      <c r="B156"/>
      <c r="C156" s="117" t="s">
        <v>604</v>
      </c>
      <c r="D156" t="s">
        <v>9</v>
      </c>
      <c r="E156" s="117" t="s">
        <v>7</v>
      </c>
      <c r="F156" s="2180">
        <f>MKK!E103</f>
        <v>0</v>
      </c>
      <c r="G156" s="2180"/>
      <c r="H156" s="408"/>
      <c r="I156" s="628"/>
    </row>
    <row r="157" spans="1:9" x14ac:dyDescent="0.25">
      <c r="A157"/>
      <c r="B157"/>
      <c r="C157" s="117" t="s">
        <v>605</v>
      </c>
      <c r="D157" t="s">
        <v>616</v>
      </c>
      <c r="E157" s="117" t="s">
        <v>7</v>
      </c>
      <c r="F157" s="2197">
        <f>MKK!G103</f>
        <v>0</v>
      </c>
      <c r="G157" s="2197"/>
      <c r="H157" s="408"/>
      <c r="I157" s="628"/>
    </row>
    <row r="158" spans="1:9" x14ac:dyDescent="0.25">
      <c r="A158"/>
      <c r="B158"/>
      <c r="C158" s="117" t="s">
        <v>606</v>
      </c>
      <c r="D158" t="s">
        <v>539</v>
      </c>
      <c r="E158" s="117" t="s">
        <v>7</v>
      </c>
      <c r="F158" s="2197">
        <f>MKK!C103</f>
        <v>0</v>
      </c>
      <c r="G158" s="2197"/>
      <c r="H158" s="408"/>
      <c r="I158" s="628"/>
    </row>
    <row r="159" spans="1:9" x14ac:dyDescent="0.25">
      <c r="A159"/>
      <c r="B159"/>
      <c r="C159" s="117"/>
      <c r="D159"/>
      <c r="E159" s="117"/>
      <c r="F159" s="132"/>
      <c r="G159" s="132"/>
      <c r="H159" s="408"/>
    </row>
    <row r="160" spans="1:9" x14ac:dyDescent="0.25">
      <c r="A160" s="2182" t="s">
        <v>7665</v>
      </c>
      <c r="B160" s="2182"/>
      <c r="C160" s="2182"/>
      <c r="D160" s="2182"/>
      <c r="E160" s="2182"/>
      <c r="F160" s="2182"/>
      <c r="G160" s="2182"/>
      <c r="H160" s="408"/>
    </row>
    <row r="161" spans="1:28" ht="23.25" customHeight="1" x14ac:dyDescent="0.25">
      <c r="A161"/>
      <c r="B161" s="117">
        <v>1</v>
      </c>
      <c r="C161" t="s">
        <v>612</v>
      </c>
      <c r="D161"/>
      <c r="E161" s="117" t="s">
        <v>7</v>
      </c>
      <c r="F161" s="615" t="s">
        <v>7663</v>
      </c>
      <c r="G161"/>
      <c r="H161" s="408"/>
    </row>
    <row r="162" spans="1:28" x14ac:dyDescent="0.25">
      <c r="A162"/>
      <c r="B162" s="117">
        <v>2</v>
      </c>
      <c r="C162" t="s">
        <v>614</v>
      </c>
      <c r="D162"/>
      <c r="E162" s="117" t="s">
        <v>7</v>
      </c>
      <c r="F162" s="615" t="s">
        <v>7663</v>
      </c>
      <c r="G162"/>
      <c r="H162" s="408"/>
    </row>
    <row r="163" spans="1:28" x14ac:dyDescent="0.25">
      <c r="A163"/>
      <c r="B163"/>
      <c r="C163"/>
      <c r="D163"/>
      <c r="E163" s="117"/>
      <c r="F163" s="131"/>
      <c r="G163"/>
      <c r="H163" s="408"/>
    </row>
    <row r="164" spans="1:28" x14ac:dyDescent="0.25">
      <c r="A164" s="2182" t="s">
        <v>7666</v>
      </c>
      <c r="B164" s="2182"/>
      <c r="C164" s="2182"/>
      <c r="D164" s="2182"/>
      <c r="E164" s="2182"/>
      <c r="F164" s="2182"/>
      <c r="G164" s="2182"/>
      <c r="H164" s="408"/>
    </row>
    <row r="165" spans="1:28" ht="30" customHeight="1" x14ac:dyDescent="0.25">
      <c r="A165"/>
      <c r="B165" s="115">
        <v>1</v>
      </c>
      <c r="C165" s="2184" t="s">
        <v>7783</v>
      </c>
      <c r="D165" s="2184"/>
      <c r="E165" s="2184"/>
      <c r="F165" s="2184"/>
      <c r="G165" s="2184"/>
      <c r="H165" s="408"/>
    </row>
    <row r="166" spans="1:28" ht="30" customHeight="1" x14ac:dyDescent="0.25">
      <c r="A166"/>
      <c r="B166" s="115">
        <v>2</v>
      </c>
      <c r="C166" s="2184" t="s">
        <v>7784</v>
      </c>
      <c r="D166" s="2184"/>
      <c r="E166" s="2184"/>
      <c r="F166" s="2184"/>
      <c r="G166" s="2184"/>
      <c r="H166" s="408"/>
      <c r="J166" s="348"/>
    </row>
    <row r="167" spans="1:28" x14ac:dyDescent="0.25">
      <c r="A167"/>
      <c r="B167" s="115">
        <v>3</v>
      </c>
      <c r="C167" s="2184" t="s">
        <v>7785</v>
      </c>
      <c r="D167" s="2184"/>
      <c r="E167" s="2184"/>
      <c r="F167" s="2184"/>
      <c r="G167" s="2184"/>
      <c r="H167" s="408"/>
    </row>
    <row r="168" spans="1:28" x14ac:dyDescent="0.25">
      <c r="A168"/>
      <c r="B168" s="115">
        <v>4</v>
      </c>
      <c r="C168" s="2184" t="s">
        <v>7786</v>
      </c>
      <c r="D168" s="2184"/>
      <c r="E168" s="2184"/>
      <c r="F168" s="2184"/>
      <c r="G168" s="2184" t="s">
        <v>626</v>
      </c>
      <c r="H168" s="408"/>
    </row>
    <row r="169" spans="1:28" ht="32.25" customHeight="1" x14ac:dyDescent="0.25">
      <c r="A169"/>
      <c r="B169" s="115">
        <v>5</v>
      </c>
      <c r="C169" s="2184" t="s">
        <v>7787</v>
      </c>
      <c r="D169" s="2184"/>
      <c r="E169" s="2184"/>
      <c r="F169" s="2184"/>
      <c r="G169" s="2184"/>
      <c r="H169" s="408"/>
    </row>
    <row r="170" spans="1:28" ht="48.75" customHeight="1" x14ac:dyDescent="0.25">
      <c r="A170"/>
      <c r="B170" s="115">
        <v>6</v>
      </c>
      <c r="C170" s="2184" t="s">
        <v>7788</v>
      </c>
      <c r="D170" s="2184"/>
      <c r="E170" s="2184"/>
      <c r="F170" s="2184"/>
      <c r="G170" s="2184"/>
      <c r="H170" s="408"/>
    </row>
    <row r="171" spans="1:28" ht="64.5" customHeight="1" x14ac:dyDescent="0.25">
      <c r="A171"/>
      <c r="B171" s="115">
        <v>7</v>
      </c>
      <c r="C171" s="2184" t="s">
        <v>7789</v>
      </c>
      <c r="D171" s="2184"/>
      <c r="E171" s="2184"/>
      <c r="F171" s="2184"/>
      <c r="G171" s="2184"/>
      <c r="H171" s="408"/>
    </row>
    <row r="172" spans="1:28" ht="92.25" customHeight="1" x14ac:dyDescent="0.25">
      <c r="A172"/>
      <c r="B172" s="115">
        <v>8</v>
      </c>
      <c r="C172" s="2184" t="s">
        <v>7790</v>
      </c>
      <c r="D172" s="2184"/>
      <c r="E172" s="2184"/>
      <c r="F172" s="2184"/>
      <c r="G172" s="2184"/>
      <c r="H172" s="408"/>
    </row>
    <row r="173" spans="1:28" ht="29.25" customHeight="1" x14ac:dyDescent="0.25">
      <c r="A173"/>
      <c r="B173" s="115">
        <v>9</v>
      </c>
      <c r="C173" s="2184" t="s">
        <v>7791</v>
      </c>
      <c r="D173" s="2184"/>
      <c r="E173" s="2184"/>
      <c r="F173" s="2184"/>
      <c r="G173" s="2184"/>
      <c r="H173" s="636"/>
      <c r="I173" s="365"/>
      <c r="J173" s="630"/>
    </row>
    <row r="174" spans="1:28" ht="29.25" customHeight="1" x14ac:dyDescent="0.25">
      <c r="A174"/>
      <c r="B174" s="115">
        <v>10</v>
      </c>
      <c r="C174" s="2184" t="s">
        <v>7792</v>
      </c>
      <c r="D174" s="2184"/>
      <c r="E174" s="2184"/>
      <c r="F174" s="2184"/>
      <c r="G174" s="2184"/>
      <c r="H174" s="636"/>
      <c r="I174" s="365"/>
      <c r="J174" s="630"/>
      <c r="K174" s="385"/>
      <c r="L174" s="385"/>
      <c r="M174" s="385"/>
      <c r="N174" s="385"/>
      <c r="O174" s="385"/>
      <c r="P174" s="385"/>
      <c r="Q174" s="385"/>
      <c r="R174" s="385"/>
      <c r="S174" s="385"/>
      <c r="T174" s="385"/>
      <c r="U174" s="385"/>
      <c r="V174" s="385"/>
      <c r="W174" s="385"/>
      <c r="X174" s="385"/>
      <c r="Y174" s="385"/>
      <c r="Z174" s="385"/>
      <c r="AA174" s="385"/>
      <c r="AB174" s="385"/>
    </row>
    <row r="175" spans="1:28" x14ac:dyDescent="0.25">
      <c r="A175"/>
      <c r="B175" s="115">
        <v>11</v>
      </c>
      <c r="C175" s="2184" t="s">
        <v>7793</v>
      </c>
      <c r="D175" s="2184"/>
      <c r="E175" s="2184"/>
      <c r="F175" s="2184"/>
      <c r="G175" s="2184"/>
      <c r="H175" s="408"/>
    </row>
    <row r="176" spans="1:28" ht="32.25" customHeight="1" x14ac:dyDescent="0.25">
      <c r="A176"/>
      <c r="B176"/>
      <c r="C176" s="760" t="s">
        <v>7794</v>
      </c>
      <c r="D176" s="2184" t="s">
        <v>633</v>
      </c>
      <c r="E176" s="2184"/>
      <c r="F176" s="2184"/>
      <c r="G176" s="2184"/>
      <c r="H176" s="408"/>
    </row>
    <row r="177" spans="1:28" ht="30.75" customHeight="1" x14ac:dyDescent="0.25">
      <c r="A177"/>
      <c r="B177"/>
      <c r="C177" s="760" t="s">
        <v>7795</v>
      </c>
      <c r="D177" s="2184" t="s">
        <v>7796</v>
      </c>
      <c r="E177" s="2184"/>
      <c r="F177" s="2184"/>
      <c r="G177" s="2184"/>
      <c r="H177" s="408"/>
    </row>
    <row r="178" spans="1:28" x14ac:dyDescent="0.25">
      <c r="A178"/>
      <c r="B178"/>
      <c r="C178"/>
      <c r="D178"/>
      <c r="E178" s="117"/>
      <c r="F178" s="131"/>
      <c r="G178"/>
      <c r="H178" s="408"/>
    </row>
    <row r="179" spans="1:28" x14ac:dyDescent="0.25">
      <c r="A179" s="2182" t="s">
        <v>7797</v>
      </c>
      <c r="B179" s="2182"/>
      <c r="C179" s="2182"/>
      <c r="D179" s="2182"/>
      <c r="E179" s="2182"/>
      <c r="F179" s="2182"/>
      <c r="G179" s="2182"/>
      <c r="H179" s="408"/>
    </row>
    <row r="180" spans="1:28" x14ac:dyDescent="0.25">
      <c r="A180" s="134"/>
      <c r="B180" s="772">
        <v>1</v>
      </c>
      <c r="C180" s="118" t="str">
        <f>IF(MKK!L126="Ya",MKK!A126,"")</f>
        <v>1. Dana Retensi 1 x kewajiban Bunga Fasilitas PRK, dimana penempatan dana retensi sesuai ketentuan Bank BTPN --&gt; ABL,Legal&amp;FC/AS&amp;CEM Monitor</v>
      </c>
      <c r="D180" s="134"/>
      <c r="E180" s="134"/>
      <c r="F180" s="134"/>
      <c r="G180" s="134"/>
      <c r="H180" s="408"/>
    </row>
    <row r="181" spans="1:28" x14ac:dyDescent="0.25">
      <c r="A181"/>
      <c r="B181" s="772">
        <v>2</v>
      </c>
      <c r="C181" s="118" t="str">
        <f>IF(MKK!L127="Ya",MKK!A127,"")</f>
        <v xml:space="preserve">2. Debitur wajib menyerahkan periode List persedian barang, Piutang Usaha dan Hutang Usaha secara periodical per semester (Periode Juni dan Desember) --&gt;  RM dan ABL 
    Verifikasi, Legal&amp;FC/AS&amp;CEM Monitor </v>
      </c>
      <c r="D181" s="118"/>
      <c r="E181" s="118"/>
      <c r="F181" s="118"/>
      <c r="G181" s="4"/>
      <c r="H181" s="408"/>
    </row>
    <row r="182" spans="1:28" s="633" customFormat="1" x14ac:dyDescent="0.25">
      <c r="A182"/>
      <c r="B182" s="772">
        <v>3</v>
      </c>
      <c r="C182" s="118" t="str">
        <f>IF(MKK!L128="Ya",MKK!A128,"")</f>
        <v>3. Debitur wajib melampirkan rekap pendapatan usaha periode bulan Maret 2018 s.d Juni 2018 (bukti pembayaran berupa nota penjualan/invoice) --&gt; RM &amp; ABL Verifikasi, ACM 
    Review, Legal&amp;FC Monitor.</v>
      </c>
      <c r="D182" s="2185" t="str">
        <f>IF(MKK!L128="Ya",MKK!A128,"")</f>
        <v>3. Debitur wajib melampirkan rekap pendapatan usaha periode bulan Maret 2018 s.d Juni 2018 (bukti pembayaran berupa nota penjualan/invoice) --&gt; RM &amp; ABL Verifikasi, ACM 
    Review, Legal&amp;FC Monitor.</v>
      </c>
      <c r="E182" s="2185"/>
      <c r="F182" s="2185"/>
      <c r="G182" s="2185"/>
      <c r="I182" s="379"/>
      <c r="J182" s="631" t="str">
        <f>D182</f>
        <v>3. Debitur wajib melampirkan rekap pendapatan usaha periode bulan Maret 2018 s.d Juni 2018 (bukti pembayaran berupa nota penjualan/invoice) --&gt; RM &amp; ABL Verifikasi, ACM 
    Review, Legal&amp;FC Monitor.</v>
      </c>
      <c r="K182" s="379"/>
      <c r="L182" s="379"/>
      <c r="M182" s="379"/>
      <c r="N182" s="379"/>
      <c r="O182" s="379"/>
      <c r="P182" s="379"/>
      <c r="Q182" s="379"/>
      <c r="R182" s="379"/>
      <c r="S182" s="379"/>
      <c r="T182" s="379"/>
      <c r="U182" s="379"/>
      <c r="V182" s="379"/>
      <c r="W182" s="379"/>
      <c r="X182" s="379"/>
      <c r="Y182" s="379"/>
      <c r="Z182" s="379"/>
      <c r="AA182" s="379"/>
      <c r="AB182" s="379"/>
    </row>
    <row r="183" spans="1:28" x14ac:dyDescent="0.25">
      <c r="A183"/>
      <c r="B183" s="772">
        <v>4</v>
      </c>
      <c r="C183" s="118" t="str">
        <f>IF(MKK!L129="Ya",MKK!A129,"")</f>
        <v/>
      </c>
      <c r="D183" s="2185" t="str">
        <f>IF(MKK!L129="Ya",MKK!A129,"")</f>
        <v/>
      </c>
      <c r="E183" s="2185"/>
      <c r="F183" s="2185"/>
      <c r="G183" s="2185"/>
      <c r="H183" s="408"/>
    </row>
    <row r="184" spans="1:28" x14ac:dyDescent="0.25">
      <c r="A184"/>
      <c r="B184" s="772">
        <v>5</v>
      </c>
      <c r="C184" s="118" t="str">
        <f>IF(MKK!L130="Ya",MKK!A130,"")</f>
        <v/>
      </c>
      <c r="D184"/>
      <c r="E184" s="117"/>
      <c r="F184" s="131"/>
      <c r="G184"/>
      <c r="H184" s="408"/>
    </row>
    <row r="185" spans="1:28" x14ac:dyDescent="0.25">
      <c r="A185"/>
      <c r="B185" s="772">
        <v>6</v>
      </c>
      <c r="C185" s="118" t="str">
        <f>IF(MKK!L131="Ya",MKK!A131,"")</f>
        <v/>
      </c>
      <c r="D185"/>
      <c r="E185" s="117"/>
      <c r="F185" s="131"/>
      <c r="G185"/>
      <c r="H185" s="408"/>
    </row>
    <row r="186" spans="1:28" x14ac:dyDescent="0.25">
      <c r="A186"/>
      <c r="B186" s="772">
        <v>7</v>
      </c>
      <c r="C186" s="118" t="str">
        <f>IF(MKK!L132="Ya",MKK!A132,"")</f>
        <v/>
      </c>
      <c r="D186" s="2185" t="str">
        <f>IF(MKK!L131="Ya",MKK!A131,"")</f>
        <v/>
      </c>
      <c r="E186" s="2185"/>
      <c r="F186" s="2185"/>
      <c r="G186" s="2185"/>
      <c r="H186" s="408"/>
    </row>
    <row r="187" spans="1:28" x14ac:dyDescent="0.25">
      <c r="A187"/>
      <c r="B187" s="772">
        <v>8</v>
      </c>
      <c r="C187" s="118" t="str">
        <f>IF(MKK!L133="Ya",MKK!A133,"")</f>
        <v/>
      </c>
      <c r="D187" s="2185" t="str">
        <f>IF(MKK!L132="Ya",MKK!A132,"")</f>
        <v/>
      </c>
      <c r="E187" s="2185"/>
      <c r="F187" s="2185"/>
      <c r="G187" s="2185"/>
      <c r="H187" s="408"/>
    </row>
    <row r="188" spans="1:28" x14ac:dyDescent="0.25">
      <c r="A188"/>
      <c r="B188" s="772">
        <v>9</v>
      </c>
      <c r="C188" s="118" t="str">
        <f>IF(MKK!L134="Ya",MKK!A134,"")</f>
        <v/>
      </c>
      <c r="D188" s="2185" t="str">
        <f>IF(MKK!L133="Ya",MKK!A133,"")</f>
        <v/>
      </c>
      <c r="E188" s="2185"/>
      <c r="F188" s="2185"/>
      <c r="G188" s="2185"/>
      <c r="H188" s="408"/>
    </row>
    <row r="189" spans="1:28" x14ac:dyDescent="0.25">
      <c r="A189"/>
      <c r="B189" s="772">
        <v>10</v>
      </c>
      <c r="C189" s="118" t="str">
        <f>IF(MKK!L135="Ya",MKK!A135,"")</f>
        <v/>
      </c>
      <c r="D189" s="2185" t="str">
        <f>IF(MKK!L134="Ya",MKK!A134,"")</f>
        <v/>
      </c>
      <c r="E189" s="2185"/>
      <c r="F189" s="2185"/>
      <c r="G189" s="2185"/>
      <c r="H189" s="408"/>
    </row>
    <row r="190" spans="1:28" x14ac:dyDescent="0.25">
      <c r="A190"/>
      <c r="B190" s="772">
        <v>11</v>
      </c>
      <c r="C190" s="118" t="str">
        <f>IF(MKK!L136="Ya",MKK!A136,"")</f>
        <v/>
      </c>
      <c r="D190" s="2185" t="str">
        <f>IF(MKK!L135="Ya",MKK!A135,"")</f>
        <v/>
      </c>
      <c r="E190" s="2185"/>
      <c r="F190" s="2185"/>
      <c r="G190" s="2185"/>
      <c r="H190" s="408"/>
    </row>
    <row r="191" spans="1:28" x14ac:dyDescent="0.25">
      <c r="A191"/>
      <c r="B191" s="772">
        <v>12</v>
      </c>
      <c r="C191" s="118" t="str">
        <f>IF(MKK!L137="Ya",MKK!A137,"")</f>
        <v/>
      </c>
      <c r="D191" s="2185" t="str">
        <f>IF(MKK!L136="Ya",MKK!A136,"")</f>
        <v/>
      </c>
      <c r="E191" s="2185"/>
      <c r="F191" s="2185"/>
      <c r="G191" s="2185"/>
      <c r="H191" s="408"/>
    </row>
    <row r="192" spans="1:28" x14ac:dyDescent="0.25">
      <c r="A192"/>
      <c r="B192" s="772">
        <v>13</v>
      </c>
      <c r="C192" s="118" t="str">
        <f>IF(MKK!L138="Ya",MKK!A138,"")</f>
        <v/>
      </c>
      <c r="D192" s="2185" t="str">
        <f>IF(MKK!L137="Ya",MKK!A137,"")</f>
        <v/>
      </c>
      <c r="E192" s="2185"/>
      <c r="F192" s="2185"/>
      <c r="G192" s="2185"/>
      <c r="H192" s="408"/>
    </row>
    <row r="193" spans="1:28" x14ac:dyDescent="0.25">
      <c r="A193"/>
      <c r="B193" s="772">
        <v>14</v>
      </c>
      <c r="C193" s="118" t="str">
        <f>IF(MKK!L139="Ya",MKK!A139,"")</f>
        <v/>
      </c>
      <c r="D193" s="2185" t="str">
        <f>IF(MKK!L138="Ya",MKK!A138,"")</f>
        <v/>
      </c>
      <c r="E193" s="2185"/>
      <c r="F193" s="2185"/>
      <c r="G193" s="2185"/>
      <c r="H193" s="408"/>
    </row>
    <row r="194" spans="1:28" x14ac:dyDescent="0.25">
      <c r="A194"/>
      <c r="B194" s="772">
        <v>15</v>
      </c>
      <c r="C194" s="118" t="str">
        <f>IF(MKK!L140="Ya",MKK!A140,"")</f>
        <v/>
      </c>
      <c r="D194" s="2185" t="str">
        <f>IF(MKK!L139="Ya",MKK!A139,"")</f>
        <v/>
      </c>
      <c r="E194" s="2185"/>
      <c r="F194" s="2185"/>
      <c r="G194" s="2185"/>
      <c r="H194" s="408"/>
    </row>
    <row r="195" spans="1:28" x14ac:dyDescent="0.25">
      <c r="A195"/>
      <c r="B195" s="772">
        <v>16</v>
      </c>
      <c r="C195" s="118" t="str">
        <f>IF(MKK!L141="Ya",MKK!A141,"")</f>
        <v/>
      </c>
      <c r="D195" s="2185" t="str">
        <f>IF(MKK!L140="Ya",MKK!A140,"")</f>
        <v/>
      </c>
      <c r="E195" s="2185"/>
      <c r="F195" s="2185"/>
      <c r="G195" s="2185"/>
      <c r="H195" s="408"/>
    </row>
    <row r="196" spans="1:28" x14ac:dyDescent="0.25">
      <c r="A196"/>
      <c r="B196" s="772">
        <v>17</v>
      </c>
      <c r="C196" s="118" t="str">
        <f>IF(MKK!L142="Ya",MKK!A142,"")</f>
        <v/>
      </c>
      <c r="D196" s="771"/>
      <c r="E196" s="771"/>
      <c r="F196" s="771"/>
      <c r="G196" s="771"/>
      <c r="H196" s="408"/>
      <c r="I196" s="385"/>
      <c r="K196" s="385"/>
      <c r="L196" s="385"/>
      <c r="M196" s="385"/>
      <c r="N196" s="385"/>
      <c r="O196" s="385"/>
      <c r="P196" s="385"/>
      <c r="Q196" s="385"/>
      <c r="R196" s="385"/>
      <c r="S196" s="385"/>
      <c r="T196" s="385"/>
      <c r="U196" s="385"/>
      <c r="V196" s="385"/>
      <c r="W196" s="385"/>
      <c r="X196" s="385"/>
      <c r="Y196" s="385"/>
      <c r="Z196" s="385"/>
      <c r="AA196" s="385"/>
      <c r="AB196" s="385"/>
    </row>
    <row r="197" spans="1:28" x14ac:dyDescent="0.25">
      <c r="A197"/>
      <c r="B197" s="772">
        <v>18</v>
      </c>
      <c r="C197" s="118" t="str">
        <f>IF(MKK!L143="Ya",MKK!A143,"")</f>
        <v/>
      </c>
      <c r="D197" s="771"/>
      <c r="E197" s="771"/>
      <c r="F197" s="771"/>
      <c r="G197" s="771"/>
      <c r="H197" s="408"/>
      <c r="I197" s="385"/>
      <c r="K197" s="385"/>
      <c r="L197" s="385"/>
      <c r="M197" s="385"/>
      <c r="N197" s="385"/>
      <c r="O197" s="385"/>
      <c r="P197" s="385"/>
      <c r="Q197" s="385"/>
      <c r="R197" s="385"/>
      <c r="S197" s="385"/>
      <c r="T197" s="385"/>
      <c r="U197" s="385"/>
      <c r="V197" s="385"/>
      <c r="W197" s="385"/>
      <c r="X197" s="385"/>
      <c r="Y197" s="385"/>
      <c r="Z197" s="385"/>
      <c r="AA197" s="385"/>
      <c r="AB197" s="385"/>
    </row>
    <row r="198" spans="1:28" x14ac:dyDescent="0.25">
      <c r="A198"/>
      <c r="B198"/>
      <c r="C198"/>
      <c r="D198"/>
      <c r="E198" s="117"/>
      <c r="F198" s="131"/>
      <c r="G198"/>
      <c r="H198" s="408"/>
    </row>
    <row r="199" spans="1:28" x14ac:dyDescent="0.25">
      <c r="A199" s="2182" t="s">
        <v>7835</v>
      </c>
      <c r="B199" s="2182"/>
      <c r="C199" s="2182"/>
      <c r="D199" s="2182"/>
      <c r="E199" s="2182"/>
      <c r="F199" s="2182"/>
      <c r="G199" s="2182"/>
      <c r="H199" s="408"/>
      <c r="I199" s="385"/>
      <c r="K199" s="385"/>
      <c r="L199" s="385"/>
      <c r="M199" s="385"/>
      <c r="N199" s="385"/>
      <c r="O199" s="385"/>
      <c r="P199" s="385"/>
      <c r="Q199" s="385"/>
      <c r="R199" s="385"/>
      <c r="S199" s="385"/>
      <c r="T199" s="385"/>
      <c r="U199" s="385"/>
      <c r="V199" s="385"/>
      <c r="W199" s="385"/>
      <c r="X199" s="385"/>
      <c r="Y199" s="385"/>
      <c r="Z199" s="385"/>
      <c r="AA199" s="385"/>
      <c r="AB199" s="385"/>
    </row>
    <row r="200" spans="1:28" x14ac:dyDescent="0.25">
      <c r="A200"/>
      <c r="B200" s="750">
        <v>1</v>
      </c>
      <c r="C200" s="2181" t="str">
        <f>IF(MKK!L146="Ya",MKK!A146,"")</f>
        <v>1. Debitur wajib melampirkan Bukti Lunas Fasilitas KPR dan Roya jaminan (SHM. 2895) Bank Panin an. Yuanita  --&gt; ACM Verifikasi, ABL, Legal&amp;FC/AS&amp;CEM Monitor.</v>
      </c>
      <c r="D200" s="2181"/>
      <c r="E200" s="2181"/>
      <c r="F200" s="2181"/>
      <c r="G200" s="2181"/>
      <c r="H200" s="408"/>
      <c r="I200" s="385"/>
      <c r="K200" s="385"/>
      <c r="L200" s="385"/>
      <c r="M200" s="385"/>
      <c r="N200" s="385"/>
      <c r="O200" s="385"/>
      <c r="P200" s="385"/>
      <c r="Q200" s="385"/>
      <c r="R200" s="385"/>
      <c r="S200" s="385"/>
      <c r="T200" s="385"/>
      <c r="U200" s="385"/>
      <c r="V200" s="385"/>
      <c r="W200" s="385"/>
      <c r="X200" s="385"/>
      <c r="Y200" s="385"/>
      <c r="Z200" s="385"/>
      <c r="AA200" s="385"/>
      <c r="AB200" s="385"/>
    </row>
    <row r="201" spans="1:28" x14ac:dyDescent="0.25">
      <c r="A201"/>
      <c r="B201" s="750">
        <v>2</v>
      </c>
      <c r="C201" s="2181" t="str">
        <f>IF(MKK!L147="Ya",MKK!A147,"")</f>
        <v>2. Dipastikan atas jaminan sudah definitive an.debitur/Istri sebelum Pengikatan Kredit  --&gt; ABL, Legal&amp;FC/AS&amp;CEM Monitor.</v>
      </c>
      <c r="D201" s="2181"/>
      <c r="E201" s="2181"/>
      <c r="F201" s="2181"/>
      <c r="G201" s="2181"/>
      <c r="H201" s="408"/>
      <c r="I201" s="385"/>
      <c r="K201" s="385"/>
      <c r="L201" s="385"/>
      <c r="M201" s="385"/>
      <c r="N201" s="385"/>
      <c r="O201" s="385"/>
      <c r="P201" s="385"/>
      <c r="Q201" s="385"/>
      <c r="R201" s="385"/>
      <c r="S201" s="385"/>
      <c r="T201" s="385"/>
      <c r="U201" s="385"/>
      <c r="V201" s="385"/>
      <c r="W201" s="385"/>
      <c r="X201" s="385"/>
      <c r="Y201" s="385"/>
      <c r="Z201" s="385"/>
      <c r="AA201" s="385"/>
      <c r="AB201" s="385"/>
    </row>
    <row r="202" spans="1:28" x14ac:dyDescent="0.25">
      <c r="A202"/>
      <c r="B202" s="750">
        <v>3</v>
      </c>
      <c r="C202" s="2181" t="str">
        <f>IF(MKK!L148="Ya",MKK!A148,"")</f>
        <v xml:space="preserve">3. Debitur wajib melampirkan Historical Pembayaran fasilitas KPM bank Permata an. Oh Njeng Lieng 3  bulan terakhir wajib on file, dengan DPD tidak lebih dari 7 hari. --&gt; RM &amp; 
    ACM Verifikasi, ABL, Legal&amp;FC /AS&amp;CEM Monitor </v>
      </c>
      <c r="D202" s="2181"/>
      <c r="E202" s="2181"/>
      <c r="F202" s="2181"/>
      <c r="G202" s="2181"/>
      <c r="H202" s="408"/>
      <c r="I202" s="385"/>
      <c r="K202" s="385"/>
      <c r="L202" s="385"/>
      <c r="M202" s="385"/>
      <c r="N202" s="385"/>
      <c r="O202" s="385"/>
      <c r="P202" s="385"/>
      <c r="Q202" s="385"/>
      <c r="R202" s="385"/>
      <c r="S202" s="385"/>
      <c r="T202" s="385"/>
      <c r="U202" s="385"/>
      <c r="V202" s="385"/>
      <c r="W202" s="385"/>
      <c r="X202" s="385"/>
      <c r="Y202" s="385"/>
      <c r="Z202" s="385"/>
      <c r="AA202" s="385"/>
      <c r="AB202" s="385"/>
    </row>
    <row r="203" spans="1:28" x14ac:dyDescent="0.25">
      <c r="A203"/>
      <c r="B203" s="750">
        <v>4</v>
      </c>
      <c r="C203" s="2181">
        <f>IF(MKK!L149="Ya",MKK!A149,"")</f>
        <v>0</v>
      </c>
      <c r="D203" s="2181"/>
      <c r="E203" s="2181"/>
      <c r="F203" s="2181"/>
      <c r="G203" s="2181"/>
      <c r="H203" s="408"/>
      <c r="I203" s="385"/>
      <c r="K203" s="385"/>
      <c r="L203" s="385"/>
      <c r="M203" s="385"/>
      <c r="N203" s="385"/>
      <c r="O203" s="385"/>
      <c r="P203" s="385"/>
      <c r="Q203" s="385"/>
      <c r="R203" s="385"/>
      <c r="S203" s="385"/>
      <c r="T203" s="385"/>
      <c r="U203" s="385"/>
      <c r="V203" s="385"/>
      <c r="W203" s="385"/>
      <c r="X203" s="385"/>
      <c r="Y203" s="385"/>
      <c r="Z203" s="385"/>
      <c r="AA203" s="385"/>
      <c r="AB203" s="385"/>
    </row>
    <row r="204" spans="1:28" x14ac:dyDescent="0.25">
      <c r="A204"/>
      <c r="B204" s="750">
        <v>5</v>
      </c>
      <c r="C204" s="2181">
        <f>IF(MKK!L150="Ya",MKK!A150,"")</f>
        <v>0</v>
      </c>
      <c r="D204" s="2181"/>
      <c r="E204" s="2181"/>
      <c r="F204" s="2181"/>
      <c r="G204" s="2181"/>
      <c r="H204" s="408"/>
      <c r="I204" s="385"/>
      <c r="K204" s="385"/>
      <c r="L204" s="385"/>
      <c r="M204" s="385"/>
      <c r="N204" s="385"/>
      <c r="O204" s="385"/>
      <c r="P204" s="385"/>
      <c r="Q204" s="385"/>
      <c r="R204" s="385"/>
      <c r="S204" s="385"/>
      <c r="T204" s="385"/>
      <c r="U204" s="385"/>
      <c r="V204" s="385"/>
      <c r="W204" s="385"/>
      <c r="X204" s="385"/>
      <c r="Y204" s="385"/>
      <c r="Z204" s="385"/>
      <c r="AA204" s="385"/>
      <c r="AB204" s="385"/>
    </row>
    <row r="205" spans="1:28" x14ac:dyDescent="0.25">
      <c r="A205"/>
      <c r="B205" s="750">
        <v>6</v>
      </c>
      <c r="C205" s="2181" t="str">
        <f>IF(MKK!L151="Ya",MKK!A151,"")</f>
        <v/>
      </c>
      <c r="D205" s="2181"/>
      <c r="E205" s="2181"/>
      <c r="F205" s="2181"/>
      <c r="G205" s="2181"/>
      <c r="H205" s="408"/>
      <c r="I205" s="385"/>
      <c r="K205" s="385"/>
      <c r="L205" s="385"/>
      <c r="M205" s="385"/>
      <c r="N205" s="385"/>
      <c r="O205" s="385"/>
      <c r="P205" s="385"/>
      <c r="Q205" s="385"/>
      <c r="R205" s="385"/>
      <c r="S205" s="385"/>
      <c r="T205" s="385"/>
      <c r="U205" s="385"/>
      <c r="V205" s="385"/>
      <c r="W205" s="385"/>
      <c r="X205" s="385"/>
      <c r="Y205" s="385"/>
      <c r="Z205" s="385"/>
      <c r="AA205" s="385"/>
      <c r="AB205" s="385"/>
    </row>
    <row r="206" spans="1:28" x14ac:dyDescent="0.25">
      <c r="A206"/>
      <c r="B206" s="750">
        <v>7</v>
      </c>
      <c r="C206" s="2181" t="str">
        <f>IF(MKK!L152="Ya",MKK!A152,"")</f>
        <v/>
      </c>
      <c r="D206" s="2181"/>
      <c r="E206" s="2181"/>
      <c r="F206" s="2181"/>
      <c r="G206" s="2181"/>
      <c r="H206" s="408"/>
      <c r="I206" s="385"/>
      <c r="K206" s="385"/>
      <c r="L206" s="385"/>
      <c r="M206" s="385"/>
      <c r="N206" s="385"/>
      <c r="O206" s="385"/>
      <c r="P206" s="385"/>
      <c r="Q206" s="385"/>
      <c r="R206" s="385"/>
      <c r="S206" s="385"/>
      <c r="T206" s="385"/>
      <c r="U206" s="385"/>
      <c r="V206" s="385"/>
      <c r="W206" s="385"/>
      <c r="X206" s="385"/>
      <c r="Y206" s="385"/>
      <c r="Z206" s="385"/>
      <c r="AA206" s="385"/>
      <c r="AB206" s="385"/>
    </row>
    <row r="207" spans="1:28" x14ac:dyDescent="0.25">
      <c r="A207"/>
      <c r="B207" s="750">
        <v>8</v>
      </c>
      <c r="C207" s="2181" t="str">
        <f>IF(MKK!L153="Ya",MKK!A153,"")</f>
        <v/>
      </c>
      <c r="D207" s="2181"/>
      <c r="E207" s="2181"/>
      <c r="F207" s="2181"/>
      <c r="G207" s="2181"/>
      <c r="H207" s="408"/>
      <c r="I207" s="385"/>
      <c r="K207" s="385"/>
      <c r="L207" s="385"/>
      <c r="M207" s="385"/>
      <c r="N207" s="385"/>
      <c r="O207" s="385"/>
      <c r="P207" s="385"/>
      <c r="Q207" s="385"/>
      <c r="R207" s="385"/>
      <c r="S207" s="385"/>
      <c r="T207" s="385"/>
      <c r="U207" s="385"/>
      <c r="V207" s="385"/>
      <c r="W207" s="385"/>
      <c r="X207" s="385"/>
      <c r="Y207" s="385"/>
      <c r="Z207" s="385"/>
      <c r="AA207" s="385"/>
      <c r="AB207" s="385"/>
    </row>
    <row r="208" spans="1:28" x14ac:dyDescent="0.25">
      <c r="A208"/>
      <c r="B208" s="750">
        <v>9</v>
      </c>
      <c r="C208" s="2181" t="str">
        <f>IF(MKK!L154="Ya",MKK!A154,"")</f>
        <v/>
      </c>
      <c r="D208" s="2181"/>
      <c r="E208" s="2181"/>
      <c r="F208" s="2181"/>
      <c r="G208" s="2181"/>
      <c r="H208" s="408"/>
      <c r="I208" s="385"/>
      <c r="K208" s="385"/>
      <c r="L208" s="385"/>
      <c r="M208" s="385"/>
      <c r="N208" s="385"/>
      <c r="O208" s="385"/>
      <c r="P208" s="385"/>
      <c r="Q208" s="385"/>
      <c r="R208" s="385"/>
      <c r="S208" s="385"/>
      <c r="T208" s="385"/>
      <c r="U208" s="385"/>
      <c r="V208" s="385"/>
      <c r="W208" s="385"/>
      <c r="X208" s="385"/>
      <c r="Y208" s="385"/>
      <c r="Z208" s="385"/>
      <c r="AA208" s="385"/>
      <c r="AB208" s="385"/>
    </row>
    <row r="209" spans="1:28" x14ac:dyDescent="0.25">
      <c r="A209"/>
      <c r="B209" s="750">
        <v>10</v>
      </c>
      <c r="C209" s="2181" t="str">
        <f>IF(MKK!L155="Ya",MKK!A155,"")</f>
        <v/>
      </c>
      <c r="D209" s="2181"/>
      <c r="E209" s="2181"/>
      <c r="F209" s="2181"/>
      <c r="G209" s="2181"/>
      <c r="H209" s="408"/>
      <c r="I209" s="385"/>
      <c r="K209" s="385"/>
      <c r="L209" s="385"/>
      <c r="M209" s="385"/>
      <c r="N209" s="385"/>
      <c r="O209" s="385"/>
      <c r="P209" s="385"/>
      <c r="Q209" s="385"/>
      <c r="R209" s="385"/>
      <c r="S209" s="385"/>
      <c r="T209" s="385"/>
      <c r="U209" s="385"/>
      <c r="V209" s="385"/>
      <c r="W209" s="385"/>
      <c r="X209" s="385"/>
      <c r="Y209" s="385"/>
      <c r="Z209" s="385"/>
      <c r="AA209" s="385"/>
      <c r="AB209" s="385"/>
    </row>
    <row r="210" spans="1:28" x14ac:dyDescent="0.25">
      <c r="A210"/>
      <c r="B210" s="750"/>
      <c r="C210"/>
      <c r="D210"/>
      <c r="E210" s="750"/>
      <c r="F210" s="749"/>
      <c r="G210"/>
      <c r="H210" s="408"/>
      <c r="I210" s="385"/>
      <c r="K210" s="385"/>
      <c r="L210" s="385"/>
      <c r="M210" s="385"/>
      <c r="N210" s="385"/>
      <c r="O210" s="385"/>
      <c r="P210" s="385"/>
      <c r="Q210" s="385"/>
      <c r="R210" s="385"/>
      <c r="S210" s="385"/>
      <c r="T210" s="385"/>
      <c r="U210" s="385"/>
      <c r="V210" s="385"/>
      <c r="W210" s="385"/>
      <c r="X210" s="385"/>
      <c r="Y210" s="385"/>
      <c r="Z210" s="385"/>
      <c r="AA210" s="385"/>
      <c r="AB210" s="385"/>
    </row>
    <row r="211" spans="1:28" x14ac:dyDescent="0.25">
      <c r="A211" s="2182" t="s">
        <v>7836</v>
      </c>
      <c r="B211" s="2182"/>
      <c r="C211" s="2182"/>
      <c r="D211" s="2182"/>
      <c r="E211" s="2182"/>
      <c r="F211" s="2182"/>
      <c r="G211" s="2182"/>
      <c r="H211" s="408"/>
      <c r="I211" s="385"/>
      <c r="K211" s="385"/>
      <c r="L211" s="385"/>
      <c r="M211" s="385"/>
      <c r="N211" s="385"/>
      <c r="O211" s="385"/>
      <c r="P211" s="385"/>
      <c r="Q211" s="385"/>
      <c r="R211" s="385"/>
      <c r="S211" s="385"/>
      <c r="T211" s="385"/>
      <c r="U211" s="385"/>
      <c r="V211" s="385"/>
      <c r="W211" s="385"/>
      <c r="X211" s="385"/>
      <c r="Y211" s="385"/>
      <c r="Z211" s="385"/>
      <c r="AA211" s="385"/>
      <c r="AB211" s="385"/>
    </row>
    <row r="212" spans="1:28" x14ac:dyDescent="0.25">
      <c r="A212"/>
      <c r="B212" s="750">
        <v>1</v>
      </c>
      <c r="C212" s="2181" t="str">
        <f>IF(MKK!L159="Ya",MKK!A159,"")</f>
        <v/>
      </c>
      <c r="D212" s="2181"/>
      <c r="E212" s="2181"/>
      <c r="F212" s="2181"/>
      <c r="G212" s="2181"/>
      <c r="H212" s="408"/>
      <c r="I212" s="385"/>
      <c r="K212" s="385"/>
      <c r="L212" s="385"/>
      <c r="M212" s="385"/>
      <c r="N212" s="385"/>
      <c r="O212" s="385"/>
      <c r="P212" s="385"/>
      <c r="Q212" s="385"/>
      <c r="R212" s="385"/>
      <c r="S212" s="385"/>
      <c r="T212" s="385"/>
      <c r="U212" s="385"/>
      <c r="V212" s="385"/>
      <c r="W212" s="385"/>
      <c r="X212" s="385"/>
      <c r="Y212" s="385"/>
      <c r="Z212" s="385"/>
      <c r="AA212" s="385"/>
      <c r="AB212" s="385"/>
    </row>
    <row r="213" spans="1:28" x14ac:dyDescent="0.25">
      <c r="A213"/>
      <c r="B213" s="750">
        <v>2</v>
      </c>
      <c r="C213" s="2181" t="str">
        <f>IF(MKK!L160="Ya",MKK!A160,"")</f>
        <v/>
      </c>
      <c r="D213" s="2181"/>
      <c r="E213" s="2181"/>
      <c r="F213" s="2181"/>
      <c r="G213" s="2181"/>
      <c r="H213" s="408"/>
      <c r="I213" s="385"/>
      <c r="K213" s="385"/>
      <c r="L213" s="385"/>
      <c r="M213" s="385"/>
      <c r="N213" s="385"/>
      <c r="O213" s="385"/>
      <c r="P213" s="385"/>
      <c r="Q213" s="385"/>
      <c r="R213" s="385"/>
      <c r="S213" s="385"/>
      <c r="T213" s="385"/>
      <c r="U213" s="385"/>
      <c r="V213" s="385"/>
      <c r="W213" s="385"/>
      <c r="X213" s="385"/>
      <c r="Y213" s="385"/>
      <c r="Z213" s="385"/>
      <c r="AA213" s="385"/>
      <c r="AB213" s="385"/>
    </row>
    <row r="214" spans="1:28" x14ac:dyDescent="0.25">
      <c r="A214"/>
      <c r="B214" s="750">
        <v>3</v>
      </c>
      <c r="C214" s="2181" t="str">
        <f>IF(MKK!L161="Ya",MKK!A161,"")</f>
        <v/>
      </c>
      <c r="D214" s="2181"/>
      <c r="E214" s="2181"/>
      <c r="F214" s="2181"/>
      <c r="G214" s="2181"/>
      <c r="H214" s="408"/>
      <c r="I214" s="385"/>
      <c r="K214" s="385"/>
      <c r="L214" s="385"/>
      <c r="M214" s="385"/>
      <c r="N214" s="385"/>
      <c r="O214" s="385"/>
      <c r="P214" s="385"/>
      <c r="Q214" s="385"/>
      <c r="R214" s="385"/>
      <c r="S214" s="385"/>
      <c r="T214" s="385"/>
      <c r="U214" s="385"/>
      <c r="V214" s="385"/>
      <c r="W214" s="385"/>
      <c r="X214" s="385"/>
      <c r="Y214" s="385"/>
      <c r="Z214" s="385"/>
      <c r="AA214" s="385"/>
      <c r="AB214" s="385"/>
    </row>
    <row r="215" spans="1:28" x14ac:dyDescent="0.25">
      <c r="A215"/>
      <c r="B215" s="750">
        <v>4</v>
      </c>
      <c r="C215" s="2181" t="str">
        <f>IF(MKK!L162="Ya",MKK!A162,"")</f>
        <v/>
      </c>
      <c r="D215" s="2181"/>
      <c r="E215" s="2181"/>
      <c r="F215" s="2181"/>
      <c r="G215" s="2181"/>
      <c r="H215" s="408"/>
      <c r="I215" s="385"/>
      <c r="K215" s="385"/>
      <c r="L215" s="385"/>
      <c r="M215" s="385"/>
      <c r="N215" s="385"/>
      <c r="O215" s="385"/>
      <c r="P215" s="385"/>
      <c r="Q215" s="385"/>
      <c r="R215" s="385"/>
      <c r="S215" s="385"/>
      <c r="T215" s="385"/>
      <c r="U215" s="385"/>
      <c r="V215" s="385"/>
      <c r="W215" s="385"/>
      <c r="X215" s="385"/>
      <c r="Y215" s="385"/>
      <c r="Z215" s="385"/>
      <c r="AA215" s="385"/>
      <c r="AB215" s="385"/>
    </row>
    <row r="216" spans="1:28" x14ac:dyDescent="0.25">
      <c r="A216"/>
      <c r="B216" s="750">
        <v>5</v>
      </c>
      <c r="C216" s="2181" t="str">
        <f>IF(MKK!L163="Ya",MKK!A163,"")</f>
        <v/>
      </c>
      <c r="D216" s="2181"/>
      <c r="E216" s="2181"/>
      <c r="F216" s="2181"/>
      <c r="G216" s="2181"/>
      <c r="H216" s="408"/>
      <c r="I216" s="385"/>
      <c r="K216" s="385"/>
      <c r="L216" s="385"/>
      <c r="M216" s="385"/>
      <c r="N216" s="385"/>
      <c r="O216" s="385"/>
      <c r="P216" s="385"/>
      <c r="Q216" s="385"/>
      <c r="R216" s="385"/>
      <c r="S216" s="385"/>
      <c r="T216" s="385"/>
      <c r="U216" s="385"/>
      <c r="V216" s="385"/>
      <c r="W216" s="385"/>
      <c r="X216" s="385"/>
      <c r="Y216" s="385"/>
      <c r="Z216" s="385"/>
      <c r="AA216" s="385"/>
      <c r="AB216" s="385"/>
    </row>
    <row r="217" spans="1:28" x14ac:dyDescent="0.25">
      <c r="A217"/>
      <c r="B217" s="750">
        <v>6</v>
      </c>
      <c r="C217" s="2181" t="str">
        <f>IF(MKK!L164="Ya",MKK!A164,"")</f>
        <v/>
      </c>
      <c r="D217" s="2181"/>
      <c r="E217" s="2181"/>
      <c r="F217" s="2181"/>
      <c r="G217" s="2181"/>
      <c r="H217" s="408"/>
      <c r="I217" s="385"/>
      <c r="K217" s="385"/>
      <c r="L217" s="385"/>
      <c r="M217" s="385"/>
      <c r="N217" s="385"/>
      <c r="O217" s="385"/>
      <c r="P217" s="385"/>
      <c r="Q217" s="385"/>
      <c r="R217" s="385"/>
      <c r="S217" s="385"/>
      <c r="T217" s="385"/>
      <c r="U217" s="385"/>
      <c r="V217" s="385"/>
      <c r="W217" s="385"/>
      <c r="X217" s="385"/>
      <c r="Y217" s="385"/>
      <c r="Z217" s="385"/>
      <c r="AA217" s="385"/>
      <c r="AB217" s="385"/>
    </row>
    <row r="218" spans="1:28" x14ac:dyDescent="0.25">
      <c r="A218"/>
      <c r="B218" s="750">
        <v>7</v>
      </c>
      <c r="C218" s="2181" t="str">
        <f>IF(MKK!L165="Ya",MKK!A165,"")</f>
        <v/>
      </c>
      <c r="D218" s="2181"/>
      <c r="E218" s="2181"/>
      <c r="F218" s="2181"/>
      <c r="G218" s="2181"/>
      <c r="H218" s="408"/>
      <c r="I218" s="385"/>
      <c r="K218" s="385"/>
      <c r="L218" s="385"/>
      <c r="M218" s="385"/>
      <c r="N218" s="385"/>
      <c r="O218" s="385"/>
      <c r="P218" s="385"/>
      <c r="Q218" s="385"/>
      <c r="R218" s="385"/>
      <c r="S218" s="385"/>
      <c r="T218" s="385"/>
      <c r="U218" s="385"/>
      <c r="V218" s="385"/>
      <c r="W218" s="385"/>
      <c r="X218" s="385"/>
      <c r="Y218" s="385"/>
      <c r="Z218" s="385"/>
      <c r="AA218" s="385"/>
      <c r="AB218" s="385"/>
    </row>
    <row r="219" spans="1:28" x14ac:dyDescent="0.25">
      <c r="A219"/>
      <c r="B219" s="750">
        <v>8</v>
      </c>
      <c r="C219" s="2181" t="str">
        <f>IF(MKK!L166="Ya",MKK!A166,"")</f>
        <v/>
      </c>
      <c r="D219" s="2181"/>
      <c r="E219" s="2181"/>
      <c r="F219" s="2181"/>
      <c r="G219" s="2181"/>
      <c r="H219" s="408"/>
      <c r="I219" s="385"/>
      <c r="K219" s="385"/>
      <c r="L219" s="385"/>
      <c r="M219" s="385"/>
      <c r="N219" s="385"/>
      <c r="O219" s="385"/>
      <c r="P219" s="385"/>
      <c r="Q219" s="385"/>
      <c r="R219" s="385"/>
      <c r="S219" s="385"/>
      <c r="T219" s="385"/>
      <c r="U219" s="385"/>
      <c r="V219" s="385"/>
      <c r="W219" s="385"/>
      <c r="X219" s="385"/>
      <c r="Y219" s="385"/>
      <c r="Z219" s="385"/>
      <c r="AA219" s="385"/>
      <c r="AB219" s="385"/>
    </row>
    <row r="220" spans="1:28" x14ac:dyDescent="0.25">
      <c r="A220"/>
      <c r="B220" s="750"/>
      <c r="C220"/>
      <c r="D220"/>
      <c r="E220" s="750"/>
      <c r="F220" s="749"/>
      <c r="G220"/>
      <c r="H220" s="408"/>
      <c r="I220" s="385"/>
      <c r="K220" s="385"/>
      <c r="L220" s="385"/>
      <c r="M220" s="385"/>
      <c r="N220" s="385"/>
      <c r="O220" s="385"/>
      <c r="P220" s="385"/>
      <c r="Q220" s="385"/>
      <c r="R220" s="385"/>
      <c r="S220" s="385"/>
      <c r="T220" s="385"/>
      <c r="U220" s="385"/>
      <c r="V220" s="385"/>
      <c r="W220" s="385"/>
      <c r="X220" s="385"/>
      <c r="Y220" s="385"/>
      <c r="Z220" s="385"/>
      <c r="AA220" s="385"/>
      <c r="AB220" s="385"/>
    </row>
    <row r="221" spans="1:28" x14ac:dyDescent="0.25">
      <c r="A221" s="2182" t="s">
        <v>7798</v>
      </c>
      <c r="B221" s="2182"/>
      <c r="C221" s="2182"/>
      <c r="D221" s="2182"/>
      <c r="E221" s="2182"/>
      <c r="F221" s="2182"/>
      <c r="G221" s="2182"/>
      <c r="H221" s="408"/>
      <c r="I221" s="385"/>
      <c r="K221" s="385"/>
      <c r="L221" s="385"/>
      <c r="M221" s="385"/>
      <c r="N221" s="385"/>
      <c r="O221" s="385"/>
      <c r="P221" s="385"/>
      <c r="Q221" s="385"/>
      <c r="R221" s="385"/>
      <c r="S221" s="385"/>
      <c r="T221" s="385"/>
      <c r="U221" s="385"/>
      <c r="V221" s="385"/>
      <c r="W221" s="385"/>
      <c r="X221" s="385"/>
      <c r="Y221" s="385"/>
      <c r="Z221" s="385"/>
      <c r="AA221" s="385"/>
      <c r="AB221" s="385"/>
    </row>
    <row r="222" spans="1:28" x14ac:dyDescent="0.25">
      <c r="A222"/>
      <c r="B222" s="750">
        <v>1</v>
      </c>
      <c r="C222" s="2180" t="str">
        <f>IF(MKK!A170&lt;&gt;"",MKK!A170,"")</f>
        <v>NA</v>
      </c>
      <c r="D222" s="2180"/>
      <c r="E222" s="2180"/>
      <c r="F222" s="2180"/>
      <c r="G222" s="2180"/>
      <c r="H222" s="408"/>
      <c r="I222" s="385"/>
      <c r="K222" s="385"/>
      <c r="L222" s="385"/>
      <c r="M222" s="385"/>
      <c r="N222" s="385"/>
      <c r="O222" s="385"/>
      <c r="P222" s="385"/>
      <c r="Q222" s="385"/>
      <c r="R222" s="385"/>
      <c r="S222" s="385"/>
      <c r="T222" s="385"/>
      <c r="U222" s="385"/>
      <c r="V222" s="385"/>
      <c r="W222" s="385"/>
      <c r="X222" s="385"/>
      <c r="Y222" s="385"/>
      <c r="Z222" s="385"/>
      <c r="AA222" s="385"/>
      <c r="AB222" s="385"/>
    </row>
    <row r="223" spans="1:28" x14ac:dyDescent="0.25">
      <c r="A223"/>
      <c r="B223" s="750">
        <v>2</v>
      </c>
      <c r="C223" s="2180">
        <f>IF(MKK!A171&lt;&gt;"",MKK!A171,"")</f>
        <v>0</v>
      </c>
      <c r="D223" s="2180"/>
      <c r="E223" s="2180"/>
      <c r="F223" s="2180"/>
      <c r="G223" s="2180"/>
      <c r="H223" s="408"/>
      <c r="I223" s="385"/>
      <c r="K223" s="385"/>
      <c r="L223" s="385"/>
      <c r="M223" s="385"/>
      <c r="N223" s="385"/>
      <c r="O223" s="385"/>
      <c r="P223" s="385"/>
      <c r="Q223" s="385"/>
      <c r="R223" s="385"/>
      <c r="S223" s="385"/>
      <c r="T223" s="385"/>
      <c r="U223" s="385"/>
      <c r="V223" s="385"/>
      <c r="W223" s="385"/>
      <c r="X223" s="385"/>
      <c r="Y223" s="385"/>
      <c r="Z223" s="385"/>
      <c r="AA223" s="385"/>
      <c r="AB223" s="385"/>
    </row>
    <row r="224" spans="1:28" x14ac:dyDescent="0.25">
      <c r="A224"/>
      <c r="B224" s="750">
        <v>3</v>
      </c>
      <c r="C224" s="2180">
        <f>IF(MKK!A172&lt;&gt;"",MKK!A172,"")</f>
        <v>0</v>
      </c>
      <c r="D224" s="2180"/>
      <c r="E224" s="2180"/>
      <c r="F224" s="2180"/>
      <c r="G224" s="2180"/>
      <c r="H224" s="408"/>
      <c r="I224" s="385"/>
      <c r="K224" s="385"/>
      <c r="L224" s="385"/>
      <c r="M224" s="385"/>
      <c r="N224" s="385"/>
      <c r="O224" s="385"/>
      <c r="P224" s="385"/>
      <c r="Q224" s="385"/>
      <c r="R224" s="385"/>
      <c r="S224" s="385"/>
      <c r="T224" s="385"/>
      <c r="U224" s="385"/>
      <c r="V224" s="385"/>
      <c r="W224" s="385"/>
      <c r="X224" s="385"/>
      <c r="Y224" s="385"/>
      <c r="Z224" s="385"/>
      <c r="AA224" s="385"/>
      <c r="AB224" s="385"/>
    </row>
    <row r="225" spans="1:28" x14ac:dyDescent="0.25">
      <c r="A225"/>
      <c r="B225" s="750">
        <v>4</v>
      </c>
      <c r="C225" s="2180">
        <f>IF(MKK!A173&lt;&gt;"",MKK!A173,"")</f>
        <v>0</v>
      </c>
      <c r="D225" s="2180"/>
      <c r="E225" s="2180"/>
      <c r="F225" s="2180"/>
      <c r="G225" s="2180"/>
      <c r="H225" s="408"/>
      <c r="I225" s="385"/>
      <c r="K225" s="385"/>
      <c r="L225" s="385"/>
      <c r="M225" s="385"/>
      <c r="N225" s="385"/>
      <c r="O225" s="385"/>
      <c r="P225" s="385"/>
      <c r="Q225" s="385"/>
      <c r="R225" s="385"/>
      <c r="S225" s="385"/>
      <c r="T225" s="385"/>
      <c r="U225" s="385"/>
      <c r="V225" s="385"/>
      <c r="W225" s="385"/>
      <c r="X225" s="385"/>
      <c r="Y225" s="385"/>
      <c r="Z225" s="385"/>
      <c r="AA225" s="385"/>
      <c r="AB225" s="385"/>
    </row>
    <row r="226" spans="1:28" x14ac:dyDescent="0.25">
      <c r="A226"/>
      <c r="B226" s="750">
        <v>5</v>
      </c>
      <c r="C226" s="2180">
        <f>IF(MKK!A174&lt;&gt;"",MKK!A174,"")</f>
        <v>0</v>
      </c>
      <c r="D226" s="2180"/>
      <c r="E226" s="2180"/>
      <c r="F226" s="2180"/>
      <c r="G226" s="2180"/>
      <c r="H226" s="408"/>
      <c r="I226" s="385"/>
      <c r="K226" s="385"/>
      <c r="L226" s="385"/>
      <c r="M226" s="385"/>
      <c r="N226" s="385"/>
      <c r="O226" s="385"/>
      <c r="P226" s="385"/>
      <c r="Q226" s="385"/>
      <c r="R226" s="385"/>
      <c r="S226" s="385"/>
      <c r="T226" s="385"/>
      <c r="U226" s="385"/>
      <c r="V226" s="385"/>
      <c r="W226" s="385"/>
      <c r="X226" s="385"/>
      <c r="Y226" s="385"/>
      <c r="Z226" s="385"/>
      <c r="AA226" s="385"/>
      <c r="AB226" s="385"/>
    </row>
    <row r="227" spans="1:28" x14ac:dyDescent="0.25">
      <c r="A227"/>
      <c r="B227" s="772">
        <v>6</v>
      </c>
      <c r="C227" s="2180">
        <f>IF(MKK!A175&lt;&gt;"",MKK!A175,"")</f>
        <v>0</v>
      </c>
      <c r="D227" s="2180"/>
      <c r="E227" s="2180"/>
      <c r="F227" s="2180"/>
      <c r="G227" s="2180"/>
      <c r="H227" s="408"/>
      <c r="I227" s="385"/>
      <c r="K227" s="385"/>
      <c r="L227" s="385"/>
      <c r="M227" s="385"/>
      <c r="N227" s="385"/>
      <c r="O227" s="385"/>
      <c r="P227" s="385"/>
      <c r="Q227" s="385"/>
      <c r="R227" s="385"/>
      <c r="S227" s="385"/>
      <c r="T227" s="385"/>
      <c r="U227" s="385"/>
      <c r="V227" s="385"/>
      <c r="W227" s="385"/>
      <c r="X227" s="385"/>
      <c r="Y227" s="385"/>
      <c r="Z227" s="385"/>
      <c r="AA227" s="385"/>
      <c r="AB227" s="385"/>
    </row>
    <row r="228" spans="1:28" x14ac:dyDescent="0.25">
      <c r="A228"/>
      <c r="B228" s="772">
        <v>7</v>
      </c>
      <c r="C228" s="2180">
        <f>IF(MKK!A176&lt;&gt;"",MKK!A176,"")</f>
        <v>0</v>
      </c>
      <c r="D228" s="2180"/>
      <c r="E228" s="2180"/>
      <c r="F228" s="2180"/>
      <c r="G228" s="2180"/>
      <c r="H228" s="408"/>
      <c r="I228" s="385"/>
      <c r="K228" s="385"/>
      <c r="L228" s="385"/>
      <c r="M228" s="385"/>
      <c r="N228" s="385"/>
      <c r="O228" s="385"/>
      <c r="P228" s="385"/>
      <c r="Q228" s="385"/>
      <c r="R228" s="385"/>
      <c r="S228" s="385"/>
      <c r="T228" s="385"/>
      <c r="U228" s="385"/>
      <c r="V228" s="385"/>
      <c r="W228" s="385"/>
      <c r="X228" s="385"/>
      <c r="Y228" s="385"/>
      <c r="Z228" s="385"/>
      <c r="AA228" s="385"/>
      <c r="AB228" s="385"/>
    </row>
    <row r="229" spans="1:28" x14ac:dyDescent="0.25">
      <c r="A229"/>
      <c r="B229" s="772">
        <v>8</v>
      </c>
      <c r="C229" s="2180">
        <f>IF(MKK!A177&lt;&gt;"",MKK!A177,"")</f>
        <v>0</v>
      </c>
      <c r="D229" s="2180"/>
      <c r="E229" s="2180"/>
      <c r="F229" s="2180"/>
      <c r="G229" s="2180"/>
      <c r="H229" s="408"/>
      <c r="I229" s="385"/>
      <c r="K229" s="385"/>
      <c r="L229" s="385"/>
      <c r="M229" s="385"/>
      <c r="N229" s="385"/>
      <c r="O229" s="385"/>
      <c r="P229" s="385"/>
      <c r="Q229" s="385"/>
      <c r="R229" s="385"/>
      <c r="S229" s="385"/>
      <c r="T229" s="385"/>
      <c r="U229" s="385"/>
      <c r="V229" s="385"/>
      <c r="W229" s="385"/>
      <c r="X229" s="385"/>
      <c r="Y229" s="385"/>
      <c r="Z229" s="385"/>
      <c r="AA229" s="385"/>
      <c r="AB229" s="385"/>
    </row>
    <row r="230" spans="1:28" x14ac:dyDescent="0.25">
      <c r="A230"/>
      <c r="B230" s="772">
        <v>9</v>
      </c>
      <c r="C230" s="2180">
        <f>IF(MKK!A178&lt;&gt;"",MKK!A178,"")</f>
        <v>0</v>
      </c>
      <c r="D230" s="2180"/>
      <c r="E230" s="2180"/>
      <c r="F230" s="2180"/>
      <c r="G230" s="2180"/>
      <c r="H230" s="408"/>
      <c r="I230" s="385"/>
      <c r="K230" s="385"/>
      <c r="L230" s="385"/>
      <c r="M230" s="385"/>
      <c r="N230" s="385"/>
      <c r="O230" s="385"/>
      <c r="P230" s="385"/>
      <c r="Q230" s="385"/>
      <c r="R230" s="385"/>
      <c r="S230" s="385"/>
      <c r="T230" s="385"/>
      <c r="U230" s="385"/>
      <c r="V230" s="385"/>
      <c r="W230" s="385"/>
      <c r="X230" s="385"/>
      <c r="Y230" s="385"/>
      <c r="Z230" s="385"/>
      <c r="AA230" s="385"/>
      <c r="AB230" s="385"/>
    </row>
    <row r="231" spans="1:28" x14ac:dyDescent="0.25">
      <c r="A231"/>
      <c r="B231" s="772"/>
      <c r="C231" s="2181" t="str">
        <f>IF(MKK!L179&lt;&gt;"",MKK!A179,"")</f>
        <v/>
      </c>
      <c r="D231" s="2181"/>
      <c r="E231" s="2181"/>
      <c r="F231" s="2181"/>
      <c r="G231" s="2181"/>
      <c r="H231" s="408"/>
      <c r="I231" s="385"/>
      <c r="K231" s="385"/>
      <c r="L231" s="385"/>
      <c r="M231" s="385"/>
      <c r="N231" s="385"/>
      <c r="O231" s="385"/>
      <c r="P231" s="385"/>
      <c r="Q231" s="385"/>
      <c r="R231" s="385"/>
      <c r="S231" s="385"/>
      <c r="T231" s="385"/>
      <c r="U231" s="385"/>
      <c r="V231" s="385"/>
      <c r="W231" s="385"/>
      <c r="X231" s="385"/>
      <c r="Y231" s="385"/>
      <c r="Z231" s="385"/>
      <c r="AA231" s="385"/>
      <c r="AB231" s="385"/>
    </row>
    <row r="232" spans="1:28" ht="60" customHeight="1" x14ac:dyDescent="0.25">
      <c r="A232" s="2184" t="s">
        <v>7799</v>
      </c>
      <c r="B232" s="2184"/>
      <c r="C232" s="2184"/>
      <c r="D232" s="2184"/>
      <c r="E232" s="2184"/>
      <c r="F232" s="2184"/>
      <c r="G232" s="2184"/>
      <c r="H232" s="408"/>
    </row>
    <row r="233" spans="1:28" ht="5.0999999999999996" customHeight="1" x14ac:dyDescent="0.25">
      <c r="A233" s="761"/>
      <c r="B233" s="761"/>
      <c r="C233" s="761"/>
      <c r="D233" s="761"/>
      <c r="E233" s="761"/>
      <c r="F233" s="761"/>
      <c r="G233" s="761"/>
      <c r="H233" s="408"/>
    </row>
    <row r="234" spans="1:28" ht="30.75" customHeight="1" x14ac:dyDescent="0.25">
      <c r="A234" s="2184" t="s">
        <v>7800</v>
      </c>
      <c r="B234" s="2184"/>
      <c r="C234" s="2184"/>
      <c r="D234" s="2184"/>
      <c r="E234" s="2184"/>
      <c r="F234" s="2184"/>
      <c r="G234" s="2184"/>
      <c r="H234" s="408"/>
    </row>
    <row r="235" spans="1:28" ht="7.5" customHeight="1" x14ac:dyDescent="0.25">
      <c r="A235" s="762"/>
      <c r="B235" s="762"/>
      <c r="C235" s="762"/>
      <c r="D235" s="762"/>
      <c r="E235" s="762"/>
      <c r="F235" s="762"/>
      <c r="G235" s="762"/>
      <c r="H235" s="408"/>
    </row>
    <row r="236" spans="1:28" ht="25.5" customHeight="1" x14ac:dyDescent="0.25">
      <c r="A236" s="2179" t="s">
        <v>7801</v>
      </c>
      <c r="B236" s="2179"/>
      <c r="C236" s="2179"/>
      <c r="D236" s="2179"/>
      <c r="E236" s="2179"/>
      <c r="F236" s="2179"/>
      <c r="G236" s="2179"/>
      <c r="H236" s="408"/>
    </row>
    <row r="237" spans="1:28" ht="5.0999999999999996" customHeight="1" x14ac:dyDescent="0.25">
      <c r="A237" s="762"/>
      <c r="B237" s="762"/>
      <c r="C237" s="762"/>
      <c r="D237" s="762"/>
      <c r="E237" s="762"/>
      <c r="F237" s="762"/>
      <c r="G237" s="762"/>
      <c r="H237" s="408"/>
    </row>
    <row r="238" spans="1:28" x14ac:dyDescent="0.25">
      <c r="A238" s="2179" t="s">
        <v>7802</v>
      </c>
      <c r="B238" s="2179"/>
      <c r="C238" s="2179"/>
      <c r="D238" s="2179"/>
      <c r="E238" s="2179"/>
      <c r="F238" s="2179"/>
      <c r="G238" s="2179"/>
      <c r="H238" s="408"/>
      <c r="I238" s="385"/>
      <c r="K238" s="385"/>
      <c r="L238" s="385"/>
      <c r="M238" s="385"/>
      <c r="N238" s="385"/>
      <c r="O238" s="385"/>
      <c r="P238" s="385"/>
      <c r="Q238" s="385"/>
      <c r="R238" s="385"/>
      <c r="S238" s="385"/>
      <c r="T238" s="385"/>
      <c r="U238" s="385"/>
      <c r="V238" s="385"/>
      <c r="W238" s="385"/>
      <c r="X238" s="385"/>
      <c r="Y238" s="385"/>
      <c r="Z238" s="385"/>
      <c r="AA238" s="385"/>
      <c r="AB238" s="385"/>
    </row>
    <row r="239" spans="1:28" x14ac:dyDescent="0.25">
      <c r="A239" s="748"/>
      <c r="B239" s="748"/>
      <c r="C239" s="748"/>
      <c r="D239" s="748"/>
      <c r="E239" s="748"/>
      <c r="F239" s="748"/>
      <c r="G239" s="748"/>
      <c r="H239" s="408"/>
      <c r="I239" s="385"/>
      <c r="K239" s="385"/>
      <c r="L239" s="385"/>
      <c r="M239" s="385"/>
      <c r="N239" s="385"/>
      <c r="O239" s="385"/>
      <c r="P239" s="385"/>
      <c r="Q239" s="385"/>
      <c r="R239" s="385"/>
      <c r="S239" s="385"/>
      <c r="T239" s="385"/>
      <c r="U239" s="385"/>
      <c r="V239" s="385"/>
      <c r="W239" s="385"/>
      <c r="X239" s="385"/>
      <c r="Y239" s="385"/>
      <c r="Z239" s="385"/>
      <c r="AA239" s="385"/>
      <c r="AB239" s="385"/>
    </row>
    <row r="240" spans="1:28" x14ac:dyDescent="0.25">
      <c r="A240" s="2201" t="s">
        <v>7667</v>
      </c>
      <c r="B240" s="2201"/>
      <c r="C240" s="2201"/>
      <c r="D240" s="2201"/>
      <c r="E240" s="133"/>
      <c r="F240" s="133"/>
      <c r="G240" s="4"/>
      <c r="H240" s="408"/>
    </row>
    <row r="241" spans="1:28" x14ac:dyDescent="0.25">
      <c r="A241" s="1678" t="s">
        <v>7668</v>
      </c>
      <c r="B241" s="1678"/>
      <c r="C241" s="1678"/>
      <c r="D241" s="1678"/>
      <c r="E241" s="1678"/>
      <c r="F241" s="1678"/>
      <c r="G241" s="617"/>
      <c r="H241" s="408"/>
    </row>
    <row r="242" spans="1:28" x14ac:dyDescent="0.25">
      <c r="A242" s="133"/>
      <c r="B242" s="133"/>
      <c r="C242" s="133"/>
      <c r="D242" s="133"/>
      <c r="E242" s="133"/>
      <c r="F242" s="133"/>
      <c r="G242" s="133"/>
      <c r="H242" s="408"/>
    </row>
    <row r="243" spans="1:28" x14ac:dyDescent="0.25">
      <c r="A243" s="133"/>
      <c r="B243" s="133"/>
      <c r="C243" s="133"/>
      <c r="D243" s="133"/>
      <c r="E243" s="133"/>
      <c r="F243" s="133"/>
      <c r="G243" s="634"/>
      <c r="H243" s="408"/>
    </row>
    <row r="244" spans="1:28" x14ac:dyDescent="0.25">
      <c r="A244" s="133"/>
      <c r="B244" s="133"/>
      <c r="C244" s="133"/>
      <c r="D244" s="133"/>
      <c r="E244" s="133"/>
      <c r="F244" s="133"/>
      <c r="G244" s="133"/>
      <c r="H244" s="408"/>
    </row>
    <row r="245" spans="1:28" x14ac:dyDescent="0.25">
      <c r="A245" s="2202" t="s">
        <v>7812</v>
      </c>
      <c r="B245" s="2203"/>
      <c r="C245" s="2203"/>
      <c r="D245" s="2203"/>
      <c r="E245" s="2203"/>
      <c r="F245" s="2203"/>
      <c r="G245" s="2203"/>
      <c r="H245" s="408"/>
    </row>
    <row r="246" spans="1:28" ht="33.75" customHeight="1" x14ac:dyDescent="0.25">
      <c r="A246" s="2201" t="s">
        <v>7813</v>
      </c>
      <c r="B246" s="2185"/>
      <c r="C246" s="2185"/>
      <c r="D246" s="2185"/>
      <c r="E246" s="2185"/>
      <c r="F246" s="2185"/>
      <c r="G246" s="2185"/>
      <c r="H246" s="408"/>
    </row>
    <row r="247" spans="1:28" x14ac:dyDescent="0.25">
      <c r="A247" s="747"/>
      <c r="B247" s="746"/>
      <c r="C247" s="746"/>
      <c r="D247" s="746"/>
      <c r="E247" s="746"/>
      <c r="F247" s="746"/>
      <c r="G247" s="746"/>
      <c r="H247" s="408"/>
      <c r="I247" s="385"/>
      <c r="K247" s="385"/>
      <c r="L247" s="385"/>
      <c r="M247" s="385"/>
      <c r="N247" s="385"/>
      <c r="O247" s="385"/>
      <c r="P247" s="385"/>
      <c r="Q247" s="385"/>
      <c r="R247" s="385"/>
      <c r="S247" s="385"/>
      <c r="T247" s="385"/>
      <c r="U247" s="385"/>
      <c r="V247" s="385"/>
      <c r="W247" s="385"/>
      <c r="X247" s="385"/>
      <c r="Y247" s="385"/>
      <c r="Z247" s="385"/>
      <c r="AA247" s="385"/>
      <c r="AB247" s="385"/>
    </row>
    <row r="248" spans="1:28" x14ac:dyDescent="0.25">
      <c r="A248" s="766" t="s">
        <v>7804</v>
      </c>
      <c r="B248" s="746"/>
      <c r="C248" s="746"/>
      <c r="D248" s="746"/>
      <c r="E248" s="746"/>
      <c r="F248" s="746"/>
      <c r="G248" s="746"/>
      <c r="H248" s="408"/>
      <c r="I248" s="385"/>
      <c r="K248" s="385"/>
      <c r="L248" s="385"/>
      <c r="M248" s="385"/>
      <c r="N248" s="385"/>
      <c r="O248" s="385"/>
      <c r="P248" s="385"/>
      <c r="Q248" s="385"/>
      <c r="R248" s="385"/>
      <c r="S248" s="385"/>
      <c r="T248" s="385"/>
      <c r="U248" s="385"/>
      <c r="V248" s="385"/>
      <c r="W248" s="385"/>
      <c r="X248" s="385"/>
      <c r="Y248" s="385"/>
      <c r="Z248" s="385"/>
      <c r="AA248" s="385"/>
      <c r="AB248" s="385"/>
    </row>
    <row r="249" spans="1:28" x14ac:dyDescent="0.25">
      <c r="A249" s="747"/>
      <c r="B249" s="746"/>
      <c r="C249" s="746"/>
      <c r="D249" s="746"/>
      <c r="E249" s="746"/>
      <c r="F249" s="746"/>
      <c r="G249" s="746"/>
      <c r="H249" s="408"/>
      <c r="I249" s="385"/>
      <c r="K249" s="385"/>
      <c r="L249" s="385"/>
      <c r="M249" s="385"/>
      <c r="N249" s="385"/>
      <c r="O249" s="385"/>
      <c r="P249" s="385"/>
      <c r="Q249" s="385"/>
      <c r="R249" s="385"/>
      <c r="S249" s="385"/>
      <c r="T249" s="385"/>
      <c r="U249" s="385"/>
      <c r="V249" s="385"/>
      <c r="W249" s="385"/>
      <c r="X249" s="385"/>
      <c r="Y249" s="385"/>
      <c r="Z249" s="385"/>
      <c r="AA249" s="385"/>
      <c r="AB249" s="385"/>
    </row>
    <row r="250" spans="1:28" x14ac:dyDescent="0.25">
      <c r="A250" s="2183" t="s">
        <v>7805</v>
      </c>
      <c r="B250" s="2183"/>
      <c r="C250" s="2183"/>
      <c r="D250" s="2183"/>
      <c r="E250" s="2183"/>
      <c r="F250" s="2183"/>
      <c r="G250" s="2183"/>
      <c r="H250" s="408"/>
      <c r="I250" s="385"/>
      <c r="K250" s="385"/>
      <c r="L250" s="385"/>
      <c r="M250" s="385"/>
      <c r="N250" s="385"/>
      <c r="O250" s="385"/>
      <c r="P250" s="385"/>
      <c r="Q250" s="385"/>
      <c r="R250" s="385"/>
      <c r="S250" s="385"/>
      <c r="T250" s="385"/>
      <c r="U250" s="385"/>
      <c r="V250" s="385"/>
      <c r="W250" s="385"/>
      <c r="X250" s="385"/>
      <c r="Y250" s="385"/>
      <c r="Z250" s="385"/>
      <c r="AA250" s="385"/>
      <c r="AB250" s="385"/>
    </row>
    <row r="251" spans="1:28" x14ac:dyDescent="0.25">
      <c r="A251" s="747"/>
      <c r="B251" s="115">
        <v>1</v>
      </c>
      <c r="C251" s="746" t="s">
        <v>7806</v>
      </c>
      <c r="D251" s="746"/>
      <c r="E251" s="746"/>
      <c r="F251" s="746"/>
      <c r="G251" s="746"/>
      <c r="H251" s="408"/>
      <c r="I251" s="385"/>
      <c r="K251" s="385"/>
      <c r="L251" s="385"/>
      <c r="M251" s="385"/>
      <c r="N251" s="385"/>
      <c r="O251" s="385"/>
      <c r="P251" s="385"/>
      <c r="Q251" s="385"/>
      <c r="R251" s="385"/>
      <c r="S251" s="385"/>
      <c r="T251" s="385"/>
      <c r="U251" s="385"/>
      <c r="V251" s="385"/>
      <c r="W251" s="385"/>
      <c r="X251" s="385"/>
      <c r="Y251" s="385"/>
      <c r="Z251" s="385"/>
      <c r="AA251" s="385"/>
      <c r="AB251" s="385"/>
    </row>
    <row r="252" spans="1:28" ht="49.5" customHeight="1" x14ac:dyDescent="0.25">
      <c r="A252" s="747"/>
      <c r="B252" s="115">
        <v>2</v>
      </c>
      <c r="C252" s="2184" t="s">
        <v>7807</v>
      </c>
      <c r="D252" s="2184"/>
      <c r="E252" s="2184"/>
      <c r="F252" s="2184"/>
      <c r="G252" s="2184"/>
      <c r="H252" s="408"/>
      <c r="I252" s="385"/>
      <c r="K252" s="385"/>
      <c r="L252" s="385"/>
      <c r="M252" s="385"/>
      <c r="N252" s="385"/>
      <c r="O252" s="385"/>
      <c r="P252" s="385"/>
      <c r="Q252" s="385"/>
      <c r="R252" s="385"/>
      <c r="S252" s="385"/>
      <c r="T252" s="385"/>
      <c r="U252" s="385"/>
      <c r="V252" s="385"/>
      <c r="W252" s="385"/>
      <c r="X252" s="385"/>
      <c r="Y252" s="385"/>
      <c r="Z252" s="385"/>
      <c r="AA252" s="385"/>
      <c r="AB252" s="385"/>
    </row>
    <row r="253" spans="1:28" x14ac:dyDescent="0.25">
      <c r="A253" s="747"/>
      <c r="B253" s="746"/>
      <c r="C253" s="746"/>
      <c r="D253" s="746"/>
      <c r="E253" s="746"/>
      <c r="F253" s="746"/>
      <c r="G253" s="746"/>
      <c r="H253" s="408"/>
      <c r="I253" s="385"/>
      <c r="K253" s="385"/>
      <c r="L253" s="385"/>
      <c r="M253" s="385"/>
      <c r="N253" s="385"/>
      <c r="O253" s="385"/>
      <c r="P253" s="385"/>
      <c r="Q253" s="385"/>
      <c r="R253" s="385"/>
      <c r="S253" s="385"/>
      <c r="T253" s="385"/>
      <c r="U253" s="385"/>
      <c r="V253" s="385"/>
      <c r="W253" s="385"/>
      <c r="X253" s="385"/>
      <c r="Y253" s="385"/>
      <c r="Z253" s="385"/>
      <c r="AA253" s="385"/>
      <c r="AB253" s="385"/>
    </row>
    <row r="254" spans="1:28" x14ac:dyDescent="0.25">
      <c r="A254" s="746" t="s">
        <v>7808</v>
      </c>
      <c r="B254" s="746"/>
      <c r="C254" s="746"/>
      <c r="D254" s="746"/>
      <c r="E254" s="746"/>
      <c r="F254" s="746"/>
      <c r="G254" s="746"/>
      <c r="H254" s="408"/>
      <c r="I254" s="385"/>
      <c r="K254" s="385"/>
      <c r="L254" s="385"/>
      <c r="M254" s="385"/>
      <c r="N254" s="385"/>
      <c r="O254" s="385"/>
      <c r="P254" s="385"/>
      <c r="Q254" s="385"/>
      <c r="R254" s="385"/>
      <c r="S254" s="385"/>
      <c r="T254" s="385"/>
      <c r="U254" s="385"/>
      <c r="V254" s="385"/>
      <c r="W254" s="385"/>
      <c r="X254" s="385"/>
      <c r="Y254" s="385"/>
      <c r="Z254" s="385"/>
      <c r="AA254" s="385"/>
      <c r="AB254" s="385"/>
    </row>
    <row r="255" spans="1:28" x14ac:dyDescent="0.25">
      <c r="A255" s="746"/>
      <c r="B255" s="746"/>
      <c r="C255" s="746"/>
      <c r="D255" s="746"/>
      <c r="E255" s="746"/>
      <c r="F255" s="746"/>
      <c r="G255" s="746"/>
      <c r="H255" s="408"/>
      <c r="I255" s="385"/>
      <c r="K255" s="385"/>
      <c r="L255" s="385"/>
      <c r="M255" s="385"/>
      <c r="N255" s="385"/>
      <c r="O255" s="385"/>
      <c r="P255" s="385"/>
      <c r="Q255" s="385"/>
      <c r="R255" s="385"/>
      <c r="S255" s="385"/>
      <c r="T255" s="385"/>
      <c r="U255" s="385"/>
      <c r="V255" s="385"/>
      <c r="W255" s="385"/>
      <c r="X255" s="385"/>
      <c r="Y255" s="385"/>
      <c r="Z255" s="385"/>
      <c r="AA255" s="385"/>
      <c r="AB255" s="385"/>
    </row>
    <row r="256" spans="1:28" x14ac:dyDescent="0.25">
      <c r="A256" s="767" t="s">
        <v>7809</v>
      </c>
      <c r="B256" s="746"/>
      <c r="C256" s="746"/>
      <c r="D256" s="767"/>
      <c r="E256" s="746"/>
      <c r="F256" s="746"/>
      <c r="G256" s="746"/>
      <c r="H256" s="408"/>
      <c r="I256" s="385"/>
      <c r="K256" s="385"/>
      <c r="L256" s="385"/>
      <c r="M256" s="385"/>
      <c r="N256" s="385"/>
      <c r="O256" s="385"/>
      <c r="P256" s="385"/>
      <c r="Q256" s="385"/>
      <c r="R256" s="385"/>
      <c r="S256" s="385"/>
      <c r="T256" s="385"/>
      <c r="U256" s="385"/>
      <c r="V256" s="385"/>
      <c r="W256" s="385"/>
      <c r="X256" s="385"/>
      <c r="Y256" s="385"/>
      <c r="Z256" s="385"/>
      <c r="AA256" s="385"/>
      <c r="AB256" s="385"/>
    </row>
    <row r="257" spans="1:28" x14ac:dyDescent="0.25">
      <c r="A257" s="746"/>
      <c r="B257" s="746"/>
      <c r="C257" s="746"/>
      <c r="D257" s="746"/>
      <c r="E257" s="746"/>
      <c r="F257" s="746"/>
      <c r="G257" s="746"/>
      <c r="H257" s="408"/>
      <c r="I257" s="385"/>
      <c r="K257" s="385"/>
      <c r="L257" s="385"/>
      <c r="M257" s="385"/>
      <c r="N257" s="385"/>
      <c r="O257" s="385"/>
      <c r="P257" s="385"/>
      <c r="Q257" s="385"/>
      <c r="R257" s="385"/>
      <c r="S257" s="385"/>
      <c r="T257" s="385"/>
      <c r="U257" s="385"/>
      <c r="V257" s="385"/>
      <c r="W257" s="385"/>
      <c r="X257" s="385"/>
      <c r="Y257" s="385"/>
      <c r="Z257" s="385"/>
      <c r="AA257" s="385"/>
      <c r="AB257" s="385"/>
    </row>
    <row r="258" spans="1:28" x14ac:dyDescent="0.25">
      <c r="A258" s="746"/>
      <c r="B258" s="746"/>
      <c r="C258" s="746"/>
      <c r="D258" s="746"/>
      <c r="E258" s="746"/>
      <c r="F258" s="746"/>
      <c r="G258" s="746"/>
      <c r="H258" s="408"/>
      <c r="I258" s="385"/>
      <c r="K258" s="385"/>
      <c r="L258" s="385"/>
      <c r="M258" s="385"/>
      <c r="N258" s="385"/>
      <c r="O258" s="385"/>
      <c r="P258" s="385"/>
      <c r="Q258" s="385"/>
      <c r="R258" s="385"/>
      <c r="S258" s="385"/>
      <c r="T258" s="385"/>
      <c r="U258" s="385"/>
      <c r="V258" s="385"/>
      <c r="W258" s="385"/>
      <c r="X258" s="385"/>
      <c r="Y258" s="385"/>
      <c r="Z258" s="385"/>
      <c r="AA258" s="385"/>
      <c r="AB258" s="385"/>
    </row>
    <row r="259" spans="1:28" x14ac:dyDescent="0.25">
      <c r="A259" s="768" t="s">
        <v>7811</v>
      </c>
      <c r="B259" s="768"/>
      <c r="C259" s="768"/>
      <c r="D259" s="768"/>
      <c r="E259" s="746"/>
      <c r="F259" s="746"/>
      <c r="G259" s="746"/>
      <c r="H259" s="408"/>
      <c r="I259" s="385"/>
      <c r="K259" s="385"/>
      <c r="L259" s="385"/>
      <c r="M259" s="385"/>
      <c r="N259" s="385"/>
      <c r="O259" s="385"/>
      <c r="P259" s="385"/>
      <c r="Q259" s="385"/>
      <c r="R259" s="385"/>
      <c r="S259" s="385"/>
      <c r="T259" s="385"/>
      <c r="U259" s="385"/>
      <c r="V259" s="385"/>
      <c r="W259" s="385"/>
      <c r="X259" s="385"/>
      <c r="Y259" s="385"/>
      <c r="Z259" s="385"/>
      <c r="AA259" s="385"/>
      <c r="AB259" s="385"/>
    </row>
    <row r="260" spans="1:28" x14ac:dyDescent="0.25">
      <c r="A260" s="746" t="s">
        <v>7810</v>
      </c>
      <c r="B260" s="746"/>
      <c r="C260" s="746"/>
      <c r="D260" s="746"/>
      <c r="E260" s="746"/>
      <c r="F260" s="746"/>
      <c r="G260" s="746"/>
      <c r="H260" s="408"/>
      <c r="I260" s="385"/>
      <c r="K260" s="385"/>
      <c r="L260" s="385"/>
      <c r="M260" s="385"/>
      <c r="N260" s="385"/>
      <c r="O260" s="385"/>
      <c r="P260" s="385"/>
      <c r="Q260" s="385"/>
      <c r="R260" s="385"/>
      <c r="S260" s="385"/>
      <c r="T260" s="385"/>
      <c r="U260" s="385"/>
      <c r="V260" s="385"/>
      <c r="W260" s="385"/>
      <c r="X260" s="385"/>
      <c r="Y260" s="385"/>
      <c r="Z260" s="385"/>
      <c r="AA260" s="385"/>
      <c r="AB260" s="385"/>
    </row>
    <row r="261" spans="1:28" x14ac:dyDescent="0.25">
      <c r="A261" s="747"/>
      <c r="B261" s="746"/>
      <c r="C261" s="746"/>
      <c r="D261" s="746"/>
      <c r="E261" s="746"/>
      <c r="F261" s="746"/>
      <c r="G261" s="746"/>
      <c r="H261" s="408"/>
      <c r="I261" s="385"/>
      <c r="K261" s="385"/>
      <c r="L261" s="385"/>
      <c r="M261" s="385"/>
      <c r="N261" s="385"/>
      <c r="O261" s="385"/>
      <c r="P261" s="385"/>
      <c r="Q261" s="385"/>
      <c r="R261" s="385"/>
      <c r="S261" s="385"/>
      <c r="T261" s="385"/>
      <c r="U261" s="385"/>
      <c r="V261" s="385"/>
      <c r="W261" s="385"/>
      <c r="X261" s="385"/>
      <c r="Y261" s="385"/>
      <c r="Z261" s="385"/>
      <c r="AA261" s="385"/>
      <c r="AB261" s="385"/>
    </row>
    <row r="262" spans="1:28" x14ac:dyDescent="0.25">
      <c r="A262" s="385"/>
      <c r="B262" s="385"/>
      <c r="C262" s="385"/>
      <c r="D262" s="385"/>
      <c r="G262" s="385"/>
      <c r="H262" s="385"/>
      <c r="I262" s="385"/>
      <c r="K262" s="385"/>
      <c r="L262" s="385"/>
      <c r="M262" s="385"/>
      <c r="N262" s="385"/>
      <c r="O262" s="385"/>
      <c r="P262" s="385"/>
      <c r="Q262" s="385"/>
      <c r="R262" s="385"/>
      <c r="S262" s="385"/>
      <c r="T262" s="385"/>
      <c r="U262" s="385"/>
      <c r="V262" s="385"/>
      <c r="W262" s="385"/>
      <c r="X262" s="385"/>
      <c r="Y262" s="385"/>
      <c r="Z262" s="385"/>
      <c r="AA262" s="385"/>
      <c r="AB262" s="385"/>
    </row>
    <row r="263" spans="1:28" x14ac:dyDescent="0.25">
      <c r="A263" s="2200" t="s">
        <v>3735</v>
      </c>
      <c r="B263" s="2200"/>
      <c r="C263" s="2200"/>
      <c r="D263" s="2200"/>
      <c r="E263" s="2200"/>
      <c r="F263" s="2200"/>
      <c r="G263" s="2200"/>
      <c r="H263" s="385"/>
      <c r="I263" s="385"/>
      <c r="K263" s="385"/>
      <c r="L263" s="385"/>
      <c r="M263" s="385"/>
      <c r="N263" s="385"/>
      <c r="O263" s="385"/>
      <c r="P263" s="385"/>
      <c r="Q263" s="385"/>
      <c r="R263" s="385"/>
      <c r="S263" s="385"/>
      <c r="T263" s="385"/>
      <c r="U263" s="385"/>
      <c r="V263" s="385"/>
      <c r="W263" s="385"/>
      <c r="X263" s="385"/>
      <c r="Y263" s="385"/>
      <c r="Z263" s="385"/>
      <c r="AA263" s="385"/>
      <c r="AB263" s="385"/>
    </row>
    <row r="264" spans="1:28" x14ac:dyDescent="0.25">
      <c r="A264" s="385"/>
      <c r="B264" s="385"/>
      <c r="C264" s="385"/>
      <c r="D264" s="385"/>
      <c r="G264" s="385"/>
      <c r="H264" s="385"/>
      <c r="I264" s="385"/>
      <c r="K264" s="385"/>
      <c r="L264" s="385"/>
      <c r="M264" s="385"/>
      <c r="N264" s="385"/>
      <c r="O264" s="385"/>
      <c r="P264" s="385"/>
      <c r="Q264" s="385"/>
      <c r="R264" s="385"/>
      <c r="S264" s="385"/>
      <c r="T264" s="385"/>
      <c r="U264" s="385"/>
      <c r="V264" s="385"/>
      <c r="W264" s="385"/>
      <c r="X264" s="385"/>
      <c r="Y264" s="385"/>
      <c r="Z264" s="385"/>
      <c r="AA264" s="385"/>
      <c r="AB264" s="385"/>
    </row>
    <row r="265" spans="1:28" x14ac:dyDescent="0.25">
      <c r="A265" s="385"/>
      <c r="B265" s="385"/>
      <c r="C265" s="385"/>
      <c r="D265" s="385"/>
      <c r="G265" s="385"/>
      <c r="H265" s="385"/>
      <c r="I265" s="385"/>
      <c r="K265" s="385"/>
      <c r="L265" s="385"/>
      <c r="M265" s="385"/>
      <c r="N265" s="385"/>
      <c r="O265" s="385"/>
      <c r="P265" s="385"/>
      <c r="Q265" s="385"/>
      <c r="R265" s="385"/>
      <c r="S265" s="385"/>
      <c r="T265" s="385"/>
      <c r="U265" s="385"/>
      <c r="V265" s="385"/>
      <c r="W265" s="385"/>
      <c r="X265" s="385"/>
      <c r="Y265" s="385"/>
      <c r="Z265" s="385"/>
      <c r="AA265" s="385"/>
      <c r="AB265" s="385"/>
    </row>
    <row r="266" spans="1:28" x14ac:dyDescent="0.25">
      <c r="A266" s="385"/>
      <c r="B266" s="385"/>
      <c r="C266" s="385"/>
      <c r="D266" s="385"/>
      <c r="G266" s="385"/>
      <c r="H266" s="385"/>
      <c r="I266" s="385"/>
      <c r="K266" s="385"/>
      <c r="L266" s="385"/>
      <c r="M266" s="385"/>
      <c r="N266" s="385"/>
      <c r="O266" s="385"/>
      <c r="P266" s="385"/>
      <c r="Q266" s="385"/>
      <c r="R266" s="385"/>
      <c r="S266" s="385"/>
      <c r="T266" s="385"/>
      <c r="U266" s="385"/>
      <c r="V266" s="385"/>
      <c r="W266" s="385"/>
      <c r="X266" s="385"/>
      <c r="Y266" s="385"/>
      <c r="Z266" s="385"/>
      <c r="AA266" s="385"/>
      <c r="AB266" s="385"/>
    </row>
    <row r="267" spans="1:28" x14ac:dyDescent="0.25">
      <c r="A267" s="385"/>
      <c r="B267" s="385"/>
      <c r="C267" s="385"/>
      <c r="D267" s="385"/>
      <c r="G267" s="385"/>
      <c r="H267" s="385"/>
      <c r="I267" s="385"/>
      <c r="K267" s="385"/>
      <c r="L267" s="385"/>
      <c r="M267" s="385"/>
      <c r="N267" s="385"/>
      <c r="O267" s="385"/>
      <c r="P267" s="385"/>
      <c r="Q267" s="385"/>
      <c r="R267" s="385"/>
      <c r="S267" s="385"/>
      <c r="T267" s="385"/>
      <c r="U267" s="385"/>
      <c r="V267" s="385"/>
      <c r="W267" s="385"/>
      <c r="X267" s="385"/>
      <c r="Y267" s="385"/>
      <c r="Z267" s="385"/>
      <c r="AA267" s="385"/>
      <c r="AB267" s="385"/>
    </row>
    <row r="268" spans="1:28" x14ac:dyDescent="0.25">
      <c r="A268" s="385"/>
      <c r="B268" s="385"/>
      <c r="C268" s="385"/>
      <c r="D268" s="385"/>
      <c r="G268" s="385"/>
      <c r="H268" s="385"/>
      <c r="I268" s="385"/>
      <c r="K268" s="385"/>
      <c r="L268" s="385"/>
      <c r="M268" s="385"/>
      <c r="N268" s="385"/>
      <c r="O268" s="385"/>
      <c r="P268" s="385"/>
      <c r="Q268" s="385"/>
      <c r="R268" s="385"/>
      <c r="S268" s="385"/>
      <c r="T268" s="385"/>
      <c r="U268" s="385"/>
      <c r="V268" s="385"/>
      <c r="W268" s="385"/>
      <c r="X268" s="385"/>
      <c r="Y268" s="385"/>
      <c r="Z268" s="385"/>
      <c r="AA268" s="385"/>
      <c r="AB268" s="385"/>
    </row>
    <row r="269" spans="1:28" x14ac:dyDescent="0.25">
      <c r="A269" s="385"/>
      <c r="B269" s="385"/>
      <c r="C269" s="385"/>
      <c r="D269" s="385"/>
      <c r="G269" s="385"/>
      <c r="H269" s="385"/>
      <c r="I269" s="385"/>
      <c r="K269" s="385"/>
      <c r="L269" s="385"/>
      <c r="M269" s="385"/>
      <c r="N269" s="385"/>
      <c r="O269" s="385"/>
      <c r="P269" s="385"/>
      <c r="Q269" s="385"/>
      <c r="R269" s="385"/>
      <c r="S269" s="385"/>
      <c r="T269" s="385"/>
      <c r="U269" s="385"/>
      <c r="V269" s="385"/>
      <c r="W269" s="385"/>
      <c r="X269" s="385"/>
      <c r="Y269" s="385"/>
      <c r="Z269" s="385"/>
      <c r="AA269" s="385"/>
      <c r="AB269" s="385"/>
    </row>
    <row r="270" spans="1:28" x14ac:dyDescent="0.25">
      <c r="A270" s="385"/>
      <c r="B270" s="385"/>
      <c r="C270" s="385"/>
      <c r="D270" s="385"/>
      <c r="G270" s="385"/>
      <c r="H270" s="385"/>
      <c r="I270" s="385"/>
      <c r="K270" s="385"/>
      <c r="L270" s="385"/>
      <c r="M270" s="385"/>
      <c r="N270" s="385"/>
      <c r="O270" s="385"/>
      <c r="P270" s="385"/>
      <c r="Q270" s="385"/>
      <c r="R270" s="385"/>
      <c r="S270" s="385"/>
      <c r="T270" s="385"/>
      <c r="U270" s="385"/>
      <c r="V270" s="385"/>
      <c r="W270" s="385"/>
      <c r="X270" s="385"/>
      <c r="Y270" s="385"/>
      <c r="Z270" s="385"/>
      <c r="AA270" s="385"/>
      <c r="AB270" s="385"/>
    </row>
    <row r="271" spans="1:28" x14ac:dyDescent="0.25">
      <c r="A271" s="385"/>
      <c r="B271" s="385"/>
      <c r="C271" s="385"/>
      <c r="D271" s="385"/>
      <c r="G271" s="385"/>
      <c r="H271" s="385"/>
      <c r="I271" s="385"/>
      <c r="K271" s="385"/>
      <c r="L271" s="385"/>
      <c r="M271" s="385"/>
      <c r="N271" s="385"/>
      <c r="O271" s="385"/>
      <c r="P271" s="385"/>
      <c r="Q271" s="385"/>
      <c r="R271" s="385"/>
      <c r="S271" s="385"/>
      <c r="T271" s="385"/>
      <c r="U271" s="385"/>
      <c r="V271" s="385"/>
      <c r="W271" s="385"/>
      <c r="X271" s="385"/>
      <c r="Y271" s="385"/>
      <c r="Z271" s="385"/>
      <c r="AA271" s="385"/>
      <c r="AB271" s="385"/>
    </row>
    <row r="272" spans="1:28" x14ac:dyDescent="0.25">
      <c r="A272" s="385"/>
      <c r="B272" s="385"/>
      <c r="C272" s="385"/>
      <c r="D272" s="385"/>
      <c r="G272" s="385"/>
      <c r="H272" s="385"/>
      <c r="I272" s="385"/>
      <c r="K272" s="385"/>
      <c r="L272" s="385"/>
      <c r="M272" s="385"/>
      <c r="N272" s="385"/>
      <c r="O272" s="385"/>
      <c r="P272" s="385"/>
      <c r="Q272" s="385"/>
      <c r="R272" s="385"/>
      <c r="S272" s="385"/>
      <c r="T272" s="385"/>
      <c r="U272" s="385"/>
      <c r="V272" s="385"/>
      <c r="W272" s="385"/>
      <c r="X272" s="385"/>
      <c r="Y272" s="385"/>
      <c r="Z272" s="385"/>
      <c r="AA272" s="385"/>
      <c r="AB272" s="385"/>
    </row>
    <row r="273" spans="1:28" x14ac:dyDescent="0.25">
      <c r="A273" s="385"/>
      <c r="B273" s="385"/>
      <c r="C273" s="385"/>
      <c r="D273" s="385"/>
      <c r="G273" s="385"/>
      <c r="H273" s="385"/>
      <c r="I273" s="385"/>
      <c r="K273" s="385"/>
      <c r="L273" s="385"/>
      <c r="M273" s="385"/>
      <c r="N273" s="385"/>
      <c r="O273" s="385"/>
      <c r="P273" s="385"/>
      <c r="Q273" s="385"/>
      <c r="R273" s="385"/>
      <c r="S273" s="385"/>
      <c r="T273" s="385"/>
      <c r="U273" s="385"/>
      <c r="V273" s="385"/>
      <c r="W273" s="385"/>
      <c r="X273" s="385"/>
      <c r="Y273" s="385"/>
      <c r="Z273" s="385"/>
      <c r="AA273" s="385"/>
      <c r="AB273" s="385"/>
    </row>
    <row r="274" spans="1:28" x14ac:dyDescent="0.25">
      <c r="A274" s="385"/>
      <c r="B274" s="385"/>
      <c r="C274" s="385"/>
      <c r="D274" s="385"/>
      <c r="G274" s="385"/>
      <c r="H274" s="385"/>
      <c r="I274" s="385"/>
      <c r="K274" s="385"/>
      <c r="L274" s="385"/>
      <c r="M274" s="385"/>
      <c r="N274" s="385"/>
      <c r="O274" s="385"/>
      <c r="P274" s="385"/>
      <c r="Q274" s="385"/>
      <c r="R274" s="385"/>
      <c r="S274" s="385"/>
      <c r="T274" s="385"/>
      <c r="U274" s="385"/>
      <c r="V274" s="385"/>
      <c r="W274" s="385"/>
      <c r="X274" s="385"/>
      <c r="Y274" s="385"/>
      <c r="Z274" s="385"/>
      <c r="AA274" s="385"/>
      <c r="AB274" s="385"/>
    </row>
    <row r="275" spans="1:28" x14ac:dyDescent="0.25">
      <c r="A275" s="385"/>
      <c r="B275" s="385"/>
      <c r="C275" s="385"/>
      <c r="D275" s="385"/>
      <c r="G275" s="385"/>
      <c r="H275" s="385"/>
      <c r="I275" s="385"/>
      <c r="K275" s="385"/>
      <c r="L275" s="385"/>
      <c r="M275" s="385"/>
      <c r="N275" s="385"/>
      <c r="O275" s="385"/>
      <c r="P275" s="385"/>
      <c r="Q275" s="385"/>
      <c r="R275" s="385"/>
      <c r="S275" s="385"/>
      <c r="T275" s="385"/>
      <c r="U275" s="385"/>
      <c r="V275" s="385"/>
      <c r="W275" s="385"/>
      <c r="X275" s="385"/>
      <c r="Y275" s="385"/>
      <c r="Z275" s="385"/>
      <c r="AA275" s="385"/>
      <c r="AB275" s="385"/>
    </row>
    <row r="276" spans="1:28" x14ac:dyDescent="0.25">
      <c r="A276" s="385"/>
      <c r="B276" s="385"/>
      <c r="C276" s="385"/>
      <c r="D276" s="385"/>
      <c r="G276" s="385"/>
      <c r="H276" s="385"/>
      <c r="I276" s="385"/>
      <c r="K276" s="385"/>
      <c r="L276" s="385"/>
      <c r="M276" s="385"/>
      <c r="N276" s="385"/>
      <c r="O276" s="385"/>
      <c r="P276" s="385"/>
      <c r="Q276" s="385"/>
      <c r="R276" s="385"/>
      <c r="S276" s="385"/>
      <c r="T276" s="385"/>
      <c r="U276" s="385"/>
      <c r="V276" s="385"/>
      <c r="W276" s="385"/>
      <c r="X276" s="385"/>
      <c r="Y276" s="385"/>
      <c r="Z276" s="385"/>
      <c r="AA276" s="385"/>
      <c r="AB276" s="385"/>
    </row>
  </sheetData>
  <sheetProtection formatCells="0" formatRows="0" autoFilter="0"/>
  <protectedRanges>
    <protectedRange sqref="G241:G254 E240:F254 E255:G261 A240:D261 A182:A198 C198:G198 A2:B181 D181:F181 B182:B197 C2:G180 D182:G197 C181:C197 A199:G239" name="Range1"/>
    <protectedRange sqref="H17 H110:I110 R110" name="Range2"/>
  </protectedRanges>
  <autoFilter ref="H17:H108"/>
  <mergeCells count="179">
    <mergeCell ref="A263:G263"/>
    <mergeCell ref="A236:G236"/>
    <mergeCell ref="A240:D240"/>
    <mergeCell ref="A241:F241"/>
    <mergeCell ref="D195:G195"/>
    <mergeCell ref="D187:G187"/>
    <mergeCell ref="D193:G193"/>
    <mergeCell ref="C204:G204"/>
    <mergeCell ref="C205:G205"/>
    <mergeCell ref="C206:G206"/>
    <mergeCell ref="C207:G207"/>
    <mergeCell ref="C208:G208"/>
    <mergeCell ref="C209:G209"/>
    <mergeCell ref="A211:G211"/>
    <mergeCell ref="C212:G212"/>
    <mergeCell ref="C213:G213"/>
    <mergeCell ref="C252:G252"/>
    <mergeCell ref="A246:G246"/>
    <mergeCell ref="A245:G245"/>
    <mergeCell ref="A232:G232"/>
    <mergeCell ref="A234:G234"/>
    <mergeCell ref="C216:G216"/>
    <mergeCell ref="C217:G217"/>
    <mergeCell ref="C218:G218"/>
    <mergeCell ref="D176:G176"/>
    <mergeCell ref="A3:G3"/>
    <mergeCell ref="C169:G169"/>
    <mergeCell ref="F152:G152"/>
    <mergeCell ref="F155:G155"/>
    <mergeCell ref="F156:G156"/>
    <mergeCell ref="A110:G110"/>
    <mergeCell ref="C168:G168"/>
    <mergeCell ref="D5:E5"/>
    <mergeCell ref="D6:E6"/>
    <mergeCell ref="C171:G171"/>
    <mergeCell ref="C172:G172"/>
    <mergeCell ref="C170:G170"/>
    <mergeCell ref="C173:G173"/>
    <mergeCell ref="C175:G175"/>
    <mergeCell ref="C174:G174"/>
    <mergeCell ref="C165:G165"/>
    <mergeCell ref="C166:G166"/>
    <mergeCell ref="C167:G167"/>
    <mergeCell ref="F157:G157"/>
    <mergeCell ref="F158:G158"/>
    <mergeCell ref="A160:G160"/>
    <mergeCell ref="A164:G164"/>
    <mergeCell ref="F144:G144"/>
    <mergeCell ref="F145:G145"/>
    <mergeCell ref="F146:G146"/>
    <mergeCell ref="F149:G149"/>
    <mergeCell ref="F150:G150"/>
    <mergeCell ref="F151:G151"/>
    <mergeCell ref="F134:G134"/>
    <mergeCell ref="F137:G137"/>
    <mergeCell ref="F138:G138"/>
    <mergeCell ref="F139:G139"/>
    <mergeCell ref="F140:G140"/>
    <mergeCell ref="F143:G143"/>
    <mergeCell ref="F126:G126"/>
    <mergeCell ref="F127:G127"/>
    <mergeCell ref="F128:G128"/>
    <mergeCell ref="F131:G131"/>
    <mergeCell ref="F132:G132"/>
    <mergeCell ref="F133:G133"/>
    <mergeCell ref="F116:G116"/>
    <mergeCell ref="F119:G119"/>
    <mergeCell ref="F120:G120"/>
    <mergeCell ref="F121:G121"/>
    <mergeCell ref="F122:G122"/>
    <mergeCell ref="F125:G125"/>
    <mergeCell ref="F102:G102"/>
    <mergeCell ref="F103:G103"/>
    <mergeCell ref="F104:G104"/>
    <mergeCell ref="F113:G113"/>
    <mergeCell ref="F114:G114"/>
    <mergeCell ref="F115:G115"/>
    <mergeCell ref="F105:G105"/>
    <mergeCell ref="F106:G106"/>
    <mergeCell ref="F108:G108"/>
    <mergeCell ref="F98:G98"/>
    <mergeCell ref="F99:G99"/>
    <mergeCell ref="F100:G100"/>
    <mergeCell ref="F101:G101"/>
    <mergeCell ref="F91:G91"/>
    <mergeCell ref="F92:G92"/>
    <mergeCell ref="F94:G94"/>
    <mergeCell ref="F85:G85"/>
    <mergeCell ref="F86:G86"/>
    <mergeCell ref="F87:G87"/>
    <mergeCell ref="F88:G88"/>
    <mergeCell ref="F89:G89"/>
    <mergeCell ref="F90:G90"/>
    <mergeCell ref="F61:G61"/>
    <mergeCell ref="F62:G62"/>
    <mergeCell ref="F63:G63"/>
    <mergeCell ref="F64:G64"/>
    <mergeCell ref="F77:G77"/>
    <mergeCell ref="F84:G84"/>
    <mergeCell ref="F65:G65"/>
    <mergeCell ref="F66:G66"/>
    <mergeCell ref="F75:G75"/>
    <mergeCell ref="F76:G76"/>
    <mergeCell ref="F68:G68"/>
    <mergeCell ref="F78:G78"/>
    <mergeCell ref="F79:G79"/>
    <mergeCell ref="F81:G81"/>
    <mergeCell ref="F71:G71"/>
    <mergeCell ref="F72:G72"/>
    <mergeCell ref="F73:G73"/>
    <mergeCell ref="F74:G74"/>
    <mergeCell ref="F58:G58"/>
    <mergeCell ref="F52:G52"/>
    <mergeCell ref="F53:G53"/>
    <mergeCell ref="F55:G55"/>
    <mergeCell ref="F59:G59"/>
    <mergeCell ref="F60:G60"/>
    <mergeCell ref="F49:G49"/>
    <mergeCell ref="F39:G39"/>
    <mergeCell ref="F40:G40"/>
    <mergeCell ref="F42:G42"/>
    <mergeCell ref="F50:G50"/>
    <mergeCell ref="F51:G51"/>
    <mergeCell ref="F37:G37"/>
    <mergeCell ref="F38:G38"/>
    <mergeCell ref="F45:G45"/>
    <mergeCell ref="F46:G46"/>
    <mergeCell ref="F47:G47"/>
    <mergeCell ref="F48:G48"/>
    <mergeCell ref="D11:E11"/>
    <mergeCell ref="F27:G27"/>
    <mergeCell ref="F26:G26"/>
    <mergeCell ref="F29:G29"/>
    <mergeCell ref="A14:G14"/>
    <mergeCell ref="A16:G16"/>
    <mergeCell ref="F19:G19"/>
    <mergeCell ref="F20:G20"/>
    <mergeCell ref="F21:G21"/>
    <mergeCell ref="F22:G22"/>
    <mergeCell ref="F23:G23"/>
    <mergeCell ref="F24:G24"/>
    <mergeCell ref="F25:G25"/>
    <mergeCell ref="F32:G32"/>
    <mergeCell ref="F33:G33"/>
    <mergeCell ref="F34:G34"/>
    <mergeCell ref="F35:G35"/>
    <mergeCell ref="F36:G36"/>
    <mergeCell ref="D177:G177"/>
    <mergeCell ref="A199:G199"/>
    <mergeCell ref="C200:G200"/>
    <mergeCell ref="C201:G201"/>
    <mergeCell ref="C202:G202"/>
    <mergeCell ref="C203:G203"/>
    <mergeCell ref="D190:G190"/>
    <mergeCell ref="D191:G191"/>
    <mergeCell ref="D192:G192"/>
    <mergeCell ref="D194:G194"/>
    <mergeCell ref="A179:G179"/>
    <mergeCell ref="D182:G182"/>
    <mergeCell ref="D183:G183"/>
    <mergeCell ref="D186:G186"/>
    <mergeCell ref="D188:G188"/>
    <mergeCell ref="D189:G189"/>
    <mergeCell ref="A238:G238"/>
    <mergeCell ref="C230:G230"/>
    <mergeCell ref="C214:G214"/>
    <mergeCell ref="C215:G215"/>
    <mergeCell ref="C228:G228"/>
    <mergeCell ref="C229:G229"/>
    <mergeCell ref="C219:G219"/>
    <mergeCell ref="A221:G221"/>
    <mergeCell ref="A250:G250"/>
    <mergeCell ref="C222:G222"/>
    <mergeCell ref="C223:G223"/>
    <mergeCell ref="C224:G224"/>
    <mergeCell ref="C225:G225"/>
    <mergeCell ref="C226:G226"/>
    <mergeCell ref="C231:G231"/>
    <mergeCell ref="C227:G227"/>
  </mergeCells>
  <conditionalFormatting sqref="D29:G29">
    <cfRule type="expression" dxfId="48" priority="58" stopIfTrue="1">
      <formula>LEFT($F19,2)="PB"</formula>
    </cfRule>
  </conditionalFormatting>
  <conditionalFormatting sqref="D41:G41">
    <cfRule type="expression" dxfId="47" priority="55" stopIfTrue="1">
      <formula>LEFT($F32,3)="PAB"</formula>
    </cfRule>
  </conditionalFormatting>
  <conditionalFormatting sqref="D42:G42">
    <cfRule type="expression" dxfId="46" priority="54" stopIfTrue="1">
      <formula>LEFT($F32,2)="PB"</formula>
    </cfRule>
  </conditionalFormatting>
  <conditionalFormatting sqref="D54:G54">
    <cfRule type="expression" dxfId="45" priority="49" stopIfTrue="1">
      <formula>LEFT($F45,3)="PAB"</formula>
    </cfRule>
  </conditionalFormatting>
  <conditionalFormatting sqref="D55:G55">
    <cfRule type="expression" dxfId="44" priority="48" stopIfTrue="1">
      <formula>LEFT($F45,2)="PB"</formula>
    </cfRule>
  </conditionalFormatting>
  <conditionalFormatting sqref="D67:G67">
    <cfRule type="expression" dxfId="43" priority="47" stopIfTrue="1">
      <formula>LEFT($F58,3)="PAB"</formula>
    </cfRule>
  </conditionalFormatting>
  <conditionalFormatting sqref="D68:G68">
    <cfRule type="expression" dxfId="42" priority="46" stopIfTrue="1">
      <formula>LEFT($F58,2)="PB"</formula>
    </cfRule>
  </conditionalFormatting>
  <conditionalFormatting sqref="D80:G80">
    <cfRule type="expression" dxfId="41" priority="45" stopIfTrue="1">
      <formula>LEFT($F71,3)="PAB"</formula>
    </cfRule>
  </conditionalFormatting>
  <conditionalFormatting sqref="D81:G81">
    <cfRule type="expression" dxfId="40" priority="44" stopIfTrue="1">
      <formula>LEFT($F71,2)="PB"</formula>
    </cfRule>
  </conditionalFormatting>
  <conditionalFormatting sqref="D93:G93">
    <cfRule type="expression" dxfId="39" priority="43" stopIfTrue="1">
      <formula>LEFT($F84,3)="PAB"</formula>
    </cfRule>
  </conditionalFormatting>
  <conditionalFormatting sqref="D94:G94">
    <cfRule type="expression" dxfId="38" priority="42" stopIfTrue="1">
      <formula>LEFT($F84,2)="PB"</formula>
    </cfRule>
  </conditionalFormatting>
  <conditionalFormatting sqref="D107:G107">
    <cfRule type="expression" dxfId="37" priority="41" stopIfTrue="1">
      <formula>LEFT($F98,3)="PAB"</formula>
    </cfRule>
  </conditionalFormatting>
  <conditionalFormatting sqref="D108:G108">
    <cfRule type="expression" dxfId="36" priority="40" stopIfTrue="1">
      <formula>LEFT($F98,2)="PB"</formula>
    </cfRule>
  </conditionalFormatting>
  <conditionalFormatting sqref="G41">
    <cfRule type="expression" dxfId="35" priority="38" stopIfTrue="1">
      <formula>F32&lt;&gt;PAB</formula>
    </cfRule>
    <cfRule type="expression" dxfId="34" priority="39" stopIfTrue="1">
      <formula>F32=PAB</formula>
    </cfRule>
  </conditionalFormatting>
  <conditionalFormatting sqref="G54">
    <cfRule type="expression" dxfId="33" priority="34" stopIfTrue="1">
      <formula>LEFT($F45,3)="PAB"</formula>
    </cfRule>
  </conditionalFormatting>
  <conditionalFormatting sqref="G54">
    <cfRule type="expression" dxfId="32" priority="32" stopIfTrue="1">
      <formula>F45&lt;&gt;PAB</formula>
    </cfRule>
    <cfRule type="expression" dxfId="31" priority="33" stopIfTrue="1">
      <formula>F45=PAB</formula>
    </cfRule>
  </conditionalFormatting>
  <conditionalFormatting sqref="G67">
    <cfRule type="expression" dxfId="30" priority="31" stopIfTrue="1">
      <formula>LEFT($F58,3)="PAB"</formula>
    </cfRule>
  </conditionalFormatting>
  <conditionalFormatting sqref="G67">
    <cfRule type="expression" dxfId="29" priority="30" stopIfTrue="1">
      <formula>LEFT($F58,3)="PAB"</formula>
    </cfRule>
  </conditionalFormatting>
  <conditionalFormatting sqref="G67">
    <cfRule type="expression" dxfId="28" priority="28" stopIfTrue="1">
      <formula>F58&lt;&gt;PAB</formula>
    </cfRule>
    <cfRule type="expression" dxfId="27" priority="29" stopIfTrue="1">
      <formula>F58=PAB</formula>
    </cfRule>
  </conditionalFormatting>
  <conditionalFormatting sqref="G80">
    <cfRule type="expression" dxfId="26" priority="27" stopIfTrue="1">
      <formula>LEFT($F71,3)="PAB"</formula>
    </cfRule>
  </conditionalFormatting>
  <conditionalFormatting sqref="G80">
    <cfRule type="expression" dxfId="25" priority="26" stopIfTrue="1">
      <formula>LEFT($F71,3)="PAB"</formula>
    </cfRule>
  </conditionalFormatting>
  <conditionalFormatting sqref="G80">
    <cfRule type="expression" dxfId="24" priority="24" stopIfTrue="1">
      <formula>F71&lt;&gt;PAB</formula>
    </cfRule>
    <cfRule type="expression" dxfId="23" priority="25" stopIfTrue="1">
      <formula>F71=PAB</formula>
    </cfRule>
  </conditionalFormatting>
  <conditionalFormatting sqref="G93">
    <cfRule type="expression" dxfId="22" priority="23" stopIfTrue="1">
      <formula>LEFT($F84,3)="PAB"</formula>
    </cfRule>
  </conditionalFormatting>
  <conditionalFormatting sqref="G93">
    <cfRule type="expression" dxfId="21" priority="22" stopIfTrue="1">
      <formula>LEFT($F84,3)="PAB"</formula>
    </cfRule>
  </conditionalFormatting>
  <conditionalFormatting sqref="G93">
    <cfRule type="expression" dxfId="20" priority="20" stopIfTrue="1">
      <formula>F84&lt;&gt;PAB</formula>
    </cfRule>
    <cfRule type="expression" dxfId="19" priority="21" stopIfTrue="1">
      <formula>F84=PAB</formula>
    </cfRule>
  </conditionalFormatting>
  <conditionalFormatting sqref="G107">
    <cfRule type="expression" dxfId="18" priority="19" stopIfTrue="1">
      <formula>LEFT($F98,3)="PAB"</formula>
    </cfRule>
  </conditionalFormatting>
  <conditionalFormatting sqref="G107">
    <cfRule type="expression" dxfId="17" priority="18" stopIfTrue="1">
      <formula>LEFT($F98,3)="PAB"</formula>
    </cfRule>
  </conditionalFormatting>
  <conditionalFormatting sqref="G107">
    <cfRule type="expression" dxfId="16" priority="16" stopIfTrue="1">
      <formula>F98&lt;&gt;PAB</formula>
    </cfRule>
    <cfRule type="expression" dxfId="15" priority="17" stopIfTrue="1">
      <formula>F98=PAB</formula>
    </cfRule>
  </conditionalFormatting>
  <conditionalFormatting sqref="G41">
    <cfRule type="expression" dxfId="14" priority="12" stopIfTrue="1">
      <formula>LEFT(F32,3)&lt;&gt;"PAB"</formula>
    </cfRule>
    <cfRule type="expression" dxfId="13" priority="13" stopIfTrue="1">
      <formula>LEFT(F32,3)="PAB"</formula>
    </cfRule>
  </conditionalFormatting>
  <conditionalFormatting sqref="G54">
    <cfRule type="expression" dxfId="12" priority="10" stopIfTrue="1">
      <formula>LEFT(F45,3)&lt;&gt;"PAB"</formula>
    </cfRule>
    <cfRule type="expression" dxfId="11" priority="11" stopIfTrue="1">
      <formula>LEFT(F45,3)="PAB"</formula>
    </cfRule>
  </conditionalFormatting>
  <conditionalFormatting sqref="G67">
    <cfRule type="expression" dxfId="10" priority="8" stopIfTrue="1">
      <formula>LEFT(F58,3)&lt;&gt;"PAB"</formula>
    </cfRule>
    <cfRule type="expression" dxfId="9" priority="9" stopIfTrue="1">
      <formula>LEFT(F58,3)="PAB"</formula>
    </cfRule>
  </conditionalFormatting>
  <conditionalFormatting sqref="G80">
    <cfRule type="expression" dxfId="8" priority="6" stopIfTrue="1">
      <formula>LEFT(F71,3)&lt;&gt;"PAB"</formula>
    </cfRule>
    <cfRule type="expression" dxfId="7" priority="7" stopIfTrue="1">
      <formula>LEFT(F71,3)="PAB"</formula>
    </cfRule>
  </conditionalFormatting>
  <conditionalFormatting sqref="G93">
    <cfRule type="expression" dxfId="6" priority="4" stopIfTrue="1">
      <formula>LEFT(F84,3)&lt;&gt;"PAB"</formula>
    </cfRule>
    <cfRule type="expression" dxfId="5" priority="5" stopIfTrue="1">
      <formula>LEFT(F84,3)="PAB"</formula>
    </cfRule>
  </conditionalFormatting>
  <conditionalFormatting sqref="G107">
    <cfRule type="expression" dxfId="4" priority="2" stopIfTrue="1">
      <formula>LEFT(F98,3)&lt;&gt;"PAB"</formula>
    </cfRule>
    <cfRule type="expression" dxfId="3" priority="3" stopIfTrue="1">
      <formula>LEFT(F98,3)="PAB"</formula>
    </cfRule>
  </conditionalFormatting>
  <conditionalFormatting sqref="D28:G28">
    <cfRule type="expression" dxfId="2" priority="14" stopIfTrue="1">
      <formula>LEFT(C19,3)&lt;&gt;"PAB"</formula>
    </cfRule>
    <cfRule type="expression" dxfId="1" priority="15" stopIfTrue="1">
      <formula>LEFT(C19,3)="PAB"</formula>
    </cfRule>
  </conditionalFormatting>
  <conditionalFormatting sqref="D28:F28">
    <cfRule type="expression" dxfId="0" priority="1" stopIfTrue="1">
      <formula>LEFT($F$19,3)="PAB"</formula>
    </cfRule>
  </conditionalFormatting>
  <dataValidations disablePrompts="1" count="1">
    <dataValidation type="list" allowBlank="1" showInputMessage="1" showErrorMessage="1" sqref="G168">
      <formula1>"Notariil,Un-notariil"</formula1>
    </dataValidation>
  </dataValidations>
  <pageMargins left="0.70866141732283505" right="0.70866141732283505" top="0.511811023622047" bottom="0.35433070866141703" header="0.31496062992126" footer="0.31496062992126"/>
  <pageSetup paperSize="9" scale="80" orientation="portrait" r:id="rId1"/>
  <headerFooter>
    <oddFooter>&amp;RPage &amp;P of &amp;N</oddFooter>
  </headerFooter>
  <rowBreaks count="2" manualBreakCount="2">
    <brk id="56" max="6" man="1"/>
    <brk id="117" max="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election activeCell="A2" sqref="A2"/>
    </sheetView>
  </sheetViews>
  <sheetFormatPr defaultRowHeight="15"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2:J179"/>
  <sheetViews>
    <sheetView showGridLines="0" topLeftCell="A61" zoomScaleSheetLayoutView="100" workbookViewId="0">
      <selection activeCell="F26" sqref="F26:G26"/>
    </sheetView>
  </sheetViews>
  <sheetFormatPr defaultRowHeight="15" x14ac:dyDescent="0.25"/>
  <cols>
    <col min="1" max="1" width="3.28515625" style="385" customWidth="1"/>
    <col min="2" max="2" width="4.42578125" style="385" customWidth="1"/>
    <col min="3" max="3" width="4.5703125" style="385" customWidth="1"/>
    <col min="4" max="4" width="22" style="385" customWidth="1"/>
    <col min="5" max="5" width="1.7109375" style="373" customWidth="1"/>
    <col min="6" max="6" width="24.85546875" style="379" customWidth="1"/>
    <col min="7" max="7" width="40.7109375" style="385" customWidth="1"/>
    <col min="8" max="16384" width="9.140625" style="385"/>
  </cols>
  <sheetData>
    <row r="2" spans="1:7" ht="41.25" customHeight="1" x14ac:dyDescent="0.25">
      <c r="A2"/>
      <c r="B2"/>
      <c r="C2"/>
      <c r="D2"/>
      <c r="E2" s="614"/>
      <c r="F2" s="610"/>
      <c r="G2"/>
    </row>
    <row r="3" spans="1:7" ht="21" x14ac:dyDescent="0.35">
      <c r="A3" s="2146" t="s">
        <v>610</v>
      </c>
      <c r="B3" s="2146"/>
      <c r="C3" s="2146"/>
      <c r="D3" s="2146"/>
      <c r="E3" s="2146"/>
      <c r="F3" s="2146"/>
      <c r="G3" s="2146"/>
    </row>
    <row r="4" spans="1:7" x14ac:dyDescent="0.25">
      <c r="A4"/>
      <c r="B4"/>
      <c r="C4"/>
      <c r="D4"/>
      <c r="E4" s="614"/>
      <c r="F4" s="610"/>
      <c r="G4"/>
    </row>
    <row r="5" spans="1:7" x14ac:dyDescent="0.25">
      <c r="A5" t="s">
        <v>584</v>
      </c>
      <c r="B5"/>
      <c r="C5" s="614" t="s">
        <v>7</v>
      </c>
      <c r="D5" s="2210"/>
      <c r="E5" s="2210"/>
      <c r="F5" s="610"/>
      <c r="G5"/>
    </row>
    <row r="6" spans="1:7" x14ac:dyDescent="0.25">
      <c r="A6" t="s">
        <v>26</v>
      </c>
      <c r="B6"/>
      <c r="C6" s="614" t="s">
        <v>7</v>
      </c>
      <c r="D6" s="2211"/>
      <c r="E6" s="2211"/>
      <c r="F6" s="610"/>
      <c r="G6"/>
    </row>
    <row r="7" spans="1:7" x14ac:dyDescent="0.25">
      <c r="A7" s="621">
        <f>IF(ISBLANK('Informasi Debitur'!J4)=TRUE,"",'Informasi Debitur'!J4)</f>
        <v>43255</v>
      </c>
      <c r="B7"/>
      <c r="C7"/>
      <c r="D7"/>
      <c r="E7" s="614"/>
      <c r="F7" s="610"/>
      <c r="G7" s="622"/>
    </row>
    <row r="8" spans="1:7" x14ac:dyDescent="0.25">
      <c r="A8" t="s">
        <v>585</v>
      </c>
      <c r="B8"/>
      <c r="C8"/>
      <c r="D8"/>
      <c r="E8" s="614"/>
      <c r="F8" s="610"/>
      <c r="G8"/>
    </row>
    <row r="9" spans="1:7" x14ac:dyDescent="0.25">
      <c r="A9" t="str">
        <f>IF(COUNTA('Informasi Debitur'!J5)=0,"",'Informasi Debitur'!J5)</f>
        <v xml:space="preserve">OH NJEN LIENG </v>
      </c>
      <c r="B9"/>
      <c r="C9"/>
      <c r="D9"/>
      <c r="E9" s="614"/>
      <c r="F9" s="610"/>
      <c r="G9"/>
    </row>
    <row r="10" spans="1:7" x14ac:dyDescent="0.25">
      <c r="A10" t="str">
        <f>IF(COUNTA('Informasi Debitur'!D20)=0,"",'Informasi Debitur'!D20)</f>
        <v>Jl A Yani km 6,5 No 31 Kertak Hanyar I Kertak Hanyar , Kab Banjar</v>
      </c>
      <c r="B10"/>
      <c r="C10"/>
      <c r="D10" s="9"/>
      <c r="E10" s="620"/>
      <c r="F10" s="610"/>
      <c r="G10"/>
    </row>
    <row r="11" spans="1:7" x14ac:dyDescent="0.25">
      <c r="A11" t="s">
        <v>649</v>
      </c>
      <c r="B11"/>
      <c r="C11" t="s">
        <v>7650</v>
      </c>
      <c r="D11" s="2212"/>
      <c r="E11" s="2212"/>
      <c r="F11" s="610"/>
      <c r="G11"/>
    </row>
    <row r="12" spans="1:7" x14ac:dyDescent="0.25">
      <c r="A12"/>
      <c r="B12"/>
      <c r="C12"/>
      <c r="D12"/>
      <c r="E12" s="614"/>
      <c r="F12" s="610"/>
      <c r="G12"/>
    </row>
    <row r="13" spans="1:7" x14ac:dyDescent="0.25">
      <c r="A13" t="s">
        <v>611</v>
      </c>
      <c r="B13"/>
      <c r="C13"/>
      <c r="D13"/>
      <c r="E13" s="614"/>
      <c r="F13" s="610"/>
      <c r="G13"/>
    </row>
    <row r="14" spans="1:7" ht="45" customHeight="1" x14ac:dyDescent="0.25">
      <c r="A14" s="2201" t="str">
        <f>CONCATENATE("Sehubungan dengan permohonan pengajuan kredit atas nama ",A9," berdasarkan Formulir Permohonan Kredit (FPK) tanggal ",TEXT(A7,"dd/mm/yyyy")," maka dengan ini diinformasikan bahwa Kami telah menyetujui permohonan kredit atas nama ",A9," ","dengan ketentuan sebagai berikut:" )</f>
        <v>Sehubungan dengan permohonan pengajuan kredit atas nama OH NJEN LIENG  berdasarkan Formulir Permohonan Kredit (FPK) tanggal 04/06/2018 maka dengan ini diinformasikan bahwa Kami telah menyetujui permohonan kredit atas nama OH NJEN LIENG  dengan ketentuan sebagai berikut:</v>
      </c>
      <c r="B14" s="2201"/>
      <c r="C14" s="2201"/>
      <c r="D14" s="2201"/>
      <c r="E14" s="2201"/>
      <c r="F14" s="2201"/>
      <c r="G14" s="2201"/>
    </row>
    <row r="15" spans="1:7" x14ac:dyDescent="0.25">
      <c r="A15" s="2205" t="s">
        <v>586</v>
      </c>
      <c r="B15" s="2205"/>
      <c r="C15" s="2205"/>
      <c r="D15" s="2205"/>
      <c r="E15" s="2205"/>
      <c r="F15" s="2205"/>
      <c r="G15" s="2205"/>
    </row>
    <row r="16" spans="1:7" x14ac:dyDescent="0.25">
      <c r="A16"/>
      <c r="B16" s="614">
        <v>1</v>
      </c>
      <c r="C16" t="s">
        <v>587</v>
      </c>
      <c r="D16"/>
      <c r="E16" s="614"/>
      <c r="F16" s="610"/>
      <c r="G16"/>
    </row>
    <row r="17" spans="1:7" x14ac:dyDescent="0.25">
      <c r="A17"/>
      <c r="B17"/>
      <c r="C17" s="614" t="s">
        <v>588</v>
      </c>
      <c r="D17" t="s">
        <v>589</v>
      </c>
      <c r="E17" s="614" t="s">
        <v>7</v>
      </c>
      <c r="F17" s="2181" t="str">
        <f>MKK!A34</f>
        <v>PRK</v>
      </c>
      <c r="G17" s="2181"/>
    </row>
    <row r="18" spans="1:7" x14ac:dyDescent="0.25">
      <c r="A18"/>
      <c r="B18"/>
      <c r="C18" s="614" t="s">
        <v>604</v>
      </c>
      <c r="D18" t="s">
        <v>590</v>
      </c>
      <c r="E18" s="614" t="s">
        <v>7</v>
      </c>
      <c r="F18" s="2208">
        <f>MKK!G34*1000000</f>
        <v>1000000000</v>
      </c>
      <c r="G18" s="2208"/>
    </row>
    <row r="19" spans="1:7" x14ac:dyDescent="0.25">
      <c r="A19"/>
      <c r="B19"/>
      <c r="C19" s="614" t="s">
        <v>605</v>
      </c>
      <c r="D19" t="s">
        <v>591</v>
      </c>
      <c r="E19" s="614" t="s">
        <v>7</v>
      </c>
      <c r="F19" s="2181" t="str">
        <f>MKK!B34</f>
        <v>Modal Kerja</v>
      </c>
      <c r="G19" s="2181"/>
    </row>
    <row r="20" spans="1:7" x14ac:dyDescent="0.25">
      <c r="A20"/>
      <c r="B20"/>
      <c r="C20" s="614" t="s">
        <v>606</v>
      </c>
      <c r="D20" t="s">
        <v>592</v>
      </c>
      <c r="E20" s="614" t="s">
        <v>7</v>
      </c>
      <c r="F20" s="2207" t="e">
        <f>MKK!#REF!</f>
        <v>#REF!</v>
      </c>
      <c r="G20" s="2207"/>
    </row>
    <row r="21" spans="1:7" x14ac:dyDescent="0.25">
      <c r="A21"/>
      <c r="B21"/>
      <c r="C21" s="614" t="s">
        <v>607</v>
      </c>
      <c r="D21" t="s">
        <v>593</v>
      </c>
      <c r="E21" s="614" t="s">
        <v>7</v>
      </c>
      <c r="F21" s="2206">
        <f>IF(SUM(MKK!H34)&lt;&gt;0,MKK!H34,(MKK!J34-MKK!I34)/365)</f>
        <v>1</v>
      </c>
      <c r="G21" s="2206"/>
    </row>
    <row r="22" spans="1:7" x14ac:dyDescent="0.25">
      <c r="A22"/>
      <c r="B22"/>
      <c r="C22" s="614" t="s">
        <v>608</v>
      </c>
      <c r="D22" t="s">
        <v>594</v>
      </c>
      <c r="E22" s="614" t="s">
        <v>7</v>
      </c>
      <c r="F22" s="2207" t="e">
        <f>MKK!#REF!</f>
        <v>#REF!</v>
      </c>
      <c r="G22" s="2207"/>
    </row>
    <row r="23" spans="1:7" x14ac:dyDescent="0.25">
      <c r="A23"/>
      <c r="B23"/>
      <c r="C23" s="614" t="s">
        <v>609</v>
      </c>
      <c r="D23" t="s">
        <v>595</v>
      </c>
      <c r="E23" s="614" t="s">
        <v>7</v>
      </c>
      <c r="F23" s="2181"/>
      <c r="G23" s="2181"/>
    </row>
    <row r="24" spans="1:7" ht="5.0999999999999996" customHeight="1" x14ac:dyDescent="0.25">
      <c r="A24"/>
      <c r="B24"/>
      <c r="C24"/>
      <c r="D24"/>
      <c r="E24" s="614"/>
      <c r="F24" s="610"/>
      <c r="G24"/>
    </row>
    <row r="25" spans="1:7" x14ac:dyDescent="0.25">
      <c r="A25"/>
      <c r="B25" s="614">
        <v>2</v>
      </c>
      <c r="C25" t="s">
        <v>598</v>
      </c>
      <c r="D25"/>
      <c r="E25" s="614"/>
      <c r="F25" s="610"/>
      <c r="G25"/>
    </row>
    <row r="26" spans="1:7" x14ac:dyDescent="0.25">
      <c r="A26"/>
      <c r="B26"/>
      <c r="C26" s="614" t="s">
        <v>588</v>
      </c>
      <c r="D26" t="s">
        <v>589</v>
      </c>
      <c r="E26" s="614" t="s">
        <v>7</v>
      </c>
      <c r="F26" s="2181">
        <f>MKK!A35</f>
        <v>0</v>
      </c>
      <c r="G26" s="2181"/>
    </row>
    <row r="27" spans="1:7" x14ac:dyDescent="0.25">
      <c r="A27"/>
      <c r="B27"/>
      <c r="C27" s="614" t="s">
        <v>604</v>
      </c>
      <c r="D27" t="s">
        <v>590</v>
      </c>
      <c r="E27" s="614" t="s">
        <v>7</v>
      </c>
      <c r="F27" s="2208">
        <f>MKK!G35*1000000</f>
        <v>0</v>
      </c>
      <c r="G27" s="2208"/>
    </row>
    <row r="28" spans="1:7" x14ac:dyDescent="0.25">
      <c r="A28"/>
      <c r="B28"/>
      <c r="C28" s="614" t="s">
        <v>605</v>
      </c>
      <c r="D28" t="s">
        <v>591</v>
      </c>
      <c r="E28" s="614" t="s">
        <v>7</v>
      </c>
      <c r="F28" s="2181" t="str">
        <f>MKK!B35</f>
        <v/>
      </c>
      <c r="G28" s="2181"/>
    </row>
    <row r="29" spans="1:7" x14ac:dyDescent="0.25">
      <c r="A29"/>
      <c r="B29"/>
      <c r="C29" s="614" t="s">
        <v>606</v>
      </c>
      <c r="D29" t="s">
        <v>592</v>
      </c>
      <c r="E29" s="614" t="s">
        <v>7</v>
      </c>
      <c r="F29" s="2207" t="e">
        <f>MKK!#REF!</f>
        <v>#REF!</v>
      </c>
      <c r="G29" s="2207"/>
    </row>
    <row r="30" spans="1:7" x14ac:dyDescent="0.25">
      <c r="A30"/>
      <c r="B30"/>
      <c r="C30" s="614" t="s">
        <v>607</v>
      </c>
      <c r="D30" t="s">
        <v>593</v>
      </c>
      <c r="E30" s="614" t="s">
        <v>7</v>
      </c>
      <c r="F30" s="2206">
        <f>IF(SUM(MKK!H35)&lt;&gt;0,MKK!H35,(MKK!J35-MKK!I35)/365)</f>
        <v>0</v>
      </c>
      <c r="G30" s="2206"/>
    </row>
    <row r="31" spans="1:7" x14ac:dyDescent="0.25">
      <c r="A31"/>
      <c r="B31"/>
      <c r="C31" s="614" t="s">
        <v>608</v>
      </c>
      <c r="D31" t="s">
        <v>594</v>
      </c>
      <c r="E31" s="614" t="s">
        <v>7</v>
      </c>
      <c r="F31" s="2207" t="e">
        <f>MKK!#REF!</f>
        <v>#REF!</v>
      </c>
      <c r="G31" s="2207"/>
    </row>
    <row r="32" spans="1:7" x14ac:dyDescent="0.25">
      <c r="A32"/>
      <c r="B32"/>
      <c r="C32" s="614" t="s">
        <v>609</v>
      </c>
      <c r="D32" t="s">
        <v>595</v>
      </c>
      <c r="E32" s="614" t="s">
        <v>7</v>
      </c>
      <c r="F32" s="2181"/>
      <c r="G32" s="2181"/>
    </row>
    <row r="33" spans="1:7" ht="5.0999999999999996" customHeight="1" x14ac:dyDescent="0.25">
      <c r="A33"/>
      <c r="B33"/>
      <c r="C33"/>
      <c r="D33"/>
      <c r="E33" s="614"/>
      <c r="F33" s="610"/>
      <c r="G33"/>
    </row>
    <row r="34" spans="1:7" x14ac:dyDescent="0.25">
      <c r="A34"/>
      <c r="B34" s="614">
        <v>3</v>
      </c>
      <c r="C34" t="s">
        <v>599</v>
      </c>
      <c r="D34"/>
      <c r="E34" s="614"/>
      <c r="F34" s="610"/>
      <c r="G34"/>
    </row>
    <row r="35" spans="1:7" x14ac:dyDescent="0.25">
      <c r="A35"/>
      <c r="B35"/>
      <c r="C35" s="614" t="s">
        <v>588</v>
      </c>
      <c r="D35" t="s">
        <v>589</v>
      </c>
      <c r="E35" s="614" t="s">
        <v>7</v>
      </c>
      <c r="F35" s="2181">
        <f>MKK!A36</f>
        <v>0</v>
      </c>
      <c r="G35" s="2181"/>
    </row>
    <row r="36" spans="1:7" x14ac:dyDescent="0.25">
      <c r="A36"/>
      <c r="B36"/>
      <c r="C36" s="614" t="s">
        <v>604</v>
      </c>
      <c r="D36" t="s">
        <v>590</v>
      </c>
      <c r="E36" s="614" t="s">
        <v>7</v>
      </c>
      <c r="F36" s="2208">
        <f>MKK!G36*1000000</f>
        <v>0</v>
      </c>
      <c r="G36" s="2208"/>
    </row>
    <row r="37" spans="1:7" x14ac:dyDescent="0.25">
      <c r="A37"/>
      <c r="B37"/>
      <c r="C37" s="614" t="s">
        <v>605</v>
      </c>
      <c r="D37" t="s">
        <v>591</v>
      </c>
      <c r="E37" s="614" t="s">
        <v>7</v>
      </c>
      <c r="F37" s="2181" t="str">
        <f>MKK!B36</f>
        <v/>
      </c>
      <c r="G37" s="2181"/>
    </row>
    <row r="38" spans="1:7" x14ac:dyDescent="0.25">
      <c r="A38"/>
      <c r="B38"/>
      <c r="C38" s="614" t="s">
        <v>606</v>
      </c>
      <c r="D38" t="s">
        <v>592</v>
      </c>
      <c r="E38" s="614" t="s">
        <v>7</v>
      </c>
      <c r="F38" s="2207" t="e">
        <f>MKK!#REF!</f>
        <v>#REF!</v>
      </c>
      <c r="G38" s="2207"/>
    </row>
    <row r="39" spans="1:7" x14ac:dyDescent="0.25">
      <c r="A39"/>
      <c r="B39"/>
      <c r="C39" s="614" t="s">
        <v>607</v>
      </c>
      <c r="D39" t="s">
        <v>593</v>
      </c>
      <c r="E39" s="614" t="s">
        <v>7</v>
      </c>
      <c r="F39" s="2206">
        <f>IF(SUM(MKK!H36)&lt;&gt;0,MKK!H36,(MKK!J36-MKK!I36)/365)</f>
        <v>0</v>
      </c>
      <c r="G39" s="2206"/>
    </row>
    <row r="40" spans="1:7" x14ac:dyDescent="0.25">
      <c r="A40"/>
      <c r="B40"/>
      <c r="C40" s="614" t="s">
        <v>608</v>
      </c>
      <c r="D40" t="s">
        <v>594</v>
      </c>
      <c r="E40" s="614" t="s">
        <v>7</v>
      </c>
      <c r="F40" s="2207" t="e">
        <f>MKK!#REF!</f>
        <v>#REF!</v>
      </c>
      <c r="G40" s="2207"/>
    </row>
    <row r="41" spans="1:7" x14ac:dyDescent="0.25">
      <c r="A41"/>
      <c r="B41"/>
      <c r="C41" s="614" t="s">
        <v>609</v>
      </c>
      <c r="D41" t="s">
        <v>595</v>
      </c>
      <c r="E41" s="614" t="s">
        <v>7</v>
      </c>
      <c r="F41" s="2209"/>
      <c r="G41" s="2209"/>
    </row>
    <row r="42" spans="1:7" ht="5.0999999999999996" customHeight="1" x14ac:dyDescent="0.25">
      <c r="A42"/>
      <c r="B42"/>
      <c r="C42"/>
      <c r="D42"/>
      <c r="E42" s="614"/>
      <c r="F42" s="610"/>
      <c r="G42"/>
    </row>
    <row r="43" spans="1:7" x14ac:dyDescent="0.25">
      <c r="A43"/>
      <c r="B43" s="614">
        <v>4</v>
      </c>
      <c r="C43" t="s">
        <v>600</v>
      </c>
      <c r="D43"/>
      <c r="E43" s="614"/>
      <c r="F43" s="610"/>
      <c r="G43"/>
    </row>
    <row r="44" spans="1:7" x14ac:dyDescent="0.25">
      <c r="A44"/>
      <c r="B44"/>
      <c r="C44" s="614" t="s">
        <v>588</v>
      </c>
      <c r="D44" t="s">
        <v>589</v>
      </c>
      <c r="E44" s="614" t="s">
        <v>7</v>
      </c>
      <c r="F44" s="2181">
        <f>MKK!A37</f>
        <v>0</v>
      </c>
      <c r="G44" s="2181"/>
    </row>
    <row r="45" spans="1:7" x14ac:dyDescent="0.25">
      <c r="A45"/>
      <c r="B45"/>
      <c r="C45" s="614" t="s">
        <v>604</v>
      </c>
      <c r="D45" t="s">
        <v>590</v>
      </c>
      <c r="E45" s="614" t="s">
        <v>7</v>
      </c>
      <c r="F45" s="2208">
        <f>MKK!G37*1000000</f>
        <v>0</v>
      </c>
      <c r="G45" s="2208"/>
    </row>
    <row r="46" spans="1:7" x14ac:dyDescent="0.25">
      <c r="A46"/>
      <c r="B46"/>
      <c r="C46" s="614" t="s">
        <v>605</v>
      </c>
      <c r="D46" t="s">
        <v>591</v>
      </c>
      <c r="E46" s="614" t="s">
        <v>7</v>
      </c>
      <c r="F46" s="2181" t="str">
        <f>MKK!B37</f>
        <v/>
      </c>
      <c r="G46" s="2181"/>
    </row>
    <row r="47" spans="1:7" x14ac:dyDescent="0.25">
      <c r="A47"/>
      <c r="B47"/>
      <c r="C47" s="614" t="s">
        <v>606</v>
      </c>
      <c r="D47" t="s">
        <v>592</v>
      </c>
      <c r="E47" s="614" t="s">
        <v>7</v>
      </c>
      <c r="F47" s="2207" t="e">
        <f>MKK!#REF!</f>
        <v>#REF!</v>
      </c>
      <c r="G47" s="2207"/>
    </row>
    <row r="48" spans="1:7" x14ac:dyDescent="0.25">
      <c r="A48"/>
      <c r="B48"/>
      <c r="C48" s="614" t="s">
        <v>607</v>
      </c>
      <c r="D48" t="s">
        <v>593</v>
      </c>
      <c r="E48" s="614" t="s">
        <v>7</v>
      </c>
      <c r="F48" s="2206">
        <f>IF(SUM(MKK!H37)&lt;&gt;0,MKK!H37,(MKK!J37-MKK!I37)/365)</f>
        <v>0</v>
      </c>
      <c r="G48" s="2206"/>
    </row>
    <row r="49" spans="1:7" x14ac:dyDescent="0.25">
      <c r="A49"/>
      <c r="B49"/>
      <c r="C49" s="614" t="s">
        <v>608</v>
      </c>
      <c r="D49" t="s">
        <v>594</v>
      </c>
      <c r="E49" s="614" t="s">
        <v>7</v>
      </c>
      <c r="F49" s="2207" t="e">
        <f>MKK!#REF!</f>
        <v>#REF!</v>
      </c>
      <c r="G49" s="2207"/>
    </row>
    <row r="50" spans="1:7" x14ac:dyDescent="0.25">
      <c r="A50"/>
      <c r="B50"/>
      <c r="C50" s="614" t="s">
        <v>609</v>
      </c>
      <c r="D50" t="s">
        <v>595</v>
      </c>
      <c r="E50" s="614" t="s">
        <v>7</v>
      </c>
      <c r="F50" s="2181"/>
      <c r="G50" s="2181"/>
    </row>
    <row r="51" spans="1:7" ht="5.0999999999999996" customHeight="1" x14ac:dyDescent="0.25">
      <c r="A51"/>
      <c r="B51"/>
      <c r="C51"/>
      <c r="D51"/>
      <c r="E51" s="614"/>
      <c r="F51" s="610"/>
      <c r="G51"/>
    </row>
    <row r="52" spans="1:7" x14ac:dyDescent="0.25">
      <c r="A52"/>
      <c r="B52" s="614">
        <v>5</v>
      </c>
      <c r="C52" t="s">
        <v>601</v>
      </c>
      <c r="D52"/>
      <c r="E52" s="614"/>
      <c r="F52" s="610"/>
      <c r="G52"/>
    </row>
    <row r="53" spans="1:7" x14ac:dyDescent="0.25">
      <c r="A53"/>
      <c r="B53"/>
      <c r="C53" s="614" t="s">
        <v>588</v>
      </c>
      <c r="D53" t="s">
        <v>589</v>
      </c>
      <c r="E53" s="614" t="s">
        <v>7</v>
      </c>
      <c r="F53" s="2181">
        <f>MKK!A38</f>
        <v>0</v>
      </c>
      <c r="G53" s="2181"/>
    </row>
    <row r="54" spans="1:7" x14ac:dyDescent="0.25">
      <c r="A54"/>
      <c r="B54"/>
      <c r="C54" s="614" t="s">
        <v>604</v>
      </c>
      <c r="D54" t="s">
        <v>590</v>
      </c>
      <c r="E54" s="614" t="s">
        <v>7</v>
      </c>
      <c r="F54" s="2208">
        <f>MKK!G38*1000000</f>
        <v>0</v>
      </c>
      <c r="G54" s="2208"/>
    </row>
    <row r="55" spans="1:7" x14ac:dyDescent="0.25">
      <c r="A55"/>
      <c r="B55"/>
      <c r="C55" s="614" t="s">
        <v>605</v>
      </c>
      <c r="D55" t="s">
        <v>591</v>
      </c>
      <c r="E55" s="614" t="s">
        <v>7</v>
      </c>
      <c r="F55" s="2181" t="str">
        <f>MKK!B38</f>
        <v/>
      </c>
      <c r="G55" s="2181"/>
    </row>
    <row r="56" spans="1:7" x14ac:dyDescent="0.25">
      <c r="A56"/>
      <c r="B56"/>
      <c r="C56" s="614" t="s">
        <v>606</v>
      </c>
      <c r="D56" t="s">
        <v>592</v>
      </c>
      <c r="E56" s="614" t="s">
        <v>7</v>
      </c>
      <c r="F56" s="2207" t="e">
        <f>MKK!#REF!</f>
        <v>#REF!</v>
      </c>
      <c r="G56" s="2207"/>
    </row>
    <row r="57" spans="1:7" x14ac:dyDescent="0.25">
      <c r="A57"/>
      <c r="B57"/>
      <c r="C57" s="614" t="s">
        <v>607</v>
      </c>
      <c r="D57" t="s">
        <v>593</v>
      </c>
      <c r="E57" s="614" t="s">
        <v>7</v>
      </c>
      <c r="F57" s="2206">
        <f>IF(SUM(MKK!H38)&lt;&gt;0,MKK!H38,(MKK!J38-MKK!I38)/365)</f>
        <v>0</v>
      </c>
      <c r="G57" s="2206"/>
    </row>
    <row r="58" spans="1:7" x14ac:dyDescent="0.25">
      <c r="A58"/>
      <c r="B58"/>
      <c r="C58" s="614" t="s">
        <v>608</v>
      </c>
      <c r="D58" t="s">
        <v>594</v>
      </c>
      <c r="E58" s="614" t="s">
        <v>7</v>
      </c>
      <c r="F58" s="2207" t="e">
        <f>MKK!#REF!</f>
        <v>#REF!</v>
      </c>
      <c r="G58" s="2207"/>
    </row>
    <row r="59" spans="1:7" x14ac:dyDescent="0.25">
      <c r="A59"/>
      <c r="B59"/>
      <c r="C59" s="614" t="s">
        <v>609</v>
      </c>
      <c r="D59" t="s">
        <v>595</v>
      </c>
      <c r="E59" s="614" t="s">
        <v>7</v>
      </c>
      <c r="F59" s="2181"/>
      <c r="G59" s="2181"/>
    </row>
    <row r="60" spans="1:7" ht="5.0999999999999996" customHeight="1" x14ac:dyDescent="0.25">
      <c r="A60"/>
      <c r="B60"/>
      <c r="C60"/>
      <c r="D60"/>
      <c r="E60" s="614"/>
      <c r="F60" s="610"/>
      <c r="G60"/>
    </row>
    <row r="61" spans="1:7" x14ac:dyDescent="0.25">
      <c r="A61"/>
      <c r="B61" s="614">
        <v>6</v>
      </c>
      <c r="C61" t="s">
        <v>602</v>
      </c>
      <c r="D61"/>
      <c r="E61" s="614"/>
      <c r="F61" s="610"/>
      <c r="G61"/>
    </row>
    <row r="62" spans="1:7" x14ac:dyDescent="0.25">
      <c r="A62"/>
      <c r="B62"/>
      <c r="C62" s="614" t="s">
        <v>588</v>
      </c>
      <c r="D62" t="s">
        <v>589</v>
      </c>
      <c r="E62" s="614" t="s">
        <v>7</v>
      </c>
      <c r="F62" s="2181">
        <f>MKK!A39</f>
        <v>0</v>
      </c>
      <c r="G62" s="2181"/>
    </row>
    <row r="63" spans="1:7" x14ac:dyDescent="0.25">
      <c r="A63"/>
      <c r="B63"/>
      <c r="C63" s="614" t="s">
        <v>604</v>
      </c>
      <c r="D63" t="s">
        <v>590</v>
      </c>
      <c r="E63" s="614" t="s">
        <v>7</v>
      </c>
      <c r="F63" s="2208">
        <f>MKK!G39*1000000</f>
        <v>0</v>
      </c>
      <c r="G63" s="2208"/>
    </row>
    <row r="64" spans="1:7" x14ac:dyDescent="0.25">
      <c r="A64"/>
      <c r="B64"/>
      <c r="C64" s="614" t="s">
        <v>605</v>
      </c>
      <c r="D64" t="s">
        <v>591</v>
      </c>
      <c r="E64" s="614" t="s">
        <v>7</v>
      </c>
      <c r="F64" s="2181" t="str">
        <f>MKK!B39</f>
        <v/>
      </c>
      <c r="G64" s="2181"/>
    </row>
    <row r="65" spans="1:7" x14ac:dyDescent="0.25">
      <c r="A65"/>
      <c r="B65"/>
      <c r="C65" s="614" t="s">
        <v>606</v>
      </c>
      <c r="D65" t="s">
        <v>592</v>
      </c>
      <c r="E65" s="614" t="s">
        <v>7</v>
      </c>
      <c r="F65" s="2207" t="e">
        <f>MKK!#REF!</f>
        <v>#REF!</v>
      </c>
      <c r="G65" s="2207"/>
    </row>
    <row r="66" spans="1:7" x14ac:dyDescent="0.25">
      <c r="A66"/>
      <c r="B66"/>
      <c r="C66" s="614" t="s">
        <v>607</v>
      </c>
      <c r="D66" t="s">
        <v>593</v>
      </c>
      <c r="E66" s="614" t="s">
        <v>7</v>
      </c>
      <c r="F66" s="2206">
        <f>IF(SUM(MKK!H39)&lt;&gt;0,MKK!H39,(MKK!J39-MKK!I39)/365)</f>
        <v>0</v>
      </c>
      <c r="G66" s="2206"/>
    </row>
    <row r="67" spans="1:7" x14ac:dyDescent="0.25">
      <c r="A67"/>
      <c r="B67"/>
      <c r="C67" s="614" t="s">
        <v>608</v>
      </c>
      <c r="D67" t="s">
        <v>594</v>
      </c>
      <c r="E67" s="614" t="s">
        <v>7</v>
      </c>
      <c r="F67" s="2207" t="e">
        <f>MKK!#REF!</f>
        <v>#REF!</v>
      </c>
      <c r="G67" s="2207"/>
    </row>
    <row r="68" spans="1:7" x14ac:dyDescent="0.25">
      <c r="A68"/>
      <c r="B68"/>
      <c r="C68" s="614" t="s">
        <v>609</v>
      </c>
      <c r="D68" t="s">
        <v>595</v>
      </c>
      <c r="E68" s="614" t="s">
        <v>7</v>
      </c>
      <c r="F68" s="2181"/>
      <c r="G68" s="2181"/>
    </row>
    <row r="69" spans="1:7" ht="5.0999999999999996" customHeight="1" x14ac:dyDescent="0.25">
      <c r="A69"/>
      <c r="B69"/>
      <c r="C69"/>
      <c r="D69"/>
      <c r="E69" s="614"/>
      <c r="F69" s="610"/>
      <c r="G69"/>
    </row>
    <row r="70" spans="1:7" x14ac:dyDescent="0.25">
      <c r="A70"/>
      <c r="B70" s="614">
        <v>7</v>
      </c>
      <c r="C70" t="s">
        <v>603</v>
      </c>
      <c r="D70"/>
      <c r="E70" s="614"/>
      <c r="F70" s="610"/>
      <c r="G70"/>
    </row>
    <row r="71" spans="1:7" x14ac:dyDescent="0.25">
      <c r="A71"/>
      <c r="B71"/>
      <c r="C71" s="614" t="s">
        <v>588</v>
      </c>
      <c r="D71" t="s">
        <v>589</v>
      </c>
      <c r="E71" s="614" t="s">
        <v>7</v>
      </c>
      <c r="F71" s="2181">
        <f>MKK!A40</f>
        <v>0</v>
      </c>
      <c r="G71" s="2181"/>
    </row>
    <row r="72" spans="1:7" x14ac:dyDescent="0.25">
      <c r="A72"/>
      <c r="B72"/>
      <c r="C72" s="614" t="s">
        <v>604</v>
      </c>
      <c r="D72" t="s">
        <v>590</v>
      </c>
      <c r="E72" s="614" t="s">
        <v>7</v>
      </c>
      <c r="F72" s="2208">
        <f>MKK!G40*1000000</f>
        <v>0</v>
      </c>
      <c r="G72" s="2208"/>
    </row>
    <row r="73" spans="1:7" x14ac:dyDescent="0.25">
      <c r="A73"/>
      <c r="B73"/>
      <c r="C73" s="614" t="s">
        <v>605</v>
      </c>
      <c r="D73" t="s">
        <v>591</v>
      </c>
      <c r="E73" s="614" t="s">
        <v>7</v>
      </c>
      <c r="F73" s="2181" t="str">
        <f>MKK!B40</f>
        <v/>
      </c>
      <c r="G73" s="2181"/>
    </row>
    <row r="74" spans="1:7" x14ac:dyDescent="0.25">
      <c r="A74"/>
      <c r="B74"/>
      <c r="C74" s="614" t="s">
        <v>606</v>
      </c>
      <c r="D74" t="s">
        <v>592</v>
      </c>
      <c r="E74" s="614" t="s">
        <v>7</v>
      </c>
      <c r="F74" s="2207" t="e">
        <f>MKK!#REF!</f>
        <v>#REF!</v>
      </c>
      <c r="G74" s="2207"/>
    </row>
    <row r="75" spans="1:7" x14ac:dyDescent="0.25">
      <c r="A75"/>
      <c r="B75"/>
      <c r="C75" s="614" t="s">
        <v>607</v>
      </c>
      <c r="D75" t="s">
        <v>593</v>
      </c>
      <c r="E75" s="614" t="s">
        <v>7</v>
      </c>
      <c r="F75" s="2206">
        <f>IF(SUM(MKK!H40)&lt;&gt;0,MKK!H40,(MKK!J40-MKK!I40)/365)</f>
        <v>0</v>
      </c>
      <c r="G75" s="2206"/>
    </row>
    <row r="76" spans="1:7" x14ac:dyDescent="0.25">
      <c r="A76"/>
      <c r="B76"/>
      <c r="C76" s="614" t="s">
        <v>608</v>
      </c>
      <c r="D76" t="s">
        <v>594</v>
      </c>
      <c r="E76" s="614" t="s">
        <v>7</v>
      </c>
      <c r="F76" s="2207" t="e">
        <f>MKK!#REF!</f>
        <v>#REF!</v>
      </c>
      <c r="G76" s="2207"/>
    </row>
    <row r="77" spans="1:7" x14ac:dyDescent="0.25">
      <c r="A77"/>
      <c r="B77"/>
      <c r="C77" s="614" t="s">
        <v>609</v>
      </c>
      <c r="D77" t="s">
        <v>595</v>
      </c>
      <c r="E77" s="614" t="s">
        <v>7</v>
      </c>
      <c r="F77" s="2181"/>
      <c r="G77" s="2181"/>
    </row>
    <row r="78" spans="1:7" x14ac:dyDescent="0.25">
      <c r="A78"/>
      <c r="B78"/>
      <c r="C78" s="614"/>
      <c r="D78"/>
      <c r="E78" s="614"/>
      <c r="F78" s="610"/>
      <c r="G78" s="610"/>
    </row>
    <row r="79" spans="1:7" x14ac:dyDescent="0.25">
      <c r="A79" s="2205" t="s">
        <v>597</v>
      </c>
      <c r="B79" s="2205"/>
      <c r="C79" s="2205"/>
      <c r="D79" s="2205"/>
      <c r="E79" s="2205"/>
      <c r="F79" s="2205"/>
      <c r="G79" s="2205"/>
    </row>
    <row r="80" spans="1:7" x14ac:dyDescent="0.25">
      <c r="A80"/>
      <c r="B80" s="614">
        <v>1</v>
      </c>
      <c r="C80" t="s">
        <v>540</v>
      </c>
      <c r="D80"/>
      <c r="E80" s="614"/>
      <c r="F80" s="610"/>
      <c r="G80"/>
    </row>
    <row r="81" spans="1:7" x14ac:dyDescent="0.25">
      <c r="A81"/>
      <c r="B81"/>
      <c r="C81" s="614" t="s">
        <v>588</v>
      </c>
      <c r="D81" t="s">
        <v>615</v>
      </c>
      <c r="E81" s="614" t="s">
        <v>7</v>
      </c>
      <c r="F81" s="2197" t="str">
        <f>MKK!A96</f>
        <v>Tanah dan Bangunan</v>
      </c>
      <c r="G81" s="2197"/>
    </row>
    <row r="82" spans="1:7" x14ac:dyDescent="0.25">
      <c r="A82"/>
      <c r="B82"/>
      <c r="C82" s="614" t="s">
        <v>604</v>
      </c>
      <c r="D82" t="s">
        <v>9</v>
      </c>
      <c r="E82" s="614" t="s">
        <v>7</v>
      </c>
      <c r="F82" s="2180" t="str">
        <f>MKK!E96</f>
        <v>SHM 2895</v>
      </c>
      <c r="G82" s="2180"/>
    </row>
    <row r="83" spans="1:7" x14ac:dyDescent="0.25">
      <c r="A83"/>
      <c r="B83"/>
      <c r="C83" s="614" t="s">
        <v>605</v>
      </c>
      <c r="D83" t="s">
        <v>616</v>
      </c>
      <c r="E83" s="614" t="s">
        <v>7</v>
      </c>
      <c r="F83" s="2197" t="str">
        <f>MKK!G96</f>
        <v>Yuanita</v>
      </c>
      <c r="G83" s="2197"/>
    </row>
    <row r="84" spans="1:7" x14ac:dyDescent="0.25">
      <c r="A84"/>
      <c r="B84"/>
      <c r="C84" s="614" t="s">
        <v>606</v>
      </c>
      <c r="D84" t="s">
        <v>539</v>
      </c>
      <c r="E84" s="614" t="s">
        <v>7</v>
      </c>
      <c r="F84" s="2197" t="str">
        <f>MKK!C96</f>
        <v xml:space="preserve">Jalan A. Yani km 7 Komplek Bunyamin Residence Blok A No. 16, RT 13, Kel. Kertak Hanyar II, Kec. Kertak Hanyar, Kabupaten Banjar- Propinsi Kalimantan Selatan </v>
      </c>
      <c r="G84" s="2197"/>
    </row>
    <row r="85" spans="1:7" ht="5.0999999999999996" customHeight="1" x14ac:dyDescent="0.25">
      <c r="A85"/>
      <c r="B85"/>
      <c r="C85" s="614"/>
      <c r="D85"/>
      <c r="E85" s="614"/>
      <c r="F85" s="610"/>
      <c r="G85"/>
    </row>
    <row r="86" spans="1:7" x14ac:dyDescent="0.25">
      <c r="A86"/>
      <c r="B86" s="614">
        <v>2</v>
      </c>
      <c r="C86" t="s">
        <v>541</v>
      </c>
      <c r="D86"/>
      <c r="E86" s="614"/>
      <c r="F86" s="610"/>
      <c r="G86"/>
    </row>
    <row r="87" spans="1:7" x14ac:dyDescent="0.25">
      <c r="A87"/>
      <c r="B87"/>
      <c r="C87" s="614" t="s">
        <v>588</v>
      </c>
      <c r="D87" t="s">
        <v>615</v>
      </c>
      <c r="E87" s="614" t="s">
        <v>7</v>
      </c>
      <c r="F87" s="2197">
        <f>MKK!A97</f>
        <v>0</v>
      </c>
      <c r="G87" s="2197"/>
    </row>
    <row r="88" spans="1:7" x14ac:dyDescent="0.25">
      <c r="A88"/>
      <c r="B88"/>
      <c r="C88" s="614" t="s">
        <v>604</v>
      </c>
      <c r="D88" t="s">
        <v>9</v>
      </c>
      <c r="E88" s="614" t="s">
        <v>7</v>
      </c>
      <c r="F88" s="2180">
        <f>MKK!E97</f>
        <v>0</v>
      </c>
      <c r="G88" s="2180"/>
    </row>
    <row r="89" spans="1:7" x14ac:dyDescent="0.25">
      <c r="A89"/>
      <c r="B89"/>
      <c r="C89" s="614" t="s">
        <v>605</v>
      </c>
      <c r="D89" t="s">
        <v>616</v>
      </c>
      <c r="E89" s="614" t="s">
        <v>7</v>
      </c>
      <c r="F89" s="2197">
        <f>MKK!G97</f>
        <v>0</v>
      </c>
      <c r="G89" s="2197"/>
    </row>
    <row r="90" spans="1:7" x14ac:dyDescent="0.25">
      <c r="A90"/>
      <c r="B90"/>
      <c r="C90" s="614" t="s">
        <v>606</v>
      </c>
      <c r="D90" t="s">
        <v>539</v>
      </c>
      <c r="E90" s="614" t="s">
        <v>7</v>
      </c>
      <c r="F90" s="2197">
        <f>MKK!C97</f>
        <v>0</v>
      </c>
      <c r="G90" s="2197"/>
    </row>
    <row r="91" spans="1:7" ht="5.0999999999999996" customHeight="1" x14ac:dyDescent="0.25">
      <c r="A91"/>
      <c r="B91"/>
      <c r="C91"/>
      <c r="D91"/>
      <c r="E91" s="614"/>
      <c r="F91" s="610"/>
      <c r="G91"/>
    </row>
    <row r="92" spans="1:7" x14ac:dyDescent="0.25">
      <c r="A92"/>
      <c r="B92" s="614">
        <v>3</v>
      </c>
      <c r="C92" t="s">
        <v>617</v>
      </c>
      <c r="D92"/>
      <c r="E92" s="614"/>
      <c r="F92" s="610"/>
      <c r="G92"/>
    </row>
    <row r="93" spans="1:7" x14ac:dyDescent="0.25">
      <c r="A93"/>
      <c r="B93"/>
      <c r="C93" s="614" t="s">
        <v>588</v>
      </c>
      <c r="D93" t="s">
        <v>615</v>
      </c>
      <c r="E93" s="614" t="s">
        <v>7</v>
      </c>
      <c r="F93" s="2197">
        <f>MKK!A98</f>
        <v>0</v>
      </c>
      <c r="G93" s="2197"/>
    </row>
    <row r="94" spans="1:7" x14ac:dyDescent="0.25">
      <c r="A94"/>
      <c r="B94"/>
      <c r="C94" s="614" t="s">
        <v>604</v>
      </c>
      <c r="D94" t="s">
        <v>9</v>
      </c>
      <c r="E94" s="614" t="s">
        <v>7</v>
      </c>
      <c r="F94" s="2180">
        <f>MKK!E98</f>
        <v>0</v>
      </c>
      <c r="G94" s="2180"/>
    </row>
    <row r="95" spans="1:7" x14ac:dyDescent="0.25">
      <c r="A95"/>
      <c r="B95"/>
      <c r="C95" s="614" t="s">
        <v>605</v>
      </c>
      <c r="D95" t="s">
        <v>616</v>
      </c>
      <c r="E95" s="614" t="s">
        <v>7</v>
      </c>
      <c r="F95" s="2197">
        <f>MKK!G98</f>
        <v>0</v>
      </c>
      <c r="G95" s="2197"/>
    </row>
    <row r="96" spans="1:7" x14ac:dyDescent="0.25">
      <c r="A96"/>
      <c r="B96"/>
      <c r="C96" s="614" t="s">
        <v>606</v>
      </c>
      <c r="D96" t="s">
        <v>539</v>
      </c>
      <c r="E96" s="614" t="s">
        <v>7</v>
      </c>
      <c r="F96" s="2197">
        <f>MKK!C98</f>
        <v>0</v>
      </c>
      <c r="G96" s="2197"/>
    </row>
    <row r="97" spans="1:7" ht="5.0999999999999996" customHeight="1" x14ac:dyDescent="0.25">
      <c r="A97"/>
      <c r="B97"/>
      <c r="C97"/>
      <c r="D97"/>
      <c r="E97" s="614"/>
      <c r="F97" s="610"/>
      <c r="G97"/>
    </row>
    <row r="98" spans="1:7" x14ac:dyDescent="0.25">
      <c r="A98"/>
      <c r="B98" s="614">
        <v>4</v>
      </c>
      <c r="C98" t="s">
        <v>542</v>
      </c>
      <c r="D98"/>
      <c r="E98" s="614"/>
      <c r="F98" s="610"/>
      <c r="G98"/>
    </row>
    <row r="99" spans="1:7" x14ac:dyDescent="0.25">
      <c r="A99"/>
      <c r="B99"/>
      <c r="C99" s="614" t="s">
        <v>588</v>
      </c>
      <c r="D99" t="s">
        <v>615</v>
      </c>
      <c r="E99" s="614" t="s">
        <v>7</v>
      </c>
      <c r="F99" s="2197">
        <f>MKK!A99</f>
        <v>0</v>
      </c>
      <c r="G99" s="2197"/>
    </row>
    <row r="100" spans="1:7" x14ac:dyDescent="0.25">
      <c r="A100"/>
      <c r="B100"/>
      <c r="C100" s="614" t="s">
        <v>604</v>
      </c>
      <c r="D100" t="s">
        <v>9</v>
      </c>
      <c r="E100" s="614" t="s">
        <v>7</v>
      </c>
      <c r="F100" s="2180">
        <f>MKK!E99</f>
        <v>0</v>
      </c>
      <c r="G100" s="2180"/>
    </row>
    <row r="101" spans="1:7" x14ac:dyDescent="0.25">
      <c r="A101"/>
      <c r="B101"/>
      <c r="C101" s="614" t="s">
        <v>605</v>
      </c>
      <c r="D101" t="s">
        <v>616</v>
      </c>
      <c r="E101" s="614" t="s">
        <v>7</v>
      </c>
      <c r="F101" s="2197">
        <f>MKK!G99</f>
        <v>0</v>
      </c>
      <c r="G101" s="2197"/>
    </row>
    <row r="102" spans="1:7" x14ac:dyDescent="0.25">
      <c r="A102"/>
      <c r="B102"/>
      <c r="C102" s="614" t="s">
        <v>606</v>
      </c>
      <c r="D102" t="s">
        <v>539</v>
      </c>
      <c r="E102" s="614" t="s">
        <v>7</v>
      </c>
      <c r="F102" s="2197">
        <f>MKK!C99</f>
        <v>0</v>
      </c>
      <c r="G102" s="2197"/>
    </row>
    <row r="103" spans="1:7" ht="5.0999999999999996" customHeight="1" x14ac:dyDescent="0.25">
      <c r="A103"/>
      <c r="B103"/>
      <c r="C103"/>
      <c r="D103"/>
      <c r="E103" s="614"/>
      <c r="F103" s="610"/>
      <c r="G103"/>
    </row>
    <row r="104" spans="1:7" x14ac:dyDescent="0.25">
      <c r="A104"/>
      <c r="B104" s="614">
        <v>5</v>
      </c>
      <c r="C104" t="s">
        <v>618</v>
      </c>
      <c r="D104"/>
      <c r="E104" s="614"/>
      <c r="F104" s="610"/>
      <c r="G104"/>
    </row>
    <row r="105" spans="1:7" x14ac:dyDescent="0.25">
      <c r="A105"/>
      <c r="B105"/>
      <c r="C105" s="614" t="s">
        <v>588</v>
      </c>
      <c r="D105" t="s">
        <v>615</v>
      </c>
      <c r="E105" s="614" t="s">
        <v>7</v>
      </c>
      <c r="F105" s="2197">
        <f>MKK!A100</f>
        <v>0</v>
      </c>
      <c r="G105" s="2197"/>
    </row>
    <row r="106" spans="1:7" x14ac:dyDescent="0.25">
      <c r="A106"/>
      <c r="B106"/>
      <c r="C106" s="614" t="s">
        <v>604</v>
      </c>
      <c r="D106" t="s">
        <v>9</v>
      </c>
      <c r="E106" s="614" t="s">
        <v>7</v>
      </c>
      <c r="F106" s="2180">
        <f>MKK!E100</f>
        <v>0</v>
      </c>
      <c r="G106" s="2180"/>
    </row>
    <row r="107" spans="1:7" x14ac:dyDescent="0.25">
      <c r="A107"/>
      <c r="B107"/>
      <c r="C107" s="614" t="s">
        <v>605</v>
      </c>
      <c r="D107" t="s">
        <v>616</v>
      </c>
      <c r="E107" s="614" t="s">
        <v>7</v>
      </c>
      <c r="F107" s="2197">
        <f>MKK!G100</f>
        <v>0</v>
      </c>
      <c r="G107" s="2197"/>
    </row>
    <row r="108" spans="1:7" x14ac:dyDescent="0.25">
      <c r="A108"/>
      <c r="B108"/>
      <c r="C108" s="614" t="s">
        <v>606</v>
      </c>
      <c r="D108" t="s">
        <v>539</v>
      </c>
      <c r="E108" s="614" t="s">
        <v>7</v>
      </c>
      <c r="F108" s="2197">
        <f>MKK!C100</f>
        <v>0</v>
      </c>
      <c r="G108" s="2197"/>
    </row>
    <row r="109" spans="1:7" ht="5.0999999999999996" customHeight="1" x14ac:dyDescent="0.25">
      <c r="A109"/>
      <c r="B109"/>
      <c r="C109"/>
      <c r="D109"/>
      <c r="E109" s="614"/>
      <c r="F109" s="610"/>
      <c r="G109"/>
    </row>
    <row r="110" spans="1:7" x14ac:dyDescent="0.25">
      <c r="A110"/>
      <c r="B110" s="614">
        <v>6</v>
      </c>
      <c r="C110" t="s">
        <v>619</v>
      </c>
      <c r="D110"/>
      <c r="E110" s="614"/>
      <c r="F110" s="610"/>
      <c r="G110"/>
    </row>
    <row r="111" spans="1:7" x14ac:dyDescent="0.25">
      <c r="A111"/>
      <c r="B111"/>
      <c r="C111" s="614" t="s">
        <v>588</v>
      </c>
      <c r="D111" t="s">
        <v>615</v>
      </c>
      <c r="E111" s="614" t="s">
        <v>7</v>
      </c>
      <c r="F111" s="2197">
        <f>MKK!A101</f>
        <v>0</v>
      </c>
      <c r="G111" s="2197"/>
    </row>
    <row r="112" spans="1:7" x14ac:dyDescent="0.25">
      <c r="A112"/>
      <c r="B112"/>
      <c r="C112" s="614" t="s">
        <v>604</v>
      </c>
      <c r="D112" t="s">
        <v>9</v>
      </c>
      <c r="E112" s="614" t="s">
        <v>7</v>
      </c>
      <c r="F112" s="2180">
        <f>MKK!E101</f>
        <v>0</v>
      </c>
      <c r="G112" s="2180"/>
    </row>
    <row r="113" spans="1:7" x14ac:dyDescent="0.25">
      <c r="A113"/>
      <c r="B113"/>
      <c r="C113" s="614" t="s">
        <v>605</v>
      </c>
      <c r="D113" t="s">
        <v>616</v>
      </c>
      <c r="E113" s="614" t="s">
        <v>7</v>
      </c>
      <c r="F113" s="2197">
        <f>MKK!G101</f>
        <v>0</v>
      </c>
      <c r="G113" s="2197"/>
    </row>
    <row r="114" spans="1:7" x14ac:dyDescent="0.25">
      <c r="A114"/>
      <c r="B114"/>
      <c r="C114" s="614" t="s">
        <v>606</v>
      </c>
      <c r="D114" t="s">
        <v>539</v>
      </c>
      <c r="E114" s="614" t="s">
        <v>7</v>
      </c>
      <c r="F114" s="2197">
        <f>MKK!C101</f>
        <v>0</v>
      </c>
      <c r="G114" s="2197"/>
    </row>
    <row r="115" spans="1:7" ht="5.0999999999999996" customHeight="1" x14ac:dyDescent="0.25">
      <c r="A115"/>
      <c r="B115"/>
      <c r="C115"/>
      <c r="D115"/>
      <c r="E115" s="614"/>
      <c r="F115" s="610"/>
      <c r="G115"/>
    </row>
    <row r="116" spans="1:7" x14ac:dyDescent="0.25">
      <c r="A116"/>
      <c r="B116" s="614">
        <v>7</v>
      </c>
      <c r="C116" t="s">
        <v>620</v>
      </c>
      <c r="D116"/>
      <c r="E116" s="614"/>
      <c r="F116" s="610"/>
      <c r="G116"/>
    </row>
    <row r="117" spans="1:7" x14ac:dyDescent="0.25">
      <c r="A117"/>
      <c r="B117"/>
      <c r="C117" s="614" t="s">
        <v>588</v>
      </c>
      <c r="D117" t="s">
        <v>615</v>
      </c>
      <c r="E117" s="614" t="s">
        <v>7</v>
      </c>
      <c r="F117" s="2197">
        <f>MKK!A102</f>
        <v>0</v>
      </c>
      <c r="G117" s="2197"/>
    </row>
    <row r="118" spans="1:7" x14ac:dyDescent="0.25">
      <c r="A118"/>
      <c r="B118"/>
      <c r="C118" s="614" t="s">
        <v>604</v>
      </c>
      <c r="D118" t="s">
        <v>9</v>
      </c>
      <c r="E118" s="614" t="s">
        <v>7</v>
      </c>
      <c r="F118" s="2180">
        <f>MKK!E102</f>
        <v>0</v>
      </c>
      <c r="G118" s="2180"/>
    </row>
    <row r="119" spans="1:7" x14ac:dyDescent="0.25">
      <c r="A119"/>
      <c r="B119"/>
      <c r="C119" s="614" t="s">
        <v>605</v>
      </c>
      <c r="D119" t="s">
        <v>616</v>
      </c>
      <c r="E119" s="614" t="s">
        <v>7</v>
      </c>
      <c r="F119" s="2197">
        <f>MKK!G102</f>
        <v>0</v>
      </c>
      <c r="G119" s="2197"/>
    </row>
    <row r="120" spans="1:7" x14ac:dyDescent="0.25">
      <c r="A120"/>
      <c r="B120"/>
      <c r="C120" s="614" t="s">
        <v>606</v>
      </c>
      <c r="D120" t="s">
        <v>539</v>
      </c>
      <c r="E120" s="614" t="s">
        <v>7</v>
      </c>
      <c r="F120" s="2197">
        <f>MKK!C102</f>
        <v>0</v>
      </c>
      <c r="G120" s="2197"/>
    </row>
    <row r="121" spans="1:7" ht="5.0999999999999996" customHeight="1" x14ac:dyDescent="0.25">
      <c r="A121"/>
      <c r="B121"/>
      <c r="C121"/>
      <c r="D121"/>
      <c r="E121" s="614"/>
      <c r="F121" s="610"/>
      <c r="G121"/>
    </row>
    <row r="122" spans="1:7" x14ac:dyDescent="0.25">
      <c r="A122"/>
      <c r="B122" s="614">
        <v>8</v>
      </c>
      <c r="C122" t="s">
        <v>621</v>
      </c>
      <c r="D122"/>
      <c r="E122" s="614"/>
      <c r="F122" s="610"/>
      <c r="G122"/>
    </row>
    <row r="123" spans="1:7" x14ac:dyDescent="0.25">
      <c r="A123"/>
      <c r="B123"/>
      <c r="C123" s="614" t="s">
        <v>588</v>
      </c>
      <c r="D123" t="s">
        <v>615</v>
      </c>
      <c r="E123" s="614" t="s">
        <v>7</v>
      </c>
      <c r="F123" s="2197">
        <f>MKK!A103</f>
        <v>0</v>
      </c>
      <c r="G123" s="2197"/>
    </row>
    <row r="124" spans="1:7" x14ac:dyDescent="0.25">
      <c r="A124"/>
      <c r="B124"/>
      <c r="C124" s="614" t="s">
        <v>604</v>
      </c>
      <c r="D124" t="s">
        <v>9</v>
      </c>
      <c r="E124" s="614" t="s">
        <v>7</v>
      </c>
      <c r="F124" s="2180">
        <f>MKK!E103</f>
        <v>0</v>
      </c>
      <c r="G124" s="2180"/>
    </row>
    <row r="125" spans="1:7" x14ac:dyDescent="0.25">
      <c r="A125"/>
      <c r="B125"/>
      <c r="C125" s="614" t="s">
        <v>605</v>
      </c>
      <c r="D125" t="s">
        <v>616</v>
      </c>
      <c r="E125" s="614" t="s">
        <v>7</v>
      </c>
      <c r="F125" s="2197">
        <f>MKK!G103</f>
        <v>0</v>
      </c>
      <c r="G125" s="2197"/>
    </row>
    <row r="126" spans="1:7" x14ac:dyDescent="0.25">
      <c r="A126"/>
      <c r="B126"/>
      <c r="C126" s="614" t="s">
        <v>606</v>
      </c>
      <c r="D126" t="s">
        <v>539</v>
      </c>
      <c r="E126" s="614" t="s">
        <v>7</v>
      </c>
      <c r="F126" s="2197">
        <f>MKK!C103</f>
        <v>0</v>
      </c>
      <c r="G126" s="2197"/>
    </row>
    <row r="127" spans="1:7" x14ac:dyDescent="0.25">
      <c r="A127"/>
      <c r="B127"/>
      <c r="C127" s="614"/>
      <c r="D127"/>
      <c r="E127" s="614"/>
      <c r="F127" s="132"/>
      <c r="G127" s="132"/>
    </row>
    <row r="128" spans="1:7" x14ac:dyDescent="0.25">
      <c r="A128" s="2205" t="s">
        <v>596</v>
      </c>
      <c r="B128" s="2205"/>
      <c r="C128" s="2205"/>
      <c r="D128" s="2205"/>
      <c r="E128" s="2205"/>
      <c r="F128" s="2205"/>
      <c r="G128" s="2205"/>
    </row>
    <row r="129" spans="1:7" x14ac:dyDescent="0.25">
      <c r="A129"/>
      <c r="B129" s="614">
        <v>1</v>
      </c>
      <c r="C129" t="s">
        <v>612</v>
      </c>
      <c r="D129"/>
      <c r="E129" s="614" t="s">
        <v>7</v>
      </c>
      <c r="F129" s="610" t="s">
        <v>613</v>
      </c>
      <c r="G129"/>
    </row>
    <row r="130" spans="1:7" x14ac:dyDescent="0.25">
      <c r="A130"/>
      <c r="B130" s="614">
        <v>2</v>
      </c>
      <c r="C130" t="s">
        <v>614</v>
      </c>
      <c r="D130"/>
      <c r="E130" s="614" t="s">
        <v>7</v>
      </c>
      <c r="F130" s="610" t="s">
        <v>613</v>
      </c>
      <c r="G130"/>
    </row>
    <row r="131" spans="1:7" x14ac:dyDescent="0.25">
      <c r="A131"/>
      <c r="B131"/>
      <c r="C131"/>
      <c r="D131"/>
      <c r="E131" s="614"/>
      <c r="F131" s="610"/>
      <c r="G131"/>
    </row>
    <row r="132" spans="1:7" x14ac:dyDescent="0.25">
      <c r="A132" s="2205" t="s">
        <v>622</v>
      </c>
      <c r="B132" s="2205"/>
      <c r="C132" s="2205"/>
      <c r="D132" s="2205"/>
      <c r="E132" s="2205"/>
      <c r="F132" s="2205"/>
      <c r="G132" s="2205"/>
    </row>
    <row r="133" spans="1:7" ht="30" customHeight="1" x14ac:dyDescent="0.25">
      <c r="A133"/>
      <c r="B133" s="115">
        <v>1</v>
      </c>
      <c r="C133" s="2203" t="s">
        <v>623</v>
      </c>
      <c r="D133" s="2203"/>
      <c r="E133" s="2203"/>
      <c r="F133" s="2203"/>
      <c r="G133" s="2203"/>
    </row>
    <row r="134" spans="1:7" ht="30" customHeight="1" x14ac:dyDescent="0.25">
      <c r="A134"/>
      <c r="B134" s="115">
        <v>2</v>
      </c>
      <c r="C134" s="2203" t="s">
        <v>624</v>
      </c>
      <c r="D134" s="2203"/>
      <c r="E134" s="2203"/>
      <c r="F134" s="2203"/>
      <c r="G134" s="2203"/>
    </row>
    <row r="135" spans="1:7" x14ac:dyDescent="0.25">
      <c r="A135"/>
      <c r="B135" s="115">
        <v>3</v>
      </c>
      <c r="C135" s="2203" t="s">
        <v>625</v>
      </c>
      <c r="D135" s="2203"/>
      <c r="E135" s="2203"/>
      <c r="F135" s="2203"/>
      <c r="G135" s="2203"/>
    </row>
    <row r="136" spans="1:7" x14ac:dyDescent="0.25">
      <c r="A136"/>
      <c r="B136" s="115">
        <v>4</v>
      </c>
      <c r="C136" s="2203" t="s">
        <v>3734</v>
      </c>
      <c r="D136" s="2203"/>
      <c r="E136" s="2203"/>
      <c r="F136" s="2203"/>
      <c r="G136" s="2203" t="s">
        <v>626</v>
      </c>
    </row>
    <row r="137" spans="1:7" ht="30" customHeight="1" x14ac:dyDescent="0.25">
      <c r="A137"/>
      <c r="B137" s="115">
        <v>5</v>
      </c>
      <c r="C137" s="2203" t="s">
        <v>627</v>
      </c>
      <c r="D137" s="2203"/>
      <c r="E137" s="2203"/>
      <c r="F137" s="2203"/>
      <c r="G137" s="2203"/>
    </row>
    <row r="138" spans="1:7" ht="30" customHeight="1" x14ac:dyDescent="0.25">
      <c r="A138"/>
      <c r="B138" s="115">
        <v>6</v>
      </c>
      <c r="C138" s="2203" t="s">
        <v>3733</v>
      </c>
      <c r="D138" s="2203"/>
      <c r="E138" s="2203"/>
      <c r="F138" s="2203"/>
      <c r="G138" s="2203"/>
    </row>
    <row r="139" spans="1:7" ht="30" customHeight="1" x14ac:dyDescent="0.25">
      <c r="A139"/>
      <c r="B139" s="115">
        <v>7</v>
      </c>
      <c r="C139" s="2203" t="s">
        <v>628</v>
      </c>
      <c r="D139" s="2203"/>
      <c r="E139" s="2203"/>
      <c r="F139" s="2203"/>
      <c r="G139" s="2203"/>
    </row>
    <row r="140" spans="1:7" ht="30" customHeight="1" x14ac:dyDescent="0.25">
      <c r="A140"/>
      <c r="B140" s="115">
        <v>8</v>
      </c>
      <c r="C140" s="2203" t="s">
        <v>629</v>
      </c>
      <c r="D140" s="2203"/>
      <c r="E140" s="2203"/>
      <c r="F140" s="2203"/>
      <c r="G140" s="2203"/>
    </row>
    <row r="141" spans="1:7" ht="30" customHeight="1" x14ac:dyDescent="0.25">
      <c r="A141"/>
      <c r="B141" s="115">
        <v>9</v>
      </c>
      <c r="C141" s="2203" t="s">
        <v>630</v>
      </c>
      <c r="D141" s="2203"/>
      <c r="E141" s="2203"/>
      <c r="F141" s="2203"/>
      <c r="G141" s="2203"/>
    </row>
    <row r="142" spans="1:7" x14ac:dyDescent="0.25">
      <c r="A142"/>
      <c r="B142" s="115">
        <v>10</v>
      </c>
      <c r="C142" s="2203" t="s">
        <v>631</v>
      </c>
      <c r="D142" s="2203"/>
      <c r="E142" s="2203"/>
      <c r="F142" s="2203"/>
      <c r="G142" s="2203"/>
    </row>
    <row r="143" spans="1:7" ht="30" customHeight="1" x14ac:dyDescent="0.25">
      <c r="A143"/>
      <c r="B143"/>
      <c r="C143" s="118" t="s">
        <v>632</v>
      </c>
      <c r="D143" s="2203" t="s">
        <v>633</v>
      </c>
      <c r="E143" s="2203"/>
      <c r="F143" s="2203"/>
      <c r="G143" s="2203"/>
    </row>
    <row r="144" spans="1:7" ht="30" customHeight="1" x14ac:dyDescent="0.25">
      <c r="A144"/>
      <c r="B144"/>
      <c r="C144" s="118" t="s">
        <v>634</v>
      </c>
      <c r="D144" s="2203" t="s">
        <v>635</v>
      </c>
      <c r="E144" s="2203"/>
      <c r="F144" s="2203"/>
      <c r="G144" s="2203"/>
    </row>
    <row r="145" spans="1:7" x14ac:dyDescent="0.25">
      <c r="A145"/>
      <c r="B145"/>
      <c r="C145"/>
      <c r="D145"/>
      <c r="E145" s="614"/>
      <c r="F145" s="610"/>
      <c r="G145"/>
    </row>
    <row r="146" spans="1:7" x14ac:dyDescent="0.25">
      <c r="A146" s="2205" t="s">
        <v>636</v>
      </c>
      <c r="B146" s="2205"/>
      <c r="C146" s="2205"/>
      <c r="D146" s="2205"/>
      <c r="E146" s="2205"/>
      <c r="F146" s="2205"/>
      <c r="G146" s="2205"/>
    </row>
    <row r="147" spans="1:7" x14ac:dyDescent="0.25">
      <c r="A147" s="134"/>
      <c r="B147" s="614">
        <v>1</v>
      </c>
      <c r="C147" s="135" t="s">
        <v>637</v>
      </c>
      <c r="D147" s="134"/>
      <c r="E147" s="134"/>
      <c r="F147" s="134"/>
      <c r="G147" s="134"/>
    </row>
    <row r="148" spans="1:7" x14ac:dyDescent="0.25">
      <c r="A148"/>
      <c r="B148"/>
      <c r="C148" s="614" t="s">
        <v>588</v>
      </c>
      <c r="D148" s="2185" t="str">
        <f>IF(MKK!L127="Ya",MKK!A127,"")</f>
        <v xml:space="preserve">2. Debitur wajib menyerahkan periode List persedian barang, Piutang Usaha dan Hutang Usaha secara periodical per semester (Periode Juni dan Desember) --&gt;  RM dan ABL 
    Verifikasi, Legal&amp;FC/AS&amp;CEM Monitor </v>
      </c>
      <c r="E148" s="2185"/>
      <c r="F148" s="2185"/>
      <c r="G148" s="2185"/>
    </row>
    <row r="149" spans="1:7" x14ac:dyDescent="0.25">
      <c r="A149"/>
      <c r="B149"/>
      <c r="C149" s="614" t="s">
        <v>604</v>
      </c>
      <c r="D149" s="2185" t="str">
        <f>IF(MKK!L128="Ya",MKK!A128,"")</f>
        <v>3. Debitur wajib melampirkan rekap pendapatan usaha periode bulan Maret 2018 s.d Juni 2018 (bukti pembayaran berupa nota penjualan/invoice) --&gt; RM &amp; ABL Verifikasi, ACM 
    Review, Legal&amp;FC Monitor.</v>
      </c>
      <c r="E149" s="2185"/>
      <c r="F149" s="2185"/>
      <c r="G149" s="2185"/>
    </row>
    <row r="150" spans="1:7" x14ac:dyDescent="0.25">
      <c r="A150"/>
      <c r="B150"/>
      <c r="C150" s="614" t="s">
        <v>605</v>
      </c>
      <c r="D150" s="2185" t="str">
        <f>IF(MKK!L129="Ya",MKK!A129,"")</f>
        <v/>
      </c>
      <c r="E150" s="2185"/>
      <c r="F150" s="2185"/>
      <c r="G150" s="2185"/>
    </row>
    <row r="151" spans="1:7" x14ac:dyDescent="0.25">
      <c r="A151"/>
      <c r="B151"/>
      <c r="C151"/>
      <c r="D151"/>
      <c r="E151" s="614"/>
      <c r="F151" s="610"/>
      <c r="G151"/>
    </row>
    <row r="152" spans="1:7" x14ac:dyDescent="0.25">
      <c r="A152"/>
      <c r="B152" s="614">
        <v>2</v>
      </c>
      <c r="C152" s="610" t="s">
        <v>638</v>
      </c>
      <c r="D152"/>
      <c r="E152" s="614"/>
      <c r="F152" s="610"/>
      <c r="G152"/>
    </row>
    <row r="153" spans="1:7" x14ac:dyDescent="0.25">
      <c r="A153"/>
      <c r="B153"/>
      <c r="C153" s="614" t="s">
        <v>588</v>
      </c>
      <c r="D153" s="2185" t="str">
        <f>IF(MKK!L131="Ya",MKK!A131,"")</f>
        <v/>
      </c>
      <c r="E153" s="2185"/>
      <c r="F153" s="2185"/>
      <c r="G153" s="2185"/>
    </row>
    <row r="154" spans="1:7" x14ac:dyDescent="0.25">
      <c r="A154"/>
      <c r="B154"/>
      <c r="C154" s="614" t="s">
        <v>604</v>
      </c>
      <c r="D154" s="2185" t="str">
        <f>IF(MKK!L132="Ya",MKK!A132,"")</f>
        <v/>
      </c>
      <c r="E154" s="2185"/>
      <c r="F154" s="2185"/>
      <c r="G154" s="2185"/>
    </row>
    <row r="155" spans="1:7" x14ac:dyDescent="0.25">
      <c r="A155"/>
      <c r="B155"/>
      <c r="C155" s="614" t="s">
        <v>605</v>
      </c>
      <c r="D155" s="2185" t="str">
        <f>IF(MKK!L133="Ya",MKK!A133,"")</f>
        <v/>
      </c>
      <c r="E155" s="2185"/>
      <c r="F155" s="2185"/>
      <c r="G155" s="2185"/>
    </row>
    <row r="156" spans="1:7" x14ac:dyDescent="0.25">
      <c r="A156"/>
      <c r="B156"/>
      <c r="C156" s="614" t="s">
        <v>606</v>
      </c>
      <c r="D156" s="2185" t="str">
        <f>IF(MKK!L134="Ya",MKK!A134,"")</f>
        <v/>
      </c>
      <c r="E156" s="2185"/>
      <c r="F156" s="2185"/>
      <c r="G156" s="2185"/>
    </row>
    <row r="157" spans="1:7" x14ac:dyDescent="0.25">
      <c r="A157"/>
      <c r="B157"/>
      <c r="C157" s="614" t="s">
        <v>607</v>
      </c>
      <c r="D157" s="2185" t="str">
        <f>IF(MKK!L135="Ya",MKK!A135,"")</f>
        <v/>
      </c>
      <c r="E157" s="2185"/>
      <c r="F157" s="2185"/>
      <c r="G157" s="2185"/>
    </row>
    <row r="158" spans="1:7" x14ac:dyDescent="0.25">
      <c r="A158"/>
      <c r="B158"/>
      <c r="C158" s="614" t="s">
        <v>639</v>
      </c>
      <c r="D158" s="2185" t="str">
        <f>IF(MKK!L136="Ya",MKK!A136,"")</f>
        <v/>
      </c>
      <c r="E158" s="2185"/>
      <c r="F158" s="2185"/>
      <c r="G158" s="2185"/>
    </row>
    <row r="159" spans="1:7" x14ac:dyDescent="0.25">
      <c r="A159"/>
      <c r="B159"/>
      <c r="C159" s="614" t="s">
        <v>609</v>
      </c>
      <c r="D159" s="2185" t="str">
        <f>IF(MKK!L137="Ya",MKK!A137,"")</f>
        <v/>
      </c>
      <c r="E159" s="2185"/>
      <c r="F159" s="2185"/>
      <c r="G159" s="2185"/>
    </row>
    <row r="160" spans="1:7" x14ac:dyDescent="0.25">
      <c r="A160"/>
      <c r="B160"/>
      <c r="C160" s="614" t="s">
        <v>640</v>
      </c>
      <c r="D160" s="2185" t="str">
        <f>IF(MKK!L138="Ya",MKK!A138,"")</f>
        <v/>
      </c>
      <c r="E160" s="2185"/>
      <c r="F160" s="2185"/>
      <c r="G160" s="2185"/>
    </row>
    <row r="161" spans="1:10" x14ac:dyDescent="0.25">
      <c r="A161"/>
      <c r="B161"/>
      <c r="C161" s="614" t="s">
        <v>641</v>
      </c>
      <c r="D161" s="2185" t="str">
        <f>IF(MKK!L139="Ya",MKK!A139,"")</f>
        <v/>
      </c>
      <c r="E161" s="2185"/>
      <c r="F161" s="2185"/>
      <c r="G161" s="2185"/>
    </row>
    <row r="162" spans="1:10" x14ac:dyDescent="0.25">
      <c r="A162"/>
      <c r="B162"/>
      <c r="C162" s="614" t="s">
        <v>642</v>
      </c>
      <c r="D162" s="2185" t="str">
        <f>IF(MKK!L140="Ya",MKK!A140,"")</f>
        <v/>
      </c>
      <c r="E162" s="2185"/>
      <c r="F162" s="2185"/>
      <c r="G162" s="2185"/>
    </row>
    <row r="163" spans="1:10" x14ac:dyDescent="0.25">
      <c r="A163"/>
      <c r="B163"/>
      <c r="C163"/>
      <c r="D163"/>
      <c r="E163" s="614"/>
      <c r="F163" s="610"/>
      <c r="G163"/>
    </row>
    <row r="164" spans="1:10" x14ac:dyDescent="0.25">
      <c r="A164" s="2205" t="s">
        <v>643</v>
      </c>
      <c r="B164" s="2205"/>
      <c r="C164" s="2205"/>
      <c r="D164" s="2205"/>
      <c r="E164" s="2205"/>
      <c r="F164" s="2205"/>
      <c r="G164" s="2205"/>
    </row>
    <row r="165" spans="1:10" ht="45" customHeight="1" x14ac:dyDescent="0.25">
      <c r="A165" s="2201" t="s">
        <v>644</v>
      </c>
      <c r="B165" s="2201"/>
      <c r="C165" s="2201"/>
      <c r="D165" s="2201"/>
      <c r="E165" s="2201"/>
      <c r="F165" s="2201"/>
      <c r="G165" s="2201"/>
    </row>
    <row r="166" spans="1:10" x14ac:dyDescent="0.25">
      <c r="A166"/>
      <c r="B166"/>
      <c r="C166"/>
      <c r="D166"/>
      <c r="E166" s="614"/>
      <c r="F166" s="610"/>
      <c r="G166"/>
    </row>
    <row r="167" spans="1:10" ht="45" customHeight="1" x14ac:dyDescent="0.25">
      <c r="A167" s="2203" t="s">
        <v>645</v>
      </c>
      <c r="B167" s="2203"/>
      <c r="C167" s="2203"/>
      <c r="D167" s="2203"/>
      <c r="E167" s="2203"/>
      <c r="F167" s="2203"/>
      <c r="G167" s="2203"/>
    </row>
    <row r="168" spans="1:10" x14ac:dyDescent="0.25">
      <c r="A168" s="611"/>
      <c r="B168" s="611"/>
      <c r="C168" s="611"/>
      <c r="D168" s="611"/>
      <c r="E168" s="611"/>
      <c r="F168" s="611"/>
      <c r="G168" s="611"/>
    </row>
    <row r="169" spans="1:10" ht="29.25" customHeight="1" x14ac:dyDescent="0.25">
      <c r="A169" s="2203" t="s">
        <v>653</v>
      </c>
      <c r="B169" s="2203"/>
      <c r="C169" s="2203"/>
      <c r="D169" s="2203"/>
      <c r="E169" s="2203"/>
      <c r="F169" s="2203"/>
      <c r="G169" s="2203"/>
    </row>
    <row r="170" spans="1:10" x14ac:dyDescent="0.25">
      <c r="A170" s="611"/>
      <c r="B170" s="611"/>
      <c r="C170" s="611"/>
      <c r="D170" s="611"/>
      <c r="E170" s="611"/>
      <c r="F170" s="611"/>
      <c r="G170" s="611"/>
    </row>
    <row r="171" spans="1:10" x14ac:dyDescent="0.25">
      <c r="A171" s="2204" t="s">
        <v>654</v>
      </c>
      <c r="B171" s="2204"/>
      <c r="C171" s="2204"/>
      <c r="D171" s="2204"/>
      <c r="E171" s="611"/>
      <c r="F171" s="611"/>
      <c r="G171" s="612" t="s">
        <v>656</v>
      </c>
      <c r="H171" s="365"/>
      <c r="I171" s="365"/>
      <c r="J171" s="365"/>
    </row>
    <row r="172" spans="1:10" x14ac:dyDescent="0.25">
      <c r="A172" s="611"/>
      <c r="B172" s="611"/>
      <c r="C172" s="611"/>
      <c r="D172" s="611"/>
      <c r="E172" s="611"/>
      <c r="F172" s="611"/>
      <c r="G172" s="611"/>
    </row>
    <row r="173" spans="1:10" x14ac:dyDescent="0.25">
      <c r="A173" s="611"/>
      <c r="B173" s="611"/>
      <c r="C173" s="611"/>
      <c r="D173" s="611"/>
      <c r="E173" s="611"/>
      <c r="F173" s="611"/>
      <c r="G173" s="611"/>
    </row>
    <row r="174" spans="1:10" x14ac:dyDescent="0.25">
      <c r="A174" s="611"/>
      <c r="B174" s="611"/>
      <c r="C174" s="611"/>
      <c r="D174" s="611"/>
      <c r="E174" s="611"/>
      <c r="F174" s="611"/>
      <c r="G174" s="611"/>
    </row>
    <row r="175" spans="1:10" x14ac:dyDescent="0.25">
      <c r="A175" s="611"/>
      <c r="B175" s="611"/>
      <c r="C175" s="611"/>
      <c r="D175" s="611"/>
      <c r="E175" s="611"/>
      <c r="F175" s="611"/>
      <c r="G175" s="611"/>
    </row>
    <row r="176" spans="1:10" x14ac:dyDescent="0.25">
      <c r="A176" s="2204" t="s">
        <v>655</v>
      </c>
      <c r="B176" s="2204"/>
      <c r="C176" s="2204"/>
      <c r="D176" s="2204"/>
      <c r="E176" s="611"/>
      <c r="F176" s="611"/>
      <c r="G176" s="612" t="s">
        <v>657</v>
      </c>
    </row>
    <row r="177" spans="1:7" x14ac:dyDescent="0.25">
      <c r="A177"/>
      <c r="B177"/>
      <c r="C177"/>
      <c r="D177"/>
      <c r="E177" s="614"/>
      <c r="F177" s="610"/>
      <c r="G177"/>
    </row>
    <row r="179" spans="1:7" s="379" customFormat="1" ht="44.25" customHeight="1" x14ac:dyDescent="0.25">
      <c r="A179" s="2200" t="s">
        <v>3735</v>
      </c>
      <c r="B179" s="2200"/>
      <c r="C179" s="2200"/>
      <c r="D179" s="2200"/>
      <c r="E179" s="2200"/>
      <c r="F179" s="2200"/>
      <c r="G179" s="2200"/>
    </row>
  </sheetData>
  <mergeCells count="123">
    <mergeCell ref="A3:G3"/>
    <mergeCell ref="D5:E5"/>
    <mergeCell ref="D6:E6"/>
    <mergeCell ref="D11:E11"/>
    <mergeCell ref="A14:G14"/>
    <mergeCell ref="A15:G15"/>
    <mergeCell ref="F17:G17"/>
    <mergeCell ref="F18:G18"/>
    <mergeCell ref="F19:G19"/>
    <mergeCell ref="F20:G20"/>
    <mergeCell ref="F21:G21"/>
    <mergeCell ref="F22:G22"/>
    <mergeCell ref="F23:G23"/>
    <mergeCell ref="F26:G26"/>
    <mergeCell ref="F27:G27"/>
    <mergeCell ref="F28:G28"/>
    <mergeCell ref="F29:G29"/>
    <mergeCell ref="F30:G30"/>
    <mergeCell ref="F31:G31"/>
    <mergeCell ref="F32:G32"/>
    <mergeCell ref="F35:G35"/>
    <mergeCell ref="F36:G36"/>
    <mergeCell ref="F37:G37"/>
    <mergeCell ref="F38:G38"/>
    <mergeCell ref="F39:G39"/>
    <mergeCell ref="F40:G40"/>
    <mergeCell ref="F41:G41"/>
    <mergeCell ref="F44:G44"/>
    <mergeCell ref="F45:G45"/>
    <mergeCell ref="F46:G46"/>
    <mergeCell ref="F47:G47"/>
    <mergeCell ref="F48:G48"/>
    <mergeCell ref="F49:G49"/>
    <mergeCell ref="F50:G50"/>
    <mergeCell ref="F53:G53"/>
    <mergeCell ref="F54:G54"/>
    <mergeCell ref="F55:G55"/>
    <mergeCell ref="F56:G56"/>
    <mergeCell ref="F57:G57"/>
    <mergeCell ref="F58:G58"/>
    <mergeCell ref="F59:G59"/>
    <mergeCell ref="F62:G62"/>
    <mergeCell ref="F63:G63"/>
    <mergeCell ref="F64:G64"/>
    <mergeCell ref="F65:G65"/>
    <mergeCell ref="F66:G66"/>
    <mergeCell ref="F67:G67"/>
    <mergeCell ref="F68:G68"/>
    <mergeCell ref="F71:G71"/>
    <mergeCell ref="F72:G72"/>
    <mergeCell ref="F73:G73"/>
    <mergeCell ref="F74:G74"/>
    <mergeCell ref="F75:G75"/>
    <mergeCell ref="F76:G76"/>
    <mergeCell ref="F77:G77"/>
    <mergeCell ref="A79:G79"/>
    <mergeCell ref="F81:G81"/>
    <mergeCell ref="F82:G82"/>
    <mergeCell ref="F83:G83"/>
    <mergeCell ref="F84:G84"/>
    <mergeCell ref="F87:G87"/>
    <mergeCell ref="F88:G88"/>
    <mergeCell ref="F89:G89"/>
    <mergeCell ref="F90:G90"/>
    <mergeCell ref="F93:G93"/>
    <mergeCell ref="F94:G94"/>
    <mergeCell ref="F95:G95"/>
    <mergeCell ref="F96:G96"/>
    <mergeCell ref="F99:G99"/>
    <mergeCell ref="F100:G100"/>
    <mergeCell ref="F101:G101"/>
    <mergeCell ref="F102:G102"/>
    <mergeCell ref="F105:G105"/>
    <mergeCell ref="F106:G106"/>
    <mergeCell ref="F107:G107"/>
    <mergeCell ref="F108:G108"/>
    <mergeCell ref="F111:G111"/>
    <mergeCell ref="F112:G112"/>
    <mergeCell ref="F113:G113"/>
    <mergeCell ref="F114:G114"/>
    <mergeCell ref="F117:G117"/>
    <mergeCell ref="F118:G118"/>
    <mergeCell ref="F119:G119"/>
    <mergeCell ref="F120:G120"/>
    <mergeCell ref="F123:G123"/>
    <mergeCell ref="F124:G124"/>
    <mergeCell ref="F125:G125"/>
    <mergeCell ref="F126:G126"/>
    <mergeCell ref="A128:G128"/>
    <mergeCell ref="A132:G132"/>
    <mergeCell ref="C133:G133"/>
    <mergeCell ref="C134:G134"/>
    <mergeCell ref="C135:G135"/>
    <mergeCell ref="C136:G136"/>
    <mergeCell ref="C137:G137"/>
    <mergeCell ref="C138:G138"/>
    <mergeCell ref="C139:G139"/>
    <mergeCell ref="C140:G140"/>
    <mergeCell ref="C141:G141"/>
    <mergeCell ref="C142:G142"/>
    <mergeCell ref="D143:G143"/>
    <mergeCell ref="D144:G144"/>
    <mergeCell ref="A146:G146"/>
    <mergeCell ref="D148:G148"/>
    <mergeCell ref="D149:G149"/>
    <mergeCell ref="D150:G150"/>
    <mergeCell ref="D153:G153"/>
    <mergeCell ref="D154:G154"/>
    <mergeCell ref="D155:G155"/>
    <mergeCell ref="D156:G156"/>
    <mergeCell ref="D157:G157"/>
    <mergeCell ref="D158:G158"/>
    <mergeCell ref="D159:G159"/>
    <mergeCell ref="D160:G160"/>
    <mergeCell ref="A171:D171"/>
    <mergeCell ref="A176:D176"/>
    <mergeCell ref="A179:G179"/>
    <mergeCell ref="D161:G161"/>
    <mergeCell ref="D162:G162"/>
    <mergeCell ref="A164:G164"/>
    <mergeCell ref="A165:G165"/>
    <mergeCell ref="A167:G167"/>
    <mergeCell ref="A169:G169"/>
  </mergeCells>
  <dataValidations count="1">
    <dataValidation type="list" allowBlank="1" showInputMessage="1" showErrorMessage="1" sqref="G136">
      <formula1>"Notariil,Un-notariil"</formula1>
    </dataValidation>
  </dataValidations>
  <pageMargins left="0.70866141732283472" right="0.70866141732283472" top="0.52" bottom="0.35" header="0.31496062992125984" footer="0.31496062992125984"/>
  <pageSetup paperSize="9" scale="85" orientation="portrait" r:id="rId1"/>
  <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E47"/>
  <sheetViews>
    <sheetView showGridLines="0" zoomScale="80" zoomScaleNormal="80" zoomScaleSheetLayoutView="100" workbookViewId="0">
      <selection activeCell="H12" sqref="H12"/>
    </sheetView>
  </sheetViews>
  <sheetFormatPr defaultRowHeight="15" x14ac:dyDescent="0.25"/>
  <cols>
    <col min="1" max="1" width="4.140625" style="348" customWidth="1"/>
    <col min="2" max="2" width="13.140625" style="348" customWidth="1"/>
    <col min="3" max="3" width="3.28515625" style="348" customWidth="1"/>
    <col min="4" max="5" width="35.7109375" style="348" customWidth="1"/>
    <col min="6" max="16384" width="9.140625" style="348"/>
  </cols>
  <sheetData>
    <row r="1" spans="1:5" ht="47.25" customHeight="1" x14ac:dyDescent="0.25">
      <c r="A1"/>
      <c r="B1"/>
      <c r="C1"/>
      <c r="D1"/>
      <c r="E1"/>
    </row>
    <row r="2" spans="1:5" x14ac:dyDescent="0.25">
      <c r="A2" s="2215" t="s">
        <v>702</v>
      </c>
      <c r="B2" s="2215"/>
      <c r="C2" s="2" t="s">
        <v>7</v>
      </c>
      <c r="D2" s="2"/>
      <c r="E2" s="4"/>
    </row>
    <row r="3" spans="1:5" x14ac:dyDescent="0.25">
      <c r="A3" s="2215" t="s">
        <v>647</v>
      </c>
      <c r="B3" s="2215"/>
      <c r="C3" s="2" t="s">
        <v>7</v>
      </c>
      <c r="D3" s="2" t="s">
        <v>648</v>
      </c>
      <c r="E3" s="4"/>
    </row>
    <row r="4" spans="1:5" x14ac:dyDescent="0.25">
      <c r="A4" s="142" t="s">
        <v>687</v>
      </c>
      <c r="B4" s="142"/>
      <c r="C4" s="2" t="s">
        <v>7</v>
      </c>
      <c r="D4" s="2" t="s">
        <v>688</v>
      </c>
      <c r="E4" s="4"/>
    </row>
    <row r="5" spans="1:5" s="385" customFormat="1" x14ac:dyDescent="0.25">
      <c r="A5" s="452" t="s">
        <v>7612</v>
      </c>
      <c r="B5" s="452"/>
      <c r="C5" s="2" t="s">
        <v>7</v>
      </c>
      <c r="D5" s="453"/>
      <c r="E5" s="4"/>
    </row>
    <row r="6" spans="1:5" ht="15.75" thickBot="1" x14ac:dyDescent="0.3">
      <c r="A6" s="2216" t="s">
        <v>649</v>
      </c>
      <c r="B6" s="2216"/>
      <c r="C6" s="136" t="s">
        <v>7</v>
      </c>
      <c r="D6" s="136" t="str">
        <f>MKK!G6</f>
        <v>IRFAN HERIYANTO HALIM</v>
      </c>
      <c r="E6" s="136"/>
    </row>
    <row r="7" spans="1:5" ht="15.75" thickTop="1" x14ac:dyDescent="0.25">
      <c r="A7" s="4"/>
      <c r="B7" s="4"/>
      <c r="C7" s="4"/>
      <c r="D7" s="4"/>
      <c r="E7" s="4"/>
    </row>
    <row r="8" spans="1:5" x14ac:dyDescent="0.25">
      <c r="A8" s="4" t="s">
        <v>689</v>
      </c>
      <c r="B8" s="4"/>
      <c r="C8" s="4"/>
      <c r="D8" s="4"/>
      <c r="E8" s="4"/>
    </row>
    <row r="9" spans="1:5" x14ac:dyDescent="0.25">
      <c r="A9" s="4" t="s">
        <v>690</v>
      </c>
      <c r="B9" s="4"/>
      <c r="C9" s="4"/>
      <c r="D9" s="4"/>
      <c r="E9" s="4"/>
    </row>
    <row r="10" spans="1:5" x14ac:dyDescent="0.25">
      <c r="A10" s="137" t="s">
        <v>646</v>
      </c>
      <c r="B10" s="4"/>
      <c r="C10" s="4"/>
      <c r="D10" s="4"/>
      <c r="E10" s="4"/>
    </row>
    <row r="11" spans="1:5" x14ac:dyDescent="0.25">
      <c r="A11" s="4"/>
      <c r="B11" s="4"/>
      <c r="C11" s="4"/>
      <c r="D11" s="4"/>
      <c r="E11" s="4"/>
    </row>
    <row r="12" spans="1:5" x14ac:dyDescent="0.25">
      <c r="A12" s="4" t="s">
        <v>611</v>
      </c>
      <c r="B12" s="4"/>
      <c r="C12" s="4"/>
      <c r="D12" s="4"/>
      <c r="E12" s="4"/>
    </row>
    <row r="13" spans="1:5" ht="30" customHeight="1" x14ac:dyDescent="0.25">
      <c r="A13" s="2219" t="s">
        <v>691</v>
      </c>
      <c r="B13" s="2219"/>
      <c r="C13" s="2219"/>
      <c r="D13" s="2219"/>
      <c r="E13" s="2219"/>
    </row>
    <row r="14" spans="1:5" ht="5.0999999999999996" customHeight="1" x14ac:dyDescent="0.25">
      <c r="A14" s="4"/>
      <c r="B14" s="4"/>
      <c r="C14" s="4"/>
      <c r="D14" s="4"/>
      <c r="E14" s="4"/>
    </row>
    <row r="15" spans="1:5" x14ac:dyDescent="0.25">
      <c r="A15" s="4"/>
      <c r="B15" s="4" t="s">
        <v>85</v>
      </c>
      <c r="C15" s="144" t="s">
        <v>7</v>
      </c>
      <c r="D15" s="1538" t="str">
        <f>MKK!G10</f>
        <v xml:space="preserve">OH NJEN LIENG </v>
      </c>
      <c r="E15" s="1538"/>
    </row>
    <row r="16" spans="1:5" x14ac:dyDescent="0.25">
      <c r="A16" s="4"/>
      <c r="B16" s="4" t="s">
        <v>1</v>
      </c>
      <c r="C16" s="144" t="s">
        <v>7</v>
      </c>
      <c r="D16" s="1538" t="str">
        <f>'Informasi Debitur'!D20:K20</f>
        <v>Jl A Yani km 6,5 No 31 Kertak Hanyar I Kertak Hanyar , Kab Banjar</v>
      </c>
      <c r="E16" s="1538"/>
    </row>
    <row r="17" spans="1:5" ht="5.0999999999999996" customHeight="1" x14ac:dyDescent="0.25">
      <c r="A17" s="4"/>
      <c r="B17" s="4"/>
      <c r="C17" s="4"/>
      <c r="D17" s="4"/>
      <c r="E17" s="4"/>
    </row>
    <row r="18" spans="1:5" ht="15" customHeight="1" x14ac:dyDescent="0.25">
      <c r="A18" s="2219" t="s">
        <v>705</v>
      </c>
      <c r="B18" s="2219"/>
      <c r="C18" s="2219"/>
      <c r="D18" s="2219"/>
      <c r="E18" s="2219"/>
    </row>
    <row r="19" spans="1:5" ht="15" customHeight="1" x14ac:dyDescent="0.25">
      <c r="A19" s="2220" t="str">
        <f>IF('Surat Penawaran'!D5&lt;&gt;"",'Surat Penawaran'!D5,"")</f>
        <v/>
      </c>
      <c r="B19" s="2220"/>
      <c r="C19" s="2220"/>
      <c r="D19" s="2220"/>
      <c r="E19" s="149"/>
    </row>
    <row r="20" spans="1:5" ht="5.0999999999999996" customHeight="1" x14ac:dyDescent="0.25">
      <c r="A20" s="4"/>
      <c r="B20" s="4"/>
      <c r="C20" s="4"/>
      <c r="D20" s="4"/>
      <c r="E20" s="4"/>
    </row>
    <row r="21" spans="1:5" x14ac:dyDescent="0.25">
      <c r="A21" s="1538" t="s">
        <v>693</v>
      </c>
      <c r="B21" s="1538"/>
      <c r="C21" s="1538"/>
      <c r="D21" s="1538"/>
      <c r="E21" s="1538"/>
    </row>
    <row r="22" spans="1:5" ht="5.0999999999999996" customHeight="1" x14ac:dyDescent="0.25">
      <c r="A22" s="4"/>
      <c r="B22" s="4"/>
      <c r="C22" s="4"/>
      <c r="D22" s="4"/>
      <c r="E22" s="4"/>
    </row>
    <row r="23" spans="1:5" x14ac:dyDescent="0.25">
      <c r="A23" s="4"/>
      <c r="B23" s="4" t="s">
        <v>692</v>
      </c>
      <c r="C23" s="144" t="s">
        <v>7</v>
      </c>
      <c r="D23" s="147"/>
      <c r="E23" s="4"/>
    </row>
    <row r="24" spans="1:5" x14ac:dyDescent="0.25">
      <c r="A24" s="4"/>
      <c r="B24" s="4" t="s">
        <v>26</v>
      </c>
      <c r="C24" s="144" t="s">
        <v>7</v>
      </c>
      <c r="D24" s="24"/>
      <c r="E24" s="4"/>
    </row>
    <row r="25" spans="1:5" x14ac:dyDescent="0.25">
      <c r="A25" s="4"/>
      <c r="B25" s="4" t="s">
        <v>694</v>
      </c>
      <c r="C25" s="144" t="s">
        <v>7</v>
      </c>
      <c r="D25" s="24"/>
      <c r="E25" s="4"/>
    </row>
    <row r="26" spans="1:5" x14ac:dyDescent="0.25">
      <c r="A26" s="4"/>
      <c r="B26" s="4" t="s">
        <v>695</v>
      </c>
      <c r="C26" s="144" t="s">
        <v>7</v>
      </c>
      <c r="D26" s="24"/>
      <c r="E26" s="4"/>
    </row>
    <row r="27" spans="1:5" ht="5.0999999999999996" customHeight="1" x14ac:dyDescent="0.25">
      <c r="A27" s="4"/>
      <c r="B27" s="4"/>
      <c r="C27" s="4"/>
      <c r="D27" s="4"/>
      <c r="E27" s="4"/>
    </row>
    <row r="28" spans="1:5" x14ac:dyDescent="0.25">
      <c r="A28" s="4" t="s">
        <v>696</v>
      </c>
      <c r="B28" s="4"/>
      <c r="C28" s="4"/>
      <c r="D28" s="4"/>
      <c r="E28" s="4"/>
    </row>
    <row r="29" spans="1:5" x14ac:dyDescent="0.25">
      <c r="A29" s="144" t="s">
        <v>697</v>
      </c>
      <c r="B29" s="2217"/>
      <c r="C29" s="2217"/>
      <c r="D29" s="2217"/>
      <c r="E29" s="4"/>
    </row>
    <row r="30" spans="1:5" x14ac:dyDescent="0.25">
      <c r="A30" s="144">
        <v>2</v>
      </c>
      <c r="B30" s="2218"/>
      <c r="C30" s="2218"/>
      <c r="D30" s="2218"/>
      <c r="E30" s="4"/>
    </row>
    <row r="31" spans="1:5" ht="5.0999999999999996" customHeight="1" x14ac:dyDescent="0.25">
      <c r="A31" s="144"/>
      <c r="B31" s="141"/>
      <c r="C31" s="141"/>
      <c r="D31" s="141"/>
      <c r="E31" s="4"/>
    </row>
    <row r="32" spans="1:5" x14ac:dyDescent="0.25">
      <c r="A32" s="29" t="s">
        <v>698</v>
      </c>
      <c r="B32" s="141"/>
      <c r="C32" s="141"/>
      <c r="D32" s="141"/>
      <c r="E32" s="4"/>
    </row>
    <row r="33" spans="1:5" x14ac:dyDescent="0.25">
      <c r="A33" s="144"/>
      <c r="B33" s="142" t="s">
        <v>699</v>
      </c>
      <c r="C33" s="141"/>
      <c r="D33" s="141"/>
      <c r="E33" s="4"/>
    </row>
    <row r="34" spans="1:5" x14ac:dyDescent="0.25">
      <c r="A34" s="144"/>
      <c r="B34" s="142" t="s">
        <v>700</v>
      </c>
      <c r="C34" s="141"/>
      <c r="D34" s="141"/>
      <c r="E34" s="4"/>
    </row>
    <row r="35" spans="1:5" x14ac:dyDescent="0.25">
      <c r="A35" s="144"/>
      <c r="B35" s="142" t="s">
        <v>701</v>
      </c>
      <c r="C35" s="141"/>
      <c r="D35" s="141"/>
      <c r="E35" s="4"/>
    </row>
    <row r="36" spans="1:5" ht="15" customHeight="1" x14ac:dyDescent="0.25">
      <c r="A36" s="144"/>
      <c r="B36" s="141"/>
      <c r="C36" s="141"/>
      <c r="D36" s="141"/>
      <c r="E36" s="4"/>
    </row>
    <row r="37" spans="1:5" ht="46.5" customHeight="1" x14ac:dyDescent="0.25">
      <c r="A37" s="2219" t="s">
        <v>703</v>
      </c>
      <c r="B37" s="2219"/>
      <c r="C37" s="2219"/>
      <c r="D37" s="2219"/>
      <c r="E37" s="2219"/>
    </row>
    <row r="38" spans="1:5" ht="5.0999999999999996" customHeight="1" x14ac:dyDescent="0.25">
      <c r="A38" s="148"/>
      <c r="B38" s="148"/>
      <c r="C38" s="148"/>
      <c r="D38" s="148"/>
      <c r="E38" s="4"/>
    </row>
    <row r="39" spans="1:5" ht="15" customHeight="1" x14ac:dyDescent="0.25">
      <c r="A39" s="2214" t="s">
        <v>704</v>
      </c>
      <c r="B39" s="2214"/>
      <c r="C39" s="2214"/>
      <c r="D39" s="2214"/>
      <c r="E39" s="2214"/>
    </row>
    <row r="40" spans="1:5" x14ac:dyDescent="0.25">
      <c r="A40" s="4"/>
      <c r="B40" s="4"/>
      <c r="C40" s="4"/>
      <c r="D40" s="4"/>
      <c r="E40" s="4"/>
    </row>
    <row r="41" spans="1:5" x14ac:dyDescent="0.25">
      <c r="A41" s="4"/>
      <c r="B41" s="4"/>
      <c r="C41" s="4"/>
      <c r="D41" s="2213" t="s">
        <v>650</v>
      </c>
      <c r="E41" s="2213"/>
    </row>
    <row r="42" spans="1:5" x14ac:dyDescent="0.25">
      <c r="A42" s="4"/>
      <c r="B42" s="4"/>
      <c r="C42" s="4"/>
      <c r="D42" s="2213"/>
      <c r="E42" s="4"/>
    </row>
    <row r="43" spans="1:5" x14ac:dyDescent="0.25">
      <c r="A43" s="4"/>
      <c r="B43" s="4"/>
      <c r="C43" s="4"/>
      <c r="D43" s="2213"/>
      <c r="E43" s="4"/>
    </row>
    <row r="44" spans="1:5" x14ac:dyDescent="0.25">
      <c r="A44" s="4"/>
      <c r="B44" s="4"/>
      <c r="C44" s="4"/>
      <c r="D44" s="2213"/>
      <c r="E44" s="4"/>
    </row>
    <row r="45" spans="1:5" x14ac:dyDescent="0.25">
      <c r="A45" s="4"/>
      <c r="B45" s="4"/>
      <c r="C45" s="4"/>
      <c r="D45" s="2213"/>
      <c r="E45" s="4"/>
    </row>
    <row r="46" spans="1:5" x14ac:dyDescent="0.25">
      <c r="A46" s="4"/>
      <c r="B46" s="4"/>
      <c r="C46" s="4"/>
      <c r="D46" s="4" t="s">
        <v>652</v>
      </c>
      <c r="E46" s="4" t="s">
        <v>652</v>
      </c>
    </row>
    <row r="47" spans="1:5" x14ac:dyDescent="0.25">
      <c r="A47" s="4"/>
      <c r="B47" s="4"/>
      <c r="C47" s="4"/>
      <c r="D47" s="4" t="s">
        <v>651</v>
      </c>
      <c r="E47" s="4" t="s">
        <v>651</v>
      </c>
    </row>
  </sheetData>
  <mergeCells count="15">
    <mergeCell ref="D42:D45"/>
    <mergeCell ref="D41:E41"/>
    <mergeCell ref="A39:E39"/>
    <mergeCell ref="A2:B2"/>
    <mergeCell ref="A3:B3"/>
    <mergeCell ref="A6:B6"/>
    <mergeCell ref="B29:D29"/>
    <mergeCell ref="B30:D30"/>
    <mergeCell ref="A37:E37"/>
    <mergeCell ref="A13:E13"/>
    <mergeCell ref="A18:E18"/>
    <mergeCell ref="D15:E15"/>
    <mergeCell ref="D16:E16"/>
    <mergeCell ref="A21:E21"/>
    <mergeCell ref="A19:D19"/>
  </mergeCells>
  <pageMargins left="0.56000000000000005" right="0.37" top="0.3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2529" r:id="rId4" name="Check Box 1">
              <controlPr defaultSize="0" autoFill="0" autoLine="0" autoPict="0">
                <anchor moveWithCells="1">
                  <from>
                    <xdr:col>0</xdr:col>
                    <xdr:colOff>57150</xdr:colOff>
                    <xdr:row>31</xdr:row>
                    <xdr:rowOff>180975</xdr:rowOff>
                  </from>
                  <to>
                    <xdr:col>1</xdr:col>
                    <xdr:colOff>123825</xdr:colOff>
                    <xdr:row>33</xdr:row>
                    <xdr:rowOff>19050</xdr:rowOff>
                  </to>
                </anchor>
              </controlPr>
            </control>
          </mc:Choice>
        </mc:AlternateContent>
        <mc:AlternateContent xmlns:mc="http://schemas.openxmlformats.org/markup-compatibility/2006">
          <mc:Choice Requires="x14">
            <control shapeId="22530" r:id="rId5" name="Check Box 2">
              <controlPr defaultSize="0" autoFill="0" autoLine="0" autoPict="0">
                <anchor moveWithCells="1">
                  <from>
                    <xdr:col>0</xdr:col>
                    <xdr:colOff>57150</xdr:colOff>
                    <xdr:row>33</xdr:row>
                    <xdr:rowOff>0</xdr:rowOff>
                  </from>
                  <to>
                    <xdr:col>1</xdr:col>
                    <xdr:colOff>123825</xdr:colOff>
                    <xdr:row>34</xdr:row>
                    <xdr:rowOff>28575</xdr:rowOff>
                  </to>
                </anchor>
              </controlPr>
            </control>
          </mc:Choice>
        </mc:AlternateContent>
        <mc:AlternateContent xmlns:mc="http://schemas.openxmlformats.org/markup-compatibility/2006">
          <mc:Choice Requires="x14">
            <control shapeId="22531" r:id="rId6" name="Check Box 3">
              <controlPr defaultSize="0" autoFill="0" autoLine="0" autoPict="0">
                <anchor moveWithCells="1">
                  <from>
                    <xdr:col>0</xdr:col>
                    <xdr:colOff>57150</xdr:colOff>
                    <xdr:row>34</xdr:row>
                    <xdr:rowOff>0</xdr:rowOff>
                  </from>
                  <to>
                    <xdr:col>1</xdr:col>
                    <xdr:colOff>123825</xdr:colOff>
                    <xdr:row>35</xdr:row>
                    <xdr:rowOff>28575</xdr:rowOff>
                  </to>
                </anchor>
              </controlPr>
            </control>
          </mc:Choice>
        </mc:AlternateContent>
      </controls>
    </mc:Choice>
  </mc:AlternateConten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dimension ref="CA1:CX791"/>
  <sheetViews>
    <sheetView showZeros="0" zoomScale="70" zoomScaleNormal="70" workbookViewId="0"/>
  </sheetViews>
  <sheetFormatPr defaultRowHeight="15" x14ac:dyDescent="0.25"/>
  <cols>
    <col min="1" max="79" width="9.140625" style="229"/>
    <col min="80" max="80" width="13" style="309" customWidth="1"/>
    <col min="81" max="81" width="9.140625" style="309" customWidth="1"/>
    <col min="82" max="82" width="35.85546875" style="229" customWidth="1"/>
    <col min="83" max="83" width="35.42578125" style="229" customWidth="1"/>
    <col min="84" max="84" width="28.140625" style="310" customWidth="1"/>
    <col min="85" max="89" width="9.140625" style="229" customWidth="1"/>
    <col min="90" max="90" width="21" style="477" customWidth="1"/>
    <col min="91" max="91" width="28.140625" style="228" hidden="1" customWidth="1"/>
    <col min="92" max="92" width="9.140625" style="228" hidden="1" customWidth="1"/>
    <col min="93" max="93" width="13.28515625" style="279" hidden="1" customWidth="1"/>
    <col min="94" max="94" width="15.140625" style="279" hidden="1" customWidth="1"/>
    <col min="95" max="95" width="9.140625" style="228" hidden="1" customWidth="1"/>
    <col min="96" max="96" width="22.85546875" style="228" hidden="1" customWidth="1"/>
    <col min="97" max="97" width="17.7109375" style="228" hidden="1" customWidth="1"/>
    <col min="98" max="98" width="9.140625" style="228" hidden="1" customWidth="1"/>
    <col min="99" max="99" width="33" style="228" customWidth="1"/>
    <col min="100" max="100" width="20.42578125" style="228" customWidth="1"/>
    <col min="101" max="101" width="17.140625" style="228" customWidth="1"/>
    <col min="102" max="102" width="19.140625" style="228" customWidth="1"/>
    <col min="103" max="16384" width="9.140625" style="229"/>
  </cols>
  <sheetData>
    <row r="1" spans="80:83" x14ac:dyDescent="0.25">
      <c r="CB1" s="478"/>
      <c r="CC1" s="478"/>
      <c r="CD1" s="232"/>
      <c r="CE1" s="232"/>
    </row>
    <row r="2" spans="80:83" x14ac:dyDescent="0.25">
      <c r="CB2" s="478"/>
      <c r="CC2" s="478"/>
      <c r="CD2" s="232"/>
      <c r="CE2" s="232"/>
    </row>
    <row r="3" spans="80:83" ht="14.25" customHeight="1" x14ac:dyDescent="0.25">
      <c r="CB3" s="478"/>
      <c r="CC3" s="478"/>
      <c r="CD3" s="232"/>
      <c r="CE3" s="232"/>
    </row>
    <row r="4" spans="80:83" x14ac:dyDescent="0.25">
      <c r="CB4" s="478"/>
      <c r="CC4" s="478"/>
      <c r="CD4" s="232"/>
      <c r="CE4" s="232"/>
    </row>
    <row r="5" spans="80:83" x14ac:dyDescent="0.25">
      <c r="CB5" s="478"/>
      <c r="CC5" s="478"/>
      <c r="CD5" s="232"/>
      <c r="CE5" s="232"/>
    </row>
    <row r="6" spans="80:83" x14ac:dyDescent="0.25">
      <c r="CB6" s="478"/>
      <c r="CC6" s="478"/>
      <c r="CD6" s="232"/>
      <c r="CE6" s="232"/>
    </row>
    <row r="7" spans="80:83" x14ac:dyDescent="0.25">
      <c r="CB7" s="478"/>
      <c r="CC7" s="478"/>
      <c r="CD7" s="232"/>
      <c r="CE7" s="232"/>
    </row>
    <row r="8" spans="80:83" x14ac:dyDescent="0.25">
      <c r="CB8" s="478"/>
      <c r="CC8" s="478"/>
      <c r="CD8" s="232"/>
      <c r="CE8" s="232"/>
    </row>
    <row r="9" spans="80:83" x14ac:dyDescent="0.25">
      <c r="CB9" s="478"/>
      <c r="CC9" s="478"/>
      <c r="CD9" s="232"/>
      <c r="CE9" s="232"/>
    </row>
    <row r="10" spans="80:83" x14ac:dyDescent="0.25">
      <c r="CB10" s="478"/>
      <c r="CC10" s="478"/>
      <c r="CD10" s="232"/>
      <c r="CE10" s="232"/>
    </row>
    <row r="11" spans="80:83" x14ac:dyDescent="0.25">
      <c r="CB11" s="478"/>
      <c r="CC11" s="478"/>
      <c r="CD11" s="232"/>
      <c r="CE11" s="232"/>
    </row>
    <row r="12" spans="80:83" x14ac:dyDescent="0.25">
      <c r="CB12" s="478"/>
      <c r="CC12" s="478"/>
      <c r="CD12" s="232"/>
      <c r="CE12" s="232"/>
    </row>
    <row r="13" spans="80:83" x14ac:dyDescent="0.25">
      <c r="CB13" s="478"/>
      <c r="CC13" s="478"/>
      <c r="CD13" s="232"/>
      <c r="CE13" s="232"/>
    </row>
    <row r="14" spans="80:83" x14ac:dyDescent="0.25">
      <c r="CB14" s="478"/>
      <c r="CC14" s="478"/>
      <c r="CD14" s="232"/>
      <c r="CE14" s="232"/>
    </row>
    <row r="15" spans="80:83" x14ac:dyDescent="0.25">
      <c r="CB15" s="478"/>
      <c r="CC15" s="478"/>
      <c r="CD15" s="232"/>
      <c r="CE15" s="232"/>
    </row>
    <row r="16" spans="80:83" x14ac:dyDescent="0.25">
      <c r="CB16" s="478"/>
      <c r="CC16" s="478"/>
      <c r="CD16" s="232"/>
      <c r="CE16" s="232"/>
    </row>
    <row r="17" spans="80:83" x14ac:dyDescent="0.25">
      <c r="CB17" s="478"/>
      <c r="CC17" s="478"/>
      <c r="CD17" s="232"/>
      <c r="CE17" s="232"/>
    </row>
    <row r="18" spans="80:83" x14ac:dyDescent="0.25">
      <c r="CB18" s="478"/>
      <c r="CC18" s="478"/>
      <c r="CD18" s="232"/>
      <c r="CE18" s="232"/>
    </row>
    <row r="19" spans="80:83" x14ac:dyDescent="0.25">
      <c r="CB19" s="478"/>
      <c r="CC19" s="478"/>
      <c r="CD19" s="232"/>
      <c r="CE19" s="232"/>
    </row>
    <row r="20" spans="80:83" x14ac:dyDescent="0.25">
      <c r="CB20" s="478"/>
      <c r="CC20" s="478"/>
      <c r="CD20" s="232"/>
      <c r="CE20" s="232"/>
    </row>
    <row r="21" spans="80:83" x14ac:dyDescent="0.25">
      <c r="CB21" s="478"/>
      <c r="CC21" s="478"/>
      <c r="CD21" s="232"/>
      <c r="CE21" s="232"/>
    </row>
    <row r="22" spans="80:83" x14ac:dyDescent="0.25">
      <c r="CB22" s="478"/>
      <c r="CC22" s="478"/>
      <c r="CD22" s="232"/>
      <c r="CE22" s="232"/>
    </row>
    <row r="23" spans="80:83" x14ac:dyDescent="0.25">
      <c r="CB23" s="478"/>
      <c r="CC23" s="478"/>
      <c r="CD23" s="232"/>
      <c r="CE23" s="232"/>
    </row>
    <row r="24" spans="80:83" x14ac:dyDescent="0.25">
      <c r="CB24" s="478"/>
      <c r="CC24" s="478"/>
      <c r="CD24" s="232"/>
      <c r="CE24" s="232"/>
    </row>
    <row r="25" spans="80:83" x14ac:dyDescent="0.25">
      <c r="CB25" s="478"/>
      <c r="CC25" s="478"/>
      <c r="CD25" s="232"/>
      <c r="CE25" s="232"/>
    </row>
    <row r="26" spans="80:83" x14ac:dyDescent="0.25">
      <c r="CB26" s="478"/>
      <c r="CC26" s="478"/>
      <c r="CD26" s="232"/>
      <c r="CE26" s="232"/>
    </row>
    <row r="27" spans="80:83" x14ac:dyDescent="0.25">
      <c r="CB27" s="478"/>
      <c r="CC27" s="478"/>
      <c r="CD27" s="232"/>
      <c r="CE27" s="232"/>
    </row>
    <row r="28" spans="80:83" x14ac:dyDescent="0.25">
      <c r="CB28" s="478"/>
      <c r="CC28" s="478"/>
      <c r="CD28" s="232"/>
      <c r="CE28" s="232"/>
    </row>
    <row r="29" spans="80:83" x14ac:dyDescent="0.25">
      <c r="CB29" s="478"/>
      <c r="CC29" s="478"/>
      <c r="CD29" s="232"/>
      <c r="CE29" s="232"/>
    </row>
    <row r="30" spans="80:83" x14ac:dyDescent="0.25">
      <c r="CB30" s="478"/>
      <c r="CC30" s="478"/>
      <c r="CD30" s="232"/>
      <c r="CE30" s="232"/>
    </row>
    <row r="31" spans="80:83" x14ac:dyDescent="0.25">
      <c r="CB31" s="478"/>
      <c r="CC31" s="478"/>
      <c r="CD31" s="232"/>
      <c r="CE31" s="232"/>
    </row>
    <row r="32" spans="80:83" x14ac:dyDescent="0.25">
      <c r="CB32" s="478"/>
      <c r="CC32" s="478"/>
      <c r="CD32" s="232"/>
      <c r="CE32" s="232"/>
    </row>
    <row r="33" spans="80:83" x14ac:dyDescent="0.25">
      <c r="CB33" s="478"/>
      <c r="CC33" s="478"/>
      <c r="CD33" s="232"/>
      <c r="CE33" s="232"/>
    </row>
    <row r="34" spans="80:83" x14ac:dyDescent="0.25">
      <c r="CB34" s="478"/>
      <c r="CC34" s="478"/>
      <c r="CD34" s="232"/>
      <c r="CE34" s="232"/>
    </row>
    <row r="35" spans="80:83" x14ac:dyDescent="0.25">
      <c r="CB35" s="478"/>
      <c r="CC35" s="478"/>
      <c r="CD35" s="232"/>
      <c r="CE35" s="232"/>
    </row>
    <row r="36" spans="80:83" x14ac:dyDescent="0.25">
      <c r="CB36" s="478"/>
      <c r="CC36" s="478"/>
      <c r="CD36" s="232"/>
      <c r="CE36" s="232"/>
    </row>
    <row r="37" spans="80:83" x14ac:dyDescent="0.25">
      <c r="CB37" s="478"/>
      <c r="CC37" s="478"/>
      <c r="CD37" s="232"/>
      <c r="CE37" s="232"/>
    </row>
    <row r="38" spans="80:83" x14ac:dyDescent="0.25">
      <c r="CB38" s="478"/>
      <c r="CC38" s="478"/>
      <c r="CD38" s="232"/>
      <c r="CE38" s="232"/>
    </row>
    <row r="39" spans="80:83" x14ac:dyDescent="0.25">
      <c r="CB39" s="478"/>
      <c r="CC39" s="478"/>
      <c r="CD39" s="232"/>
      <c r="CE39" s="232"/>
    </row>
    <row r="40" spans="80:83" x14ac:dyDescent="0.25">
      <c r="CB40" s="478"/>
      <c r="CC40" s="478"/>
      <c r="CD40" s="232"/>
      <c r="CE40" s="232"/>
    </row>
    <row r="41" spans="80:83" x14ac:dyDescent="0.25">
      <c r="CB41" s="478"/>
      <c r="CC41" s="478"/>
      <c r="CD41" s="232"/>
      <c r="CE41" s="232"/>
    </row>
    <row r="42" spans="80:83" x14ac:dyDescent="0.25">
      <c r="CB42" s="478"/>
      <c r="CC42" s="478"/>
      <c r="CD42" s="232"/>
      <c r="CE42" s="232"/>
    </row>
    <row r="43" spans="80:83" x14ac:dyDescent="0.25">
      <c r="CB43" s="478"/>
      <c r="CC43" s="478"/>
      <c r="CD43" s="232"/>
      <c r="CE43" s="232"/>
    </row>
    <row r="44" spans="80:83" x14ac:dyDescent="0.25">
      <c r="CB44" s="478"/>
      <c r="CC44" s="478"/>
      <c r="CD44" s="232"/>
      <c r="CE44" s="232"/>
    </row>
    <row r="45" spans="80:83" x14ac:dyDescent="0.25">
      <c r="CB45" s="478"/>
      <c r="CC45" s="478"/>
      <c r="CD45" s="232"/>
      <c r="CE45" s="232"/>
    </row>
    <row r="46" spans="80:83" x14ac:dyDescent="0.25">
      <c r="CB46" s="478"/>
      <c r="CC46" s="478"/>
      <c r="CD46" s="232"/>
      <c r="CE46" s="232"/>
    </row>
    <row r="47" spans="80:83" x14ac:dyDescent="0.25">
      <c r="CB47" s="478"/>
      <c r="CC47" s="478"/>
      <c r="CD47" s="232"/>
      <c r="CE47" s="232"/>
    </row>
    <row r="48" spans="80:83" x14ac:dyDescent="0.25">
      <c r="CB48" s="478"/>
      <c r="CC48" s="478"/>
      <c r="CD48" s="232"/>
      <c r="CE48" s="232"/>
    </row>
    <row r="49" spans="80:83" x14ac:dyDescent="0.25">
      <c r="CB49" s="478"/>
      <c r="CC49" s="478"/>
      <c r="CD49" s="232"/>
      <c r="CE49" s="232"/>
    </row>
    <row r="50" spans="80:83" x14ac:dyDescent="0.25">
      <c r="CB50" s="478"/>
      <c r="CC50" s="478"/>
      <c r="CD50" s="232"/>
      <c r="CE50" s="232"/>
    </row>
    <row r="51" spans="80:83" x14ac:dyDescent="0.25">
      <c r="CB51" s="478"/>
      <c r="CC51" s="478"/>
      <c r="CD51" s="232"/>
      <c r="CE51" s="232"/>
    </row>
    <row r="52" spans="80:83" x14ac:dyDescent="0.25">
      <c r="CB52" s="478"/>
      <c r="CC52" s="478"/>
      <c r="CD52" s="232"/>
      <c r="CE52" s="232"/>
    </row>
    <row r="53" spans="80:83" x14ac:dyDescent="0.25">
      <c r="CB53" s="478"/>
      <c r="CC53" s="478"/>
      <c r="CD53" s="232"/>
      <c r="CE53" s="232"/>
    </row>
    <row r="54" spans="80:83" x14ac:dyDescent="0.25">
      <c r="CB54" s="478"/>
      <c r="CC54" s="478"/>
      <c r="CD54" s="232"/>
      <c r="CE54" s="232"/>
    </row>
    <row r="55" spans="80:83" x14ac:dyDescent="0.25">
      <c r="CB55" s="478"/>
      <c r="CC55" s="478"/>
      <c r="CD55" s="232"/>
      <c r="CE55" s="232"/>
    </row>
    <row r="56" spans="80:83" x14ac:dyDescent="0.25">
      <c r="CB56" s="478"/>
      <c r="CC56" s="478"/>
      <c r="CD56" s="232"/>
      <c r="CE56" s="232"/>
    </row>
    <row r="57" spans="80:83" x14ac:dyDescent="0.25">
      <c r="CB57" s="478"/>
      <c r="CC57" s="478"/>
      <c r="CD57" s="232"/>
      <c r="CE57" s="232"/>
    </row>
    <row r="58" spans="80:83" x14ac:dyDescent="0.25">
      <c r="CB58" s="478"/>
      <c r="CC58" s="478"/>
      <c r="CD58" s="232"/>
      <c r="CE58" s="232"/>
    </row>
    <row r="59" spans="80:83" x14ac:dyDescent="0.25">
      <c r="CB59" s="478"/>
      <c r="CC59" s="478"/>
      <c r="CD59" s="232"/>
      <c r="CE59" s="232"/>
    </row>
    <row r="60" spans="80:83" x14ac:dyDescent="0.25">
      <c r="CB60" s="478"/>
      <c r="CC60" s="478"/>
      <c r="CD60" s="232"/>
      <c r="CE60" s="232"/>
    </row>
    <row r="61" spans="80:83" x14ac:dyDescent="0.25">
      <c r="CB61" s="478"/>
      <c r="CC61" s="478"/>
      <c r="CD61" s="232"/>
      <c r="CE61" s="232"/>
    </row>
    <row r="62" spans="80:83" x14ac:dyDescent="0.25">
      <c r="CB62" s="478"/>
      <c r="CC62" s="478"/>
      <c r="CD62" s="232"/>
      <c r="CE62" s="232"/>
    </row>
    <row r="63" spans="80:83" x14ac:dyDescent="0.25">
      <c r="CB63" s="478"/>
      <c r="CC63" s="478"/>
      <c r="CD63" s="232"/>
      <c r="CE63" s="232"/>
    </row>
    <row r="64" spans="80:83" x14ac:dyDescent="0.25">
      <c r="CB64" s="478"/>
      <c r="CC64" s="478"/>
      <c r="CD64" s="232"/>
      <c r="CE64" s="232"/>
    </row>
    <row r="65" spans="80:83" x14ac:dyDescent="0.25">
      <c r="CB65" s="478"/>
      <c r="CC65" s="478"/>
      <c r="CD65" s="232"/>
      <c r="CE65" s="232"/>
    </row>
    <row r="66" spans="80:83" x14ac:dyDescent="0.25">
      <c r="CB66" s="478"/>
      <c r="CC66" s="478"/>
      <c r="CD66" s="232"/>
      <c r="CE66" s="232"/>
    </row>
    <row r="67" spans="80:83" x14ac:dyDescent="0.25">
      <c r="CB67" s="478"/>
      <c r="CC67" s="478"/>
      <c r="CD67" s="232"/>
      <c r="CE67" s="232"/>
    </row>
    <row r="68" spans="80:83" x14ac:dyDescent="0.25">
      <c r="CB68" s="478"/>
      <c r="CC68" s="478"/>
      <c r="CD68" s="232"/>
      <c r="CE68" s="232"/>
    </row>
    <row r="69" spans="80:83" x14ac:dyDescent="0.25">
      <c r="CB69" s="478"/>
      <c r="CC69" s="478"/>
      <c r="CD69" s="232"/>
      <c r="CE69" s="232"/>
    </row>
    <row r="70" spans="80:83" x14ac:dyDescent="0.25">
      <c r="CB70" s="478"/>
      <c r="CC70" s="478"/>
      <c r="CD70" s="232"/>
      <c r="CE70" s="232"/>
    </row>
    <row r="71" spans="80:83" x14ac:dyDescent="0.25">
      <c r="CB71" s="478"/>
      <c r="CC71" s="478"/>
      <c r="CD71" s="232"/>
      <c r="CE71" s="232"/>
    </row>
    <row r="72" spans="80:83" x14ac:dyDescent="0.25">
      <c r="CB72" s="478"/>
      <c r="CC72" s="478"/>
      <c r="CD72" s="232"/>
      <c r="CE72" s="232"/>
    </row>
    <row r="73" spans="80:83" x14ac:dyDescent="0.25">
      <c r="CB73" s="478"/>
      <c r="CC73" s="478"/>
      <c r="CD73" s="232"/>
      <c r="CE73" s="232"/>
    </row>
    <row r="74" spans="80:83" x14ac:dyDescent="0.25">
      <c r="CB74" s="478"/>
      <c r="CC74" s="478"/>
      <c r="CD74" s="232"/>
      <c r="CE74" s="232"/>
    </row>
    <row r="75" spans="80:83" x14ac:dyDescent="0.25">
      <c r="CB75" s="478"/>
      <c r="CC75" s="478"/>
      <c r="CD75" s="232"/>
      <c r="CE75" s="232"/>
    </row>
    <row r="76" spans="80:83" x14ac:dyDescent="0.25">
      <c r="CB76" s="478"/>
      <c r="CC76" s="478"/>
      <c r="CD76" s="232"/>
      <c r="CE76" s="232"/>
    </row>
    <row r="77" spans="80:83" x14ac:dyDescent="0.25">
      <c r="CB77" s="478"/>
      <c r="CC77" s="478"/>
      <c r="CD77" s="232"/>
      <c r="CE77" s="232"/>
    </row>
    <row r="78" spans="80:83" x14ac:dyDescent="0.25">
      <c r="CB78" s="478"/>
      <c r="CC78" s="478"/>
      <c r="CD78" s="232"/>
      <c r="CE78" s="232"/>
    </row>
    <row r="79" spans="80:83" x14ac:dyDescent="0.25">
      <c r="CB79" s="478"/>
      <c r="CC79" s="478"/>
      <c r="CD79" s="232"/>
      <c r="CE79" s="232"/>
    </row>
    <row r="80" spans="80:83" x14ac:dyDescent="0.25">
      <c r="CB80" s="478"/>
      <c r="CC80" s="478"/>
      <c r="CD80" s="232"/>
      <c r="CE80" s="232"/>
    </row>
    <row r="81" spans="80:83" x14ac:dyDescent="0.25">
      <c r="CB81" s="478"/>
      <c r="CC81" s="478"/>
      <c r="CD81" s="232"/>
      <c r="CE81" s="232"/>
    </row>
    <row r="82" spans="80:83" x14ac:dyDescent="0.25">
      <c r="CB82" s="478"/>
      <c r="CC82" s="478"/>
      <c r="CD82" s="232"/>
      <c r="CE82" s="232"/>
    </row>
    <row r="83" spans="80:83" x14ac:dyDescent="0.25">
      <c r="CB83" s="478"/>
      <c r="CC83" s="478"/>
      <c r="CD83" s="232"/>
      <c r="CE83" s="232"/>
    </row>
    <row r="84" spans="80:83" x14ac:dyDescent="0.25">
      <c r="CB84" s="478"/>
      <c r="CC84" s="478"/>
      <c r="CD84" s="232"/>
      <c r="CE84" s="232"/>
    </row>
    <row r="85" spans="80:83" x14ac:dyDescent="0.25">
      <c r="CB85" s="478"/>
      <c r="CC85" s="478"/>
      <c r="CD85" s="232"/>
      <c r="CE85" s="232"/>
    </row>
    <row r="86" spans="80:83" x14ac:dyDescent="0.25">
      <c r="CB86" s="478"/>
      <c r="CC86" s="478"/>
      <c r="CD86" s="232"/>
      <c r="CE86" s="232"/>
    </row>
    <row r="87" spans="80:83" x14ac:dyDescent="0.25">
      <c r="CB87" s="478"/>
      <c r="CC87" s="478"/>
      <c r="CD87" s="232"/>
      <c r="CE87" s="232"/>
    </row>
    <row r="88" spans="80:83" x14ac:dyDescent="0.25">
      <c r="CB88" s="478"/>
      <c r="CC88" s="478"/>
      <c r="CD88" s="232"/>
      <c r="CE88" s="232"/>
    </row>
    <row r="89" spans="80:83" x14ac:dyDescent="0.25">
      <c r="CB89" s="478"/>
      <c r="CC89" s="478"/>
      <c r="CD89" s="232"/>
      <c r="CE89" s="232"/>
    </row>
    <row r="90" spans="80:83" x14ac:dyDescent="0.25">
      <c r="CB90" s="478"/>
      <c r="CC90" s="478"/>
      <c r="CD90" s="232"/>
      <c r="CE90" s="232"/>
    </row>
    <row r="91" spans="80:83" x14ac:dyDescent="0.25">
      <c r="CB91" s="478"/>
      <c r="CC91" s="478"/>
      <c r="CD91" s="232"/>
      <c r="CE91" s="232"/>
    </row>
    <row r="92" spans="80:83" x14ac:dyDescent="0.25">
      <c r="CB92" s="478"/>
      <c r="CC92" s="478"/>
      <c r="CD92" s="232"/>
      <c r="CE92" s="232"/>
    </row>
    <row r="93" spans="80:83" x14ac:dyDescent="0.25">
      <c r="CB93" s="478"/>
      <c r="CC93" s="478"/>
      <c r="CD93" s="232"/>
      <c r="CE93" s="232"/>
    </row>
    <row r="94" spans="80:83" x14ac:dyDescent="0.25">
      <c r="CB94" s="478"/>
      <c r="CC94" s="478"/>
      <c r="CD94" s="232"/>
      <c r="CE94" s="232"/>
    </row>
    <row r="95" spans="80:83" x14ac:dyDescent="0.25">
      <c r="CB95" s="478"/>
      <c r="CC95" s="478"/>
      <c r="CD95" s="232"/>
      <c r="CE95" s="232"/>
    </row>
    <row r="96" spans="80:83" x14ac:dyDescent="0.25">
      <c r="CB96" s="478"/>
      <c r="CC96" s="478"/>
      <c r="CD96" s="232"/>
      <c r="CE96" s="232"/>
    </row>
    <row r="97" spans="80:83" x14ac:dyDescent="0.25">
      <c r="CB97" s="478"/>
      <c r="CC97" s="478"/>
      <c r="CD97" s="232"/>
      <c r="CE97" s="232"/>
    </row>
    <row r="98" spans="80:83" x14ac:dyDescent="0.25">
      <c r="CB98" s="478"/>
      <c r="CC98" s="478"/>
      <c r="CD98" s="232"/>
      <c r="CE98" s="232"/>
    </row>
    <row r="99" spans="80:83" x14ac:dyDescent="0.25">
      <c r="CB99" s="478"/>
      <c r="CC99" s="478"/>
      <c r="CD99" s="232"/>
      <c r="CE99" s="232"/>
    </row>
    <row r="100" spans="80:83" x14ac:dyDescent="0.25">
      <c r="CB100" s="478"/>
      <c r="CC100" s="478"/>
      <c r="CD100" s="232"/>
      <c r="CE100" s="232"/>
    </row>
    <row r="101" spans="80:83" x14ac:dyDescent="0.25">
      <c r="CB101" s="478"/>
      <c r="CC101" s="478"/>
      <c r="CD101" s="232"/>
      <c r="CE101" s="232"/>
    </row>
    <row r="102" spans="80:83" x14ac:dyDescent="0.25">
      <c r="CB102" s="478"/>
      <c r="CC102" s="478"/>
      <c r="CD102" s="232"/>
      <c r="CE102" s="232"/>
    </row>
    <row r="103" spans="80:83" x14ac:dyDescent="0.25">
      <c r="CB103" s="478"/>
      <c r="CC103" s="478"/>
      <c r="CD103" s="232"/>
      <c r="CE103" s="232"/>
    </row>
    <row r="104" spans="80:83" x14ac:dyDescent="0.25">
      <c r="CB104" s="478"/>
      <c r="CC104" s="478"/>
      <c r="CD104" s="232"/>
      <c r="CE104" s="232"/>
    </row>
    <row r="105" spans="80:83" x14ac:dyDescent="0.25">
      <c r="CB105" s="478"/>
      <c r="CC105" s="478"/>
      <c r="CD105" s="232"/>
      <c r="CE105" s="232"/>
    </row>
    <row r="106" spans="80:83" x14ac:dyDescent="0.25">
      <c r="CB106" s="478"/>
      <c r="CC106" s="478"/>
      <c r="CD106" s="232"/>
      <c r="CE106" s="232"/>
    </row>
    <row r="107" spans="80:83" x14ac:dyDescent="0.25">
      <c r="CB107" s="478"/>
      <c r="CC107" s="478"/>
      <c r="CD107" s="232"/>
      <c r="CE107" s="232"/>
    </row>
    <row r="108" spans="80:83" x14ac:dyDescent="0.25">
      <c r="CB108" s="478"/>
      <c r="CC108" s="478"/>
      <c r="CD108" s="232"/>
      <c r="CE108" s="232"/>
    </row>
    <row r="109" spans="80:83" x14ac:dyDescent="0.25">
      <c r="CB109" s="478"/>
      <c r="CC109" s="478"/>
      <c r="CD109" s="232"/>
      <c r="CE109" s="232"/>
    </row>
    <row r="110" spans="80:83" x14ac:dyDescent="0.25">
      <c r="CB110" s="478"/>
      <c r="CC110" s="478"/>
      <c r="CD110" s="232"/>
      <c r="CE110" s="232"/>
    </row>
    <row r="111" spans="80:83" x14ac:dyDescent="0.25">
      <c r="CB111" s="478"/>
      <c r="CC111" s="478"/>
      <c r="CD111" s="232"/>
      <c r="CE111" s="232"/>
    </row>
    <row r="112" spans="80:83" x14ac:dyDescent="0.25">
      <c r="CB112" s="478"/>
      <c r="CC112" s="478"/>
      <c r="CD112" s="232"/>
      <c r="CE112" s="232"/>
    </row>
    <row r="113" spans="80:83" x14ac:dyDescent="0.25">
      <c r="CB113" s="478"/>
      <c r="CC113" s="478"/>
      <c r="CD113" s="232"/>
      <c r="CE113" s="232"/>
    </row>
    <row r="114" spans="80:83" x14ac:dyDescent="0.25">
      <c r="CB114" s="478"/>
      <c r="CC114" s="478"/>
      <c r="CD114" s="232"/>
      <c r="CE114" s="232"/>
    </row>
    <row r="115" spans="80:83" x14ac:dyDescent="0.25">
      <c r="CB115" s="478"/>
      <c r="CC115" s="478"/>
      <c r="CD115" s="232"/>
      <c r="CE115" s="232"/>
    </row>
    <row r="116" spans="80:83" x14ac:dyDescent="0.25">
      <c r="CB116" s="478"/>
      <c r="CC116" s="478"/>
      <c r="CD116" s="232"/>
      <c r="CE116" s="232"/>
    </row>
    <row r="117" spans="80:83" x14ac:dyDescent="0.25">
      <c r="CB117" s="478"/>
      <c r="CC117" s="478"/>
      <c r="CD117" s="232"/>
      <c r="CE117" s="232"/>
    </row>
    <row r="118" spans="80:83" x14ac:dyDescent="0.25">
      <c r="CB118" s="478"/>
      <c r="CC118" s="478"/>
      <c r="CD118" s="232"/>
      <c r="CE118" s="232"/>
    </row>
    <row r="119" spans="80:83" x14ac:dyDescent="0.25">
      <c r="CB119" s="478"/>
      <c r="CC119" s="478"/>
      <c r="CD119" s="232"/>
      <c r="CE119" s="232"/>
    </row>
    <row r="120" spans="80:83" x14ac:dyDescent="0.25">
      <c r="CB120" s="478"/>
      <c r="CC120" s="478"/>
      <c r="CD120" s="232"/>
      <c r="CE120" s="232"/>
    </row>
    <row r="121" spans="80:83" x14ac:dyDescent="0.25">
      <c r="CB121" s="478"/>
      <c r="CC121" s="478"/>
      <c r="CD121" s="232"/>
      <c r="CE121" s="232"/>
    </row>
    <row r="122" spans="80:83" x14ac:dyDescent="0.25">
      <c r="CB122" s="478"/>
      <c r="CC122" s="478"/>
      <c r="CD122" s="232"/>
      <c r="CE122" s="232"/>
    </row>
    <row r="123" spans="80:83" x14ac:dyDescent="0.25">
      <c r="CB123" s="478"/>
      <c r="CC123" s="478"/>
      <c r="CD123" s="232"/>
      <c r="CE123" s="232"/>
    </row>
    <row r="124" spans="80:83" x14ac:dyDescent="0.25">
      <c r="CB124" s="478"/>
      <c r="CC124" s="478"/>
      <c r="CD124" s="232"/>
      <c r="CE124" s="232"/>
    </row>
    <row r="125" spans="80:83" x14ac:dyDescent="0.25">
      <c r="CB125" s="478"/>
      <c r="CC125" s="478"/>
      <c r="CD125" s="232"/>
      <c r="CE125" s="232"/>
    </row>
    <row r="126" spans="80:83" x14ac:dyDescent="0.25">
      <c r="CB126" s="478"/>
      <c r="CC126" s="478"/>
      <c r="CD126" s="232"/>
      <c r="CE126" s="232"/>
    </row>
    <row r="127" spans="80:83" x14ac:dyDescent="0.25">
      <c r="CB127" s="478"/>
      <c r="CC127" s="478"/>
      <c r="CD127" s="232"/>
      <c r="CE127" s="232"/>
    </row>
    <row r="128" spans="80:83" x14ac:dyDescent="0.25">
      <c r="CB128" s="478"/>
      <c r="CC128" s="478"/>
      <c r="CD128" s="232"/>
      <c r="CE128" s="232"/>
    </row>
    <row r="129" spans="80:83" x14ac:dyDescent="0.25">
      <c r="CB129" s="478"/>
      <c r="CC129" s="478"/>
      <c r="CD129" s="232"/>
      <c r="CE129" s="232"/>
    </row>
    <row r="130" spans="80:83" x14ac:dyDescent="0.25">
      <c r="CB130" s="478"/>
      <c r="CC130" s="478"/>
      <c r="CD130" s="232"/>
      <c r="CE130" s="232"/>
    </row>
    <row r="131" spans="80:83" x14ac:dyDescent="0.25">
      <c r="CB131" s="478"/>
      <c r="CC131" s="478"/>
      <c r="CD131" s="232"/>
      <c r="CE131" s="232"/>
    </row>
    <row r="132" spans="80:83" x14ac:dyDescent="0.25">
      <c r="CB132" s="478"/>
      <c r="CC132" s="478"/>
      <c r="CD132" s="232"/>
      <c r="CE132" s="232"/>
    </row>
    <row r="133" spans="80:83" x14ac:dyDescent="0.25">
      <c r="CB133" s="478"/>
      <c r="CC133" s="478"/>
      <c r="CD133" s="232"/>
      <c r="CE133" s="232"/>
    </row>
    <row r="134" spans="80:83" x14ac:dyDescent="0.25">
      <c r="CB134" s="478"/>
      <c r="CC134" s="478"/>
      <c r="CD134" s="232"/>
      <c r="CE134" s="232"/>
    </row>
    <row r="135" spans="80:83" x14ac:dyDescent="0.25">
      <c r="CB135" s="478"/>
      <c r="CC135" s="478"/>
      <c r="CD135" s="232"/>
      <c r="CE135" s="232"/>
    </row>
    <row r="136" spans="80:83" x14ac:dyDescent="0.25">
      <c r="CB136" s="478"/>
      <c r="CC136" s="478"/>
      <c r="CD136" s="232"/>
      <c r="CE136" s="232"/>
    </row>
    <row r="137" spans="80:83" x14ac:dyDescent="0.25">
      <c r="CB137" s="478"/>
      <c r="CC137" s="478"/>
      <c r="CD137" s="232"/>
      <c r="CE137" s="232"/>
    </row>
    <row r="138" spans="80:83" x14ac:dyDescent="0.25">
      <c r="CB138" s="478"/>
      <c r="CC138" s="478"/>
      <c r="CD138" s="232"/>
      <c r="CE138" s="232"/>
    </row>
    <row r="139" spans="80:83" x14ac:dyDescent="0.25">
      <c r="CB139" s="478"/>
      <c r="CC139" s="478"/>
      <c r="CD139" s="232"/>
      <c r="CE139" s="232"/>
    </row>
    <row r="140" spans="80:83" x14ac:dyDescent="0.25">
      <c r="CB140" s="478"/>
      <c r="CC140" s="478"/>
      <c r="CD140" s="232"/>
      <c r="CE140" s="232"/>
    </row>
    <row r="141" spans="80:83" x14ac:dyDescent="0.25">
      <c r="CB141" s="478"/>
      <c r="CC141" s="478"/>
      <c r="CD141" s="232"/>
      <c r="CE141" s="232"/>
    </row>
    <row r="142" spans="80:83" x14ac:dyDescent="0.25">
      <c r="CB142" s="478"/>
      <c r="CC142" s="478"/>
      <c r="CD142" s="232"/>
      <c r="CE142" s="232"/>
    </row>
    <row r="143" spans="80:83" x14ac:dyDescent="0.25">
      <c r="CB143" s="478"/>
      <c r="CC143" s="478"/>
      <c r="CD143" s="232"/>
      <c r="CE143" s="232"/>
    </row>
    <row r="144" spans="80:83" x14ac:dyDescent="0.25">
      <c r="CB144" s="478"/>
      <c r="CC144" s="478"/>
      <c r="CD144" s="232"/>
      <c r="CE144" s="232"/>
    </row>
    <row r="145" spans="80:83" x14ac:dyDescent="0.25">
      <c r="CB145" s="478"/>
      <c r="CC145" s="478"/>
      <c r="CD145" s="232"/>
      <c r="CE145" s="232"/>
    </row>
    <row r="146" spans="80:83" x14ac:dyDescent="0.25">
      <c r="CB146" s="478"/>
      <c r="CC146" s="478"/>
      <c r="CD146" s="232"/>
      <c r="CE146" s="232"/>
    </row>
    <row r="147" spans="80:83" x14ac:dyDescent="0.25">
      <c r="CB147" s="478"/>
      <c r="CC147" s="478"/>
      <c r="CD147" s="232"/>
      <c r="CE147" s="232"/>
    </row>
    <row r="148" spans="80:83" x14ac:dyDescent="0.25">
      <c r="CB148" s="478"/>
      <c r="CC148" s="478"/>
      <c r="CD148" s="232"/>
      <c r="CE148" s="232"/>
    </row>
    <row r="149" spans="80:83" x14ac:dyDescent="0.25">
      <c r="CB149" s="478"/>
      <c r="CC149" s="478"/>
      <c r="CD149" s="232"/>
      <c r="CE149" s="232"/>
    </row>
    <row r="150" spans="80:83" x14ac:dyDescent="0.25">
      <c r="CB150" s="478"/>
      <c r="CC150" s="478"/>
      <c r="CD150" s="232"/>
      <c r="CE150" s="232"/>
    </row>
    <row r="151" spans="80:83" x14ac:dyDescent="0.25">
      <c r="CB151" s="478"/>
      <c r="CC151" s="478"/>
      <c r="CD151" s="232"/>
      <c r="CE151" s="232"/>
    </row>
    <row r="152" spans="80:83" x14ac:dyDescent="0.25">
      <c r="CB152" s="478"/>
      <c r="CC152" s="478"/>
      <c r="CD152" s="232"/>
      <c r="CE152" s="232"/>
    </row>
    <row r="153" spans="80:83" x14ac:dyDescent="0.25">
      <c r="CB153" s="478"/>
      <c r="CC153" s="478"/>
      <c r="CD153" s="232"/>
      <c r="CE153" s="232"/>
    </row>
    <row r="154" spans="80:83" x14ac:dyDescent="0.25">
      <c r="CB154" s="478"/>
      <c r="CC154" s="478"/>
      <c r="CD154" s="232"/>
      <c r="CE154" s="232"/>
    </row>
    <row r="155" spans="80:83" x14ac:dyDescent="0.25">
      <c r="CB155" s="478"/>
      <c r="CC155" s="478"/>
      <c r="CD155" s="232"/>
      <c r="CE155" s="232"/>
    </row>
    <row r="156" spans="80:83" x14ac:dyDescent="0.25">
      <c r="CB156" s="478"/>
      <c r="CC156" s="478"/>
      <c r="CD156" s="232"/>
      <c r="CE156" s="232"/>
    </row>
    <row r="157" spans="80:83" x14ac:dyDescent="0.25">
      <c r="CB157" s="478"/>
      <c r="CC157" s="478"/>
      <c r="CD157" s="232"/>
      <c r="CE157" s="232"/>
    </row>
    <row r="158" spans="80:83" x14ac:dyDescent="0.25">
      <c r="CB158" s="478"/>
      <c r="CC158" s="478"/>
      <c r="CD158" s="232"/>
      <c r="CE158" s="232"/>
    </row>
    <row r="159" spans="80:83" x14ac:dyDescent="0.25">
      <c r="CB159" s="478"/>
      <c r="CC159" s="478"/>
      <c r="CD159" s="232"/>
      <c r="CE159" s="232"/>
    </row>
    <row r="160" spans="80:83" x14ac:dyDescent="0.25">
      <c r="CB160" s="478"/>
      <c r="CC160" s="478"/>
      <c r="CD160" s="232"/>
      <c r="CE160" s="232"/>
    </row>
    <row r="161" spans="80:83" x14ac:dyDescent="0.25">
      <c r="CB161" s="478"/>
      <c r="CC161" s="478"/>
      <c r="CD161" s="232"/>
      <c r="CE161" s="232"/>
    </row>
    <row r="162" spans="80:83" x14ac:dyDescent="0.25">
      <c r="CB162" s="478"/>
      <c r="CC162" s="478"/>
      <c r="CD162" s="232"/>
      <c r="CE162" s="232"/>
    </row>
    <row r="163" spans="80:83" x14ac:dyDescent="0.25">
      <c r="CB163" s="478"/>
      <c r="CC163" s="478"/>
      <c r="CD163" s="232"/>
      <c r="CE163" s="232"/>
    </row>
    <row r="164" spans="80:83" x14ac:dyDescent="0.25">
      <c r="CB164" s="478"/>
      <c r="CC164" s="478"/>
      <c r="CD164" s="232"/>
      <c r="CE164" s="232"/>
    </row>
    <row r="165" spans="80:83" x14ac:dyDescent="0.25">
      <c r="CB165" s="478"/>
      <c r="CC165" s="478"/>
      <c r="CD165" s="232"/>
      <c r="CE165" s="232"/>
    </row>
    <row r="166" spans="80:83" x14ac:dyDescent="0.25">
      <c r="CB166" s="478"/>
      <c r="CC166" s="478"/>
      <c r="CD166" s="232"/>
      <c r="CE166" s="232"/>
    </row>
    <row r="167" spans="80:83" x14ac:dyDescent="0.25">
      <c r="CB167" s="478"/>
      <c r="CC167" s="478"/>
      <c r="CD167" s="232"/>
      <c r="CE167" s="232"/>
    </row>
    <row r="168" spans="80:83" x14ac:dyDescent="0.25">
      <c r="CB168" s="478"/>
      <c r="CC168" s="478"/>
      <c r="CD168" s="232"/>
      <c r="CE168" s="232"/>
    </row>
    <row r="169" spans="80:83" x14ac:dyDescent="0.25">
      <c r="CB169" s="478"/>
      <c r="CC169" s="478"/>
      <c r="CD169" s="232"/>
      <c r="CE169" s="232"/>
    </row>
    <row r="170" spans="80:83" x14ac:dyDescent="0.25">
      <c r="CB170" s="478"/>
      <c r="CC170" s="478"/>
      <c r="CD170" s="232"/>
      <c r="CE170" s="232"/>
    </row>
    <row r="171" spans="80:83" x14ac:dyDescent="0.25">
      <c r="CB171" s="478"/>
      <c r="CC171" s="478"/>
      <c r="CD171" s="232"/>
      <c r="CE171" s="232"/>
    </row>
    <row r="172" spans="80:83" x14ac:dyDescent="0.25">
      <c r="CB172" s="478"/>
      <c r="CC172" s="478"/>
      <c r="CD172" s="232"/>
      <c r="CE172" s="232"/>
    </row>
    <row r="173" spans="80:83" x14ac:dyDescent="0.25">
      <c r="CB173" s="478"/>
      <c r="CC173" s="478"/>
      <c r="CD173" s="232"/>
      <c r="CE173" s="232"/>
    </row>
    <row r="174" spans="80:83" x14ac:dyDescent="0.25">
      <c r="CB174" s="478"/>
      <c r="CC174" s="478"/>
      <c r="CD174" s="232"/>
      <c r="CE174" s="232"/>
    </row>
    <row r="175" spans="80:83" x14ac:dyDescent="0.25">
      <c r="CB175" s="478"/>
      <c r="CC175" s="478"/>
      <c r="CD175" s="232"/>
      <c r="CE175" s="232"/>
    </row>
    <row r="176" spans="80:83" x14ac:dyDescent="0.25">
      <c r="CB176" s="478"/>
      <c r="CC176" s="478"/>
      <c r="CD176" s="232"/>
      <c r="CE176" s="232"/>
    </row>
    <row r="177" spans="80:83" x14ac:dyDescent="0.25">
      <c r="CB177" s="478"/>
      <c r="CC177" s="478"/>
      <c r="CD177" s="232"/>
      <c r="CE177" s="232"/>
    </row>
    <row r="178" spans="80:83" x14ac:dyDescent="0.25">
      <c r="CB178" s="478"/>
      <c r="CC178" s="478"/>
      <c r="CD178" s="232"/>
      <c r="CE178" s="232"/>
    </row>
    <row r="179" spans="80:83" x14ac:dyDescent="0.25">
      <c r="CB179" s="478"/>
      <c r="CC179" s="478"/>
      <c r="CD179" s="232"/>
      <c r="CE179" s="232"/>
    </row>
    <row r="180" spans="80:83" x14ac:dyDescent="0.25">
      <c r="CB180" s="478"/>
      <c r="CC180" s="478"/>
      <c r="CD180" s="232"/>
      <c r="CE180" s="232"/>
    </row>
    <row r="181" spans="80:83" x14ac:dyDescent="0.25">
      <c r="CB181" s="478"/>
      <c r="CC181" s="478"/>
      <c r="CD181" s="232"/>
      <c r="CE181" s="232"/>
    </row>
    <row r="182" spans="80:83" x14ac:dyDescent="0.25">
      <c r="CB182" s="478"/>
      <c r="CC182" s="478"/>
      <c r="CD182" s="232"/>
      <c r="CE182" s="232"/>
    </row>
    <row r="183" spans="80:83" x14ac:dyDescent="0.25">
      <c r="CB183" s="478"/>
      <c r="CC183" s="478"/>
      <c r="CD183" s="232"/>
      <c r="CE183" s="232"/>
    </row>
    <row r="184" spans="80:83" x14ac:dyDescent="0.25">
      <c r="CB184" s="478"/>
      <c r="CC184" s="478"/>
      <c r="CD184" s="232"/>
      <c r="CE184" s="232"/>
    </row>
    <row r="185" spans="80:83" x14ac:dyDescent="0.25">
      <c r="CB185" s="478"/>
      <c r="CC185" s="478"/>
      <c r="CD185" s="232"/>
      <c r="CE185" s="232"/>
    </row>
    <row r="186" spans="80:83" x14ac:dyDescent="0.25">
      <c r="CB186" s="478"/>
      <c r="CC186" s="478"/>
      <c r="CD186" s="232"/>
      <c r="CE186" s="232"/>
    </row>
    <row r="187" spans="80:83" x14ac:dyDescent="0.25">
      <c r="CB187" s="478"/>
      <c r="CC187" s="478"/>
      <c r="CD187" s="232"/>
      <c r="CE187" s="232"/>
    </row>
    <row r="188" spans="80:83" x14ac:dyDescent="0.25">
      <c r="CB188" s="478"/>
      <c r="CC188" s="478"/>
      <c r="CD188" s="232"/>
      <c r="CE188" s="232"/>
    </row>
    <row r="189" spans="80:83" x14ac:dyDescent="0.25">
      <c r="CB189" s="478"/>
      <c r="CC189" s="478"/>
      <c r="CD189" s="232"/>
      <c r="CE189" s="232"/>
    </row>
    <row r="190" spans="80:83" x14ac:dyDescent="0.25">
      <c r="CB190" s="478"/>
      <c r="CC190" s="478"/>
      <c r="CD190" s="232"/>
      <c r="CE190" s="232"/>
    </row>
    <row r="191" spans="80:83" x14ac:dyDescent="0.25">
      <c r="CB191" s="478"/>
      <c r="CC191" s="478"/>
      <c r="CD191" s="232"/>
      <c r="CE191" s="232"/>
    </row>
    <row r="192" spans="80:83" x14ac:dyDescent="0.25">
      <c r="CB192" s="478"/>
      <c r="CC192" s="478"/>
      <c r="CD192" s="232"/>
      <c r="CE192" s="232"/>
    </row>
    <row r="193" spans="80:83" x14ac:dyDescent="0.25">
      <c r="CB193" s="478"/>
      <c r="CC193" s="478"/>
      <c r="CD193" s="232"/>
      <c r="CE193" s="232"/>
    </row>
    <row r="194" spans="80:83" x14ac:dyDescent="0.25">
      <c r="CB194" s="478"/>
      <c r="CC194" s="478"/>
      <c r="CD194" s="232"/>
      <c r="CE194" s="232"/>
    </row>
    <row r="195" spans="80:83" x14ac:dyDescent="0.25">
      <c r="CB195" s="478"/>
      <c r="CC195" s="478"/>
      <c r="CD195" s="232"/>
      <c r="CE195" s="232"/>
    </row>
    <row r="196" spans="80:83" x14ac:dyDescent="0.25">
      <c r="CB196" s="478"/>
      <c r="CC196" s="478"/>
      <c r="CD196" s="232"/>
      <c r="CE196" s="232"/>
    </row>
    <row r="197" spans="80:83" x14ac:dyDescent="0.25">
      <c r="CB197" s="478"/>
      <c r="CC197" s="478"/>
      <c r="CD197" s="232"/>
      <c r="CE197" s="232"/>
    </row>
    <row r="198" spans="80:83" x14ac:dyDescent="0.25">
      <c r="CB198" s="478"/>
      <c r="CC198" s="478"/>
      <c r="CD198" s="232"/>
      <c r="CE198" s="232"/>
    </row>
    <row r="199" spans="80:83" x14ac:dyDescent="0.25">
      <c r="CB199" s="478"/>
      <c r="CC199" s="478"/>
      <c r="CD199" s="232"/>
      <c r="CE199" s="232"/>
    </row>
    <row r="200" spans="80:83" x14ac:dyDescent="0.25">
      <c r="CB200" s="478"/>
      <c r="CC200" s="478"/>
      <c r="CD200" s="232"/>
      <c r="CE200" s="232"/>
    </row>
    <row r="201" spans="80:83" x14ac:dyDescent="0.25">
      <c r="CB201" s="478"/>
      <c r="CC201" s="478"/>
      <c r="CD201" s="232"/>
      <c r="CE201" s="232"/>
    </row>
    <row r="202" spans="80:83" x14ac:dyDescent="0.25">
      <c r="CB202" s="478"/>
      <c r="CC202" s="478"/>
      <c r="CD202" s="232"/>
      <c r="CE202" s="232"/>
    </row>
    <row r="203" spans="80:83" x14ac:dyDescent="0.25">
      <c r="CB203" s="478"/>
      <c r="CC203" s="478"/>
      <c r="CD203" s="232"/>
      <c r="CE203" s="232"/>
    </row>
    <row r="204" spans="80:83" x14ac:dyDescent="0.25">
      <c r="CB204" s="478"/>
      <c r="CC204" s="478"/>
      <c r="CD204" s="232"/>
      <c r="CE204" s="232"/>
    </row>
    <row r="205" spans="80:83" x14ac:dyDescent="0.25">
      <c r="CB205" s="478"/>
      <c r="CC205" s="478"/>
      <c r="CD205" s="232"/>
      <c r="CE205" s="232"/>
    </row>
    <row r="206" spans="80:83" x14ac:dyDescent="0.25">
      <c r="CB206" s="478"/>
      <c r="CC206" s="478"/>
      <c r="CD206" s="232"/>
      <c r="CE206" s="232"/>
    </row>
    <row r="207" spans="80:83" x14ac:dyDescent="0.25">
      <c r="CB207" s="478"/>
      <c r="CC207" s="478"/>
      <c r="CD207" s="232"/>
      <c r="CE207" s="232"/>
    </row>
    <row r="208" spans="80:83" x14ac:dyDescent="0.25">
      <c r="CB208" s="478"/>
      <c r="CC208" s="478"/>
      <c r="CD208" s="232"/>
      <c r="CE208" s="232"/>
    </row>
    <row r="209" spans="80:83" x14ac:dyDescent="0.25">
      <c r="CB209" s="478"/>
      <c r="CC209" s="478"/>
      <c r="CD209" s="232"/>
      <c r="CE209" s="232"/>
    </row>
    <row r="210" spans="80:83" x14ac:dyDescent="0.25">
      <c r="CB210" s="478"/>
      <c r="CC210" s="478"/>
      <c r="CD210" s="232"/>
      <c r="CE210" s="232"/>
    </row>
    <row r="211" spans="80:83" x14ac:dyDescent="0.25">
      <c r="CB211" s="478"/>
      <c r="CC211" s="478"/>
      <c r="CD211" s="232"/>
      <c r="CE211" s="232"/>
    </row>
    <row r="212" spans="80:83" x14ac:dyDescent="0.25">
      <c r="CB212" s="478"/>
      <c r="CC212" s="478"/>
      <c r="CD212" s="232"/>
      <c r="CE212" s="232"/>
    </row>
    <row r="213" spans="80:83" x14ac:dyDescent="0.25">
      <c r="CB213" s="478"/>
      <c r="CC213" s="478"/>
      <c r="CD213" s="232"/>
      <c r="CE213" s="232"/>
    </row>
    <row r="214" spans="80:83" x14ac:dyDescent="0.25">
      <c r="CB214" s="478"/>
      <c r="CC214" s="478"/>
      <c r="CD214" s="232"/>
      <c r="CE214" s="232"/>
    </row>
    <row r="215" spans="80:83" x14ac:dyDescent="0.25">
      <c r="CB215" s="478"/>
      <c r="CC215" s="478"/>
      <c r="CD215" s="232"/>
      <c r="CE215" s="232"/>
    </row>
    <row r="216" spans="80:83" x14ac:dyDescent="0.25">
      <c r="CB216" s="478"/>
      <c r="CC216" s="478"/>
      <c r="CD216" s="232"/>
      <c r="CE216" s="232"/>
    </row>
    <row r="217" spans="80:83" x14ac:dyDescent="0.25">
      <c r="CB217" s="478"/>
      <c r="CC217" s="478"/>
      <c r="CD217" s="232"/>
      <c r="CE217" s="232"/>
    </row>
    <row r="218" spans="80:83" x14ac:dyDescent="0.25">
      <c r="CB218" s="478"/>
      <c r="CC218" s="478"/>
      <c r="CD218" s="232"/>
      <c r="CE218" s="232"/>
    </row>
    <row r="219" spans="80:83" x14ac:dyDescent="0.25">
      <c r="CB219" s="478"/>
      <c r="CC219" s="478"/>
      <c r="CD219" s="232"/>
      <c r="CE219" s="232"/>
    </row>
    <row r="220" spans="80:83" x14ac:dyDescent="0.25">
      <c r="CB220" s="478"/>
      <c r="CC220" s="478"/>
      <c r="CD220" s="232"/>
      <c r="CE220" s="232"/>
    </row>
    <row r="221" spans="80:83" x14ac:dyDescent="0.25">
      <c r="CB221" s="478"/>
      <c r="CC221" s="478"/>
      <c r="CD221" s="232"/>
      <c r="CE221" s="232"/>
    </row>
    <row r="222" spans="80:83" x14ac:dyDescent="0.25">
      <c r="CB222" s="478"/>
      <c r="CC222" s="478"/>
      <c r="CD222" s="232"/>
      <c r="CE222" s="232"/>
    </row>
    <row r="223" spans="80:83" x14ac:dyDescent="0.25">
      <c r="CB223" s="478"/>
      <c r="CC223" s="478"/>
      <c r="CD223" s="232"/>
      <c r="CE223" s="232"/>
    </row>
    <row r="224" spans="80:83" x14ac:dyDescent="0.25">
      <c r="CB224" s="478"/>
      <c r="CC224" s="478"/>
      <c r="CD224" s="232"/>
      <c r="CE224" s="232"/>
    </row>
    <row r="225" spans="80:83" x14ac:dyDescent="0.25">
      <c r="CB225" s="478"/>
      <c r="CC225" s="478"/>
      <c r="CD225" s="232"/>
      <c r="CE225" s="232"/>
    </row>
    <row r="226" spans="80:83" x14ac:dyDescent="0.25">
      <c r="CB226" s="478"/>
      <c r="CC226" s="478"/>
      <c r="CD226" s="232"/>
      <c r="CE226" s="232"/>
    </row>
    <row r="227" spans="80:83" x14ac:dyDescent="0.25">
      <c r="CB227" s="478"/>
      <c r="CC227" s="478"/>
      <c r="CD227" s="232"/>
      <c r="CE227" s="232"/>
    </row>
    <row r="228" spans="80:83" x14ac:dyDescent="0.25">
      <c r="CB228" s="478"/>
      <c r="CC228" s="478"/>
      <c r="CD228" s="232"/>
      <c r="CE228" s="232"/>
    </row>
    <row r="229" spans="80:83" x14ac:dyDescent="0.25">
      <c r="CB229" s="478"/>
      <c r="CC229" s="478"/>
      <c r="CD229" s="232"/>
      <c r="CE229" s="232"/>
    </row>
    <row r="230" spans="80:83" x14ac:dyDescent="0.25">
      <c r="CB230" s="478"/>
      <c r="CC230" s="478"/>
      <c r="CD230" s="232"/>
      <c r="CE230" s="232"/>
    </row>
    <row r="231" spans="80:83" x14ac:dyDescent="0.25">
      <c r="CB231" s="478"/>
      <c r="CC231" s="478"/>
      <c r="CD231" s="232"/>
      <c r="CE231" s="232"/>
    </row>
    <row r="232" spans="80:83" x14ac:dyDescent="0.25">
      <c r="CB232" s="478"/>
      <c r="CC232" s="478"/>
      <c r="CD232" s="232"/>
      <c r="CE232" s="232"/>
    </row>
    <row r="233" spans="80:83" x14ac:dyDescent="0.25">
      <c r="CB233" s="478"/>
      <c r="CC233" s="478"/>
      <c r="CD233" s="232"/>
      <c r="CE233" s="232"/>
    </row>
    <row r="234" spans="80:83" x14ac:dyDescent="0.25">
      <c r="CB234" s="478"/>
      <c r="CC234" s="478"/>
      <c r="CD234" s="232"/>
      <c r="CE234" s="232"/>
    </row>
    <row r="235" spans="80:83" x14ac:dyDescent="0.25">
      <c r="CB235" s="478"/>
      <c r="CC235" s="478"/>
      <c r="CD235" s="232"/>
      <c r="CE235" s="232"/>
    </row>
    <row r="236" spans="80:83" x14ac:dyDescent="0.25">
      <c r="CB236" s="478"/>
      <c r="CC236" s="478"/>
      <c r="CD236" s="232"/>
      <c r="CE236" s="232"/>
    </row>
    <row r="237" spans="80:83" x14ac:dyDescent="0.25">
      <c r="CB237" s="478"/>
      <c r="CC237" s="478"/>
      <c r="CD237" s="232"/>
      <c r="CE237" s="232"/>
    </row>
    <row r="238" spans="80:83" x14ac:dyDescent="0.25">
      <c r="CB238" s="478"/>
      <c r="CC238" s="478"/>
      <c r="CD238" s="232"/>
      <c r="CE238" s="232"/>
    </row>
    <row r="239" spans="80:83" x14ac:dyDescent="0.25">
      <c r="CB239" s="478"/>
      <c r="CC239" s="478"/>
      <c r="CD239" s="232"/>
      <c r="CE239" s="232"/>
    </row>
    <row r="240" spans="80:83" x14ac:dyDescent="0.25">
      <c r="CB240" s="478"/>
      <c r="CC240" s="478"/>
      <c r="CD240" s="232"/>
      <c r="CE240" s="232"/>
    </row>
    <row r="241" spans="80:83" x14ac:dyDescent="0.25">
      <c r="CB241" s="478"/>
      <c r="CC241" s="478"/>
      <c r="CD241" s="232"/>
      <c r="CE241" s="232"/>
    </row>
    <row r="242" spans="80:83" x14ac:dyDescent="0.25">
      <c r="CB242" s="478"/>
      <c r="CC242" s="478"/>
      <c r="CD242" s="232"/>
      <c r="CE242" s="232"/>
    </row>
    <row r="243" spans="80:83" x14ac:dyDescent="0.25">
      <c r="CB243" s="478"/>
      <c r="CC243" s="478"/>
      <c r="CD243" s="232"/>
      <c r="CE243" s="232"/>
    </row>
    <row r="244" spans="80:83" x14ac:dyDescent="0.25">
      <c r="CB244" s="478"/>
      <c r="CC244" s="478"/>
      <c r="CD244" s="232"/>
      <c r="CE244" s="232"/>
    </row>
    <row r="245" spans="80:83" x14ac:dyDescent="0.25">
      <c r="CB245" s="478"/>
      <c r="CC245" s="478"/>
      <c r="CD245" s="232"/>
      <c r="CE245" s="232"/>
    </row>
    <row r="246" spans="80:83" x14ac:dyDescent="0.25">
      <c r="CB246" s="478"/>
      <c r="CC246" s="478"/>
      <c r="CD246" s="232"/>
      <c r="CE246" s="232"/>
    </row>
    <row r="247" spans="80:83" x14ac:dyDescent="0.25">
      <c r="CB247" s="478"/>
      <c r="CC247" s="478"/>
      <c r="CD247" s="232"/>
      <c r="CE247" s="232"/>
    </row>
    <row r="248" spans="80:83" x14ac:dyDescent="0.25">
      <c r="CB248" s="478"/>
      <c r="CC248" s="478"/>
      <c r="CD248" s="232"/>
      <c r="CE248" s="232"/>
    </row>
    <row r="249" spans="80:83" x14ac:dyDescent="0.25">
      <c r="CB249" s="478"/>
      <c r="CC249" s="478"/>
      <c r="CD249" s="232"/>
      <c r="CE249" s="232"/>
    </row>
    <row r="250" spans="80:83" x14ac:dyDescent="0.25">
      <c r="CB250" s="478"/>
      <c r="CC250" s="478"/>
      <c r="CD250" s="232"/>
      <c r="CE250" s="232"/>
    </row>
    <row r="251" spans="80:83" x14ac:dyDescent="0.25">
      <c r="CB251" s="478"/>
      <c r="CC251" s="478"/>
      <c r="CD251" s="232"/>
      <c r="CE251" s="232"/>
    </row>
    <row r="252" spans="80:83" x14ac:dyDescent="0.25">
      <c r="CB252" s="478"/>
      <c r="CC252" s="478"/>
      <c r="CD252" s="232"/>
      <c r="CE252" s="232"/>
    </row>
    <row r="253" spans="80:83" x14ac:dyDescent="0.25">
      <c r="CB253" s="478"/>
      <c r="CC253" s="478"/>
      <c r="CD253" s="232"/>
      <c r="CE253" s="232"/>
    </row>
    <row r="254" spans="80:83" x14ac:dyDescent="0.25">
      <c r="CB254" s="478"/>
      <c r="CC254" s="478"/>
      <c r="CD254" s="232"/>
      <c r="CE254" s="232"/>
    </row>
    <row r="255" spans="80:83" x14ac:dyDescent="0.25">
      <c r="CB255" s="478"/>
      <c r="CC255" s="478"/>
      <c r="CD255" s="232"/>
      <c r="CE255" s="232"/>
    </row>
    <row r="256" spans="80:83" x14ac:dyDescent="0.25">
      <c r="CB256" s="478"/>
      <c r="CC256" s="478"/>
      <c r="CD256" s="232"/>
      <c r="CE256" s="232"/>
    </row>
    <row r="257" spans="80:83" x14ac:dyDescent="0.25">
      <c r="CB257" s="478"/>
      <c r="CC257" s="478"/>
      <c r="CD257" s="232"/>
      <c r="CE257" s="232"/>
    </row>
    <row r="258" spans="80:83" x14ac:dyDescent="0.25">
      <c r="CB258" s="478"/>
      <c r="CC258" s="478"/>
      <c r="CD258" s="232"/>
      <c r="CE258" s="232"/>
    </row>
    <row r="259" spans="80:83" x14ac:dyDescent="0.25">
      <c r="CB259" s="478"/>
      <c r="CC259" s="478"/>
      <c r="CD259" s="232"/>
      <c r="CE259" s="232"/>
    </row>
    <row r="260" spans="80:83" x14ac:dyDescent="0.25">
      <c r="CB260" s="478"/>
      <c r="CC260" s="478"/>
      <c r="CD260" s="232"/>
      <c r="CE260" s="232"/>
    </row>
    <row r="261" spans="80:83" x14ac:dyDescent="0.25">
      <c r="CB261" s="478"/>
      <c r="CC261" s="478"/>
      <c r="CD261" s="232"/>
      <c r="CE261" s="232"/>
    </row>
    <row r="262" spans="80:83" x14ac:dyDescent="0.25">
      <c r="CB262" s="478"/>
      <c r="CC262" s="478"/>
      <c r="CD262" s="232"/>
      <c r="CE262" s="232"/>
    </row>
    <row r="263" spans="80:83" x14ac:dyDescent="0.25">
      <c r="CB263" s="478"/>
      <c r="CC263" s="478"/>
      <c r="CD263" s="232"/>
      <c r="CE263" s="232"/>
    </row>
    <row r="264" spans="80:83" x14ac:dyDescent="0.25">
      <c r="CB264" s="478"/>
      <c r="CC264" s="478"/>
      <c r="CD264" s="232"/>
      <c r="CE264" s="232"/>
    </row>
    <row r="265" spans="80:83" x14ac:dyDescent="0.25">
      <c r="CB265" s="478"/>
      <c r="CC265" s="478"/>
      <c r="CD265" s="232"/>
      <c r="CE265" s="232"/>
    </row>
    <row r="266" spans="80:83" x14ac:dyDescent="0.25">
      <c r="CB266" s="478"/>
      <c r="CC266" s="478"/>
      <c r="CD266" s="232"/>
      <c r="CE266" s="232"/>
    </row>
    <row r="267" spans="80:83" x14ac:dyDescent="0.25">
      <c r="CB267" s="478"/>
      <c r="CC267" s="478"/>
      <c r="CD267" s="232"/>
      <c r="CE267" s="232"/>
    </row>
    <row r="268" spans="80:83" x14ac:dyDescent="0.25">
      <c r="CB268" s="478"/>
      <c r="CC268" s="478"/>
      <c r="CD268" s="232"/>
      <c r="CE268" s="232"/>
    </row>
    <row r="269" spans="80:83" x14ac:dyDescent="0.25">
      <c r="CB269" s="478"/>
      <c r="CC269" s="478"/>
      <c r="CD269" s="232"/>
      <c r="CE269" s="232"/>
    </row>
    <row r="270" spans="80:83" x14ac:dyDescent="0.25">
      <c r="CB270" s="478"/>
      <c r="CC270" s="478"/>
      <c r="CD270" s="232"/>
      <c r="CE270" s="232"/>
    </row>
    <row r="271" spans="80:83" x14ac:dyDescent="0.25">
      <c r="CB271" s="478"/>
      <c r="CC271" s="478"/>
      <c r="CD271" s="232"/>
      <c r="CE271" s="232"/>
    </row>
    <row r="272" spans="80:83" x14ac:dyDescent="0.25">
      <c r="CB272" s="478"/>
      <c r="CC272" s="478"/>
      <c r="CD272" s="232"/>
      <c r="CE272" s="232"/>
    </row>
    <row r="273" spans="80:83" x14ac:dyDescent="0.25">
      <c r="CB273" s="478"/>
      <c r="CC273" s="478"/>
      <c r="CD273" s="232"/>
      <c r="CE273" s="232"/>
    </row>
    <row r="274" spans="80:83" x14ac:dyDescent="0.25">
      <c r="CB274" s="478"/>
      <c r="CC274" s="478"/>
      <c r="CD274" s="232"/>
      <c r="CE274" s="232"/>
    </row>
    <row r="275" spans="80:83" x14ac:dyDescent="0.25">
      <c r="CB275" s="478"/>
      <c r="CC275" s="478"/>
      <c r="CD275" s="232"/>
      <c r="CE275" s="232"/>
    </row>
    <row r="276" spans="80:83" x14ac:dyDescent="0.25">
      <c r="CB276" s="478"/>
      <c r="CC276" s="478"/>
      <c r="CD276" s="232"/>
      <c r="CE276" s="232"/>
    </row>
    <row r="277" spans="80:83" x14ac:dyDescent="0.25">
      <c r="CB277" s="478"/>
      <c r="CC277" s="478"/>
      <c r="CD277" s="232"/>
      <c r="CE277" s="232"/>
    </row>
    <row r="278" spans="80:83" x14ac:dyDescent="0.25">
      <c r="CB278" s="478"/>
      <c r="CC278" s="478"/>
      <c r="CD278" s="232"/>
      <c r="CE278" s="232"/>
    </row>
    <row r="279" spans="80:83" x14ac:dyDescent="0.25">
      <c r="CB279" s="478"/>
      <c r="CC279" s="478"/>
      <c r="CD279" s="232"/>
      <c r="CE279" s="232"/>
    </row>
    <row r="280" spans="80:83" x14ac:dyDescent="0.25">
      <c r="CB280" s="478"/>
      <c r="CC280" s="478"/>
      <c r="CD280" s="232"/>
      <c r="CE280" s="232"/>
    </row>
    <row r="281" spans="80:83" x14ac:dyDescent="0.25">
      <c r="CB281" s="478"/>
      <c r="CC281" s="478"/>
      <c r="CD281" s="232"/>
      <c r="CE281" s="232"/>
    </row>
    <row r="282" spans="80:83" x14ac:dyDescent="0.25">
      <c r="CB282" s="478"/>
      <c r="CC282" s="478"/>
      <c r="CD282" s="232"/>
      <c r="CE282" s="232"/>
    </row>
    <row r="283" spans="80:83" x14ac:dyDescent="0.25">
      <c r="CB283" s="478"/>
      <c r="CC283" s="478"/>
      <c r="CD283" s="232"/>
      <c r="CE283" s="232"/>
    </row>
    <row r="284" spans="80:83" x14ac:dyDescent="0.25">
      <c r="CB284" s="478"/>
      <c r="CC284" s="478"/>
      <c r="CD284" s="232"/>
      <c r="CE284" s="232"/>
    </row>
    <row r="285" spans="80:83" x14ac:dyDescent="0.25">
      <c r="CB285" s="478"/>
      <c r="CC285" s="478"/>
      <c r="CD285" s="232"/>
      <c r="CE285" s="232"/>
    </row>
    <row r="286" spans="80:83" x14ac:dyDescent="0.25">
      <c r="CB286" s="478"/>
      <c r="CC286" s="478"/>
      <c r="CD286" s="232"/>
      <c r="CE286" s="232"/>
    </row>
    <row r="287" spans="80:83" x14ac:dyDescent="0.25">
      <c r="CB287" s="478"/>
      <c r="CC287" s="478"/>
      <c r="CD287" s="232"/>
      <c r="CE287" s="232"/>
    </row>
    <row r="288" spans="80:83" x14ac:dyDescent="0.25">
      <c r="CB288" s="478"/>
      <c r="CC288" s="478"/>
      <c r="CD288" s="232"/>
      <c r="CE288" s="232"/>
    </row>
    <row r="289" spans="80:83" x14ac:dyDescent="0.25">
      <c r="CB289" s="478"/>
      <c r="CC289" s="478"/>
      <c r="CD289" s="232"/>
      <c r="CE289" s="232"/>
    </row>
    <row r="290" spans="80:83" x14ac:dyDescent="0.25">
      <c r="CB290" s="478"/>
      <c r="CC290" s="478"/>
      <c r="CD290" s="232"/>
      <c r="CE290" s="232"/>
    </row>
    <row r="291" spans="80:83" x14ac:dyDescent="0.25">
      <c r="CB291" s="478"/>
      <c r="CC291" s="478"/>
      <c r="CD291" s="232"/>
      <c r="CE291" s="232"/>
    </row>
    <row r="292" spans="80:83" x14ac:dyDescent="0.25">
      <c r="CB292" s="478"/>
      <c r="CC292" s="478"/>
      <c r="CD292" s="232"/>
      <c r="CE292" s="232"/>
    </row>
    <row r="293" spans="80:83" x14ac:dyDescent="0.25">
      <c r="CB293" s="478"/>
      <c r="CC293" s="478"/>
      <c r="CD293" s="232"/>
      <c r="CE293" s="232"/>
    </row>
    <row r="294" spans="80:83" x14ac:dyDescent="0.25">
      <c r="CB294" s="478"/>
      <c r="CC294" s="478"/>
      <c r="CD294" s="232"/>
      <c r="CE294" s="232"/>
    </row>
    <row r="295" spans="80:83" x14ac:dyDescent="0.25">
      <c r="CB295" s="478"/>
      <c r="CC295" s="478"/>
      <c r="CD295" s="232"/>
      <c r="CE295" s="232"/>
    </row>
    <row r="296" spans="80:83" x14ac:dyDescent="0.25">
      <c r="CB296" s="478"/>
      <c r="CC296" s="478"/>
      <c r="CD296" s="232"/>
      <c r="CE296" s="232"/>
    </row>
    <row r="297" spans="80:83" x14ac:dyDescent="0.25">
      <c r="CB297" s="478"/>
      <c r="CC297" s="478"/>
      <c r="CD297" s="232"/>
      <c r="CE297" s="232"/>
    </row>
    <row r="298" spans="80:83" x14ac:dyDescent="0.25">
      <c r="CB298" s="478"/>
      <c r="CC298" s="478"/>
      <c r="CD298" s="232"/>
      <c r="CE298" s="232"/>
    </row>
    <row r="299" spans="80:83" x14ac:dyDescent="0.25">
      <c r="CB299" s="478"/>
      <c r="CC299" s="478"/>
      <c r="CD299" s="232"/>
      <c r="CE299" s="232"/>
    </row>
    <row r="300" spans="80:83" x14ac:dyDescent="0.25">
      <c r="CB300" s="478"/>
      <c r="CC300" s="478"/>
      <c r="CD300" s="232"/>
      <c r="CE300" s="232"/>
    </row>
    <row r="301" spans="80:83" x14ac:dyDescent="0.25">
      <c r="CB301" s="478"/>
      <c r="CC301" s="478"/>
      <c r="CD301" s="232"/>
      <c r="CE301" s="232"/>
    </row>
    <row r="302" spans="80:83" x14ac:dyDescent="0.25">
      <c r="CB302" s="478"/>
      <c r="CC302" s="478"/>
      <c r="CD302" s="232"/>
      <c r="CE302" s="232"/>
    </row>
    <row r="303" spans="80:83" x14ac:dyDescent="0.25">
      <c r="CB303" s="478"/>
      <c r="CC303" s="478"/>
      <c r="CD303" s="232"/>
      <c r="CE303" s="232"/>
    </row>
    <row r="304" spans="80:83" x14ac:dyDescent="0.25">
      <c r="CB304" s="478"/>
      <c r="CC304" s="478"/>
      <c r="CD304" s="232"/>
      <c r="CE304" s="232"/>
    </row>
    <row r="305" spans="80:83" x14ac:dyDescent="0.25">
      <c r="CB305" s="478"/>
      <c r="CC305" s="478"/>
      <c r="CD305" s="232"/>
      <c r="CE305" s="232"/>
    </row>
    <row r="306" spans="80:83" x14ac:dyDescent="0.25">
      <c r="CB306" s="478"/>
      <c r="CC306" s="478"/>
      <c r="CD306" s="232"/>
      <c r="CE306" s="232"/>
    </row>
    <row r="307" spans="80:83" x14ac:dyDescent="0.25">
      <c r="CB307" s="478"/>
      <c r="CC307" s="478"/>
      <c r="CD307" s="232"/>
      <c r="CE307" s="232"/>
    </row>
    <row r="308" spans="80:83" x14ac:dyDescent="0.25">
      <c r="CB308" s="478"/>
      <c r="CC308" s="478"/>
      <c r="CD308" s="232"/>
      <c r="CE308" s="232"/>
    </row>
    <row r="309" spans="80:83" x14ac:dyDescent="0.25">
      <c r="CB309" s="478"/>
      <c r="CC309" s="478"/>
      <c r="CD309" s="232"/>
      <c r="CE309" s="232"/>
    </row>
    <row r="310" spans="80:83" x14ac:dyDescent="0.25">
      <c r="CB310" s="478"/>
      <c r="CC310" s="478"/>
      <c r="CD310" s="232"/>
      <c r="CE310" s="232"/>
    </row>
    <row r="311" spans="80:83" x14ac:dyDescent="0.25">
      <c r="CB311" s="478"/>
      <c r="CC311" s="478"/>
      <c r="CD311" s="232"/>
      <c r="CE311" s="232"/>
    </row>
    <row r="312" spans="80:83" x14ac:dyDescent="0.25">
      <c r="CB312" s="478"/>
      <c r="CC312" s="478"/>
      <c r="CD312" s="232"/>
      <c r="CE312" s="232"/>
    </row>
    <row r="313" spans="80:83" x14ac:dyDescent="0.25">
      <c r="CB313" s="478"/>
      <c r="CC313" s="478"/>
      <c r="CD313" s="232"/>
      <c r="CE313" s="232"/>
    </row>
    <row r="314" spans="80:83" x14ac:dyDescent="0.25">
      <c r="CB314" s="478"/>
      <c r="CC314" s="478"/>
      <c r="CD314" s="232"/>
      <c r="CE314" s="232"/>
    </row>
    <row r="315" spans="80:83" x14ac:dyDescent="0.25">
      <c r="CB315" s="478"/>
      <c r="CC315" s="478"/>
      <c r="CD315" s="232"/>
      <c r="CE315" s="232"/>
    </row>
    <row r="316" spans="80:83" x14ac:dyDescent="0.25">
      <c r="CB316" s="478"/>
      <c r="CC316" s="478"/>
      <c r="CD316" s="232"/>
      <c r="CE316" s="232"/>
    </row>
    <row r="317" spans="80:83" x14ac:dyDescent="0.25">
      <c r="CB317" s="478"/>
      <c r="CC317" s="478"/>
      <c r="CD317" s="232"/>
      <c r="CE317" s="232"/>
    </row>
    <row r="318" spans="80:83" x14ac:dyDescent="0.25">
      <c r="CB318" s="478"/>
      <c r="CC318" s="478"/>
      <c r="CD318" s="232"/>
      <c r="CE318" s="232"/>
    </row>
    <row r="319" spans="80:83" x14ac:dyDescent="0.25">
      <c r="CB319" s="478"/>
      <c r="CC319" s="478"/>
      <c r="CD319" s="232"/>
      <c r="CE319" s="232"/>
    </row>
    <row r="320" spans="80:83" x14ac:dyDescent="0.25">
      <c r="CB320" s="478"/>
      <c r="CC320" s="478"/>
      <c r="CD320" s="232"/>
      <c r="CE320" s="232"/>
    </row>
    <row r="321" spans="80:83" x14ac:dyDescent="0.25">
      <c r="CB321" s="478"/>
      <c r="CC321" s="478"/>
      <c r="CD321" s="232"/>
      <c r="CE321" s="232"/>
    </row>
    <row r="322" spans="80:83" x14ac:dyDescent="0.25">
      <c r="CB322" s="478"/>
      <c r="CC322" s="478"/>
      <c r="CD322" s="232"/>
      <c r="CE322" s="232"/>
    </row>
    <row r="323" spans="80:83" x14ac:dyDescent="0.25">
      <c r="CB323" s="478"/>
      <c r="CC323" s="478"/>
      <c r="CD323" s="232"/>
      <c r="CE323" s="232"/>
    </row>
    <row r="324" spans="80:83" x14ac:dyDescent="0.25">
      <c r="CB324" s="478"/>
      <c r="CC324" s="478"/>
      <c r="CD324" s="232"/>
      <c r="CE324" s="232"/>
    </row>
    <row r="325" spans="80:83" x14ac:dyDescent="0.25">
      <c r="CB325" s="478"/>
      <c r="CC325" s="478"/>
      <c r="CD325" s="232"/>
      <c r="CE325" s="232"/>
    </row>
    <row r="326" spans="80:83" x14ac:dyDescent="0.25">
      <c r="CB326" s="478"/>
      <c r="CC326" s="478"/>
      <c r="CD326" s="232"/>
      <c r="CE326" s="232"/>
    </row>
    <row r="327" spans="80:83" x14ac:dyDescent="0.25">
      <c r="CB327" s="478"/>
      <c r="CC327" s="478"/>
      <c r="CD327" s="232"/>
      <c r="CE327" s="232"/>
    </row>
    <row r="328" spans="80:83" x14ac:dyDescent="0.25">
      <c r="CB328" s="478"/>
      <c r="CC328" s="478"/>
      <c r="CD328" s="232"/>
      <c r="CE328" s="232"/>
    </row>
    <row r="329" spans="80:83" x14ac:dyDescent="0.25">
      <c r="CB329" s="478"/>
      <c r="CC329" s="478"/>
      <c r="CD329" s="232"/>
      <c r="CE329" s="232"/>
    </row>
    <row r="330" spans="80:83" x14ac:dyDescent="0.25">
      <c r="CB330" s="478"/>
      <c r="CC330" s="478"/>
      <c r="CD330" s="232"/>
      <c r="CE330" s="232"/>
    </row>
    <row r="331" spans="80:83" x14ac:dyDescent="0.25">
      <c r="CB331" s="478"/>
      <c r="CC331" s="478"/>
      <c r="CD331" s="232"/>
      <c r="CE331" s="232"/>
    </row>
    <row r="332" spans="80:83" x14ac:dyDescent="0.25">
      <c r="CB332" s="478"/>
      <c r="CC332" s="478"/>
      <c r="CD332" s="232"/>
      <c r="CE332" s="232"/>
    </row>
    <row r="333" spans="80:83" x14ac:dyDescent="0.25">
      <c r="CB333" s="478"/>
      <c r="CC333" s="478"/>
      <c r="CD333" s="232"/>
      <c r="CE333" s="232"/>
    </row>
    <row r="334" spans="80:83" x14ac:dyDescent="0.25">
      <c r="CB334" s="478"/>
      <c r="CC334" s="478"/>
      <c r="CD334" s="232"/>
      <c r="CE334" s="232"/>
    </row>
    <row r="335" spans="80:83" x14ac:dyDescent="0.25">
      <c r="CB335" s="478"/>
      <c r="CC335" s="478"/>
      <c r="CD335" s="232"/>
      <c r="CE335" s="232"/>
    </row>
    <row r="336" spans="80:83" x14ac:dyDescent="0.25">
      <c r="CB336" s="478"/>
      <c r="CC336" s="478"/>
      <c r="CD336" s="232"/>
      <c r="CE336" s="232"/>
    </row>
    <row r="337" spans="80:83" x14ac:dyDescent="0.25">
      <c r="CB337" s="478"/>
      <c r="CC337" s="478"/>
      <c r="CD337" s="232"/>
      <c r="CE337" s="232"/>
    </row>
    <row r="338" spans="80:83" x14ac:dyDescent="0.25">
      <c r="CB338" s="478"/>
      <c r="CC338" s="478"/>
      <c r="CD338" s="232"/>
      <c r="CE338" s="232"/>
    </row>
    <row r="339" spans="80:83" x14ac:dyDescent="0.25">
      <c r="CB339" s="478"/>
      <c r="CC339" s="478"/>
      <c r="CD339" s="232"/>
      <c r="CE339" s="232"/>
    </row>
    <row r="340" spans="80:83" x14ac:dyDescent="0.25">
      <c r="CB340" s="478"/>
      <c r="CC340" s="478"/>
      <c r="CD340" s="232"/>
      <c r="CE340" s="232"/>
    </row>
    <row r="341" spans="80:83" x14ac:dyDescent="0.25">
      <c r="CB341" s="478"/>
      <c r="CC341" s="478"/>
      <c r="CD341" s="232"/>
      <c r="CE341" s="232"/>
    </row>
    <row r="342" spans="80:83" x14ac:dyDescent="0.25">
      <c r="CB342" s="478"/>
      <c r="CC342" s="478"/>
      <c r="CD342" s="232"/>
      <c r="CE342" s="232"/>
    </row>
    <row r="343" spans="80:83" x14ac:dyDescent="0.25">
      <c r="CB343" s="478"/>
      <c r="CC343" s="478"/>
      <c r="CD343" s="232"/>
      <c r="CE343" s="232"/>
    </row>
    <row r="344" spans="80:83" x14ac:dyDescent="0.25">
      <c r="CB344" s="478"/>
      <c r="CC344" s="478"/>
      <c r="CD344" s="232"/>
      <c r="CE344" s="232"/>
    </row>
    <row r="345" spans="80:83" x14ac:dyDescent="0.25">
      <c r="CB345" s="478"/>
      <c r="CC345" s="478"/>
      <c r="CD345" s="232"/>
      <c r="CE345" s="232"/>
    </row>
    <row r="346" spans="80:83" x14ac:dyDescent="0.25">
      <c r="CB346" s="478"/>
      <c r="CC346" s="478"/>
      <c r="CD346" s="232"/>
      <c r="CE346" s="232"/>
    </row>
    <row r="347" spans="80:83" x14ac:dyDescent="0.25">
      <c r="CB347" s="478"/>
      <c r="CC347" s="478"/>
      <c r="CD347" s="232"/>
      <c r="CE347" s="232"/>
    </row>
    <row r="348" spans="80:83" x14ac:dyDescent="0.25">
      <c r="CB348" s="478"/>
      <c r="CC348" s="478"/>
      <c r="CD348" s="232"/>
      <c r="CE348" s="232"/>
    </row>
    <row r="349" spans="80:83" x14ac:dyDescent="0.25">
      <c r="CB349" s="478"/>
      <c r="CC349" s="478"/>
      <c r="CD349" s="232"/>
      <c r="CE349" s="232"/>
    </row>
    <row r="350" spans="80:83" x14ac:dyDescent="0.25">
      <c r="CB350" s="478"/>
      <c r="CC350" s="478"/>
      <c r="CD350" s="232"/>
      <c r="CE350" s="232"/>
    </row>
    <row r="351" spans="80:83" x14ac:dyDescent="0.25">
      <c r="CB351" s="478"/>
      <c r="CC351" s="478"/>
      <c r="CD351" s="232"/>
      <c r="CE351" s="232"/>
    </row>
    <row r="352" spans="80:83" x14ac:dyDescent="0.25">
      <c r="CB352" s="478"/>
      <c r="CC352" s="478"/>
      <c r="CD352" s="232"/>
      <c r="CE352" s="232"/>
    </row>
    <row r="353" spans="80:83" x14ac:dyDescent="0.25">
      <c r="CB353" s="478"/>
      <c r="CC353" s="478"/>
      <c r="CD353" s="232"/>
      <c r="CE353" s="232"/>
    </row>
    <row r="354" spans="80:83" x14ac:dyDescent="0.25">
      <c r="CB354" s="478"/>
      <c r="CC354" s="478"/>
      <c r="CD354" s="232"/>
      <c r="CE354" s="232"/>
    </row>
    <row r="355" spans="80:83" x14ac:dyDescent="0.25">
      <c r="CB355" s="478"/>
      <c r="CC355" s="478"/>
      <c r="CD355" s="232"/>
      <c r="CE355" s="232"/>
    </row>
    <row r="356" spans="80:83" x14ac:dyDescent="0.25">
      <c r="CB356" s="478"/>
      <c r="CC356" s="478"/>
      <c r="CD356" s="232"/>
      <c r="CE356" s="232"/>
    </row>
    <row r="357" spans="80:83" x14ac:dyDescent="0.25">
      <c r="CB357" s="478"/>
      <c r="CC357" s="478"/>
      <c r="CD357" s="232"/>
      <c r="CE357" s="232"/>
    </row>
    <row r="358" spans="80:83" x14ac:dyDescent="0.25">
      <c r="CB358" s="478"/>
      <c r="CC358" s="478"/>
      <c r="CD358" s="232"/>
      <c r="CE358" s="232"/>
    </row>
    <row r="359" spans="80:83" x14ac:dyDescent="0.25">
      <c r="CB359" s="478"/>
      <c r="CC359" s="478"/>
      <c r="CD359" s="232"/>
      <c r="CE359" s="232"/>
    </row>
    <row r="360" spans="80:83" x14ac:dyDescent="0.25">
      <c r="CB360" s="478"/>
      <c r="CC360" s="478"/>
      <c r="CD360" s="232"/>
      <c r="CE360" s="232"/>
    </row>
    <row r="361" spans="80:83" x14ac:dyDescent="0.25">
      <c r="CB361" s="478"/>
      <c r="CC361" s="478"/>
      <c r="CD361" s="232"/>
      <c r="CE361" s="232"/>
    </row>
    <row r="362" spans="80:83" x14ac:dyDescent="0.25">
      <c r="CB362" s="478"/>
      <c r="CC362" s="478"/>
      <c r="CD362" s="232"/>
      <c r="CE362" s="232"/>
    </row>
    <row r="363" spans="80:83" x14ac:dyDescent="0.25">
      <c r="CB363" s="478"/>
      <c r="CC363" s="478"/>
      <c r="CD363" s="232"/>
      <c r="CE363" s="232"/>
    </row>
    <row r="364" spans="80:83" x14ac:dyDescent="0.25">
      <c r="CB364" s="478"/>
      <c r="CC364" s="478"/>
      <c r="CD364" s="232"/>
      <c r="CE364" s="232"/>
    </row>
    <row r="365" spans="80:83" x14ac:dyDescent="0.25">
      <c r="CB365" s="478"/>
      <c r="CC365" s="478"/>
      <c r="CD365" s="232"/>
      <c r="CE365" s="232"/>
    </row>
    <row r="366" spans="80:83" x14ac:dyDescent="0.25">
      <c r="CB366" s="478"/>
      <c r="CC366" s="478"/>
      <c r="CD366" s="232"/>
      <c r="CE366" s="232"/>
    </row>
    <row r="367" spans="80:83" x14ac:dyDescent="0.25">
      <c r="CB367" s="478"/>
      <c r="CC367" s="478"/>
      <c r="CD367" s="232"/>
      <c r="CE367" s="232"/>
    </row>
    <row r="368" spans="80:83" x14ac:dyDescent="0.25">
      <c r="CB368" s="478"/>
      <c r="CC368" s="478"/>
      <c r="CD368" s="232"/>
      <c r="CE368" s="232"/>
    </row>
    <row r="369" spans="80:83" x14ac:dyDescent="0.25">
      <c r="CB369" s="478"/>
      <c r="CC369" s="478"/>
      <c r="CD369" s="232"/>
      <c r="CE369" s="232"/>
    </row>
    <row r="370" spans="80:83" x14ac:dyDescent="0.25">
      <c r="CB370" s="478"/>
      <c r="CC370" s="478"/>
      <c r="CD370" s="232"/>
      <c r="CE370" s="232"/>
    </row>
    <row r="371" spans="80:83" x14ac:dyDescent="0.25">
      <c r="CB371" s="478"/>
      <c r="CC371" s="478"/>
      <c r="CD371" s="232"/>
      <c r="CE371" s="232"/>
    </row>
    <row r="372" spans="80:83" x14ac:dyDescent="0.25">
      <c r="CB372" s="478"/>
      <c r="CC372" s="478"/>
      <c r="CD372" s="232"/>
      <c r="CE372" s="232"/>
    </row>
    <row r="373" spans="80:83" x14ac:dyDescent="0.25">
      <c r="CB373" s="478"/>
      <c r="CC373" s="478"/>
      <c r="CD373" s="232"/>
      <c r="CE373" s="232"/>
    </row>
    <row r="374" spans="80:83" x14ac:dyDescent="0.25">
      <c r="CB374" s="478"/>
      <c r="CC374" s="478"/>
      <c r="CD374" s="232"/>
      <c r="CE374" s="232"/>
    </row>
    <row r="375" spans="80:83" x14ac:dyDescent="0.25">
      <c r="CB375" s="478"/>
      <c r="CC375" s="478"/>
      <c r="CD375" s="232"/>
      <c r="CE375" s="232"/>
    </row>
    <row r="376" spans="80:83" x14ac:dyDescent="0.25">
      <c r="CB376" s="478"/>
      <c r="CC376" s="478"/>
      <c r="CD376" s="232"/>
      <c r="CE376" s="232"/>
    </row>
    <row r="377" spans="80:83" x14ac:dyDescent="0.25">
      <c r="CB377" s="478"/>
      <c r="CC377" s="478"/>
      <c r="CD377" s="232"/>
      <c r="CE377" s="232"/>
    </row>
    <row r="378" spans="80:83" x14ac:dyDescent="0.25">
      <c r="CB378" s="478"/>
      <c r="CC378" s="478"/>
      <c r="CD378" s="232"/>
      <c r="CE378" s="232"/>
    </row>
    <row r="379" spans="80:83" x14ac:dyDescent="0.25">
      <c r="CB379" s="478"/>
      <c r="CC379" s="478"/>
      <c r="CD379" s="232"/>
      <c r="CE379" s="232"/>
    </row>
    <row r="380" spans="80:83" x14ac:dyDescent="0.25">
      <c r="CB380" s="478"/>
      <c r="CC380" s="478"/>
      <c r="CD380" s="232"/>
      <c r="CE380" s="232"/>
    </row>
    <row r="381" spans="80:83" x14ac:dyDescent="0.25">
      <c r="CB381" s="478"/>
      <c r="CC381" s="478"/>
      <c r="CD381" s="232"/>
      <c r="CE381" s="232"/>
    </row>
    <row r="382" spans="80:83" x14ac:dyDescent="0.25">
      <c r="CB382" s="478"/>
      <c r="CC382" s="478"/>
      <c r="CD382" s="232"/>
      <c r="CE382" s="232"/>
    </row>
    <row r="383" spans="80:83" x14ac:dyDescent="0.25">
      <c r="CB383" s="478"/>
      <c r="CC383" s="478"/>
      <c r="CD383" s="232"/>
      <c r="CE383" s="232"/>
    </row>
    <row r="384" spans="80:83" x14ac:dyDescent="0.25">
      <c r="CB384" s="478"/>
      <c r="CC384" s="478"/>
      <c r="CD384" s="232"/>
      <c r="CE384" s="232"/>
    </row>
    <row r="385" spans="80:83" x14ac:dyDescent="0.25">
      <c r="CB385" s="478"/>
      <c r="CC385" s="478"/>
      <c r="CD385" s="232"/>
      <c r="CE385" s="232"/>
    </row>
    <row r="386" spans="80:83" x14ac:dyDescent="0.25">
      <c r="CB386" s="478"/>
      <c r="CC386" s="478"/>
      <c r="CD386" s="232"/>
      <c r="CE386" s="232"/>
    </row>
    <row r="387" spans="80:83" x14ac:dyDescent="0.25">
      <c r="CB387" s="478"/>
      <c r="CC387" s="478"/>
      <c r="CD387" s="232"/>
      <c r="CE387" s="232"/>
    </row>
    <row r="388" spans="80:83" x14ac:dyDescent="0.25">
      <c r="CB388" s="478"/>
      <c r="CC388" s="478"/>
      <c r="CD388" s="232"/>
      <c r="CE388" s="232"/>
    </row>
    <row r="389" spans="80:83" x14ac:dyDescent="0.25">
      <c r="CB389" s="478"/>
      <c r="CC389" s="478"/>
      <c r="CD389" s="232"/>
      <c r="CE389" s="232"/>
    </row>
    <row r="390" spans="80:83" x14ac:dyDescent="0.25">
      <c r="CB390" s="478"/>
      <c r="CC390" s="478"/>
      <c r="CD390" s="232"/>
      <c r="CE390" s="232"/>
    </row>
    <row r="391" spans="80:83" x14ac:dyDescent="0.25">
      <c r="CB391" s="478"/>
      <c r="CC391" s="478"/>
      <c r="CD391" s="232"/>
      <c r="CE391" s="232"/>
    </row>
    <row r="392" spans="80:83" x14ac:dyDescent="0.25">
      <c r="CB392" s="478"/>
      <c r="CC392" s="478"/>
      <c r="CD392" s="232"/>
      <c r="CE392" s="232"/>
    </row>
    <row r="393" spans="80:83" x14ac:dyDescent="0.25">
      <c r="CB393" s="478"/>
      <c r="CC393" s="478"/>
      <c r="CD393" s="232"/>
      <c r="CE393" s="232"/>
    </row>
    <row r="394" spans="80:83" x14ac:dyDescent="0.25">
      <c r="CB394" s="478"/>
      <c r="CC394" s="478"/>
      <c r="CD394" s="232"/>
      <c r="CE394" s="232"/>
    </row>
    <row r="395" spans="80:83" x14ac:dyDescent="0.25">
      <c r="CB395" s="478"/>
      <c r="CC395" s="478"/>
      <c r="CD395" s="232"/>
      <c r="CE395" s="232"/>
    </row>
    <row r="396" spans="80:83" x14ac:dyDescent="0.25">
      <c r="CB396" s="478"/>
      <c r="CC396" s="478"/>
      <c r="CD396" s="232"/>
      <c r="CE396" s="232"/>
    </row>
    <row r="397" spans="80:83" x14ac:dyDescent="0.25">
      <c r="CB397" s="478"/>
      <c r="CC397" s="478"/>
      <c r="CD397" s="232"/>
      <c r="CE397" s="232"/>
    </row>
    <row r="398" spans="80:83" x14ac:dyDescent="0.25">
      <c r="CB398" s="478"/>
      <c r="CC398" s="478"/>
      <c r="CD398" s="232"/>
      <c r="CE398" s="232"/>
    </row>
    <row r="399" spans="80:83" x14ac:dyDescent="0.25">
      <c r="CB399" s="478"/>
      <c r="CC399" s="478"/>
      <c r="CD399" s="232"/>
      <c r="CE399" s="232"/>
    </row>
    <row r="400" spans="80:83" x14ac:dyDescent="0.25">
      <c r="CB400" s="478"/>
      <c r="CC400" s="478"/>
      <c r="CD400" s="232"/>
      <c r="CE400" s="232"/>
    </row>
    <row r="401" spans="80:83" x14ac:dyDescent="0.25">
      <c r="CB401" s="478"/>
      <c r="CC401" s="478"/>
      <c r="CD401" s="232"/>
      <c r="CE401" s="232"/>
    </row>
    <row r="402" spans="80:83" x14ac:dyDescent="0.25">
      <c r="CB402" s="478"/>
      <c r="CC402" s="478"/>
      <c r="CD402" s="232"/>
      <c r="CE402" s="232"/>
    </row>
    <row r="403" spans="80:83" x14ac:dyDescent="0.25">
      <c r="CB403" s="478"/>
      <c r="CC403" s="478"/>
      <c r="CD403" s="232"/>
      <c r="CE403" s="232"/>
    </row>
    <row r="404" spans="80:83" x14ac:dyDescent="0.25">
      <c r="CB404" s="478"/>
      <c r="CC404" s="478"/>
      <c r="CD404" s="232"/>
      <c r="CE404" s="232"/>
    </row>
    <row r="405" spans="80:83" x14ac:dyDescent="0.25">
      <c r="CB405" s="478"/>
      <c r="CC405" s="478"/>
      <c r="CD405" s="232"/>
      <c r="CE405" s="232"/>
    </row>
    <row r="406" spans="80:83" x14ac:dyDescent="0.25">
      <c r="CB406" s="478"/>
      <c r="CC406" s="478"/>
      <c r="CD406" s="232"/>
      <c r="CE406" s="232"/>
    </row>
    <row r="407" spans="80:83" x14ac:dyDescent="0.25">
      <c r="CB407" s="478"/>
      <c r="CC407" s="478"/>
      <c r="CD407" s="232"/>
      <c r="CE407" s="232"/>
    </row>
    <row r="408" spans="80:83" x14ac:dyDescent="0.25">
      <c r="CB408" s="478"/>
      <c r="CC408" s="478"/>
      <c r="CD408" s="232"/>
      <c r="CE408" s="232"/>
    </row>
    <row r="409" spans="80:83" x14ac:dyDescent="0.25">
      <c r="CB409" s="478"/>
      <c r="CC409" s="478"/>
      <c r="CD409" s="232"/>
      <c r="CE409" s="232"/>
    </row>
    <row r="410" spans="80:83" x14ac:dyDescent="0.25">
      <c r="CB410" s="478"/>
      <c r="CC410" s="478"/>
      <c r="CD410" s="232"/>
      <c r="CE410" s="232"/>
    </row>
    <row r="411" spans="80:83" x14ac:dyDescent="0.25">
      <c r="CB411" s="478"/>
      <c r="CC411" s="478"/>
      <c r="CD411" s="232"/>
      <c r="CE411" s="232"/>
    </row>
    <row r="412" spans="80:83" x14ac:dyDescent="0.25">
      <c r="CB412" s="478"/>
      <c r="CC412" s="478"/>
      <c r="CD412" s="232"/>
      <c r="CE412" s="232"/>
    </row>
    <row r="413" spans="80:83" x14ac:dyDescent="0.25">
      <c r="CB413" s="478"/>
      <c r="CC413" s="478"/>
      <c r="CD413" s="232"/>
      <c r="CE413" s="232"/>
    </row>
    <row r="414" spans="80:83" x14ac:dyDescent="0.25">
      <c r="CB414" s="478"/>
      <c r="CC414" s="478"/>
      <c r="CD414" s="232"/>
      <c r="CE414" s="232"/>
    </row>
    <row r="415" spans="80:83" x14ac:dyDescent="0.25">
      <c r="CB415" s="478"/>
      <c r="CC415" s="478"/>
      <c r="CD415" s="232"/>
      <c r="CE415" s="232"/>
    </row>
    <row r="416" spans="80:83" x14ac:dyDescent="0.25">
      <c r="CB416" s="478"/>
      <c r="CC416" s="478"/>
      <c r="CD416" s="232"/>
      <c r="CE416" s="232"/>
    </row>
    <row r="417" spans="80:83" x14ac:dyDescent="0.25">
      <c r="CB417" s="478"/>
      <c r="CC417" s="478"/>
      <c r="CD417" s="232"/>
      <c r="CE417" s="232"/>
    </row>
    <row r="418" spans="80:83" x14ac:dyDescent="0.25">
      <c r="CB418" s="478"/>
      <c r="CC418" s="478"/>
      <c r="CD418" s="232"/>
      <c r="CE418" s="232"/>
    </row>
    <row r="419" spans="80:83" x14ac:dyDescent="0.25">
      <c r="CB419" s="478"/>
      <c r="CC419" s="478"/>
      <c r="CD419" s="232"/>
      <c r="CE419" s="232"/>
    </row>
    <row r="420" spans="80:83" x14ac:dyDescent="0.25">
      <c r="CB420" s="478"/>
      <c r="CC420" s="478"/>
      <c r="CD420" s="232"/>
      <c r="CE420" s="232"/>
    </row>
    <row r="421" spans="80:83" x14ac:dyDescent="0.25">
      <c r="CB421" s="478"/>
      <c r="CC421" s="478"/>
      <c r="CD421" s="232"/>
      <c r="CE421" s="232"/>
    </row>
    <row r="422" spans="80:83" x14ac:dyDescent="0.25">
      <c r="CB422" s="478"/>
      <c r="CC422" s="478"/>
      <c r="CD422" s="232"/>
      <c r="CE422" s="232"/>
    </row>
    <row r="423" spans="80:83" x14ac:dyDescent="0.25">
      <c r="CB423" s="478"/>
      <c r="CC423" s="478"/>
      <c r="CD423" s="232"/>
      <c r="CE423" s="232"/>
    </row>
    <row r="424" spans="80:83" x14ac:dyDescent="0.25">
      <c r="CB424" s="478"/>
      <c r="CC424" s="478"/>
      <c r="CD424" s="232"/>
      <c r="CE424" s="232"/>
    </row>
    <row r="425" spans="80:83" x14ac:dyDescent="0.25">
      <c r="CB425" s="478"/>
      <c r="CC425" s="478"/>
      <c r="CD425" s="232"/>
      <c r="CE425" s="232"/>
    </row>
    <row r="426" spans="80:83" x14ac:dyDescent="0.25">
      <c r="CB426" s="478"/>
      <c r="CC426" s="478"/>
      <c r="CD426" s="232"/>
      <c r="CE426" s="232"/>
    </row>
    <row r="427" spans="80:83" x14ac:dyDescent="0.25">
      <c r="CB427" s="478"/>
      <c r="CC427" s="478"/>
      <c r="CD427" s="232"/>
      <c r="CE427" s="232"/>
    </row>
    <row r="428" spans="80:83" x14ac:dyDescent="0.25">
      <c r="CB428" s="478"/>
      <c r="CC428" s="478"/>
      <c r="CD428" s="232"/>
      <c r="CE428" s="232"/>
    </row>
    <row r="429" spans="80:83" x14ac:dyDescent="0.25">
      <c r="CB429" s="478"/>
      <c r="CC429" s="478"/>
      <c r="CD429" s="232"/>
      <c r="CE429" s="232"/>
    </row>
    <row r="430" spans="80:83" x14ac:dyDescent="0.25">
      <c r="CB430" s="478"/>
      <c r="CC430" s="478"/>
      <c r="CD430" s="232"/>
      <c r="CE430" s="232"/>
    </row>
    <row r="431" spans="80:83" x14ac:dyDescent="0.25">
      <c r="CB431" s="478"/>
      <c r="CC431" s="478"/>
      <c r="CD431" s="232"/>
      <c r="CE431" s="232"/>
    </row>
    <row r="432" spans="80:83" x14ac:dyDescent="0.25">
      <c r="CB432" s="478"/>
      <c r="CC432" s="478"/>
      <c r="CD432" s="232"/>
      <c r="CE432" s="232"/>
    </row>
    <row r="433" spans="80:83" x14ac:dyDescent="0.25">
      <c r="CB433" s="478"/>
      <c r="CC433" s="478"/>
      <c r="CD433" s="232"/>
      <c r="CE433" s="232"/>
    </row>
    <row r="434" spans="80:83" x14ac:dyDescent="0.25">
      <c r="CB434" s="478"/>
      <c r="CC434" s="478"/>
      <c r="CD434" s="232"/>
      <c r="CE434" s="232"/>
    </row>
    <row r="435" spans="80:83" x14ac:dyDescent="0.25">
      <c r="CB435" s="478"/>
      <c r="CC435" s="478"/>
      <c r="CD435" s="232"/>
      <c r="CE435" s="232"/>
    </row>
    <row r="436" spans="80:83" x14ac:dyDescent="0.25">
      <c r="CB436" s="478"/>
      <c r="CC436" s="478"/>
      <c r="CD436" s="232"/>
      <c r="CE436" s="232"/>
    </row>
    <row r="437" spans="80:83" x14ac:dyDescent="0.25">
      <c r="CB437" s="478"/>
      <c r="CC437" s="478"/>
      <c r="CD437" s="232"/>
      <c r="CE437" s="232"/>
    </row>
    <row r="438" spans="80:83" x14ac:dyDescent="0.25">
      <c r="CB438" s="478"/>
      <c r="CC438" s="478"/>
      <c r="CD438" s="232"/>
      <c r="CE438" s="232"/>
    </row>
    <row r="439" spans="80:83" x14ac:dyDescent="0.25">
      <c r="CB439" s="478"/>
      <c r="CC439" s="478"/>
      <c r="CD439" s="232"/>
      <c r="CE439" s="232"/>
    </row>
    <row r="440" spans="80:83" x14ac:dyDescent="0.25">
      <c r="CB440" s="478"/>
      <c r="CC440" s="478"/>
      <c r="CD440" s="232"/>
      <c r="CE440" s="232"/>
    </row>
    <row r="441" spans="80:83" x14ac:dyDescent="0.25">
      <c r="CB441" s="478"/>
      <c r="CC441" s="478"/>
      <c r="CD441" s="232"/>
      <c r="CE441" s="232"/>
    </row>
    <row r="442" spans="80:83" x14ac:dyDescent="0.25">
      <c r="CB442" s="478"/>
      <c r="CC442" s="478"/>
      <c r="CD442" s="232"/>
      <c r="CE442" s="232"/>
    </row>
    <row r="443" spans="80:83" x14ac:dyDescent="0.25">
      <c r="CB443" s="478"/>
      <c r="CC443" s="478"/>
      <c r="CD443" s="232"/>
      <c r="CE443" s="232"/>
    </row>
    <row r="444" spans="80:83" x14ac:dyDescent="0.25">
      <c r="CB444" s="478"/>
      <c r="CC444" s="478"/>
      <c r="CD444" s="232"/>
      <c r="CE444" s="232"/>
    </row>
    <row r="445" spans="80:83" x14ac:dyDescent="0.25">
      <c r="CB445" s="478"/>
      <c r="CC445" s="478"/>
      <c r="CD445" s="232"/>
      <c r="CE445" s="232"/>
    </row>
    <row r="446" spans="80:83" x14ac:dyDescent="0.25">
      <c r="CB446" s="478"/>
      <c r="CC446" s="478"/>
      <c r="CD446" s="232"/>
      <c r="CE446" s="232"/>
    </row>
    <row r="447" spans="80:83" x14ac:dyDescent="0.25">
      <c r="CB447" s="478"/>
      <c r="CC447" s="478"/>
      <c r="CD447" s="232"/>
      <c r="CE447" s="232"/>
    </row>
    <row r="448" spans="80:83" x14ac:dyDescent="0.25">
      <c r="CB448" s="478"/>
      <c r="CC448" s="478"/>
      <c r="CD448" s="232"/>
      <c r="CE448" s="232"/>
    </row>
    <row r="449" spans="80:83" x14ac:dyDescent="0.25">
      <c r="CB449" s="478"/>
      <c r="CC449" s="478"/>
      <c r="CD449" s="232"/>
      <c r="CE449" s="232"/>
    </row>
    <row r="450" spans="80:83" x14ac:dyDescent="0.25">
      <c r="CB450" s="478"/>
      <c r="CC450" s="478"/>
      <c r="CD450" s="232"/>
      <c r="CE450" s="232"/>
    </row>
    <row r="451" spans="80:83" x14ac:dyDescent="0.25">
      <c r="CB451" s="478"/>
      <c r="CC451" s="478"/>
      <c r="CD451" s="232"/>
      <c r="CE451" s="232"/>
    </row>
    <row r="452" spans="80:83" x14ac:dyDescent="0.25">
      <c r="CB452" s="478"/>
      <c r="CC452" s="478"/>
      <c r="CD452" s="232"/>
      <c r="CE452" s="232"/>
    </row>
    <row r="453" spans="80:83" x14ac:dyDescent="0.25">
      <c r="CB453" s="478"/>
      <c r="CC453" s="478"/>
      <c r="CD453" s="232"/>
      <c r="CE453" s="232"/>
    </row>
    <row r="454" spans="80:83" x14ac:dyDescent="0.25">
      <c r="CB454" s="478"/>
      <c r="CC454" s="478"/>
      <c r="CD454" s="232"/>
      <c r="CE454" s="232"/>
    </row>
    <row r="455" spans="80:83" x14ac:dyDescent="0.25">
      <c r="CB455" s="478"/>
      <c r="CC455" s="478"/>
      <c r="CD455" s="232"/>
      <c r="CE455" s="232"/>
    </row>
    <row r="456" spans="80:83" x14ac:dyDescent="0.25">
      <c r="CB456" s="478"/>
      <c r="CC456" s="478"/>
      <c r="CD456" s="232"/>
      <c r="CE456" s="232"/>
    </row>
    <row r="457" spans="80:83" x14ac:dyDescent="0.25">
      <c r="CB457" s="478"/>
      <c r="CC457" s="478"/>
      <c r="CD457" s="232"/>
      <c r="CE457" s="232"/>
    </row>
    <row r="458" spans="80:83" x14ac:dyDescent="0.25">
      <c r="CB458" s="478"/>
      <c r="CC458" s="478"/>
      <c r="CD458" s="232"/>
      <c r="CE458" s="232"/>
    </row>
    <row r="459" spans="80:83" x14ac:dyDescent="0.25">
      <c r="CB459" s="478"/>
      <c r="CC459" s="478"/>
      <c r="CD459" s="232"/>
      <c r="CE459" s="232"/>
    </row>
    <row r="460" spans="80:83" x14ac:dyDescent="0.25">
      <c r="CB460" s="478"/>
      <c r="CC460" s="478"/>
      <c r="CD460" s="232"/>
      <c r="CE460" s="232"/>
    </row>
    <row r="461" spans="80:83" x14ac:dyDescent="0.25">
      <c r="CB461" s="478"/>
      <c r="CC461" s="478"/>
      <c r="CD461" s="232"/>
      <c r="CE461" s="232"/>
    </row>
    <row r="462" spans="80:83" x14ac:dyDescent="0.25">
      <c r="CB462" s="478"/>
      <c r="CC462" s="478"/>
      <c r="CD462" s="232"/>
      <c r="CE462" s="232"/>
    </row>
    <row r="463" spans="80:83" x14ac:dyDescent="0.25">
      <c r="CB463" s="478"/>
      <c r="CC463" s="478"/>
      <c r="CD463" s="232"/>
      <c r="CE463" s="232"/>
    </row>
    <row r="464" spans="80:83" x14ac:dyDescent="0.25">
      <c r="CB464" s="478"/>
      <c r="CC464" s="478"/>
      <c r="CD464" s="232"/>
      <c r="CE464" s="232"/>
    </row>
    <row r="465" spans="80:83" x14ac:dyDescent="0.25">
      <c r="CB465" s="478"/>
      <c r="CC465" s="478"/>
      <c r="CD465" s="232"/>
      <c r="CE465" s="232"/>
    </row>
    <row r="466" spans="80:83" x14ac:dyDescent="0.25">
      <c r="CB466" s="478"/>
      <c r="CC466" s="478"/>
      <c r="CD466" s="232"/>
      <c r="CE466" s="232"/>
    </row>
    <row r="467" spans="80:83" x14ac:dyDescent="0.25">
      <c r="CB467" s="478"/>
      <c r="CC467" s="478"/>
      <c r="CD467" s="232"/>
      <c r="CE467" s="232"/>
    </row>
    <row r="468" spans="80:83" x14ac:dyDescent="0.25">
      <c r="CB468" s="478"/>
      <c r="CC468" s="478"/>
      <c r="CD468" s="232"/>
      <c r="CE468" s="232"/>
    </row>
    <row r="469" spans="80:83" x14ac:dyDescent="0.25">
      <c r="CB469" s="478"/>
      <c r="CC469" s="478"/>
      <c r="CD469" s="232"/>
      <c r="CE469" s="232"/>
    </row>
    <row r="470" spans="80:83" x14ac:dyDescent="0.25">
      <c r="CB470" s="478"/>
      <c r="CC470" s="478"/>
      <c r="CD470" s="232"/>
      <c r="CE470" s="232"/>
    </row>
    <row r="471" spans="80:83" x14ac:dyDescent="0.25">
      <c r="CB471" s="478"/>
      <c r="CC471" s="478"/>
      <c r="CD471" s="232"/>
      <c r="CE471" s="232"/>
    </row>
    <row r="472" spans="80:83" x14ac:dyDescent="0.25">
      <c r="CB472" s="478"/>
      <c r="CC472" s="478"/>
      <c r="CD472" s="232"/>
      <c r="CE472" s="232"/>
    </row>
    <row r="473" spans="80:83" x14ac:dyDescent="0.25">
      <c r="CB473" s="478"/>
      <c r="CC473" s="478"/>
      <c r="CD473" s="232"/>
      <c r="CE473" s="232"/>
    </row>
    <row r="474" spans="80:83" x14ac:dyDescent="0.25">
      <c r="CB474" s="478"/>
      <c r="CC474" s="478"/>
      <c r="CD474" s="232"/>
      <c r="CE474" s="232"/>
    </row>
    <row r="475" spans="80:83" x14ac:dyDescent="0.25">
      <c r="CB475" s="478"/>
      <c r="CC475" s="478"/>
      <c r="CD475" s="232"/>
      <c r="CE475" s="232"/>
    </row>
    <row r="476" spans="80:83" x14ac:dyDescent="0.25">
      <c r="CB476" s="478"/>
      <c r="CC476" s="478"/>
      <c r="CD476" s="232"/>
      <c r="CE476" s="232"/>
    </row>
    <row r="477" spans="80:83" x14ac:dyDescent="0.25">
      <c r="CB477" s="478"/>
      <c r="CC477" s="478"/>
      <c r="CD477" s="232"/>
      <c r="CE477" s="232"/>
    </row>
    <row r="478" spans="80:83" x14ac:dyDescent="0.25">
      <c r="CB478" s="478"/>
      <c r="CC478" s="478"/>
      <c r="CD478" s="232"/>
      <c r="CE478" s="232"/>
    </row>
    <row r="479" spans="80:83" x14ac:dyDescent="0.25">
      <c r="CB479" s="478"/>
      <c r="CC479" s="478"/>
      <c r="CD479" s="232"/>
      <c r="CE479" s="232"/>
    </row>
    <row r="480" spans="80:83" x14ac:dyDescent="0.25">
      <c r="CB480" s="478"/>
      <c r="CC480" s="478"/>
      <c r="CD480" s="232"/>
      <c r="CE480" s="232"/>
    </row>
    <row r="481" spans="80:83" x14ac:dyDescent="0.25">
      <c r="CB481" s="478"/>
      <c r="CC481" s="478"/>
      <c r="CD481" s="232"/>
      <c r="CE481" s="232"/>
    </row>
    <row r="482" spans="80:83" x14ac:dyDescent="0.25">
      <c r="CB482" s="478"/>
      <c r="CC482" s="478"/>
      <c r="CD482" s="232"/>
      <c r="CE482" s="232"/>
    </row>
    <row r="483" spans="80:83" x14ac:dyDescent="0.25">
      <c r="CB483" s="478"/>
      <c r="CC483" s="478"/>
      <c r="CD483" s="232"/>
      <c r="CE483" s="232"/>
    </row>
    <row r="484" spans="80:83" x14ac:dyDescent="0.25">
      <c r="CB484" s="478"/>
      <c r="CC484" s="478"/>
      <c r="CD484" s="232"/>
      <c r="CE484" s="232"/>
    </row>
    <row r="485" spans="80:83" x14ac:dyDescent="0.25">
      <c r="CB485" s="478"/>
      <c r="CC485" s="478"/>
      <c r="CD485" s="232"/>
      <c r="CE485" s="232"/>
    </row>
    <row r="486" spans="80:83" x14ac:dyDescent="0.25">
      <c r="CB486" s="478"/>
      <c r="CC486" s="478"/>
      <c r="CD486" s="232"/>
      <c r="CE486" s="232"/>
    </row>
    <row r="487" spans="80:83" x14ac:dyDescent="0.25">
      <c r="CB487" s="478"/>
      <c r="CC487" s="478"/>
      <c r="CD487" s="232"/>
      <c r="CE487" s="232"/>
    </row>
    <row r="488" spans="80:83" x14ac:dyDescent="0.25">
      <c r="CB488" s="478"/>
      <c r="CC488" s="478"/>
      <c r="CD488" s="232"/>
      <c r="CE488" s="232"/>
    </row>
    <row r="489" spans="80:83" x14ac:dyDescent="0.25">
      <c r="CB489" s="478"/>
      <c r="CC489" s="478"/>
      <c r="CD489" s="232"/>
      <c r="CE489" s="232"/>
    </row>
    <row r="490" spans="80:83" x14ac:dyDescent="0.25">
      <c r="CB490" s="478"/>
      <c r="CC490" s="478"/>
      <c r="CD490" s="232"/>
      <c r="CE490" s="232"/>
    </row>
    <row r="491" spans="80:83" x14ac:dyDescent="0.25">
      <c r="CB491" s="478"/>
      <c r="CC491" s="478"/>
      <c r="CD491" s="232"/>
      <c r="CE491" s="232"/>
    </row>
    <row r="492" spans="80:83" x14ac:dyDescent="0.25">
      <c r="CB492" s="478"/>
      <c r="CC492" s="478"/>
      <c r="CD492" s="232"/>
      <c r="CE492" s="232"/>
    </row>
    <row r="493" spans="80:83" x14ac:dyDescent="0.25">
      <c r="CB493" s="478"/>
      <c r="CC493" s="478"/>
      <c r="CD493" s="232"/>
      <c r="CE493" s="232"/>
    </row>
    <row r="494" spans="80:83" x14ac:dyDescent="0.25">
      <c r="CB494" s="478"/>
      <c r="CC494" s="478"/>
      <c r="CD494" s="232"/>
      <c r="CE494" s="232"/>
    </row>
    <row r="495" spans="80:83" x14ac:dyDescent="0.25">
      <c r="CB495" s="478"/>
      <c r="CC495" s="478"/>
      <c r="CD495" s="232"/>
      <c r="CE495" s="232"/>
    </row>
    <row r="496" spans="80:83" x14ac:dyDescent="0.25">
      <c r="CB496" s="478"/>
      <c r="CC496" s="478"/>
      <c r="CD496" s="232"/>
      <c r="CE496" s="232"/>
    </row>
    <row r="497" spans="80:83" x14ac:dyDescent="0.25">
      <c r="CB497" s="478"/>
      <c r="CC497" s="478"/>
      <c r="CD497" s="232"/>
      <c r="CE497" s="232"/>
    </row>
    <row r="498" spans="80:83" x14ac:dyDescent="0.25">
      <c r="CB498" s="478"/>
      <c r="CC498" s="478"/>
      <c r="CD498" s="232"/>
      <c r="CE498" s="232"/>
    </row>
    <row r="499" spans="80:83" x14ac:dyDescent="0.25">
      <c r="CB499" s="478"/>
      <c r="CC499" s="478"/>
      <c r="CD499" s="232"/>
      <c r="CE499" s="232"/>
    </row>
    <row r="500" spans="80:83" x14ac:dyDescent="0.25">
      <c r="CB500" s="478"/>
      <c r="CC500" s="478"/>
      <c r="CD500" s="232"/>
      <c r="CE500" s="232"/>
    </row>
    <row r="501" spans="80:83" x14ac:dyDescent="0.25">
      <c r="CB501" s="478"/>
      <c r="CC501" s="478"/>
      <c r="CD501" s="232"/>
      <c r="CE501" s="232"/>
    </row>
    <row r="502" spans="80:83" x14ac:dyDescent="0.25">
      <c r="CB502" s="478"/>
      <c r="CC502" s="478"/>
      <c r="CD502" s="232"/>
      <c r="CE502" s="232"/>
    </row>
    <row r="503" spans="80:83" x14ac:dyDescent="0.25">
      <c r="CB503" s="478"/>
      <c r="CC503" s="478"/>
      <c r="CD503" s="232"/>
      <c r="CE503" s="232"/>
    </row>
    <row r="504" spans="80:83" x14ac:dyDescent="0.25">
      <c r="CB504" s="478"/>
      <c r="CC504" s="478"/>
      <c r="CD504" s="232"/>
      <c r="CE504" s="232"/>
    </row>
    <row r="505" spans="80:83" x14ac:dyDescent="0.25">
      <c r="CB505" s="478"/>
      <c r="CC505" s="478"/>
      <c r="CD505" s="232"/>
      <c r="CE505" s="232"/>
    </row>
    <row r="506" spans="80:83" x14ac:dyDescent="0.25">
      <c r="CB506" s="478"/>
      <c r="CC506" s="478"/>
      <c r="CD506" s="232"/>
      <c r="CE506" s="232"/>
    </row>
    <row r="507" spans="80:83" x14ac:dyDescent="0.25">
      <c r="CB507" s="478"/>
      <c r="CC507" s="478"/>
      <c r="CD507" s="232"/>
      <c r="CE507" s="232"/>
    </row>
    <row r="508" spans="80:83" x14ac:dyDescent="0.25">
      <c r="CB508" s="478"/>
      <c r="CC508" s="478"/>
      <c r="CD508" s="232"/>
      <c r="CE508" s="232"/>
    </row>
    <row r="509" spans="80:83" x14ac:dyDescent="0.25">
      <c r="CB509" s="478"/>
      <c r="CC509" s="478"/>
      <c r="CD509" s="232"/>
      <c r="CE509" s="232"/>
    </row>
    <row r="510" spans="80:83" x14ac:dyDescent="0.25">
      <c r="CB510" s="478"/>
      <c r="CC510" s="478"/>
      <c r="CD510" s="232"/>
      <c r="CE510" s="232"/>
    </row>
    <row r="511" spans="80:83" x14ac:dyDescent="0.25">
      <c r="CB511" s="478"/>
      <c r="CC511" s="478"/>
      <c r="CD511" s="232"/>
      <c r="CE511" s="232"/>
    </row>
    <row r="512" spans="80:83" x14ac:dyDescent="0.25">
      <c r="CB512" s="478"/>
      <c r="CC512" s="478"/>
      <c r="CD512" s="232"/>
      <c r="CE512" s="232"/>
    </row>
    <row r="513" spans="80:83" x14ac:dyDescent="0.25">
      <c r="CB513" s="478"/>
      <c r="CC513" s="478"/>
      <c r="CD513" s="232"/>
      <c r="CE513" s="232"/>
    </row>
    <row r="514" spans="80:83" x14ac:dyDescent="0.25">
      <c r="CB514" s="478"/>
      <c r="CC514" s="478"/>
      <c r="CD514" s="232"/>
      <c r="CE514" s="232"/>
    </row>
    <row r="515" spans="80:83" x14ac:dyDescent="0.25">
      <c r="CB515" s="478"/>
      <c r="CC515" s="478"/>
      <c r="CD515" s="232"/>
      <c r="CE515" s="232"/>
    </row>
    <row r="516" spans="80:83" x14ac:dyDescent="0.25">
      <c r="CB516" s="478"/>
      <c r="CC516" s="478"/>
      <c r="CD516" s="232"/>
      <c r="CE516" s="232"/>
    </row>
    <row r="517" spans="80:83" x14ac:dyDescent="0.25">
      <c r="CB517" s="478"/>
      <c r="CC517" s="478"/>
      <c r="CD517" s="232"/>
      <c r="CE517" s="232"/>
    </row>
    <row r="518" spans="80:83" x14ac:dyDescent="0.25">
      <c r="CB518" s="478"/>
      <c r="CC518" s="478"/>
      <c r="CD518" s="232"/>
      <c r="CE518" s="232"/>
    </row>
    <row r="519" spans="80:83" x14ac:dyDescent="0.25">
      <c r="CB519" s="478"/>
      <c r="CC519" s="478"/>
      <c r="CD519" s="232"/>
      <c r="CE519" s="232"/>
    </row>
    <row r="520" spans="80:83" x14ac:dyDescent="0.25">
      <c r="CB520" s="478"/>
      <c r="CC520" s="478"/>
      <c r="CD520" s="232"/>
      <c r="CE520" s="232"/>
    </row>
    <row r="521" spans="80:83" x14ac:dyDescent="0.25">
      <c r="CB521" s="478"/>
      <c r="CC521" s="478"/>
      <c r="CD521" s="232"/>
      <c r="CE521" s="232"/>
    </row>
    <row r="522" spans="80:83" x14ac:dyDescent="0.25">
      <c r="CB522" s="478"/>
      <c r="CC522" s="478"/>
      <c r="CD522" s="232"/>
      <c r="CE522" s="232"/>
    </row>
    <row r="523" spans="80:83" x14ac:dyDescent="0.25">
      <c r="CB523" s="478"/>
      <c r="CC523" s="478"/>
      <c r="CD523" s="232"/>
      <c r="CE523" s="232"/>
    </row>
    <row r="524" spans="80:83" x14ac:dyDescent="0.25">
      <c r="CB524" s="478"/>
      <c r="CC524" s="478"/>
      <c r="CD524" s="232"/>
      <c r="CE524" s="232"/>
    </row>
    <row r="525" spans="80:83" x14ac:dyDescent="0.25">
      <c r="CB525" s="478"/>
      <c r="CC525" s="478"/>
      <c r="CD525" s="232"/>
      <c r="CE525" s="232"/>
    </row>
    <row r="526" spans="80:83" x14ac:dyDescent="0.25">
      <c r="CB526" s="478"/>
      <c r="CC526" s="478"/>
      <c r="CD526" s="232"/>
      <c r="CE526" s="232"/>
    </row>
    <row r="527" spans="80:83" x14ac:dyDescent="0.25">
      <c r="CB527" s="478"/>
      <c r="CC527" s="478"/>
      <c r="CD527" s="232"/>
      <c r="CE527" s="232"/>
    </row>
    <row r="528" spans="80:83" x14ac:dyDescent="0.25">
      <c r="CB528" s="478"/>
      <c r="CC528" s="478"/>
      <c r="CD528" s="232"/>
      <c r="CE528" s="232"/>
    </row>
    <row r="529" spans="80:83" x14ac:dyDescent="0.25">
      <c r="CB529" s="478"/>
      <c r="CC529" s="478"/>
      <c r="CD529" s="232"/>
      <c r="CE529" s="232"/>
    </row>
    <row r="530" spans="80:83" x14ac:dyDescent="0.25">
      <c r="CB530" s="478"/>
      <c r="CC530" s="478"/>
      <c r="CD530" s="232"/>
      <c r="CE530" s="232"/>
    </row>
    <row r="531" spans="80:83" x14ac:dyDescent="0.25">
      <c r="CB531" s="478"/>
      <c r="CC531" s="478"/>
      <c r="CD531" s="232"/>
      <c r="CE531" s="232"/>
    </row>
    <row r="532" spans="80:83" x14ac:dyDescent="0.25">
      <c r="CB532" s="478"/>
      <c r="CC532" s="478"/>
      <c r="CD532" s="232"/>
      <c r="CE532" s="232"/>
    </row>
    <row r="533" spans="80:83" x14ac:dyDescent="0.25">
      <c r="CB533" s="478"/>
      <c r="CC533" s="478"/>
      <c r="CD533" s="232"/>
      <c r="CE533" s="232"/>
    </row>
    <row r="534" spans="80:83" x14ac:dyDescent="0.25">
      <c r="CB534" s="478"/>
      <c r="CC534" s="478"/>
      <c r="CD534" s="232"/>
      <c r="CE534" s="232"/>
    </row>
    <row r="535" spans="80:83" x14ac:dyDescent="0.25">
      <c r="CB535" s="478"/>
      <c r="CC535" s="478"/>
      <c r="CD535" s="232"/>
      <c r="CE535" s="232"/>
    </row>
    <row r="536" spans="80:83" x14ac:dyDescent="0.25">
      <c r="CB536" s="478"/>
      <c r="CC536" s="478"/>
      <c r="CD536" s="232"/>
      <c r="CE536" s="232"/>
    </row>
    <row r="537" spans="80:83" x14ac:dyDescent="0.25">
      <c r="CB537" s="478"/>
      <c r="CC537" s="478"/>
      <c r="CD537" s="232"/>
      <c r="CE537" s="232"/>
    </row>
    <row r="538" spans="80:83" x14ac:dyDescent="0.25">
      <c r="CB538" s="478"/>
      <c r="CC538" s="478"/>
      <c r="CD538" s="232"/>
      <c r="CE538" s="232"/>
    </row>
    <row r="539" spans="80:83" x14ac:dyDescent="0.25">
      <c r="CB539" s="478"/>
      <c r="CC539" s="478"/>
      <c r="CD539" s="232"/>
      <c r="CE539" s="232"/>
    </row>
    <row r="540" spans="80:83" x14ac:dyDescent="0.25">
      <c r="CB540" s="478"/>
      <c r="CC540" s="478"/>
      <c r="CD540" s="232"/>
      <c r="CE540" s="232"/>
    </row>
    <row r="541" spans="80:83" x14ac:dyDescent="0.25">
      <c r="CB541" s="478"/>
      <c r="CC541" s="478"/>
      <c r="CD541" s="232"/>
      <c r="CE541" s="232"/>
    </row>
    <row r="542" spans="80:83" x14ac:dyDescent="0.25">
      <c r="CB542" s="478"/>
      <c r="CC542" s="478"/>
      <c r="CD542" s="232"/>
      <c r="CE542" s="232"/>
    </row>
    <row r="543" spans="80:83" x14ac:dyDescent="0.25">
      <c r="CB543" s="478"/>
      <c r="CC543" s="478"/>
      <c r="CD543" s="232"/>
      <c r="CE543" s="232"/>
    </row>
    <row r="544" spans="80:83" x14ac:dyDescent="0.25">
      <c r="CB544" s="478"/>
      <c r="CC544" s="478"/>
      <c r="CD544" s="232"/>
      <c r="CE544" s="232"/>
    </row>
    <row r="545" spans="80:83" x14ac:dyDescent="0.25">
      <c r="CB545" s="478"/>
      <c r="CC545" s="478"/>
      <c r="CD545" s="232"/>
      <c r="CE545" s="232"/>
    </row>
    <row r="546" spans="80:83" x14ac:dyDescent="0.25">
      <c r="CB546" s="478"/>
      <c r="CC546" s="478"/>
      <c r="CD546" s="232"/>
      <c r="CE546" s="232"/>
    </row>
    <row r="547" spans="80:83" x14ac:dyDescent="0.25">
      <c r="CB547" s="478"/>
      <c r="CC547" s="478"/>
      <c r="CD547" s="232"/>
      <c r="CE547" s="232"/>
    </row>
    <row r="548" spans="80:83" x14ac:dyDescent="0.25">
      <c r="CB548" s="478"/>
      <c r="CC548" s="478"/>
      <c r="CD548" s="232"/>
      <c r="CE548" s="232"/>
    </row>
    <row r="549" spans="80:83" x14ac:dyDescent="0.25">
      <c r="CB549" s="478"/>
      <c r="CC549" s="478"/>
      <c r="CD549" s="232"/>
      <c r="CE549" s="232"/>
    </row>
    <row r="550" spans="80:83" x14ac:dyDescent="0.25">
      <c r="CB550" s="478"/>
      <c r="CC550" s="478"/>
      <c r="CD550" s="232"/>
      <c r="CE550" s="232"/>
    </row>
    <row r="551" spans="80:83" x14ac:dyDescent="0.25">
      <c r="CB551" s="478"/>
      <c r="CC551" s="478"/>
      <c r="CD551" s="232"/>
      <c r="CE551" s="232"/>
    </row>
    <row r="552" spans="80:83" x14ac:dyDescent="0.25">
      <c r="CB552" s="478"/>
      <c r="CC552" s="478"/>
      <c r="CD552" s="232"/>
      <c r="CE552" s="232"/>
    </row>
    <row r="553" spans="80:83" x14ac:dyDescent="0.25">
      <c r="CB553" s="478"/>
      <c r="CC553" s="478"/>
      <c r="CD553" s="232"/>
      <c r="CE553" s="232"/>
    </row>
    <row r="554" spans="80:83" x14ac:dyDescent="0.25">
      <c r="CB554" s="478"/>
      <c r="CC554" s="478"/>
      <c r="CD554" s="232"/>
      <c r="CE554" s="232"/>
    </row>
    <row r="555" spans="80:83" x14ac:dyDescent="0.25">
      <c r="CB555" s="478"/>
      <c r="CC555" s="478"/>
      <c r="CD555" s="232"/>
      <c r="CE555" s="232"/>
    </row>
    <row r="556" spans="80:83" x14ac:dyDescent="0.25">
      <c r="CB556" s="478"/>
      <c r="CC556" s="478"/>
      <c r="CD556" s="232"/>
      <c r="CE556" s="232"/>
    </row>
    <row r="557" spans="80:83" x14ac:dyDescent="0.25">
      <c r="CB557" s="478"/>
      <c r="CC557" s="478"/>
      <c r="CD557" s="232"/>
      <c r="CE557" s="232"/>
    </row>
    <row r="558" spans="80:83" x14ac:dyDescent="0.25">
      <c r="CB558" s="478"/>
      <c r="CC558" s="478"/>
      <c r="CD558" s="232"/>
      <c r="CE558" s="232"/>
    </row>
    <row r="559" spans="80:83" x14ac:dyDescent="0.25">
      <c r="CB559" s="478"/>
      <c r="CC559" s="478"/>
      <c r="CD559" s="232"/>
      <c r="CE559" s="232"/>
    </row>
    <row r="560" spans="80:83" x14ac:dyDescent="0.25">
      <c r="CB560" s="478"/>
      <c r="CC560" s="478"/>
      <c r="CD560" s="232"/>
      <c r="CE560" s="232"/>
    </row>
    <row r="561" spans="80:83" x14ac:dyDescent="0.25">
      <c r="CB561" s="478"/>
      <c r="CC561" s="478"/>
      <c r="CD561" s="232"/>
      <c r="CE561" s="232"/>
    </row>
    <row r="562" spans="80:83" x14ac:dyDescent="0.25">
      <c r="CB562" s="478"/>
      <c r="CC562" s="478"/>
      <c r="CD562" s="232"/>
      <c r="CE562" s="232"/>
    </row>
    <row r="563" spans="80:83" x14ac:dyDescent="0.25">
      <c r="CB563" s="478"/>
      <c r="CC563" s="478"/>
      <c r="CD563" s="232"/>
      <c r="CE563" s="232"/>
    </row>
    <row r="564" spans="80:83" x14ac:dyDescent="0.25">
      <c r="CB564" s="478"/>
      <c r="CC564" s="478"/>
      <c r="CD564" s="232"/>
      <c r="CE564" s="232"/>
    </row>
    <row r="565" spans="80:83" x14ac:dyDescent="0.25">
      <c r="CB565" s="478"/>
      <c r="CC565" s="478"/>
      <c r="CD565" s="232"/>
      <c r="CE565" s="232"/>
    </row>
    <row r="566" spans="80:83" x14ac:dyDescent="0.25">
      <c r="CB566" s="478"/>
      <c r="CC566" s="478"/>
      <c r="CD566" s="232"/>
      <c r="CE566" s="232"/>
    </row>
    <row r="567" spans="80:83" x14ac:dyDescent="0.25">
      <c r="CB567" s="478"/>
      <c r="CC567" s="478"/>
      <c r="CD567" s="232"/>
      <c r="CE567" s="232"/>
    </row>
    <row r="568" spans="80:83" x14ac:dyDescent="0.25">
      <c r="CB568" s="478"/>
      <c r="CC568" s="478"/>
      <c r="CD568" s="232"/>
      <c r="CE568" s="232"/>
    </row>
    <row r="569" spans="80:83" x14ac:dyDescent="0.25">
      <c r="CB569" s="478"/>
      <c r="CC569" s="478"/>
      <c r="CD569" s="232"/>
      <c r="CE569" s="232"/>
    </row>
    <row r="570" spans="80:83" x14ac:dyDescent="0.25">
      <c r="CB570" s="478"/>
      <c r="CC570" s="478"/>
      <c r="CD570" s="232"/>
      <c r="CE570" s="232"/>
    </row>
    <row r="571" spans="80:83" x14ac:dyDescent="0.25">
      <c r="CB571" s="478"/>
      <c r="CC571" s="478"/>
      <c r="CD571" s="232"/>
      <c r="CE571" s="232"/>
    </row>
    <row r="572" spans="80:83" x14ac:dyDescent="0.25">
      <c r="CB572" s="478"/>
      <c r="CC572" s="478"/>
      <c r="CD572" s="232"/>
      <c r="CE572" s="232"/>
    </row>
    <row r="573" spans="80:83" x14ac:dyDescent="0.25">
      <c r="CB573" s="478"/>
      <c r="CC573" s="478"/>
      <c r="CD573" s="232"/>
      <c r="CE573" s="232"/>
    </row>
    <row r="574" spans="80:83" x14ac:dyDescent="0.25">
      <c r="CB574" s="478"/>
      <c r="CC574" s="478"/>
      <c r="CD574" s="232"/>
      <c r="CE574" s="232"/>
    </row>
    <row r="575" spans="80:83" x14ac:dyDescent="0.25">
      <c r="CB575" s="478"/>
      <c r="CC575" s="478"/>
      <c r="CD575" s="232"/>
      <c r="CE575" s="232"/>
    </row>
    <row r="576" spans="80:83" x14ac:dyDescent="0.25">
      <c r="CB576" s="478"/>
      <c r="CC576" s="478"/>
      <c r="CD576" s="232"/>
      <c r="CE576" s="232"/>
    </row>
    <row r="577" spans="80:83" x14ac:dyDescent="0.25">
      <c r="CB577" s="478"/>
      <c r="CC577" s="478"/>
      <c r="CD577" s="232"/>
      <c r="CE577" s="232"/>
    </row>
    <row r="578" spans="80:83" x14ac:dyDescent="0.25">
      <c r="CB578" s="478"/>
      <c r="CC578" s="478"/>
      <c r="CD578" s="232"/>
      <c r="CE578" s="232"/>
    </row>
    <row r="579" spans="80:83" x14ac:dyDescent="0.25">
      <c r="CB579" s="478"/>
      <c r="CC579" s="478"/>
      <c r="CD579" s="232"/>
      <c r="CE579" s="232"/>
    </row>
    <row r="580" spans="80:83" x14ac:dyDescent="0.25">
      <c r="CB580" s="478"/>
      <c r="CC580" s="478"/>
      <c r="CD580" s="232"/>
      <c r="CE580" s="232"/>
    </row>
    <row r="581" spans="80:83" x14ac:dyDescent="0.25">
      <c r="CB581" s="478"/>
      <c r="CC581" s="478"/>
      <c r="CD581" s="232"/>
      <c r="CE581" s="232"/>
    </row>
    <row r="582" spans="80:83" x14ac:dyDescent="0.25">
      <c r="CB582" s="478"/>
      <c r="CC582" s="478"/>
      <c r="CD582" s="232"/>
      <c r="CE582" s="232"/>
    </row>
    <row r="583" spans="80:83" x14ac:dyDescent="0.25">
      <c r="CB583" s="478"/>
      <c r="CC583" s="478"/>
      <c r="CD583" s="232"/>
      <c r="CE583" s="232"/>
    </row>
    <row r="584" spans="80:83" x14ac:dyDescent="0.25">
      <c r="CB584" s="478"/>
      <c r="CC584" s="478"/>
      <c r="CD584" s="232"/>
      <c r="CE584" s="232"/>
    </row>
    <row r="585" spans="80:83" x14ac:dyDescent="0.25">
      <c r="CB585" s="478"/>
      <c r="CC585" s="478"/>
      <c r="CD585" s="232"/>
      <c r="CE585" s="232"/>
    </row>
    <row r="586" spans="80:83" x14ac:dyDescent="0.25">
      <c r="CB586" s="478"/>
      <c r="CC586" s="478"/>
      <c r="CD586" s="232"/>
      <c r="CE586" s="232"/>
    </row>
    <row r="587" spans="80:83" x14ac:dyDescent="0.25">
      <c r="CB587" s="478"/>
      <c r="CC587" s="478"/>
      <c r="CD587" s="232"/>
      <c r="CE587" s="232"/>
    </row>
    <row r="588" spans="80:83" x14ac:dyDescent="0.25">
      <c r="CB588" s="478"/>
      <c r="CC588" s="478"/>
      <c r="CD588" s="232"/>
      <c r="CE588" s="232"/>
    </row>
    <row r="589" spans="80:83" x14ac:dyDescent="0.25">
      <c r="CB589" s="478"/>
      <c r="CC589" s="478"/>
      <c r="CD589" s="232"/>
      <c r="CE589" s="232"/>
    </row>
    <row r="590" spans="80:83" x14ac:dyDescent="0.25">
      <c r="CB590" s="478"/>
      <c r="CC590" s="478"/>
      <c r="CD590" s="232"/>
      <c r="CE590" s="232"/>
    </row>
    <row r="591" spans="80:83" x14ac:dyDescent="0.25">
      <c r="CB591" s="478"/>
      <c r="CC591" s="478"/>
      <c r="CD591" s="232"/>
      <c r="CE591" s="232"/>
    </row>
    <row r="592" spans="80:83" x14ac:dyDescent="0.25">
      <c r="CB592" s="478"/>
      <c r="CC592" s="478"/>
      <c r="CD592" s="232"/>
      <c r="CE592" s="232"/>
    </row>
    <row r="593" spans="80:83" x14ac:dyDescent="0.25">
      <c r="CB593" s="478"/>
      <c r="CC593" s="478"/>
      <c r="CD593" s="232"/>
      <c r="CE593" s="232"/>
    </row>
    <row r="594" spans="80:83" x14ac:dyDescent="0.25">
      <c r="CB594" s="478"/>
      <c r="CC594" s="478"/>
      <c r="CD594" s="232"/>
      <c r="CE594" s="232"/>
    </row>
    <row r="595" spans="80:83" x14ac:dyDescent="0.25">
      <c r="CB595" s="478"/>
      <c r="CC595" s="478"/>
      <c r="CD595" s="232"/>
      <c r="CE595" s="232"/>
    </row>
    <row r="596" spans="80:83" x14ac:dyDescent="0.25">
      <c r="CB596" s="478"/>
      <c r="CC596" s="478"/>
      <c r="CD596" s="232"/>
      <c r="CE596" s="232"/>
    </row>
    <row r="597" spans="80:83" x14ac:dyDescent="0.25">
      <c r="CB597" s="478"/>
      <c r="CC597" s="478"/>
      <c r="CD597" s="232"/>
      <c r="CE597" s="232"/>
    </row>
    <row r="598" spans="80:83" x14ac:dyDescent="0.25">
      <c r="CB598" s="478"/>
      <c r="CC598" s="478"/>
      <c r="CD598" s="232"/>
      <c r="CE598" s="232"/>
    </row>
    <row r="599" spans="80:83" x14ac:dyDescent="0.25">
      <c r="CB599" s="478"/>
      <c r="CC599" s="478"/>
      <c r="CD599" s="232"/>
      <c r="CE599" s="232"/>
    </row>
    <row r="600" spans="80:83" x14ac:dyDescent="0.25">
      <c r="CB600" s="478"/>
      <c r="CC600" s="478"/>
      <c r="CD600" s="232"/>
      <c r="CE600" s="232"/>
    </row>
    <row r="601" spans="80:83" x14ac:dyDescent="0.25">
      <c r="CB601" s="478"/>
      <c r="CC601" s="478"/>
      <c r="CD601" s="232"/>
      <c r="CE601" s="232"/>
    </row>
    <row r="602" spans="80:83" x14ac:dyDescent="0.25">
      <c r="CB602" s="478"/>
      <c r="CC602" s="478"/>
      <c r="CD602" s="232"/>
      <c r="CE602" s="232"/>
    </row>
    <row r="603" spans="80:83" x14ac:dyDescent="0.25">
      <c r="CB603" s="478"/>
      <c r="CC603" s="478"/>
      <c r="CD603" s="232"/>
      <c r="CE603" s="232"/>
    </row>
    <row r="604" spans="80:83" x14ac:dyDescent="0.25">
      <c r="CB604" s="478"/>
      <c r="CC604" s="478"/>
      <c r="CD604" s="232"/>
      <c r="CE604" s="232"/>
    </row>
    <row r="605" spans="80:83" x14ac:dyDescent="0.25">
      <c r="CB605" s="478"/>
      <c r="CC605" s="478"/>
      <c r="CD605" s="232"/>
      <c r="CE605" s="232"/>
    </row>
    <row r="606" spans="80:83" x14ac:dyDescent="0.25">
      <c r="CB606" s="478"/>
      <c r="CC606" s="478"/>
      <c r="CD606" s="232"/>
      <c r="CE606" s="232"/>
    </row>
    <row r="607" spans="80:83" x14ac:dyDescent="0.25">
      <c r="CB607" s="478"/>
      <c r="CC607" s="478"/>
      <c r="CD607" s="232"/>
      <c r="CE607" s="232"/>
    </row>
    <row r="608" spans="80:83" x14ac:dyDescent="0.25">
      <c r="CB608" s="478"/>
      <c r="CC608" s="478"/>
      <c r="CD608" s="232"/>
      <c r="CE608" s="232"/>
    </row>
    <row r="609" spans="80:83" x14ac:dyDescent="0.25">
      <c r="CB609" s="478"/>
      <c r="CC609" s="478"/>
      <c r="CD609" s="232"/>
      <c r="CE609" s="232"/>
    </row>
    <row r="610" spans="80:83" x14ac:dyDescent="0.25">
      <c r="CB610" s="478"/>
      <c r="CC610" s="478"/>
      <c r="CD610" s="232"/>
      <c r="CE610" s="232"/>
    </row>
    <row r="611" spans="80:83" x14ac:dyDescent="0.25">
      <c r="CB611" s="478"/>
      <c r="CC611" s="478"/>
      <c r="CD611" s="232"/>
      <c r="CE611" s="232"/>
    </row>
    <row r="612" spans="80:83" x14ac:dyDescent="0.25">
      <c r="CB612" s="478"/>
      <c r="CC612" s="478"/>
      <c r="CD612" s="232"/>
      <c r="CE612" s="232"/>
    </row>
    <row r="613" spans="80:83" x14ac:dyDescent="0.25">
      <c r="CB613" s="478"/>
      <c r="CC613" s="478"/>
      <c r="CD613" s="232"/>
      <c r="CE613" s="232"/>
    </row>
    <row r="614" spans="80:83" x14ac:dyDescent="0.25">
      <c r="CB614" s="478"/>
      <c r="CC614" s="478"/>
      <c r="CD614" s="232"/>
      <c r="CE614" s="232"/>
    </row>
    <row r="615" spans="80:83" x14ac:dyDescent="0.25">
      <c r="CB615" s="478"/>
      <c r="CC615" s="478"/>
      <c r="CD615" s="232"/>
      <c r="CE615" s="232"/>
    </row>
    <row r="616" spans="80:83" x14ac:dyDescent="0.25">
      <c r="CB616" s="478"/>
      <c r="CC616" s="478"/>
      <c r="CD616" s="232"/>
      <c r="CE616" s="232"/>
    </row>
    <row r="617" spans="80:83" x14ac:dyDescent="0.25">
      <c r="CB617" s="478"/>
      <c r="CC617" s="478"/>
      <c r="CD617" s="232"/>
      <c r="CE617" s="232"/>
    </row>
    <row r="618" spans="80:83" x14ac:dyDescent="0.25">
      <c r="CB618" s="478"/>
      <c r="CC618" s="478"/>
      <c r="CD618" s="232"/>
      <c r="CE618" s="232"/>
    </row>
    <row r="619" spans="80:83" x14ac:dyDescent="0.25">
      <c r="CB619" s="478"/>
      <c r="CC619" s="478"/>
      <c r="CD619" s="232"/>
      <c r="CE619" s="232"/>
    </row>
    <row r="620" spans="80:83" x14ac:dyDescent="0.25">
      <c r="CB620" s="478"/>
      <c r="CC620" s="478"/>
      <c r="CD620" s="232"/>
      <c r="CE620" s="232"/>
    </row>
    <row r="621" spans="80:83" x14ac:dyDescent="0.25">
      <c r="CB621" s="478"/>
      <c r="CC621" s="478"/>
      <c r="CD621" s="232"/>
      <c r="CE621" s="232"/>
    </row>
    <row r="622" spans="80:83" x14ac:dyDescent="0.25">
      <c r="CB622" s="478"/>
      <c r="CC622" s="478"/>
      <c r="CD622" s="232"/>
      <c r="CE622" s="232"/>
    </row>
    <row r="623" spans="80:83" x14ac:dyDescent="0.25">
      <c r="CB623" s="478"/>
      <c r="CC623" s="478"/>
      <c r="CD623" s="232"/>
      <c r="CE623" s="232"/>
    </row>
    <row r="624" spans="80:83" x14ac:dyDescent="0.25">
      <c r="CB624" s="478"/>
      <c r="CC624" s="478"/>
      <c r="CD624" s="232"/>
      <c r="CE624" s="232"/>
    </row>
    <row r="625" spans="80:83" x14ac:dyDescent="0.25">
      <c r="CB625" s="478"/>
      <c r="CC625" s="478"/>
      <c r="CD625" s="232"/>
      <c r="CE625" s="232"/>
    </row>
    <row r="626" spans="80:83" x14ac:dyDescent="0.25">
      <c r="CB626" s="478"/>
      <c r="CC626" s="478"/>
      <c r="CD626" s="232"/>
      <c r="CE626" s="232"/>
    </row>
    <row r="627" spans="80:83" x14ac:dyDescent="0.25">
      <c r="CB627" s="478"/>
      <c r="CC627" s="478"/>
      <c r="CD627" s="232"/>
      <c r="CE627" s="232"/>
    </row>
    <row r="628" spans="80:83" x14ac:dyDescent="0.25">
      <c r="CB628" s="478"/>
      <c r="CC628" s="478"/>
      <c r="CD628" s="232"/>
      <c r="CE628" s="232"/>
    </row>
    <row r="629" spans="80:83" x14ac:dyDescent="0.25">
      <c r="CB629" s="478"/>
      <c r="CC629" s="478"/>
      <c r="CD629" s="232"/>
      <c r="CE629" s="232"/>
    </row>
    <row r="630" spans="80:83" x14ac:dyDescent="0.25">
      <c r="CB630" s="478"/>
      <c r="CC630" s="478"/>
      <c r="CD630" s="232"/>
      <c r="CE630" s="232"/>
    </row>
    <row r="631" spans="80:83" x14ac:dyDescent="0.25">
      <c r="CB631" s="478"/>
      <c r="CC631" s="478"/>
      <c r="CD631" s="232"/>
      <c r="CE631" s="232"/>
    </row>
    <row r="632" spans="80:83" x14ac:dyDescent="0.25">
      <c r="CB632" s="478"/>
      <c r="CC632" s="478"/>
      <c r="CD632" s="232"/>
      <c r="CE632" s="232"/>
    </row>
    <row r="633" spans="80:83" x14ac:dyDescent="0.25">
      <c r="CB633" s="478"/>
      <c r="CC633" s="478"/>
      <c r="CD633" s="232"/>
      <c r="CE633" s="232"/>
    </row>
    <row r="634" spans="80:83" x14ac:dyDescent="0.25">
      <c r="CB634" s="478"/>
      <c r="CC634" s="478"/>
      <c r="CD634" s="232"/>
      <c r="CE634" s="232"/>
    </row>
    <row r="635" spans="80:83" x14ac:dyDescent="0.25">
      <c r="CB635" s="478"/>
      <c r="CC635" s="478"/>
      <c r="CD635" s="232"/>
      <c r="CE635" s="232"/>
    </row>
    <row r="636" spans="80:83" x14ac:dyDescent="0.25">
      <c r="CB636" s="478"/>
      <c r="CC636" s="478"/>
      <c r="CD636" s="232"/>
      <c r="CE636" s="232"/>
    </row>
    <row r="637" spans="80:83" x14ac:dyDescent="0.25">
      <c r="CB637" s="478"/>
      <c r="CC637" s="478"/>
      <c r="CD637" s="232"/>
      <c r="CE637" s="232"/>
    </row>
    <row r="638" spans="80:83" x14ac:dyDescent="0.25">
      <c r="CB638" s="478"/>
      <c r="CC638" s="478"/>
      <c r="CD638" s="232"/>
      <c r="CE638" s="232"/>
    </row>
    <row r="639" spans="80:83" x14ac:dyDescent="0.25">
      <c r="CB639" s="478"/>
      <c r="CC639" s="478"/>
      <c r="CD639" s="232"/>
      <c r="CE639" s="232"/>
    </row>
    <row r="640" spans="80:83" x14ac:dyDescent="0.25">
      <c r="CB640" s="478"/>
      <c r="CC640" s="478"/>
      <c r="CD640" s="232"/>
      <c r="CE640" s="232"/>
    </row>
    <row r="641" spans="80:83" x14ac:dyDescent="0.25">
      <c r="CB641" s="478"/>
      <c r="CC641" s="478"/>
      <c r="CD641" s="232"/>
      <c r="CE641" s="232"/>
    </row>
    <row r="642" spans="80:83" x14ac:dyDescent="0.25">
      <c r="CB642" s="478"/>
      <c r="CC642" s="478"/>
      <c r="CD642" s="232"/>
      <c r="CE642" s="232"/>
    </row>
    <row r="643" spans="80:83" x14ac:dyDescent="0.25">
      <c r="CB643" s="478"/>
      <c r="CC643" s="478"/>
      <c r="CD643" s="232"/>
      <c r="CE643" s="232"/>
    </row>
    <row r="644" spans="80:83" x14ac:dyDescent="0.25">
      <c r="CB644" s="478"/>
      <c r="CC644" s="478"/>
      <c r="CD644" s="232"/>
      <c r="CE644" s="232"/>
    </row>
    <row r="645" spans="80:83" x14ac:dyDescent="0.25">
      <c r="CB645" s="478"/>
      <c r="CC645" s="478"/>
      <c r="CD645" s="232"/>
      <c r="CE645" s="232"/>
    </row>
    <row r="646" spans="80:83" x14ac:dyDescent="0.25">
      <c r="CB646" s="478"/>
      <c r="CC646" s="478"/>
      <c r="CD646" s="232"/>
      <c r="CE646" s="232"/>
    </row>
    <row r="647" spans="80:83" x14ac:dyDescent="0.25">
      <c r="CB647" s="478"/>
      <c r="CC647" s="478"/>
      <c r="CD647" s="232"/>
      <c r="CE647" s="232"/>
    </row>
    <row r="648" spans="80:83" x14ac:dyDescent="0.25">
      <c r="CB648" s="478"/>
      <c r="CC648" s="478"/>
      <c r="CD648" s="232"/>
      <c r="CE648" s="232"/>
    </row>
    <row r="649" spans="80:83" x14ac:dyDescent="0.25">
      <c r="CB649" s="478"/>
      <c r="CC649" s="478"/>
      <c r="CD649" s="232"/>
      <c r="CE649" s="232"/>
    </row>
    <row r="650" spans="80:83" x14ac:dyDescent="0.25">
      <c r="CB650" s="478"/>
      <c r="CC650" s="478"/>
      <c r="CD650" s="232"/>
      <c r="CE650" s="232"/>
    </row>
    <row r="651" spans="80:83" x14ac:dyDescent="0.25">
      <c r="CB651" s="478"/>
      <c r="CC651" s="478"/>
      <c r="CD651" s="232"/>
      <c r="CE651" s="232"/>
    </row>
    <row r="652" spans="80:83" x14ac:dyDescent="0.25">
      <c r="CB652" s="478"/>
      <c r="CC652" s="478"/>
      <c r="CD652" s="232"/>
      <c r="CE652" s="232"/>
    </row>
    <row r="653" spans="80:83" x14ac:dyDescent="0.25">
      <c r="CB653" s="478"/>
      <c r="CC653" s="478"/>
      <c r="CD653" s="232"/>
      <c r="CE653" s="232"/>
    </row>
    <row r="654" spans="80:83" x14ac:dyDescent="0.25">
      <c r="CB654" s="478"/>
      <c r="CC654" s="478"/>
      <c r="CD654" s="232"/>
      <c r="CE654" s="232"/>
    </row>
    <row r="655" spans="80:83" x14ac:dyDescent="0.25">
      <c r="CB655" s="478"/>
      <c r="CC655" s="478"/>
      <c r="CD655" s="232"/>
      <c r="CE655" s="232"/>
    </row>
    <row r="656" spans="80:83" x14ac:dyDescent="0.25">
      <c r="CB656" s="478"/>
      <c r="CC656" s="478"/>
      <c r="CD656" s="232"/>
      <c r="CE656" s="232"/>
    </row>
    <row r="657" spans="80:83" x14ac:dyDescent="0.25">
      <c r="CB657" s="478"/>
      <c r="CC657" s="478"/>
      <c r="CD657" s="232"/>
      <c r="CE657" s="232"/>
    </row>
    <row r="658" spans="80:83" x14ac:dyDescent="0.25">
      <c r="CB658" s="478"/>
      <c r="CC658" s="478"/>
      <c r="CD658" s="232"/>
      <c r="CE658" s="232"/>
    </row>
    <row r="659" spans="80:83" x14ac:dyDescent="0.25">
      <c r="CB659" s="478"/>
      <c r="CC659" s="478"/>
      <c r="CD659" s="232"/>
      <c r="CE659" s="232"/>
    </row>
    <row r="660" spans="80:83" x14ac:dyDescent="0.25">
      <c r="CB660" s="478"/>
      <c r="CC660" s="478"/>
      <c r="CD660" s="232"/>
      <c r="CE660" s="232"/>
    </row>
    <row r="661" spans="80:83" x14ac:dyDescent="0.25">
      <c r="CB661" s="478"/>
      <c r="CC661" s="478"/>
      <c r="CD661" s="232"/>
      <c r="CE661" s="232"/>
    </row>
    <row r="662" spans="80:83" x14ac:dyDescent="0.25">
      <c r="CB662" s="478"/>
      <c r="CC662" s="478"/>
      <c r="CD662" s="232"/>
      <c r="CE662" s="232"/>
    </row>
    <row r="663" spans="80:83" x14ac:dyDescent="0.25">
      <c r="CB663" s="478"/>
      <c r="CC663" s="478"/>
      <c r="CD663" s="232"/>
      <c r="CE663" s="232"/>
    </row>
    <row r="664" spans="80:83" x14ac:dyDescent="0.25">
      <c r="CB664" s="478"/>
      <c r="CC664" s="478"/>
      <c r="CD664" s="232"/>
      <c r="CE664" s="232"/>
    </row>
    <row r="665" spans="80:83" x14ac:dyDescent="0.25">
      <c r="CB665" s="478"/>
      <c r="CC665" s="478"/>
      <c r="CD665" s="232"/>
      <c r="CE665" s="232"/>
    </row>
    <row r="666" spans="80:83" x14ac:dyDescent="0.25">
      <c r="CB666" s="478"/>
      <c r="CC666" s="478"/>
      <c r="CD666" s="232"/>
      <c r="CE666" s="232"/>
    </row>
    <row r="667" spans="80:83" x14ac:dyDescent="0.25">
      <c r="CB667" s="478"/>
      <c r="CC667" s="478"/>
      <c r="CD667" s="232"/>
      <c r="CE667" s="232"/>
    </row>
    <row r="668" spans="80:83" x14ac:dyDescent="0.25">
      <c r="CB668" s="478"/>
      <c r="CC668" s="478"/>
      <c r="CD668" s="232"/>
      <c r="CE668" s="232"/>
    </row>
    <row r="669" spans="80:83" x14ac:dyDescent="0.25">
      <c r="CB669" s="478"/>
      <c r="CC669" s="478"/>
      <c r="CD669" s="232"/>
      <c r="CE669" s="232"/>
    </row>
    <row r="670" spans="80:83" x14ac:dyDescent="0.25">
      <c r="CB670" s="478"/>
      <c r="CC670" s="478"/>
      <c r="CD670" s="232"/>
      <c r="CE670" s="232"/>
    </row>
    <row r="671" spans="80:83" x14ac:dyDescent="0.25">
      <c r="CB671" s="478"/>
      <c r="CC671" s="478"/>
      <c r="CD671" s="232"/>
      <c r="CE671" s="232"/>
    </row>
    <row r="672" spans="80:83" x14ac:dyDescent="0.25">
      <c r="CB672" s="478"/>
      <c r="CC672" s="478"/>
      <c r="CD672" s="232"/>
      <c r="CE672" s="232"/>
    </row>
    <row r="673" spans="80:83" x14ac:dyDescent="0.25">
      <c r="CB673" s="478"/>
      <c r="CC673" s="478"/>
      <c r="CD673" s="232"/>
      <c r="CE673" s="232"/>
    </row>
    <row r="674" spans="80:83" x14ac:dyDescent="0.25">
      <c r="CB674" s="478"/>
      <c r="CC674" s="478"/>
      <c r="CD674" s="232"/>
      <c r="CE674" s="232"/>
    </row>
    <row r="675" spans="80:83" x14ac:dyDescent="0.25">
      <c r="CB675" s="478"/>
      <c r="CC675" s="478"/>
      <c r="CD675" s="232"/>
      <c r="CE675" s="232"/>
    </row>
    <row r="676" spans="80:83" x14ac:dyDescent="0.25">
      <c r="CB676" s="478"/>
      <c r="CC676" s="478"/>
      <c r="CD676" s="232"/>
      <c r="CE676" s="232"/>
    </row>
    <row r="677" spans="80:83" x14ac:dyDescent="0.25">
      <c r="CB677" s="478"/>
      <c r="CC677" s="478"/>
      <c r="CD677" s="232"/>
      <c r="CE677" s="232"/>
    </row>
    <row r="678" spans="80:83" x14ac:dyDescent="0.25">
      <c r="CB678" s="478"/>
      <c r="CC678" s="478"/>
      <c r="CD678" s="232"/>
      <c r="CE678" s="232"/>
    </row>
    <row r="679" spans="80:83" x14ac:dyDescent="0.25">
      <c r="CB679" s="478"/>
      <c r="CC679" s="478"/>
      <c r="CD679" s="232"/>
      <c r="CE679" s="232"/>
    </row>
    <row r="680" spans="80:83" x14ac:dyDescent="0.25">
      <c r="CB680" s="478"/>
      <c r="CC680" s="478"/>
      <c r="CD680" s="232"/>
      <c r="CE680" s="232"/>
    </row>
    <row r="681" spans="80:83" x14ac:dyDescent="0.25">
      <c r="CB681" s="478"/>
      <c r="CC681" s="478"/>
      <c r="CD681" s="232"/>
      <c r="CE681" s="232"/>
    </row>
    <row r="682" spans="80:83" x14ac:dyDescent="0.25">
      <c r="CB682" s="478"/>
      <c r="CC682" s="478"/>
      <c r="CD682" s="232"/>
      <c r="CE682" s="232"/>
    </row>
    <row r="683" spans="80:83" x14ac:dyDescent="0.25">
      <c r="CB683" s="478"/>
      <c r="CC683" s="478"/>
      <c r="CD683" s="232"/>
      <c r="CE683" s="232"/>
    </row>
    <row r="684" spans="80:83" x14ac:dyDescent="0.25">
      <c r="CB684" s="478"/>
      <c r="CC684" s="478"/>
      <c r="CD684" s="232"/>
      <c r="CE684" s="232"/>
    </row>
    <row r="685" spans="80:83" x14ac:dyDescent="0.25">
      <c r="CB685" s="478"/>
      <c r="CC685" s="478"/>
      <c r="CD685" s="232"/>
      <c r="CE685" s="232"/>
    </row>
    <row r="686" spans="80:83" x14ac:dyDescent="0.25">
      <c r="CB686" s="478"/>
      <c r="CC686" s="478"/>
      <c r="CD686" s="232"/>
      <c r="CE686" s="232"/>
    </row>
    <row r="687" spans="80:83" x14ac:dyDescent="0.25">
      <c r="CB687" s="478"/>
      <c r="CC687" s="478"/>
      <c r="CD687" s="232"/>
      <c r="CE687" s="232"/>
    </row>
    <row r="688" spans="80:83" x14ac:dyDescent="0.25">
      <c r="CB688" s="478"/>
      <c r="CC688" s="478"/>
      <c r="CD688" s="232"/>
      <c r="CE688" s="232"/>
    </row>
    <row r="689" spans="79:98" x14ac:dyDescent="0.25">
      <c r="CB689" s="478"/>
      <c r="CC689" s="478"/>
      <c r="CD689" s="232"/>
      <c r="CE689" s="232"/>
    </row>
    <row r="690" spans="79:98" x14ac:dyDescent="0.25">
      <c r="CB690" s="478"/>
      <c r="CC690" s="478"/>
      <c r="CD690" s="232"/>
      <c r="CE690" s="232"/>
    </row>
    <row r="691" spans="79:98" x14ac:dyDescent="0.25">
      <c r="CB691" s="478"/>
      <c r="CC691" s="478"/>
      <c r="CD691" s="232"/>
      <c r="CE691" s="232"/>
    </row>
    <row r="692" spans="79:98" x14ac:dyDescent="0.25">
      <c r="CB692" s="478"/>
      <c r="CC692" s="478"/>
      <c r="CD692" s="232"/>
      <c r="CE692" s="232"/>
    </row>
    <row r="693" spans="79:98" x14ac:dyDescent="0.25">
      <c r="CB693" s="478"/>
      <c r="CC693" s="478"/>
      <c r="CD693" s="232"/>
      <c r="CE693" s="232"/>
    </row>
    <row r="694" spans="79:98" x14ac:dyDescent="0.25">
      <c r="CB694" s="478"/>
      <c r="CC694" s="478"/>
      <c r="CD694" s="232"/>
      <c r="CE694" s="232"/>
    </row>
    <row r="695" spans="79:98" x14ac:dyDescent="0.25">
      <c r="CB695" s="478"/>
      <c r="CC695" s="478"/>
      <c r="CD695" s="232"/>
      <c r="CE695" s="232"/>
    </row>
    <row r="696" spans="79:98" x14ac:dyDescent="0.25">
      <c r="CB696" s="478"/>
      <c r="CC696" s="478"/>
      <c r="CD696" s="232"/>
      <c r="CE696" s="232"/>
    </row>
    <row r="697" spans="79:98" x14ac:dyDescent="0.25">
      <c r="CB697" s="478"/>
      <c r="CC697" s="478"/>
      <c r="CD697" s="232"/>
      <c r="CE697" s="232"/>
    </row>
    <row r="698" spans="79:98" x14ac:dyDescent="0.25">
      <c r="CB698" s="478"/>
      <c r="CC698" s="478"/>
      <c r="CD698" s="232"/>
      <c r="CE698" s="232"/>
    </row>
    <row r="699" spans="79:98" x14ac:dyDescent="0.25">
      <c r="CB699" s="478"/>
      <c r="CC699" s="478"/>
      <c r="CD699" s="232"/>
      <c r="CE699" s="232"/>
    </row>
    <row r="700" spans="79:98" ht="21" x14ac:dyDescent="0.35">
      <c r="CA700" s="479"/>
      <c r="CB700" s="2222" t="s">
        <v>533</v>
      </c>
      <c r="CC700" s="2222"/>
      <c r="CD700" s="2222"/>
      <c r="CE700" s="2222"/>
      <c r="CF700" s="2222"/>
      <c r="CG700" s="479"/>
      <c r="CH700" s="479"/>
      <c r="CI700" s="479"/>
      <c r="CJ700" s="479"/>
      <c r="CK700" s="479"/>
      <c r="CL700" s="278"/>
    </row>
    <row r="701" spans="79:98" x14ac:dyDescent="0.25">
      <c r="CA701" s="479"/>
      <c r="CB701" s="480"/>
      <c r="CC701" s="480"/>
      <c r="CD701" s="479"/>
      <c r="CE701" s="479"/>
      <c r="CF701" s="2223" t="s">
        <v>811</v>
      </c>
      <c r="CG701" s="2223"/>
      <c r="CH701" s="2223"/>
      <c r="CI701" s="2223"/>
      <c r="CJ701" s="2223"/>
      <c r="CK701" s="2223"/>
      <c r="CL701" s="2223"/>
      <c r="CM701" s="2224" t="s">
        <v>722</v>
      </c>
      <c r="CN701" s="2224"/>
      <c r="CO701" s="2221" t="s">
        <v>319</v>
      </c>
      <c r="CP701" s="2221"/>
    </row>
    <row r="702" spans="79:98" s="230" customFormat="1" ht="27.75" customHeight="1" x14ac:dyDescent="0.25">
      <c r="CA702" s="481" t="s">
        <v>8</v>
      </c>
      <c r="CB702" s="481" t="s">
        <v>543</v>
      </c>
      <c r="CC702" s="481" t="s">
        <v>351</v>
      </c>
      <c r="CD702" s="481" t="s">
        <v>352</v>
      </c>
      <c r="CE702" s="481" t="s">
        <v>353</v>
      </c>
      <c r="CF702" s="481" t="s">
        <v>440</v>
      </c>
      <c r="CG702" s="482"/>
      <c r="CH702" s="482"/>
      <c r="CI702" s="482"/>
      <c r="CJ702" s="482"/>
      <c r="CK702" s="482"/>
      <c r="CL702" s="483" t="s">
        <v>349</v>
      </c>
      <c r="CM702" s="280" t="s">
        <v>440</v>
      </c>
      <c r="CN702" s="280" t="s">
        <v>349</v>
      </c>
      <c r="CO702" s="279" t="s">
        <v>440</v>
      </c>
      <c r="CP702" s="279" t="s">
        <v>349</v>
      </c>
      <c r="CQ702" s="228"/>
      <c r="CR702" s="279" t="s">
        <v>50</v>
      </c>
      <c r="CS702" s="279"/>
      <c r="CT702" s="279"/>
    </row>
    <row r="703" spans="79:98" ht="38.25" x14ac:dyDescent="0.25">
      <c r="CA703" s="307">
        <v>1</v>
      </c>
      <c r="CB703" s="307">
        <v>24</v>
      </c>
      <c r="CC703" s="307" t="s">
        <v>414</v>
      </c>
      <c r="CD703" s="484" t="s">
        <v>415</v>
      </c>
      <c r="CE703" s="484" t="s">
        <v>416</v>
      </c>
      <c r="CF703" s="485" t="str">
        <f>IF(COUNTA('Informasi Debitur'!H186)=0,"Blank",'Informasi Debitur'!H186)</f>
        <v>Tidak Ada</v>
      </c>
      <c r="CG703" s="479"/>
      <c r="CH703" s="479"/>
      <c r="CI703" s="479"/>
      <c r="CJ703" s="479"/>
      <c r="CK703" s="479"/>
      <c r="CL703" s="278" t="str">
        <f>IF(CF703="Blank","",IF(COUNTA(CF703)&lt;&gt;0,IF(CF703="Tidak Ada","A",IF(CF703&lt;=1,"B","C")),""))</f>
        <v>A</v>
      </c>
      <c r="CM703" s="280" t="str">
        <f t="shared" ref="CM703:CM741" si="0">CF703</f>
        <v>Tidak Ada</v>
      </c>
      <c r="CN703" s="281" t="str">
        <f>IF(CM703="Blank","",IF(COUNTA(CM703)&lt;&gt;0,IF(CM703="Tidak Ada","A",IF(CM703&lt;=1,"B","C")),""))</f>
        <v>A</v>
      </c>
      <c r="CO703" s="279" t="str">
        <f t="shared" ref="CO703:CO741" si="1">IF(CM703=CF703,"0",1)</f>
        <v>0</v>
      </c>
      <c r="CP703" s="279" t="str">
        <f t="shared" ref="CP703:CP741" si="2">IF(CN703=CL703,"0",1)</f>
        <v>0</v>
      </c>
      <c r="CR703" s="282" t="s">
        <v>443</v>
      </c>
      <c r="CS703" s="282" t="s">
        <v>446</v>
      </c>
      <c r="CT703" s="720" t="s">
        <v>328</v>
      </c>
    </row>
    <row r="704" spans="79:98" ht="25.5" x14ac:dyDescent="0.25">
      <c r="CA704" s="307">
        <v>2</v>
      </c>
      <c r="CB704" s="307">
        <v>1</v>
      </c>
      <c r="CC704" s="307" t="s">
        <v>354</v>
      </c>
      <c r="CD704" s="484" t="s">
        <v>355</v>
      </c>
      <c r="CE704" s="484" t="s">
        <v>356</v>
      </c>
      <c r="CF704" s="485">
        <f>IF(COUNTA('Informasi Debitur'!F248)=0,"Blank",'Informasi Debitur'!F248)</f>
        <v>96</v>
      </c>
      <c r="CG704" s="479"/>
      <c r="CH704" s="479"/>
      <c r="CI704" s="486"/>
      <c r="CJ704" s="479"/>
      <c r="CK704" s="479"/>
      <c r="CL704" s="278" t="str">
        <f>IF(CF704="Blank","",IF(CF704&gt;=6,"A","B"))</f>
        <v>A</v>
      </c>
      <c r="CM704" s="280">
        <f t="shared" si="0"/>
        <v>96</v>
      </c>
      <c r="CN704" s="281" t="str">
        <f>IF(SUM(CM704)&lt;&gt;0,IF(CM704&gt;=6,"A","B"),"")</f>
        <v>A</v>
      </c>
      <c r="CO704" s="279" t="str">
        <f t="shared" si="1"/>
        <v>0</v>
      </c>
      <c r="CP704" s="279" t="str">
        <f t="shared" si="2"/>
        <v>0</v>
      </c>
      <c r="CR704" s="282" t="s">
        <v>444</v>
      </c>
      <c r="CS704" s="282" t="s">
        <v>447</v>
      </c>
      <c r="CT704" s="720" t="s">
        <v>329</v>
      </c>
    </row>
    <row r="705" spans="79:98" ht="25.5" x14ac:dyDescent="0.25">
      <c r="CA705" s="307">
        <v>3</v>
      </c>
      <c r="CB705" s="307">
        <v>23</v>
      </c>
      <c r="CC705" s="307" t="s">
        <v>411</v>
      </c>
      <c r="CD705" s="484" t="s">
        <v>412</v>
      </c>
      <c r="CE705" s="484" t="s">
        <v>413</v>
      </c>
      <c r="CF705" s="485">
        <f>IF(COUNTA('Informasi Debitur'!H191)=0,"Blank",'Informasi Debitur'!H191)</f>
        <v>3</v>
      </c>
      <c r="CG705" s="479"/>
      <c r="CH705" s="479"/>
      <c r="CI705" s="479"/>
      <c r="CJ705" s="479"/>
      <c r="CK705" s="479"/>
      <c r="CL705" s="278" t="str">
        <f>IF(CF750="Blank","",IF(CF750="Tidak Ada","A",IF(CF750&lt;=2,"B",IF(CF750&lt;=5,"C","D"))))</f>
        <v>C</v>
      </c>
      <c r="CM705" s="280">
        <f t="shared" si="0"/>
        <v>3</v>
      </c>
      <c r="CN705" s="281" t="str">
        <f>IF(CM705="Blank","",IF(COUNTA(CM705)&lt;&gt;0,IF(CM705="Tidak Ada","A",IF(CM705&lt;=2,"B",IF(CM705&lt;=5,"C","D"))),""))</f>
        <v>C</v>
      </c>
      <c r="CO705" s="279" t="str">
        <f t="shared" si="1"/>
        <v>0</v>
      </c>
      <c r="CP705" s="279" t="str">
        <f t="shared" si="2"/>
        <v>0</v>
      </c>
      <c r="CR705" s="282" t="s">
        <v>445</v>
      </c>
      <c r="CS705" s="282" t="s">
        <v>448</v>
      </c>
      <c r="CT705" s="720" t="s">
        <v>330</v>
      </c>
    </row>
    <row r="706" spans="79:98" ht="25.5" x14ac:dyDescent="0.25">
      <c r="CA706" s="307">
        <v>4</v>
      </c>
      <c r="CB706" s="307">
        <v>10</v>
      </c>
      <c r="CC706" s="307" t="s">
        <v>378</v>
      </c>
      <c r="CD706" s="484" t="s">
        <v>379</v>
      </c>
      <c r="CE706" s="484" t="s">
        <v>368</v>
      </c>
      <c r="CF706" s="487">
        <f>IF(COUNTA('Informasi Debitur'!D30)=0,"Blank",YEAR('Informasi Debitur'!J4)-'Informasi Debitur'!D30)</f>
        <v>6</v>
      </c>
      <c r="CG706" s="479"/>
      <c r="CH706" s="479"/>
      <c r="CI706" s="479"/>
      <c r="CJ706" s="479"/>
      <c r="CK706" s="479"/>
      <c r="CL706" s="278" t="str">
        <f>IF(CF706="Blank","",IF(CF706&lt;=3,"A",IF(CF706&lt;=5,"B",IF(CF706&lt;=8,"C",IF(CF706&lt;=15,"D","E")))))</f>
        <v>C</v>
      </c>
      <c r="CM706" s="280">
        <f t="shared" si="0"/>
        <v>6</v>
      </c>
      <c r="CN706" s="281" t="str">
        <f>IF(SUM(CM706)&lt;&gt;0,IF(CM706&lt;=3,"A",IF(CM706&lt;=5,"B",IF(CM706&lt;=8,"C",IF(CM706&lt;=15,"D","E")))),"")</f>
        <v>C</v>
      </c>
      <c r="CO706" s="279" t="str">
        <f t="shared" si="1"/>
        <v>0</v>
      </c>
      <c r="CP706" s="279" t="str">
        <f t="shared" si="2"/>
        <v>0</v>
      </c>
      <c r="CR706" s="282" t="s">
        <v>136</v>
      </c>
      <c r="CS706" s="282" t="s">
        <v>136</v>
      </c>
      <c r="CT706" s="720" t="s">
        <v>334</v>
      </c>
    </row>
    <row r="707" spans="79:98" ht="51" x14ac:dyDescent="0.25">
      <c r="CA707" s="307">
        <v>5</v>
      </c>
      <c r="CB707" s="307">
        <v>21</v>
      </c>
      <c r="CC707" s="307" t="s">
        <v>403</v>
      </c>
      <c r="CD707" s="484" t="s">
        <v>404</v>
      </c>
      <c r="CE707" s="484" t="s">
        <v>368</v>
      </c>
      <c r="CF707" s="308" t="str">
        <f>IF(COUNTA('Informasi Debitur'!F253)&lt;&gt;0,'Informasi Debitur'!F253,"Blank")</f>
        <v>Jaminan telah dibeli dari pihak luar (bukan kerabat calon debitur / pemegang saham / manajemen inti)</v>
      </c>
      <c r="CG707" s="479"/>
      <c r="CH707" s="479"/>
      <c r="CI707" s="479"/>
      <c r="CJ707" s="479"/>
      <c r="CK707" s="479"/>
      <c r="CL707" s="488" t="str">
        <f>IF(CF707="Blank","",IF(CF707="Jaminan telah dibeli dari pihak luar (bukan kerabat calon debitur / pemegang saham / manajemen inti)","A",IF(CF707="Jaminan telah dibeli dari kerabat calon debitur / pemegang saham / manajemen inti ","B",IF(CF707="Jaminan telah dialihkan dari kerabat calon debitur / pemegang saham / manajemen inti ","C","D"))))</f>
        <v>A</v>
      </c>
      <c r="CM707" s="280" t="str">
        <f t="shared" si="0"/>
        <v>Jaminan telah dibeli dari pihak luar (bukan kerabat calon debitur / pemegang saham / manajemen inti)</v>
      </c>
      <c r="CN707" s="283" t="str">
        <f>IF(CM707="Blank","",IF(CM707="Jaminan telah dibeli dari pihak luar (bukan kerabat calon debitur / pemegang saham / manajemen inti)","A",IF(CM707="Jaminan telah dibeli dari kerabat calon debitur / pemegang saham / manajemen inti ","B",IF(CM707="Jaminan telah dialihkan dari kerabat calon debitur / pemegang saham / manajemen inti ","C","D"))))</f>
        <v>A</v>
      </c>
      <c r="CO707" s="279" t="str">
        <f t="shared" si="1"/>
        <v>0</v>
      </c>
      <c r="CP707" s="279" t="str">
        <f t="shared" si="2"/>
        <v>0</v>
      </c>
      <c r="CR707" s="279" t="s">
        <v>564</v>
      </c>
      <c r="CS707" s="279"/>
      <c r="CT707" s="279"/>
    </row>
    <row r="708" spans="79:98" ht="25.5" x14ac:dyDescent="0.25">
      <c r="CA708" s="307">
        <v>6</v>
      </c>
      <c r="CB708" s="307">
        <v>7</v>
      </c>
      <c r="CC708" s="307" t="s">
        <v>369</v>
      </c>
      <c r="CD708" s="484" t="s">
        <v>370</v>
      </c>
      <c r="CE708" s="484" t="s">
        <v>362</v>
      </c>
      <c r="CF708" s="308" t="str">
        <f>IF(COUNTA('Informasi Debitur'!B17)&lt;&gt;0,'Informasi Debitur'!B17,"Blank")</f>
        <v>Kredit untuk investasi/modal kerja usaha utama</v>
      </c>
      <c r="CG708" s="479"/>
      <c r="CH708" s="479"/>
      <c r="CI708" s="479"/>
      <c r="CJ708" s="479"/>
      <c r="CK708" s="479"/>
      <c r="CL708" s="278" t="str">
        <f>IF(CF708="Blank","",IF(CF708="Kredit untuk investasi/modal kerja usaha utama","A",IF(CF708="Kredit untuk investasi/modal kerja usaha sampingan/ tambahan","B","C")))</f>
        <v>A</v>
      </c>
      <c r="CM708" s="280" t="str">
        <f t="shared" si="0"/>
        <v>Kredit untuk investasi/modal kerja usaha utama</v>
      </c>
      <c r="CN708" s="281" t="str">
        <f>IF(CM708="Blank","",IF(CM708="Kredit untuk investasi/modal kerja usaha utama","A",IF(CM708="Kredit untuk investasi/modal kerja usaha sampingan/ tambahan","B","C")))</f>
        <v>A</v>
      </c>
      <c r="CO708" s="279" t="str">
        <f t="shared" si="1"/>
        <v>0</v>
      </c>
      <c r="CP708" s="279" t="str">
        <f t="shared" si="2"/>
        <v>0</v>
      </c>
      <c r="CR708" s="720" t="s">
        <v>554</v>
      </c>
      <c r="CS708" s="720" t="s">
        <v>555</v>
      </c>
      <c r="CT708" s="720" t="s">
        <v>328</v>
      </c>
    </row>
    <row r="709" spans="79:98" ht="38.25" x14ac:dyDescent="0.25">
      <c r="CA709" s="307">
        <v>7</v>
      </c>
      <c r="CB709" s="307">
        <v>5</v>
      </c>
      <c r="CC709" s="307" t="s">
        <v>365</v>
      </c>
      <c r="CD709" s="484" t="s">
        <v>366</v>
      </c>
      <c r="CE709" s="484" t="s">
        <v>362</v>
      </c>
      <c r="CF709" s="308" t="str">
        <f>IF(COUNTA('Informasi Debitur'!F37)&lt;&gt;0,'Informasi Debitur'!F37,IF(COUNTA('Informasi Debitur'!F38)&lt;&gt;0,'Informasi Debitur'!F38,"Blank"))</f>
        <v>Diri Sendiri</v>
      </c>
      <c r="CG709" s="479"/>
      <c r="CH709" s="479"/>
      <c r="CI709" s="479"/>
      <c r="CJ709" s="479"/>
      <c r="CK709" s="479"/>
      <c r="CL709" s="278" t="str">
        <f>IF(CF709="Blank","",IF(ISERROR(VLOOKUP(CF709,$CR$703:$CT$706,3,FALSE)),VLOOKUP(CF709,$CS$703:$CT$706,2,FALSE),VLOOKUP(CF709,$CR$703:$CT$706,3,FALSE)))</f>
        <v>A</v>
      </c>
      <c r="CM709" s="280" t="str">
        <f t="shared" si="0"/>
        <v>Diri Sendiri</v>
      </c>
      <c r="CN709" s="278" t="str">
        <f>IF(CM709="Blank","",IF(ISERROR(VLOOKUP(CM709,$CR$703:$CT$706,3,FALSE)),VLOOKUP(CM709,$CS$703:$CT$706,2,FALSE),VLOOKUP(CM709,$CR$703:$CT$706,3,FALSE)))</f>
        <v>A</v>
      </c>
      <c r="CO709" s="279" t="str">
        <f t="shared" si="1"/>
        <v>0</v>
      </c>
      <c r="CP709" s="279" t="str">
        <f t="shared" si="2"/>
        <v>0</v>
      </c>
      <c r="CR709" s="720" t="s">
        <v>556</v>
      </c>
      <c r="CS709" s="720" t="s">
        <v>557</v>
      </c>
      <c r="CT709" s="720" t="s">
        <v>329</v>
      </c>
    </row>
    <row r="710" spans="79:98" ht="63.75" x14ac:dyDescent="0.25">
      <c r="CA710" s="307">
        <v>8</v>
      </c>
      <c r="CB710" s="307">
        <v>17</v>
      </c>
      <c r="CC710" s="307" t="s">
        <v>395</v>
      </c>
      <c r="CD710" s="484" t="s">
        <v>396</v>
      </c>
      <c r="CE710" s="484" t="s">
        <v>397</v>
      </c>
      <c r="CF710" s="485" t="str">
        <f>IF(COUNTA('Informasi Debitur'!H187)=0,"Blank",'Informasi Debitur'!H187)</f>
        <v>Tidak Ada</v>
      </c>
      <c r="CG710" s="479"/>
      <c r="CH710" s="479"/>
      <c r="CI710" s="479"/>
      <c r="CJ710" s="479"/>
      <c r="CK710" s="479"/>
      <c r="CL710" s="278" t="str">
        <f>IF(CF710="Blank","",IF(CF710="Tidak Ada","A",IF(CF710=1,"B",IF(CF710=2,"C","D"))))</f>
        <v>A</v>
      </c>
      <c r="CM710" s="280" t="str">
        <f t="shared" si="0"/>
        <v>Tidak Ada</v>
      </c>
      <c r="CN710" s="281" t="str">
        <f>IF(CM710="Blank","",IF(CM710="Tidak Ada","A",IF(CM710=1,"B",IF(CM710=2,"C","D"))))</f>
        <v>A</v>
      </c>
      <c r="CO710" s="279" t="str">
        <f t="shared" si="1"/>
        <v>0</v>
      </c>
      <c r="CP710" s="279" t="str">
        <f t="shared" si="2"/>
        <v>0</v>
      </c>
      <c r="CR710" s="720" t="s">
        <v>558</v>
      </c>
      <c r="CS710" s="720" t="s">
        <v>559</v>
      </c>
      <c r="CT710" s="720" t="s">
        <v>330</v>
      </c>
    </row>
    <row r="711" spans="79:98" ht="25.5" x14ac:dyDescent="0.25">
      <c r="CA711" s="307">
        <v>9</v>
      </c>
      <c r="CB711" s="307">
        <v>28</v>
      </c>
      <c r="CC711" s="307" t="s">
        <v>425</v>
      </c>
      <c r="CD711" s="484" t="s">
        <v>426</v>
      </c>
      <c r="CE711" s="484" t="s">
        <v>368</v>
      </c>
      <c r="CF711" s="487" t="str">
        <f>IF(AND(SUM('Informasi Debitur'!D109,'Informasi Debitur'!F170)=0,SUM('Informasi Debitur'!F169,'Informasi Debitur'!D108)&lt;&gt;0),"Tidak Ada Pinjaman Modal Kerja",IF(SUM('Informasi Debitur'!D108,'Informasi Debitur'!F169)=0,"Blank",'Informasi Debitur'!V169*12))</f>
        <v>Tidak Ada Pinjaman Modal Kerja</v>
      </c>
      <c r="CG711" s="479"/>
      <c r="CH711" s="479"/>
      <c r="CI711" s="479"/>
      <c r="CJ711" s="479"/>
      <c r="CK711" s="479"/>
      <c r="CL711" s="284" t="str">
        <f>IF(CF711="Blank","",IF(CF711="Tidak ada pinjaman modal kerja","E",IF(CF711&lt;=24,"A",IF(CF711&lt;=36,"B",IF(CF711&lt;=48,"C","D")))))</f>
        <v>E</v>
      </c>
      <c r="CM711" s="280" t="str">
        <f t="shared" si="0"/>
        <v>Tidak Ada Pinjaman Modal Kerja</v>
      </c>
      <c r="CN711" s="283" t="str">
        <f>IF(CM711="Blank","",IF(CM711="Tidak ada pinjaman modal kerja","E",IF(CM711&lt;=24,"A",IF(CM711&lt;=36,"B",IF(CM711&lt;=48,"C","D")))))</f>
        <v>E</v>
      </c>
      <c r="CO711" s="279" t="str">
        <f t="shared" si="1"/>
        <v>0</v>
      </c>
      <c r="CP711" s="279" t="str">
        <f t="shared" si="2"/>
        <v>0</v>
      </c>
      <c r="CR711" s="720" t="s">
        <v>560</v>
      </c>
      <c r="CS711" s="720" t="s">
        <v>561</v>
      </c>
      <c r="CT711" s="720" t="s">
        <v>334</v>
      </c>
    </row>
    <row r="712" spans="79:98" x14ac:dyDescent="0.25">
      <c r="CA712" s="307">
        <v>10</v>
      </c>
      <c r="CB712" s="307">
        <v>6</v>
      </c>
      <c r="CC712" s="307" t="s">
        <v>367</v>
      </c>
      <c r="CD712" s="484" t="s">
        <v>2894</v>
      </c>
      <c r="CE712" s="484" t="s">
        <v>368</v>
      </c>
      <c r="CF712" s="487">
        <f>IF(COUNT('Informasi Debitur'!K93:M94,'Informasi Debitur'!C90:E90)=0,"Blank",MAX('Informasi Debitur'!O91:O94))</f>
        <v>7</v>
      </c>
      <c r="CG712" s="479"/>
      <c r="CH712" s="479"/>
      <c r="CI712" s="479"/>
      <c r="CJ712" s="479"/>
      <c r="CK712" s="479"/>
      <c r="CL712" s="278" t="str">
        <f>IF(CF712="Blank","",IF(CF712&lt;=1,"A",IF(CF712&lt;=3,"B",IF(CF712&lt;=6,"C","D"))))</f>
        <v>D</v>
      </c>
      <c r="CM712" s="280">
        <f t="shared" si="0"/>
        <v>7</v>
      </c>
      <c r="CN712" s="281" t="str">
        <f>IF(CM712="Blank","",IF(CM712&lt;=1,"A",IF(CM712&lt;=3,"B",IF(CM712&lt;=6,"C","D"))))</f>
        <v>D</v>
      </c>
      <c r="CO712" s="279" t="str">
        <f t="shared" si="1"/>
        <v>0</v>
      </c>
      <c r="CP712" s="279" t="str">
        <f t="shared" si="2"/>
        <v>0</v>
      </c>
      <c r="CR712" s="279" t="s">
        <v>565</v>
      </c>
      <c r="CS712" s="279"/>
      <c r="CT712" s="279"/>
    </row>
    <row r="713" spans="79:98" ht="51" x14ac:dyDescent="0.25">
      <c r="CA713" s="307">
        <v>11</v>
      </c>
      <c r="CB713" s="307">
        <v>30</v>
      </c>
      <c r="CC713" s="307" t="s">
        <v>429</v>
      </c>
      <c r="CD713" s="484" t="s">
        <v>430</v>
      </c>
      <c r="CE713" s="484" t="s">
        <v>431</v>
      </c>
      <c r="CF713" s="489">
        <f>IF(AND('Informasi Debitur'!G169&gt;0,SUM('Informasi Debitur'!K154:K168)=0),"Blank",IF(ISERROR(SUM('Informasi Debitur'!G169,'Informasi Debitur'!D108)/SUM(SUM('Informasi Debitur'!K154:K168),SUM('Informasi Debitur'!R221:R230))),0,(SUM('Informasi Debitur'!G169,'Informasi Debitur'!D108)/SUM(SUM('Informasi Debitur'!K154:K168),SUM('Informasi Debitur'!R221:R230)))))</f>
        <v>0.66440141332963831</v>
      </c>
      <c r="CG713" s="479"/>
      <c r="CH713" s="479"/>
      <c r="CI713" s="479"/>
      <c r="CJ713" s="479"/>
      <c r="CK713" s="479"/>
      <c r="CL713" s="278" t="str">
        <f>IF(CF713="Blank","",IF(CF713&lt;=0.5,"A",IF(CF713&lt;=0.75,"B",IF(CF713&lt;=1,"C","D"))))</f>
        <v>B</v>
      </c>
      <c r="CM713" s="285">
        <f t="shared" si="0"/>
        <v>0.66440141332963831</v>
      </c>
      <c r="CN713" s="281" t="str">
        <f>IF(CM713="Blank","",IF(CM713&lt;=0.5,"A",IF(CM713&lt;=0.75,"B",IF(CM713&lt;=1,"C","D"))))</f>
        <v>B</v>
      </c>
      <c r="CO713" s="279" t="str">
        <f t="shared" si="1"/>
        <v>0</v>
      </c>
      <c r="CP713" s="279" t="str">
        <f t="shared" si="2"/>
        <v>0</v>
      </c>
      <c r="CR713" s="286" t="s">
        <v>812</v>
      </c>
      <c r="CS713" s="286" t="s">
        <v>496</v>
      </c>
      <c r="CT713" s="720" t="s">
        <v>328</v>
      </c>
    </row>
    <row r="714" spans="79:98" ht="25.5" x14ac:dyDescent="0.25">
      <c r="CA714" s="307">
        <v>12</v>
      </c>
      <c r="CB714" s="307">
        <v>31</v>
      </c>
      <c r="CC714" s="307" t="s">
        <v>432</v>
      </c>
      <c r="CD714" s="484" t="s">
        <v>433</v>
      </c>
      <c r="CE714" s="484" t="s">
        <v>434</v>
      </c>
      <c r="CF714" s="490">
        <f>IF(ISERROR('Informasi Debitur'!W173/'Informasi Debitur'!X173),"Blank",('Informasi Debitur'!W173/'Informasi Debitur'!X173)*12)</f>
        <v>40</v>
      </c>
      <c r="CG714" s="479"/>
      <c r="CH714" s="479"/>
      <c r="CI714" s="479"/>
      <c r="CJ714" s="479"/>
      <c r="CK714" s="479"/>
      <c r="CL714" s="278" t="str">
        <f>IF(CF714="Blank","",IF(CF714&lt;=24,"A",IF(CF714&lt;=30,"B",IF(CF714&lt;=36,"C",IF(CF714&lt;=42,"D","E")))))</f>
        <v>D</v>
      </c>
      <c r="CM714" s="287">
        <f t="shared" si="0"/>
        <v>40</v>
      </c>
      <c r="CN714" s="281" t="str">
        <f>IF(CM714="Blank","",IF(CM714&lt;=24,"A",IF(CM714&lt;=30,"B",IF(CM714&lt;=36,"C",IF(CM714&lt;=42,"D","E")))))</f>
        <v>D</v>
      </c>
      <c r="CO714" s="279" t="str">
        <f t="shared" si="1"/>
        <v>0</v>
      </c>
      <c r="CP714" s="279" t="str">
        <f t="shared" si="2"/>
        <v>0</v>
      </c>
      <c r="CR714" s="286" t="s">
        <v>493</v>
      </c>
      <c r="CS714" s="286" t="s">
        <v>494</v>
      </c>
      <c r="CT714" s="720" t="s">
        <v>329</v>
      </c>
    </row>
    <row r="715" spans="79:98" ht="140.25" x14ac:dyDescent="0.25">
      <c r="CA715" s="307">
        <v>13</v>
      </c>
      <c r="CB715" s="307">
        <v>12</v>
      </c>
      <c r="CC715" s="307" t="s">
        <v>382</v>
      </c>
      <c r="CD715" s="484" t="s">
        <v>7613</v>
      </c>
      <c r="CE715" s="484" t="s">
        <v>7614</v>
      </c>
      <c r="CF715" s="485" t="str">
        <f>IF(COUNTA('Informasi Debitur'!F42)&lt;&gt;0,'Informasi Debitur'!F42,"Blank")</f>
        <v>80 - 100% ditempati</v>
      </c>
      <c r="CG715" s="479"/>
      <c r="CH715" s="479"/>
      <c r="CI715" s="479"/>
      <c r="CJ715" s="479"/>
      <c r="CK715" s="479"/>
      <c r="CL715" s="278" t="str">
        <f>IF(CF715="Blank","",IF(CF715="N/A","A",IF(CF715="100% ditempati","B",IF(CF715="80 - 100% ditempati","C",IF(CF715="60 - 80% ditempati","D",IF(CF715="40 - 60% ditempati","E","F"))))))</f>
        <v>C</v>
      </c>
      <c r="CM715" s="280" t="str">
        <f t="shared" si="0"/>
        <v>80 - 100% ditempati</v>
      </c>
      <c r="CN715" s="281" t="str">
        <f>IF(CM715="Blank","",IF(CM715="N/A","A",IF(CM715="100% ditempati","B",IF(CM715="80 - 100% ditempati","C",IF(CM715="60 - 80% ditempati","D",IF(CM715="40 - 60% ditempati","E","F"))))))</f>
        <v>C</v>
      </c>
      <c r="CO715" s="279" t="str">
        <f t="shared" si="1"/>
        <v>0</v>
      </c>
      <c r="CP715" s="279" t="str">
        <f t="shared" si="2"/>
        <v>0</v>
      </c>
      <c r="CR715" s="286" t="s">
        <v>491</v>
      </c>
      <c r="CS715" s="286" t="s">
        <v>492</v>
      </c>
      <c r="CT715" s="720" t="s">
        <v>330</v>
      </c>
    </row>
    <row r="716" spans="79:98" ht="63.75" x14ac:dyDescent="0.25">
      <c r="CA716" s="307">
        <v>14</v>
      </c>
      <c r="CB716" s="307">
        <v>2</v>
      </c>
      <c r="CC716" s="307" t="s">
        <v>357</v>
      </c>
      <c r="CD716" s="484" t="s">
        <v>358</v>
      </c>
      <c r="CE716" s="744" t="s">
        <v>441</v>
      </c>
      <c r="CF716" s="308" t="str">
        <f>IF(COUNTA('Informasi Debitur'!D27)=0,"Blank",'Informasi Debitur'!D27)</f>
        <v>Calon debitur memiliki rumah dimana dia tinggal</v>
      </c>
      <c r="CG716" s="479"/>
      <c r="CH716" s="479"/>
      <c r="CI716" s="491"/>
      <c r="CJ716" s="479"/>
      <c r="CK716" s="479"/>
      <c r="CL716" s="284" t="str">
        <f>IF(CF716="Blank","",IF(ISERROR(VLOOKUP(CF716,$CR$708:$CT$711,3,FALSE)),VLOOKUP(CF716,$CS$708:$CT$711,2,FALSE),VLOOKUP(CF716,$CR$708:$CT$711,3,FALSE)))</f>
        <v>A</v>
      </c>
      <c r="CM716" s="280" t="str">
        <f t="shared" si="0"/>
        <v>Calon debitur memiliki rumah dimana dia tinggal</v>
      </c>
      <c r="CN716" s="284" t="str">
        <f>IF(CM716="Blank","",IF(ISERROR(VLOOKUP(CM716,$CR$708:$CT$711,3,FALSE)),VLOOKUP(CM716,$CS$708:$CT$711,2,FALSE),VLOOKUP(CM716,$CR$708:$CT$711,3,FALSE)))</f>
        <v>A</v>
      </c>
      <c r="CO716" s="279" t="str">
        <f t="shared" si="1"/>
        <v>0</v>
      </c>
      <c r="CP716" s="279" t="str">
        <f t="shared" si="2"/>
        <v>0</v>
      </c>
      <c r="CR716" s="282" t="s">
        <v>497</v>
      </c>
      <c r="CS716" s="282" t="s">
        <v>498</v>
      </c>
      <c r="CT716" s="720" t="s">
        <v>334</v>
      </c>
    </row>
    <row r="717" spans="79:98" ht="76.5" x14ac:dyDescent="0.25">
      <c r="CA717" s="307">
        <v>15</v>
      </c>
      <c r="CB717" s="307">
        <v>3</v>
      </c>
      <c r="CC717" s="307" t="s">
        <v>359</v>
      </c>
      <c r="CD717" s="484" t="s">
        <v>360</v>
      </c>
      <c r="CE717" s="484" t="s">
        <v>442</v>
      </c>
      <c r="CF717" s="490">
        <f>IF(COUNTA('Informasi Debitur'!H28)&lt;&gt;0,(('Informasi Debitur'!J4)-('Informasi Debitur'!H28))/365,"Tidak Ada")</f>
        <v>7.1342465753424653</v>
      </c>
      <c r="CG717" s="479"/>
      <c r="CH717" s="479"/>
      <c r="CI717" s="479"/>
      <c r="CJ717" s="479"/>
      <c r="CK717" s="479"/>
      <c r="CL717" s="278" t="str">
        <f>IF(CF717="Tidak Ada","A",IF(CF717&lt;=1,"B",IF(CF717&lt;=5,"C",IF(CF717&lt;=10,"D",IF(CF717&lt;=20,"E","F")))))</f>
        <v>D</v>
      </c>
      <c r="CM717" s="287">
        <f t="shared" si="0"/>
        <v>7.1342465753424653</v>
      </c>
      <c r="CN717" s="281" t="str">
        <f>IF(CM717="Tidak Ada","A",IF(CM717&lt;=1,"B",IF(CM717&lt;=5,"C",IF(CM717&lt;=10,"D",IF(CM717&lt;=20,"E","F")))))</f>
        <v>D</v>
      </c>
      <c r="CO717" s="279" t="str">
        <f t="shared" si="1"/>
        <v>0</v>
      </c>
      <c r="CP717" s="279" t="str">
        <f t="shared" si="2"/>
        <v>0</v>
      </c>
    </row>
    <row r="718" spans="79:98" ht="51" x14ac:dyDescent="0.25">
      <c r="CA718" s="307">
        <v>16</v>
      </c>
      <c r="CB718" s="307">
        <v>11</v>
      </c>
      <c r="CC718" s="307" t="s">
        <v>380</v>
      </c>
      <c r="CD718" s="484" t="s">
        <v>381</v>
      </c>
      <c r="CE718" s="484" t="s">
        <v>368</v>
      </c>
      <c r="CF718" s="485" t="str">
        <f>IF(COUNTA('Informasi Debitur'!H29)&lt;&gt;0,('Informasi Debitur'!J4-'Informasi Debitur'!H29)/365,"Tidak Ada")</f>
        <v>Tidak Ada</v>
      </c>
      <c r="CG718" s="479"/>
      <c r="CH718" s="479"/>
      <c r="CI718" s="479"/>
      <c r="CJ718" s="479"/>
      <c r="CK718" s="479"/>
      <c r="CL718" s="278" t="str">
        <f>IF(CF718="Tidak Ada","A",IF(CF718=0,"B",IF(CF718&lt;=4,"C","D")))</f>
        <v>A</v>
      </c>
      <c r="CM718" s="280" t="str">
        <f t="shared" si="0"/>
        <v>Tidak Ada</v>
      </c>
      <c r="CN718" s="281" t="str">
        <f>IF(CM718="Tidak Ada","A",IF(CM718=0,"B",IF(CM718&lt;=4,"C","D")))</f>
        <v>A</v>
      </c>
      <c r="CO718" s="279" t="str">
        <f t="shared" si="1"/>
        <v>0</v>
      </c>
      <c r="CP718" s="279" t="str">
        <f t="shared" si="2"/>
        <v>0</v>
      </c>
    </row>
    <row r="719" spans="79:98" ht="25.5" x14ac:dyDescent="0.25">
      <c r="CA719" s="307">
        <v>17</v>
      </c>
      <c r="CB719" s="307">
        <v>22</v>
      </c>
      <c r="CC719" s="307" t="s">
        <v>409</v>
      </c>
      <c r="CD719" s="484" t="s">
        <v>410</v>
      </c>
      <c r="CE719" s="484" t="s">
        <v>368</v>
      </c>
      <c r="CF719" s="308" t="str">
        <f>IF(COUNTA('Informasi Debitur'!F254)=0,"Blank",'Informasi Debitur'!F254)</f>
        <v>Tidak Ada , karena hanya ada satu jaminan</v>
      </c>
      <c r="CG719" s="479"/>
      <c r="CH719" s="479"/>
      <c r="CI719" s="479"/>
      <c r="CJ719" s="479"/>
      <c r="CK719" s="479"/>
      <c r="CL719" s="278" t="str">
        <f>IF(CF719="Blank","",IF(CF719="Tidak Ada , karena hanya ada satu jaminan","A",IF(CF719="Jaminan telah dibeli dari pihak luar (bukan kerabat calon debitur / pemegang saham / manajemen inti)","B",IF(CF719="Jaminan telah dibeli dari kerabat calon debitur / pemegang saham / manajemen inti ","C",IF(CF719="Jaminan telah dialihkan dari kerabat calon debitur / pemegang saham / manajemen inti ","D","E")))))</f>
        <v>A</v>
      </c>
      <c r="CM719" s="280" t="str">
        <f t="shared" si="0"/>
        <v>Tidak Ada , karena hanya ada satu jaminan</v>
      </c>
      <c r="CN719" s="281" t="str">
        <f>IF(CM719="Blank","",IF(CM719="Tidak Ada , karena hanya ada satu jaminan","A",IF(CM719="Jaminan telah dibeli dari pihak luar (bukan kerabat calon debitur / pemegang saham / manajemen inti)","B",IF(CM719="Jaminan telah dibeli dari kerabat calon debitur / pemegang saham / manajemen inti ","C",IF(CM719="Jaminan telah dialihkan dari kerabat calon debitur / pemegang saham / manajemen inti ","D","E")))))</f>
        <v>A</v>
      </c>
      <c r="CO719" s="279" t="str">
        <f t="shared" si="1"/>
        <v>0</v>
      </c>
      <c r="CP719" s="279" t="str">
        <f t="shared" si="2"/>
        <v>0</v>
      </c>
    </row>
    <row r="720" spans="79:98" ht="51" x14ac:dyDescent="0.25">
      <c r="CA720" s="307">
        <v>18</v>
      </c>
      <c r="CB720" s="307">
        <v>20</v>
      </c>
      <c r="CC720" s="307" t="s">
        <v>402</v>
      </c>
      <c r="CD720" s="484" t="s">
        <v>7615</v>
      </c>
      <c r="CE720" s="484" t="s">
        <v>368</v>
      </c>
      <c r="CF720" s="492" t="str">
        <f>IF(COUNTA('Informasi Debitur'!F251,'Informasi Debitur'!F252)=0,"Blank",IF(COUNTA('Informasi Debitur'!F251)&lt;&gt;0,'Informasi Debitur'!F251,'Informasi Debitur'!F252))</f>
        <v>Calon debitur memiliki dua atau lebih tanah / bangunan dan menjaminkan sebagian darinya sebagai jaminan</v>
      </c>
      <c r="CG720" s="479"/>
      <c r="CH720" s="479"/>
      <c r="CI720" s="479"/>
      <c r="CJ720" s="479"/>
      <c r="CK720" s="479"/>
      <c r="CL720" s="278" t="str">
        <f>IF(CF720="Blank","",IF(ISERROR(VLOOKUP(CF720,$CR$713:$CT$716,3,FALSE)),VLOOKUP(CF720,$CS$713:$CT$716,2,FALSE),VLOOKUP(CF720,$CR$713:$CT$716,3,FALSE)))</f>
        <v>B</v>
      </c>
      <c r="CM720" s="280" t="str">
        <f t="shared" si="0"/>
        <v>Calon debitur memiliki dua atau lebih tanah / bangunan dan menjaminkan sebagian darinya sebagai jaminan</v>
      </c>
      <c r="CN720" s="278" t="str">
        <f>IF(CM720="Blank","",IF(ISERROR(VLOOKUP(CM720,$CR$713:$CT$716,3,FALSE)),VLOOKUP(CM720,$CS$713:$CT$716,2,FALSE),VLOOKUP(CM720,$CR$713:$CT$716,3,FALSE)))</f>
        <v>B</v>
      </c>
      <c r="CO720" s="279" t="str">
        <f t="shared" si="1"/>
        <v>0</v>
      </c>
      <c r="CP720" s="279" t="str">
        <f t="shared" si="2"/>
        <v>0</v>
      </c>
    </row>
    <row r="721" spans="79:98" ht="38.25" x14ac:dyDescent="0.25">
      <c r="CA721" s="307">
        <v>19</v>
      </c>
      <c r="CB721" s="307">
        <v>32</v>
      </c>
      <c r="CC721" s="307" t="s">
        <v>435</v>
      </c>
      <c r="CD721" s="484" t="s">
        <v>436</v>
      </c>
      <c r="CE721" s="484" t="s">
        <v>437</v>
      </c>
      <c r="CF721" s="493">
        <f>IF(COUNTA('Informasi Debitur'!H189)=0,"Blank",IF('Informasi Debitur'!H189="Tidak","Tidak memiliki kartu kredit atau calon debitur yang bukan perorangan",'Informasi Debitur'!H193/'Informasi Debitur'!H192))</f>
        <v>0.13207423580786026</v>
      </c>
      <c r="CG721" s="479"/>
      <c r="CH721" s="479"/>
      <c r="CI721" s="479"/>
      <c r="CJ721" s="479"/>
      <c r="CK721" s="479"/>
      <c r="CL721" s="278" t="str">
        <f>IF(CF721="Blank","",IF(CF721="Tidak memiliki kartu kredit atau calon debitur yang bukan perorangan","A",IF(CF721&lt;0.25,"B",IF(CF721&lt;=0.5,"C","D"))))</f>
        <v>B</v>
      </c>
      <c r="CM721" s="280">
        <f t="shared" si="0"/>
        <v>0.13207423580786026</v>
      </c>
      <c r="CN721" s="281" t="str">
        <f>IF(CM721="Tidak memiliki kartu kredit atau calon debitur yang bukan perorangan","A",IF(CM721&lt;0.25,"B",IF(CM721&lt;=0.5,"C","D")))</f>
        <v>B</v>
      </c>
      <c r="CO721" s="279" t="str">
        <f t="shared" si="1"/>
        <v>0</v>
      </c>
      <c r="CP721" s="279" t="str">
        <f t="shared" si="2"/>
        <v>0</v>
      </c>
    </row>
    <row r="722" spans="79:98" ht="25.5" x14ac:dyDescent="0.25">
      <c r="CA722" s="307">
        <v>20</v>
      </c>
      <c r="CB722" s="307">
        <v>15</v>
      </c>
      <c r="CC722" s="307" t="s">
        <v>390</v>
      </c>
      <c r="CD722" s="484" t="s">
        <v>391</v>
      </c>
      <c r="CE722" s="484" t="s">
        <v>7616</v>
      </c>
      <c r="CF722" s="489" t="str">
        <f>IF(COUNTA('Buyer Checking'!C145)=0,"Blank",'Buyer Checking'!C145)</f>
        <v>Blank</v>
      </c>
      <c r="CG722" s="479"/>
      <c r="CH722" s="479"/>
      <c r="CI722" s="479"/>
      <c r="CJ722" s="479"/>
      <c r="CK722" s="479"/>
      <c r="CL722" s="278" t="str">
        <f>IF(CF722="Blank","",IF(OR(CF722="N/A",CF722&lt;=0.3),"A",IF(CF722&lt;=0.75,"B",IF(CF722&lt;=0.99,"C","D"))))</f>
        <v/>
      </c>
      <c r="CM722" s="280" t="str">
        <f t="shared" si="0"/>
        <v>Blank</v>
      </c>
      <c r="CN722" s="281" t="str">
        <f>IF(CM722="Blank","",IF(OR(CM722="N/A",CM722&lt;=0.3),"A",IF(CM722&lt;=0.75,"B",IF(CM722&lt;=0.99,"C","D"))))</f>
        <v/>
      </c>
      <c r="CO722" s="279" t="str">
        <f t="shared" si="1"/>
        <v>0</v>
      </c>
      <c r="CP722" s="279" t="str">
        <f t="shared" si="2"/>
        <v>0</v>
      </c>
    </row>
    <row r="723" spans="79:98" s="232" customFormat="1" ht="25.5" x14ac:dyDescent="0.25">
      <c r="CA723" s="307">
        <v>21</v>
      </c>
      <c r="CB723" s="307" t="s">
        <v>89</v>
      </c>
      <c r="CC723" s="307"/>
      <c r="CD723" s="484" t="s">
        <v>566</v>
      </c>
      <c r="CE723" s="484"/>
      <c r="CF723" s="485" t="str">
        <f>IF(COUNTA('Informasi Debitur'!K71:L75)=0,"Blank",'Informasi Debitur'!O70)</f>
        <v>Pria</v>
      </c>
      <c r="CG723" s="479"/>
      <c r="CH723" s="479"/>
      <c r="CI723" s="479"/>
      <c r="CJ723" s="479"/>
      <c r="CK723" s="479"/>
      <c r="CL723" s="284" t="str">
        <f>IF(CF723="Blank","",IF(CF723="Pria","A","B"))</f>
        <v>A</v>
      </c>
      <c r="CM723" s="280" t="str">
        <f t="shared" si="0"/>
        <v>Pria</v>
      </c>
      <c r="CN723" s="283" t="str">
        <f>IF(CM723="Blank","",IF(CM723="Pria","A","B"))</f>
        <v>A</v>
      </c>
      <c r="CO723" s="279" t="str">
        <f t="shared" si="1"/>
        <v>0</v>
      </c>
      <c r="CP723" s="279" t="str">
        <f t="shared" si="2"/>
        <v>0</v>
      </c>
      <c r="CQ723" s="228"/>
      <c r="CR723" s="231"/>
      <c r="CS723" s="231"/>
      <c r="CT723" s="231"/>
    </row>
    <row r="724" spans="79:98" s="232" customFormat="1" ht="25.5" x14ac:dyDescent="0.25">
      <c r="CA724" s="307">
        <v>22</v>
      </c>
      <c r="CB724" s="307" t="s">
        <v>89</v>
      </c>
      <c r="CC724" s="307"/>
      <c r="CD724" s="484" t="s">
        <v>567</v>
      </c>
      <c r="CE724" s="484"/>
      <c r="CF724" s="494">
        <f>IF(SUM(CJ724)&gt;0,SUM(CJ724),IF(SUM(CI724)&gt;0,SUM(CI724),IF(SUM(CH724)&gt;0,SUM(CH724),SUM(CG724))))</f>
        <v>33.582265976096522</v>
      </c>
      <c r="CG724" s="495" t="str">
        <f>'Analisa Lap Keu'!B19</f>
        <v>-</v>
      </c>
      <c r="CH724" s="495" t="str">
        <f>'Analisa Lap Keu'!C19</f>
        <v>-</v>
      </c>
      <c r="CI724" s="495" t="str">
        <f>'Analisa Lap Keu'!E19</f>
        <v>-</v>
      </c>
      <c r="CJ724" s="495">
        <f>'Analisa Lap Keu'!G19</f>
        <v>33.582265976096522</v>
      </c>
      <c r="CK724" s="479"/>
      <c r="CL724" s="496">
        <f>CF724</f>
        <v>33.582265976096522</v>
      </c>
      <c r="CM724" s="288">
        <f t="shared" si="0"/>
        <v>33.582265976096522</v>
      </c>
      <c r="CN724" s="289"/>
      <c r="CO724" s="279" t="str">
        <f t="shared" si="1"/>
        <v>0</v>
      </c>
      <c r="CP724" s="279">
        <f t="shared" si="2"/>
        <v>1</v>
      </c>
      <c r="CQ724" s="228"/>
      <c r="CR724" s="231"/>
      <c r="CS724" s="231"/>
      <c r="CT724" s="231"/>
    </row>
    <row r="725" spans="79:98" s="232" customFormat="1" ht="25.5" x14ac:dyDescent="0.25">
      <c r="CA725" s="307">
        <v>23</v>
      </c>
      <c r="CB725" s="307" t="s">
        <v>89</v>
      </c>
      <c r="CC725" s="307"/>
      <c r="CD725" s="484" t="s">
        <v>568</v>
      </c>
      <c r="CE725" s="484"/>
      <c r="CF725" s="494">
        <f>IF(SUM(CJ725)&gt;0,SUM(CJ725),IF(SUM(CI725)&gt;0,SUM(CI725),IF(SUM(CH725)&gt;0,SUM(CH725),SUM(CG725))))</f>
        <v>25.697614792058058</v>
      </c>
      <c r="CG725" s="495" t="str">
        <f>'Analisa Lap Keu'!B20</f>
        <v>-</v>
      </c>
      <c r="CH725" s="495" t="str">
        <f>'Analisa Lap Keu'!C20</f>
        <v>-</v>
      </c>
      <c r="CI725" s="495" t="str">
        <f>'Analisa Lap Keu'!E20</f>
        <v>-</v>
      </c>
      <c r="CJ725" s="495">
        <f>'Analisa Lap Keu'!G20</f>
        <v>25.697614792058058</v>
      </c>
      <c r="CK725" s="479"/>
      <c r="CL725" s="497">
        <f>CF725</f>
        <v>25.697614792058058</v>
      </c>
      <c r="CM725" s="288">
        <f t="shared" si="0"/>
        <v>25.697614792058058</v>
      </c>
      <c r="CN725" s="281"/>
      <c r="CO725" s="279" t="str">
        <f t="shared" si="1"/>
        <v>0</v>
      </c>
      <c r="CP725" s="279">
        <f t="shared" si="2"/>
        <v>1</v>
      </c>
      <c r="CQ725" s="228"/>
      <c r="CR725" s="231"/>
      <c r="CS725" s="231"/>
      <c r="CT725" s="231"/>
    </row>
    <row r="726" spans="79:98" s="232" customFormat="1" ht="25.5" x14ac:dyDescent="0.25">
      <c r="CA726" s="307">
        <v>24</v>
      </c>
      <c r="CB726" s="307" t="s">
        <v>89</v>
      </c>
      <c r="CC726" s="307"/>
      <c r="CD726" s="484" t="s">
        <v>569</v>
      </c>
      <c r="CE726" s="484"/>
      <c r="CF726" s="494">
        <f>IF(SUM(CJ726)&gt;0,SUM(CJ726),IF(SUM(CI726)&gt;0,SUM(CI726),IF(SUM(CH726)&gt;0,SUM(CH726),SUM(CG726))))</f>
        <v>33.249448248331689</v>
      </c>
      <c r="CG726" s="495" t="str">
        <f>'Analisa Lap Keu'!B18</f>
        <v>-</v>
      </c>
      <c r="CH726" s="495" t="str">
        <f>'Analisa Lap Keu'!C18</f>
        <v>-</v>
      </c>
      <c r="CI726" s="495" t="str">
        <f>'Analisa Lap Keu'!E18</f>
        <v>-</v>
      </c>
      <c r="CJ726" s="495">
        <f>'Analisa Lap Keu'!G18</f>
        <v>33.249448248331689</v>
      </c>
      <c r="CK726" s="479"/>
      <c r="CL726" s="497">
        <f>CF726</f>
        <v>33.249448248331689</v>
      </c>
      <c r="CM726" s="288">
        <f t="shared" si="0"/>
        <v>33.249448248331689</v>
      </c>
      <c r="CN726" s="281"/>
      <c r="CO726" s="279" t="str">
        <f t="shared" si="1"/>
        <v>0</v>
      </c>
      <c r="CP726" s="279">
        <f t="shared" si="2"/>
        <v>1</v>
      </c>
      <c r="CQ726" s="228"/>
      <c r="CR726" s="231"/>
      <c r="CS726" s="231"/>
      <c r="CT726" s="231"/>
    </row>
    <row r="727" spans="79:98" ht="38.25" x14ac:dyDescent="0.25">
      <c r="CA727" s="307">
        <v>25</v>
      </c>
      <c r="CB727" s="307">
        <v>25</v>
      </c>
      <c r="CC727" s="307" t="s">
        <v>417</v>
      </c>
      <c r="CD727" s="484" t="s">
        <v>418</v>
      </c>
      <c r="CE727" s="484" t="s">
        <v>419</v>
      </c>
      <c r="CF727" s="485">
        <f>IF(OR(CG727="Blank",CH727="Blank"),"Blank",(CG727+CH727)-1)</f>
        <v>-1</v>
      </c>
      <c r="CG727" s="855">
        <f>IF('Informasi Debitur'!$R$180="","Blank",'Informasi Debitur'!$R$180)</f>
        <v>0</v>
      </c>
      <c r="CH727" s="855">
        <f>IF('Informasi Debitur'!$R$181="","Blank",'Informasi Debitur'!$R$181)</f>
        <v>0</v>
      </c>
      <c r="CI727" s="855"/>
      <c r="CJ727" s="479"/>
      <c r="CK727" s="479"/>
      <c r="CL727" s="278" t="str">
        <f>IF(CF727="Blank","",IF(CF727&lt;=0,"A",IF(CF727&lt;=3,"B","C")))</f>
        <v>A</v>
      </c>
      <c r="CM727" s="280">
        <f t="shared" si="0"/>
        <v>-1</v>
      </c>
      <c r="CN727" s="281" t="str">
        <f>IF(CM727="Blank","",IF(CM727="Tidak Pernah","A",IF(CM727&lt;=3,"B","C")))</f>
        <v>B</v>
      </c>
      <c r="CO727" s="279" t="str">
        <f t="shared" si="1"/>
        <v>0</v>
      </c>
      <c r="CP727" s="279">
        <f t="shared" si="2"/>
        <v>1</v>
      </c>
    </row>
    <row r="728" spans="79:98" ht="51" x14ac:dyDescent="0.25">
      <c r="CA728" s="307">
        <v>26</v>
      </c>
      <c r="CB728" s="307">
        <v>19</v>
      </c>
      <c r="CC728" s="307" t="s">
        <v>400</v>
      </c>
      <c r="CD728" s="484" t="s">
        <v>401</v>
      </c>
      <c r="CE728" s="484" t="s">
        <v>7617</v>
      </c>
      <c r="CF728" s="489">
        <f>IF(SUM(CG728:CJ728)=0,"Blank",IF(CJ728&lt;&gt;0,CJ728,IF(CI728&lt;&gt;0,CI728,IF(CH728&lt;&gt;0,CH728,CG728))))</f>
        <v>7.6827389267264179E-2</v>
      </c>
      <c r="CG728" s="741">
        <f>IF(ISERROR(SUM('Analisa Lap Keu'!B72:B75)/('Analisa Lap Keu'!B68)),0,SUM('Analisa Lap Keu'!B72:B75)/('Analisa Lap Keu'!B68))</f>
        <v>0</v>
      </c>
      <c r="CH728" s="498">
        <f>IF(ISERROR(SUM('Analisa Lap Keu'!C72:C75)/('Analisa Lap Keu'!C68)),0,SUM('Analisa Lap Keu'!C72:C75)/('Analisa Lap Keu'!C68))</f>
        <v>0</v>
      </c>
      <c r="CI728" s="498">
        <f>IF(ISERROR(SUM('Analisa Lap Keu'!E72:E75)/('Analisa Lap Keu'!E68)),0,SUM('Analisa Lap Keu'!E72:E75)/('Analisa Lap Keu'!E68))</f>
        <v>0</v>
      </c>
      <c r="CJ728" s="498">
        <f>IF(ISERROR(SUM('Analisa Lap Keu'!G72:G75)/('Analisa Lap Keu'!G68)),0,SUM('Analisa Lap Keu'!G72:G75)/('Analisa Lap Keu'!G68))</f>
        <v>7.6827389267264179E-2</v>
      </c>
      <c r="CK728" s="479"/>
      <c r="CL728" s="278" t="str">
        <f>IF(CF728="Blank",0,IF(CF728&lt;=0.01,"A",IF(CF728&lt;=0.05,"B",IF(CF728&lt;=0.1,"C",IF(CF728&lt;=0.5,"D","E")))))</f>
        <v>C</v>
      </c>
      <c r="CM728" s="285">
        <f t="shared" si="0"/>
        <v>7.6827389267264179E-2</v>
      </c>
      <c r="CN728" s="281" t="str">
        <f>IF(CM728="Blank",0,IF(CM728&lt;=0.01,"A",IF(CM728&lt;=0.05,"B",IF(CM728&lt;=0.1,"C",IF(CM728&lt;=0.5,"D","E")))))</f>
        <v>C</v>
      </c>
      <c r="CO728" s="279" t="str">
        <f t="shared" si="1"/>
        <v>0</v>
      </c>
      <c r="CP728" s="279" t="str">
        <f t="shared" si="2"/>
        <v>0</v>
      </c>
    </row>
    <row r="729" spans="79:98" ht="76.5" x14ac:dyDescent="0.25">
      <c r="CA729" s="307">
        <v>27</v>
      </c>
      <c r="CB729" s="307">
        <v>16</v>
      </c>
      <c r="CC729" s="307" t="s">
        <v>392</v>
      </c>
      <c r="CD729" s="484" t="s">
        <v>7618</v>
      </c>
      <c r="CE729" s="484" t="s">
        <v>368</v>
      </c>
      <c r="CF729" s="499" t="str">
        <f>IF(COUNTA('Buyer Checking'!C146)=0,"Blank",'Buyer Checking'!C146)</f>
        <v>Penjualan berdasarkan kontrak (job order), tetapi barang/produk bersifat umum (tidak customized/tailored), sehingga  mudah untuk dijual ke pembeli lain</v>
      </c>
      <c r="CG729" s="479"/>
      <c r="CH729" s="479"/>
      <c r="CI729" s="479"/>
      <c r="CJ729" s="479"/>
      <c r="CK729" s="479"/>
      <c r="CL729" s="278" t="str">
        <f>IF(CF729="Blank","",IF(CF729="Tidak ada kontrak (walk in). Hal ini berlaku untuk ritel, produk kebutuhan pokok atau produk khusus (tertentu) dengan basis pelanggan yang stabil","A",IF(CF729="Ini adalah usaha ritel atau grosir. Calon debitur memiliki beberapa pembeli utama yang dapat dengan mudah digantikan","B",IF(CF729="Ini adalah usaha ritel atau grosir.  Calon debitur memiliki beberapa pembeli utama yang sulit digantikan","C",IF(CF729="Penjualan berdasarkan kontrak (job order), tetapi barang/produk bersifat umum (tidak customized/tailored), sehingga  mudah untuk dijual ke pembeli lain","D","E")))))</f>
        <v>D</v>
      </c>
      <c r="CM729" s="280" t="str">
        <f t="shared" si="0"/>
        <v>Penjualan berdasarkan kontrak (job order), tetapi barang/produk bersifat umum (tidak customized/tailored), sehingga  mudah untuk dijual ke pembeli lain</v>
      </c>
      <c r="CN729" s="281" t="str">
        <f>IF(CM729="Blank","",IF(CM729="Tidak ada kontrak (walk in). Hal ini berlaku untuk ritel, produk kebutuhan pokok atau produk khusus (tertentu) dengan basis pelanggan yang stabil","A",IF(CM729="Ini adalah usaha ritel atau grosir. Calon debitur memiliki beberapa pembeli utama yang dapat dengan mudah digantikan","B",IF(CM729="Ini adalah usaha ritel atau grosir.  Calon debitur memiliki beberapa pembeli utama yang sulit digantikan","C",IF(CM729="Penjualan berdasarkan kontrak (job order), tetapi barang/produk bersifat umum (tidak customized/tailored), sehingga  mudah untuk dijual ke pembeli lain","D","E")))))</f>
        <v>D</v>
      </c>
      <c r="CO729" s="279" t="str">
        <f t="shared" si="1"/>
        <v>0</v>
      </c>
      <c r="CP729" s="279" t="str">
        <f t="shared" si="2"/>
        <v>0</v>
      </c>
    </row>
    <row r="730" spans="79:98" ht="51" x14ac:dyDescent="0.25">
      <c r="CA730" s="307">
        <v>28</v>
      </c>
      <c r="CB730" s="307">
        <v>27</v>
      </c>
      <c r="CC730" s="307" t="s">
        <v>422</v>
      </c>
      <c r="CD730" s="484" t="s">
        <v>423</v>
      </c>
      <c r="CE730" s="484" t="s">
        <v>424</v>
      </c>
      <c r="CF730" s="500">
        <f>IF(SUM(CG730:CJ730)=0,"Blank",(SUM('Informasi Debitur'!G170,'Informasi Debitur'!H109,'Informasi Debitur'!H193))/Sheet2!CK730)</f>
        <v>8.0597581299762244E-3</v>
      </c>
      <c r="CG730" s="498">
        <f>'Analisa Lap Keu'!B68</f>
        <v>0</v>
      </c>
      <c r="CH730" s="498">
        <f>'Analisa Lap Keu'!C68</f>
        <v>0</v>
      </c>
      <c r="CI730" s="498">
        <f>'Analisa Lap Keu'!E68</f>
        <v>0</v>
      </c>
      <c r="CJ730" s="498">
        <f>'Analisa Lap Keu'!G68</f>
        <v>18762.97</v>
      </c>
      <c r="CK730" s="498">
        <f>IF(SUM(CJ730)&lt;&gt;0,CJ730,IF(SUM(CI730)&lt;&gt;0,CI730,IF(SUM(CH730)&lt;&gt;0,CH730,CG730)))</f>
        <v>18762.97</v>
      </c>
      <c r="CL730" s="278" t="str">
        <f>IF(CF730="Blank","",IF(CF730&lt;=0.02,"A",IF(CF730&lt;=0.2,"B",IF(CF730&lt;=0.5,"C",IF(CF730&lt;=0.9,"D","E")))))</f>
        <v>A</v>
      </c>
      <c r="CM730" s="285">
        <f t="shared" si="0"/>
        <v>8.0597581299762244E-3</v>
      </c>
      <c r="CN730" s="281" t="str">
        <f>IF(CM730="Blank","",IF(CM730&lt;=0.02,"A",IF(CM730&lt;=0.2,"B",IF(CM730&lt;=0.5,"C",IF(CM730&lt;=0.9,"D","E")))))</f>
        <v>A</v>
      </c>
      <c r="CO730" s="279" t="str">
        <f t="shared" si="1"/>
        <v>0</v>
      </c>
      <c r="CP730" s="279" t="str">
        <f t="shared" si="2"/>
        <v>0</v>
      </c>
    </row>
    <row r="731" spans="79:98" ht="25.5" x14ac:dyDescent="0.25">
      <c r="CA731" s="307">
        <v>29</v>
      </c>
      <c r="CB731" s="307">
        <v>26</v>
      </c>
      <c r="CC731" s="307" t="s">
        <v>420</v>
      </c>
      <c r="CD731" s="484" t="s">
        <v>421</v>
      </c>
      <c r="CE731" s="484" t="s">
        <v>3163</v>
      </c>
      <c r="CF731" s="310" t="str">
        <f>IF(COUNTA('Informasi Debitur'!$H$181)=0,"Blank",IF('Informasi Debitur'!$R$181=0,"Tidak Ada",'Informasi Debitur'!$R$181))</f>
        <v>Tidak Ada</v>
      </c>
      <c r="CG731" s="479"/>
      <c r="CH731" s="479"/>
      <c r="CI731" s="479"/>
      <c r="CJ731" s="479"/>
      <c r="CK731" s="479"/>
      <c r="CL731" s="278" t="str">
        <f>IF(CF731="Blank","",IF(CF731="Tidak Ada","A",IF(CF731&lt;=2,"B",IF(CF731&lt;=5,"C","D"))))</f>
        <v>A</v>
      </c>
      <c r="CM731" s="280" t="str">
        <f t="shared" si="0"/>
        <v>Tidak Ada</v>
      </c>
      <c r="CN731" s="281" t="str">
        <f>IF(CM731="Blank","",IF(CM731="Tidak Ada","A",IF(CM731&lt;=2,"B",IF(CM731&lt;=5,"C","D"))))</f>
        <v>A</v>
      </c>
      <c r="CO731" s="279" t="str">
        <f t="shared" si="1"/>
        <v>0</v>
      </c>
      <c r="CP731" s="279" t="str">
        <f t="shared" si="2"/>
        <v>0</v>
      </c>
    </row>
    <row r="732" spans="79:98" ht="51" x14ac:dyDescent="0.25">
      <c r="CA732" s="307">
        <v>30</v>
      </c>
      <c r="CB732" s="307">
        <v>8</v>
      </c>
      <c r="CC732" s="307" t="s">
        <v>374</v>
      </c>
      <c r="CD732" s="484" t="s">
        <v>375</v>
      </c>
      <c r="CE732" s="484" t="s">
        <v>362</v>
      </c>
      <c r="CF732" s="489">
        <f>IF(SUM('Informasi Debitur'!G108,'Informasi Debitur'!F169)=0,"Blank",IF(OR(COUNTA('Analisa Lap Keu'!E102)=0,SUM('Analisa Lap Keu'!E102)=0),"Tidak Ada",'Analisa Lap Keu'!E103))</f>
        <v>2.9674824657373228E-2</v>
      </c>
      <c r="CG732" s="479"/>
      <c r="CH732" s="479"/>
      <c r="CI732" s="479"/>
      <c r="CJ732" s="479"/>
      <c r="CK732" s="479"/>
      <c r="CL732" s="278" t="str">
        <f>IF(CF732="Blank","",IF(CF732="Tidak Ada","A",IF(CF732&lt;=0.1,"B",IF(CF732&lt;=0.2,"C",IF(CF732&lt;=0.5,"D","E")))))</f>
        <v>B</v>
      </c>
      <c r="CM732" s="280">
        <f t="shared" si="0"/>
        <v>2.9674824657373228E-2</v>
      </c>
      <c r="CN732" s="281" t="str">
        <f>IF(CM732="Blank","",IF(CM732="Tidak Ada","A",IF(CM732&lt;=0.1,"B",IF(CM732&lt;=0.2,"C",IF(CM732&lt;=0.5,"D","E")))))</f>
        <v>B</v>
      </c>
      <c r="CO732" s="279" t="str">
        <f t="shared" si="1"/>
        <v>0</v>
      </c>
      <c r="CP732" s="279" t="str">
        <f t="shared" si="2"/>
        <v>0</v>
      </c>
    </row>
    <row r="733" spans="79:98" ht="25.5" x14ac:dyDescent="0.25">
      <c r="CA733" s="307">
        <v>31</v>
      </c>
      <c r="CB733" s="307">
        <v>4</v>
      </c>
      <c r="CC733" s="307" t="s">
        <v>363</v>
      </c>
      <c r="CD733" s="484" t="s">
        <v>364</v>
      </c>
      <c r="CE733" s="484" t="s">
        <v>362</v>
      </c>
      <c r="CF733" s="501">
        <f>IF('Analisa Lap Keu'!D122='Analisa Lap Keu'!A193,'Analisa Lap Keu'!D124,'Analisa Lap Keu'!D122)</f>
        <v>0.97032517534262674</v>
      </c>
      <c r="CG733" s="479"/>
      <c r="CH733" s="479"/>
      <c r="CI733" s="479"/>
      <c r="CJ733" s="479"/>
      <c r="CK733" s="479"/>
      <c r="CL733" s="278" t="str">
        <f>IF(CF733="","",IF(CF733="Calon debitur tidak dapat menunjukkan perhitungan berapa jumlah kredit  yang dia butuhkan","E",IF(CF733="Calon debitur mengajukan jumlah maksimum yang dapat dia pinjam berdasarkan jaminan yang dimiliki","F",IF(CF733&lt;0.8,"A",IF(CF733&lt;1,"B",IF(CF733&lt;=1.2,"C","D"))))))</f>
        <v>B</v>
      </c>
      <c r="CM733" s="285">
        <f t="shared" si="0"/>
        <v>0.97032517534262674</v>
      </c>
      <c r="CN733" s="281" t="str">
        <f>IF(CM733="Blank","",IF(CM733="Calon debitur tidak dapat menunjukkan perhitungan berapa jumlah kredit  yang dia butuhkan","E",IF(CM733="Calon debitur mengajukan jumlah maksimum yang dapat dia pinjam berdasarkan jaminan yang dimiliki","F",IF(CM733&lt;0.8,"A",IF(CM733&lt;1,"B",IF(CM733&lt;=1.2,"C","D"))))))</f>
        <v>B</v>
      </c>
      <c r="CO733" s="279" t="str">
        <f t="shared" si="1"/>
        <v>0</v>
      </c>
      <c r="CP733" s="279" t="str">
        <f t="shared" si="2"/>
        <v>0</v>
      </c>
    </row>
    <row r="734" spans="79:98" ht="25.5" x14ac:dyDescent="0.25">
      <c r="CA734" s="307">
        <v>32</v>
      </c>
      <c r="CB734" s="307">
        <v>29</v>
      </c>
      <c r="CC734" s="307" t="s">
        <v>427</v>
      </c>
      <c r="CD734" s="484" t="s">
        <v>428</v>
      </c>
      <c r="CE734" s="484" t="s">
        <v>368</v>
      </c>
      <c r="CF734" s="485">
        <f>IF(COUNT('Informasi Debitur'!P154:P168)=0,"Blank",MAX('Informasi Debitur'!AD154:AD168))</f>
        <v>0</v>
      </c>
      <c r="CG734" s="479"/>
      <c r="CH734" s="479"/>
      <c r="CI734" s="479"/>
      <c r="CJ734" s="479"/>
      <c r="CK734" s="479"/>
      <c r="CL734" s="284" t="str">
        <f>IF(CF734="Blank","",IF(CF734=0,"A",IF(CF734&lt;=30,"B",IF(CF734&lt;=60,"C",IF(CF734&lt;=90,"D",IF(CF734&lt;=120,"E","F"))))))</f>
        <v>A</v>
      </c>
      <c r="CM734" s="280">
        <f t="shared" si="0"/>
        <v>0</v>
      </c>
      <c r="CN734" s="283" t="str">
        <f>IF(CM734="Blank","",IF(CM734=0,"A",IF(CM734&lt;=30,"B",IF(CM734&lt;=60,"C",IF(CM734&lt;=90,"D",IF(CM734&lt;=120,"E","F"))))))</f>
        <v>A</v>
      </c>
      <c r="CO734" s="279" t="str">
        <f t="shared" si="1"/>
        <v>0</v>
      </c>
      <c r="CP734" s="279" t="str">
        <f t="shared" si="2"/>
        <v>0</v>
      </c>
    </row>
    <row r="735" spans="79:98" ht="63.75" x14ac:dyDescent="0.25">
      <c r="CA735" s="307">
        <v>33</v>
      </c>
      <c r="CB735" s="307">
        <v>14</v>
      </c>
      <c r="CC735" s="307" t="s">
        <v>389</v>
      </c>
      <c r="CD735" s="484" t="s">
        <v>7619</v>
      </c>
      <c r="CE735" s="484" t="s">
        <v>368</v>
      </c>
      <c r="CF735" s="502" t="str">
        <f>IF(COUNTA('Supplier Checking'!C145)=0,"Blank",'Supplier Checking'!C145)</f>
        <v>Calon debitur secara rutin memesan dari beberapa supplier utama – supplier ini dapat dengan mudah digantikan tanpa mempengaruhi usaha</v>
      </c>
      <c r="CG735" s="479"/>
      <c r="CH735" s="479"/>
      <c r="CI735" s="479"/>
      <c r="CJ735" s="479"/>
      <c r="CK735" s="479"/>
      <c r="CL735" s="278" t="str">
        <f>IF(CF735="Blank","",IF(CF735="Calon debitur secara rutin memesan dari beberapa supplier utama – supplier ini dapat dengan mudah digantikan tanpa mempengaruhi usaha","A",IF(CF735="Calon debitur secara rutin memesan dari beberapa supplier utama  –  supplier ini tidak dapat dengan mudah digantikan tanpa berdampak pada usaha","B",IF(CF735="Calon debitur secara rutin memesan dari satu supplier – supplier ini  dapat dengan mudah digantikan tanpa mempengaruhi usaha","C",IF(CF735="Calon debitur secara rutin memesan dari satu supplier – supplier ini tidak dapat dengan mudah digantikan tanpa mempengaruhi usaha","D","E")))))</f>
        <v>A</v>
      </c>
      <c r="CM735" s="280" t="str">
        <f t="shared" si="0"/>
        <v>Calon debitur secara rutin memesan dari beberapa supplier utama – supplier ini dapat dengan mudah digantikan tanpa mempengaruhi usaha</v>
      </c>
      <c r="CN735" s="281" t="str">
        <f>IF(CM735="Blank","",IF(CM735="Calon debitur secara rutin memesan dari beberapa supplier utama – supplier ini dapat dengan mudah digantikan tanpa mempengaruhi usaha","A",IF(CM735="Calon debitur secara rutin memesan dari beberapa supplier utama  –  supplier ini tidak dapat dengan mudah digantikan tanpa berdampak pada usaha","B",IF(CM735="Calon debitur secara rutin memesan dari satu supplier – supplier ini  dapat dengan mudah digantikan tanpa mempengaruhi usaha","C",IF(CM735="Calon debitur secara rutin memesan dari satu supplier – supplier ini tidak dapat dengan mudah digantikan tanpa mempengaruhi usaha","D","E")))))</f>
        <v>A</v>
      </c>
      <c r="CO735" s="279" t="str">
        <f t="shared" si="1"/>
        <v>0</v>
      </c>
      <c r="CP735" s="279" t="str">
        <f t="shared" si="2"/>
        <v>0</v>
      </c>
    </row>
    <row r="736" spans="79:98" ht="25.5" x14ac:dyDescent="0.25">
      <c r="CA736" s="307">
        <v>34</v>
      </c>
      <c r="CB736" s="307">
        <v>9</v>
      </c>
      <c r="CC736" s="307" t="s">
        <v>376</v>
      </c>
      <c r="CD736" s="484" t="s">
        <v>377</v>
      </c>
      <c r="CE736" s="484" t="s">
        <v>362</v>
      </c>
      <c r="CF736" s="503">
        <f>IF(SUM(CG736:CJ736)=0,"Blank",'Informasi Debitur'!F108/(Sheet2!CK736/12))</f>
        <v>0.89538063536849433</v>
      </c>
      <c r="CG736" s="498">
        <f>'Analisa Lap Keu'!B68</f>
        <v>0</v>
      </c>
      <c r="CH736" s="498">
        <f>'Analisa Lap Keu'!C68</f>
        <v>0</v>
      </c>
      <c r="CI736" s="498">
        <f>'Analisa Lap Keu'!E68</f>
        <v>0</v>
      </c>
      <c r="CJ736" s="498">
        <f>'Analisa Lap Keu'!G68</f>
        <v>18762.97</v>
      </c>
      <c r="CK736" s="498">
        <f>IF(SUM(CJ736)&lt;&gt;0,CJ736,IF(SUM(CI736)&lt;&gt;0,CI736,IF(SUM(CH736)&lt;&gt;0,CH736,CG736)))</f>
        <v>18762.97</v>
      </c>
      <c r="CL736" s="278" t="str">
        <f>IF(CF736="Blank","",IF(CF736&lt;=1,"A",IF(CF736&lt;=2,"B",IF(CF736&lt;=3,"C","D"))))</f>
        <v>A</v>
      </c>
      <c r="CM736" s="287">
        <f t="shared" si="0"/>
        <v>0.89538063536849433</v>
      </c>
      <c r="CN736" s="281" t="str">
        <f>IF(CM736="Blank","",IF(CM736&lt;=1,"A",IF(CM736&lt;=2,"B",IF(CM736&lt;=3,"C","D"))))</f>
        <v>A</v>
      </c>
      <c r="CO736" s="279" t="str">
        <f t="shared" si="1"/>
        <v>0</v>
      </c>
      <c r="CP736" s="279" t="str">
        <f t="shared" si="2"/>
        <v>0</v>
      </c>
    </row>
    <row r="737" spans="79:95" ht="38.25" x14ac:dyDescent="0.25">
      <c r="CA737" s="307">
        <v>35</v>
      </c>
      <c r="CB737" s="307">
        <v>18</v>
      </c>
      <c r="CC737" s="307" t="s">
        <v>398</v>
      </c>
      <c r="CD737" s="484" t="s">
        <v>399</v>
      </c>
      <c r="CE737" s="484" t="s">
        <v>572</v>
      </c>
      <c r="CF737" s="489">
        <f>IF(SUM('Analisa Rek Koran'!O19)=0,"Blank",1-'Analisa Rek Koran'!O19)</f>
        <v>0.65352180385088288</v>
      </c>
      <c r="CG737" s="479"/>
      <c r="CH737" s="479"/>
      <c r="CI737" s="479"/>
      <c r="CJ737" s="479"/>
      <c r="CK737" s="479"/>
      <c r="CL737" s="278" t="str">
        <f>IF(CF737="Blank","",IF(CF737&lt;=0.5,"A",IF(CF737&lt;=0.9,"B","C")))</f>
        <v>B</v>
      </c>
      <c r="CM737" s="280">
        <f t="shared" si="0"/>
        <v>0.65352180385088288</v>
      </c>
      <c r="CN737" s="281" t="str">
        <f>IF(CM737="Blank","",IF(CM737&lt;=0.5,"A",IF(CM737&lt;=0.9,"B","C")))</f>
        <v>B</v>
      </c>
      <c r="CO737" s="279" t="str">
        <f t="shared" si="1"/>
        <v>0</v>
      </c>
      <c r="CP737" s="279" t="str">
        <f t="shared" si="2"/>
        <v>0</v>
      </c>
    </row>
    <row r="738" spans="79:95" ht="25.5" x14ac:dyDescent="0.25">
      <c r="CA738" s="307">
        <v>36</v>
      </c>
      <c r="CB738" s="307">
        <v>13</v>
      </c>
      <c r="CC738" s="307" t="s">
        <v>388</v>
      </c>
      <c r="CD738" s="484" t="s">
        <v>7620</v>
      </c>
      <c r="CE738" s="484" t="s">
        <v>7621</v>
      </c>
      <c r="CF738" s="500">
        <f>IF('Supplier Checking'!C143="","Blank",'Supplier Checking'!C143)</f>
        <v>0.59387509207919087</v>
      </c>
      <c r="CG738" s="479"/>
      <c r="CH738" s="479"/>
      <c r="CI738" s="479"/>
      <c r="CJ738" s="479"/>
      <c r="CK738" s="479"/>
      <c r="CL738" s="284" t="str">
        <f>IF(CF738="Blank","",IF(CF738&lt;=0.4,"A",IF(CF738&lt;=0.99,"B","C")))</f>
        <v>B</v>
      </c>
      <c r="CM738" s="285">
        <f t="shared" si="0"/>
        <v>0.59387509207919087</v>
      </c>
      <c r="CN738" s="283" t="str">
        <f>IF(CM738="Blank","",IF(CM738&lt;=0.4,"A",IF(CM738&lt;=0.99,"B","C")))</f>
        <v>B</v>
      </c>
      <c r="CO738" s="279" t="str">
        <f t="shared" si="1"/>
        <v>0</v>
      </c>
      <c r="CP738" s="279" t="str">
        <f t="shared" si="2"/>
        <v>0</v>
      </c>
    </row>
    <row r="739" spans="79:95" ht="26.25" x14ac:dyDescent="0.25">
      <c r="CA739" s="307">
        <v>37</v>
      </c>
      <c r="CB739" s="504" t="s">
        <v>89</v>
      </c>
      <c r="CC739" s="480"/>
      <c r="CD739" s="505" t="s">
        <v>573</v>
      </c>
      <c r="CE739" s="479"/>
      <c r="CF739" s="506">
        <f>IF(CJ739&gt;0,CJ739,IF(CI739&gt;0,CI739,IF(CH739&gt;0,CH739,CG739)))</f>
        <v>41.134099432370149</v>
      </c>
      <c r="CG739" s="498">
        <f>IF(ISERROR('Analisa Lap Keu'!B18+'Analisa Lap Keu'!B19-'Analisa Lap Keu'!B20-'Analisa Lap Keu'!B21),0,'Analisa Lap Keu'!B18+'Analisa Lap Keu'!B19-'Analisa Lap Keu'!B20-'Analisa Lap Keu'!B21)</f>
        <v>0</v>
      </c>
      <c r="CH739" s="498">
        <f>IF(ISERROR('Analisa Lap Keu'!C18+'Analisa Lap Keu'!C19-'Analisa Lap Keu'!C20-'Analisa Lap Keu'!C21),0,'Analisa Lap Keu'!C18+'Analisa Lap Keu'!C19-'Analisa Lap Keu'!C20-'Analisa Lap Keu'!C21)</f>
        <v>0</v>
      </c>
      <c r="CI739" s="498">
        <f>IF(ISERROR('Analisa Lap Keu'!E18+'Analisa Lap Keu'!E19-'Analisa Lap Keu'!E20-'Analisa Lap Keu'!E21),0,'Analisa Lap Keu'!E18+'Analisa Lap Keu'!E19-'Analisa Lap Keu'!E20-'Analisa Lap Keu'!E21)</f>
        <v>0</v>
      </c>
      <c r="CJ739" s="498">
        <f>IF(ISERROR('Analisa Lap Keu'!G18+'Analisa Lap Keu'!G19-'Analisa Lap Keu'!G20-'Analisa Lap Keu'!G21),0,'Analisa Lap Keu'!G18+'Analisa Lap Keu'!G19-'Analisa Lap Keu'!G20-'Analisa Lap Keu'!G21)</f>
        <v>41.134099432370149</v>
      </c>
      <c r="CK739" s="479"/>
      <c r="CL739" s="507">
        <f>CF739</f>
        <v>41.134099432370149</v>
      </c>
      <c r="CM739" s="288">
        <f t="shared" si="0"/>
        <v>41.134099432370149</v>
      </c>
      <c r="CN739" s="281"/>
      <c r="CO739" s="279" t="str">
        <f t="shared" si="1"/>
        <v>0</v>
      </c>
      <c r="CP739" s="279">
        <f t="shared" si="2"/>
        <v>1</v>
      </c>
    </row>
    <row r="740" spans="79:95" ht="39" x14ac:dyDescent="0.25">
      <c r="CA740" s="307">
        <v>38</v>
      </c>
      <c r="CB740" s="504" t="s">
        <v>89</v>
      </c>
      <c r="CC740" s="480"/>
      <c r="CD740" s="505" t="s">
        <v>574</v>
      </c>
      <c r="CE740" s="479"/>
      <c r="CF740" s="506">
        <f>IF(CJ740&gt;0,CJ740,IF(CI740&gt;0,CI740,IF(CH740&gt;0,CH740,CG740)))</f>
        <v>3.7831609488263322</v>
      </c>
      <c r="CG740" s="498">
        <f>IF(ISERROR('Analisa Lap Keu'!B62/('Analisa Lap Keu'!B68/12)),0,'Analisa Lap Keu'!B62/('Analisa Lap Keu'!B68/12))</f>
        <v>0</v>
      </c>
      <c r="CH740" s="498">
        <f>IF(ISERROR('Analisa Lap Keu'!C62/('Analisa Lap Keu'!C68/12)),0,'Analisa Lap Keu'!C62/('Analisa Lap Keu'!C68/12))</f>
        <v>0</v>
      </c>
      <c r="CI740" s="498">
        <f>IF(ISERROR('Analisa Lap Keu'!E62/('Analisa Lap Keu'!E68/12)),0,'Analisa Lap Keu'!E62/('Analisa Lap Keu'!E68/12))</f>
        <v>0</v>
      </c>
      <c r="CJ740" s="498">
        <f>IF(ISERROR('Analisa Lap Keu'!G62/('Analisa Lap Keu'!G68/12)),0,'Analisa Lap Keu'!G62/('Analisa Lap Keu'!G68/12))</f>
        <v>3.7831609488263322</v>
      </c>
      <c r="CK740" s="479"/>
      <c r="CL740" s="507">
        <f>CF740</f>
        <v>3.7831609488263322</v>
      </c>
      <c r="CM740" s="280">
        <f t="shared" si="0"/>
        <v>3.7831609488263322</v>
      </c>
      <c r="CN740" s="281"/>
      <c r="CO740" s="279" t="str">
        <f t="shared" si="1"/>
        <v>0</v>
      </c>
      <c r="CP740" s="279">
        <f t="shared" si="2"/>
        <v>1</v>
      </c>
    </row>
    <row r="741" spans="79:95" ht="29.25" customHeight="1" thickBot="1" x14ac:dyDescent="0.3">
      <c r="CA741" s="307">
        <v>39</v>
      </c>
      <c r="CB741" s="504" t="s">
        <v>89</v>
      </c>
      <c r="CC741" s="480"/>
      <c r="CD741" s="505" t="s">
        <v>575</v>
      </c>
      <c r="CE741" s="479"/>
      <c r="CF741" s="485" t="str">
        <f>IF(COUNTA('Supplier Checking'!C142)=0,"Blank",'Supplier Checking'!C142)</f>
        <v>Bulanan</v>
      </c>
      <c r="CG741" s="479"/>
      <c r="CH741" s="479"/>
      <c r="CI741" s="479"/>
      <c r="CJ741" s="479"/>
      <c r="CK741" s="479"/>
      <c r="CL741" s="278" t="str">
        <f>IF(CF741="Blank","",IF(CF741="Bulanan","A",IF(CF741="Mingguan","B",IF(CF741="Harian","C","D"))))</f>
        <v>A</v>
      </c>
      <c r="CM741" s="280" t="str">
        <f t="shared" si="0"/>
        <v>Bulanan</v>
      </c>
      <c r="CN741" s="281" t="str">
        <f>IF(CM741="Blank","",IF(CM741="Bulanan","A",IF(CM741="Mingguan","B",IF(CM741="Harian","C","D"))))</f>
        <v>A</v>
      </c>
      <c r="CO741" s="279" t="str">
        <f t="shared" si="1"/>
        <v>0</v>
      </c>
      <c r="CP741" s="279" t="str">
        <f t="shared" si="2"/>
        <v>0</v>
      </c>
    </row>
    <row r="742" spans="79:95" ht="15.75" thickBot="1" x14ac:dyDescent="0.3">
      <c r="CA742" s="479"/>
      <c r="CB742" s="480"/>
      <c r="CC742" s="480"/>
      <c r="CD742" s="479"/>
      <c r="CE742" s="479"/>
      <c r="CF742" s="485"/>
      <c r="CG742" s="479"/>
      <c r="CH742" s="479"/>
      <c r="CI742" s="479"/>
      <c r="CJ742" s="479"/>
      <c r="CK742" s="479"/>
      <c r="CL742" s="278"/>
      <c r="CO742" s="233">
        <f>SUM(CO703:CO741)</f>
        <v>0</v>
      </c>
      <c r="CP742" s="234">
        <f>SUM(CP703:CP741)</f>
        <v>6</v>
      </c>
      <c r="CQ742" s="231"/>
    </row>
    <row r="745" spans="79:95" ht="21" x14ac:dyDescent="0.35">
      <c r="CB745" s="2225" t="s">
        <v>7762</v>
      </c>
      <c r="CC745" s="2225"/>
      <c r="CD745" s="2225"/>
      <c r="CE745" s="2225"/>
      <c r="CF745" s="2225"/>
      <c r="CL745" s="699"/>
    </row>
    <row r="746" spans="79:95" x14ac:dyDescent="0.25">
      <c r="CF746" s="2221" t="s">
        <v>811</v>
      </c>
      <c r="CG746" s="2221"/>
      <c r="CH746" s="2221"/>
      <c r="CI746" s="2221"/>
      <c r="CJ746" s="2221"/>
      <c r="CK746" s="2221"/>
      <c r="CL746" s="2221"/>
    </row>
    <row r="747" spans="79:95" x14ac:dyDescent="0.25">
      <c r="CA747" s="722" t="s">
        <v>8</v>
      </c>
      <c r="CB747" s="722" t="s">
        <v>543</v>
      </c>
      <c r="CC747" s="722" t="s">
        <v>351</v>
      </c>
      <c r="CD747" s="722" t="s">
        <v>7778</v>
      </c>
      <c r="CE747" s="722" t="s">
        <v>7779</v>
      </c>
      <c r="CF747" s="722" t="s">
        <v>440</v>
      </c>
      <c r="CG747" s="230"/>
      <c r="CH747" s="230"/>
      <c r="CI747" s="230"/>
      <c r="CJ747" s="230"/>
      <c r="CK747" s="230"/>
      <c r="CL747" s="723" t="s">
        <v>349</v>
      </c>
    </row>
    <row r="748" spans="79:95" ht="38.25" x14ac:dyDescent="0.25">
      <c r="CA748" s="724">
        <v>1</v>
      </c>
      <c r="CB748" s="724">
        <v>24</v>
      </c>
      <c r="CC748" s="724" t="s">
        <v>414</v>
      </c>
      <c r="CD748" s="280" t="s">
        <v>416</v>
      </c>
      <c r="CE748" s="727" t="s">
        <v>416</v>
      </c>
      <c r="CF748" s="310" t="str">
        <f>IF(COUNTA('Informasi Debitur'!H186)=0,"Blank",'Informasi Debitur'!H186)</f>
        <v>Tidak Ada</v>
      </c>
      <c r="CG748" s="310"/>
      <c r="CL748" s="699" t="str">
        <f>IF(CF748="Blank","",IF(COUNTA(CF748)&lt;&gt;0,IF(CF748="Tidak Ada","A",IF(CF748&lt;=1,"B","C")),""))</f>
        <v>A</v>
      </c>
    </row>
    <row r="749" spans="79:95" ht="25.5" x14ac:dyDescent="0.25">
      <c r="CA749" s="724">
        <v>2</v>
      </c>
      <c r="CB749" s="724">
        <v>1</v>
      </c>
      <c r="CC749" s="724" t="s">
        <v>354</v>
      </c>
      <c r="CD749" s="280" t="s">
        <v>356</v>
      </c>
      <c r="CE749" s="727" t="s">
        <v>356</v>
      </c>
      <c r="CF749" s="310">
        <f>IF(COUNTA('Informasi Debitur'!F248)=0,"Blank",'Informasi Debitur'!F248)</f>
        <v>96</v>
      </c>
      <c r="CG749" s="310"/>
      <c r="CI749" s="704"/>
      <c r="CL749" s="699" t="str">
        <f>IF(CF749="Blank","",IF(CF749&gt;=6,"A","B"))</f>
        <v>A</v>
      </c>
    </row>
    <row r="750" spans="79:95" ht="25.5" x14ac:dyDescent="0.25">
      <c r="CA750" s="724">
        <v>3</v>
      </c>
      <c r="CB750" s="724">
        <v>23</v>
      </c>
      <c r="CC750" s="724" t="s">
        <v>411</v>
      </c>
      <c r="CD750" s="280" t="s">
        <v>413</v>
      </c>
      <c r="CE750" s="727" t="s">
        <v>413</v>
      </c>
      <c r="CF750" s="310">
        <f>IF(COUNTA('Informasi Debitur'!H191)=0,"Blank",'Informasi Debitur'!H191)</f>
        <v>3</v>
      </c>
      <c r="CG750" s="310"/>
      <c r="CL750" s="699" t="str">
        <f>IF(CF750="Blank","",IF(CF750="Tidak Ada","A",IF(CF750&lt;=2,"B",IF(CF750&lt;=5,"C","D"))))</f>
        <v>C</v>
      </c>
    </row>
    <row r="751" spans="79:95" ht="25.5" x14ac:dyDescent="0.25">
      <c r="CA751" s="724">
        <v>4</v>
      </c>
      <c r="CB751" s="724">
        <v>10</v>
      </c>
      <c r="CC751" s="724" t="s">
        <v>378</v>
      </c>
      <c r="CD751" s="280" t="s">
        <v>379</v>
      </c>
      <c r="CE751" s="727" t="s">
        <v>368</v>
      </c>
      <c r="CF751" s="310">
        <f>IF(COUNTA('Informasi Debitur'!D30)=0,"Blank",YEAR('Informasi Debitur'!J4)-'Informasi Debitur'!D30)</f>
        <v>6</v>
      </c>
      <c r="CG751" s="310"/>
      <c r="CH751" s="310"/>
      <c r="CL751" s="699" t="str">
        <f>IF(CF751="Blank","",IF(CF751&lt;=3,"A",IF(CF751&lt;=5,"B",IF(CF751&lt;=8,"C",IF(CF751&lt;=15,"D","E")))))</f>
        <v>C</v>
      </c>
    </row>
    <row r="752" spans="79:95" ht="51" x14ac:dyDescent="0.25">
      <c r="CA752" s="724">
        <v>5</v>
      </c>
      <c r="CB752" s="724">
        <v>21</v>
      </c>
      <c r="CC752" s="724" t="s">
        <v>403</v>
      </c>
      <c r="CD752" s="280" t="s">
        <v>404</v>
      </c>
      <c r="CE752" s="727" t="s">
        <v>368</v>
      </c>
      <c r="CF752" s="705" t="str">
        <f>IF(COUNTA('Informasi Debitur'!F253)&lt;&gt;0,'Informasi Debitur'!F253,"Blank")</f>
        <v>Jaminan telah dibeli dari pihak luar (bukan kerabat calon debitur / pemegang saham / manajemen inti)</v>
      </c>
      <c r="CL752" s="699" t="str">
        <f>IF(CF752="Blank","",IF(CF752="Jaminan telah dibeli dari pihak luar (bukan kerabat calon debitur / pemegang saham / manajemen inti)","A",IF(CF752="Jaminan telah dibeli dari kerabat calon debitur / pemegang saham / manajemen inti ","B",IF(CF752="Jaminan telah dialihkan dari kerabat calon debitur / pemegang saham / manajemen inti ","C","D"))))</f>
        <v>A</v>
      </c>
    </row>
    <row r="753" spans="79:90" ht="38.25" x14ac:dyDescent="0.25">
      <c r="CA753" s="724">
        <v>6</v>
      </c>
      <c r="CB753" s="724">
        <v>5</v>
      </c>
      <c r="CC753" s="724" t="s">
        <v>365</v>
      </c>
      <c r="CD753" s="280" t="s">
        <v>366</v>
      </c>
      <c r="CE753" s="727" t="s">
        <v>362</v>
      </c>
      <c r="CF753" s="705" t="str">
        <f>IF(COUNTA('Informasi Debitur'!F37)&lt;&gt;0,'Informasi Debitur'!F37,IF(COUNTA('Informasi Debitur'!F38)&lt;&gt;0,'Informasi Debitur'!F38,"Blank"))</f>
        <v>Diri Sendiri</v>
      </c>
      <c r="CL753" s="699" t="str">
        <f>IF(CF753="Blank","",IF(ISERROR(VLOOKUP(CF753,$CR$703:$CT$706,3,FALSE)),VLOOKUP(CF753,$CS$703:$CT$706,2,FALSE),VLOOKUP(CF753,$CR$703:$CT$706,3,FALSE)))</f>
        <v>A</v>
      </c>
    </row>
    <row r="754" spans="79:90" ht="63.75" x14ac:dyDescent="0.25">
      <c r="CA754" s="724">
        <v>7</v>
      </c>
      <c r="CB754" s="724">
        <v>17</v>
      </c>
      <c r="CC754" s="724" t="s">
        <v>395</v>
      </c>
      <c r="CD754" s="280" t="s">
        <v>397</v>
      </c>
      <c r="CE754" s="727" t="s">
        <v>397</v>
      </c>
      <c r="CF754" s="310" t="str">
        <f>IF(COUNTA('Informasi Debitur'!H187)=0,"Blank",'Informasi Debitur'!H187)</f>
        <v>Tidak Ada</v>
      </c>
      <c r="CG754" s="310"/>
      <c r="CL754" s="699" t="str">
        <f>IF(CF754="Blank","",IF(CF754="Tidak Ada","A",IF(CF754=1,"B",IF(CF754=2,"C","D"))))</f>
        <v>A</v>
      </c>
    </row>
    <row r="755" spans="79:90" ht="25.5" x14ac:dyDescent="0.25">
      <c r="CA755" s="724">
        <v>8</v>
      </c>
      <c r="CB755" s="737">
        <v>28</v>
      </c>
      <c r="CC755" s="737" t="s">
        <v>425</v>
      </c>
      <c r="CD755" s="738" t="s">
        <v>426</v>
      </c>
      <c r="CE755" s="738" t="s">
        <v>7764</v>
      </c>
      <c r="CF755" s="739" t="str">
        <f>IF(AND(SUM('Informasi Debitur'!D109,'Informasi Debitur'!D110,'Informasi Debitur'!F170,'Informasi Debitur'!F171)=0,SUM('Informasi Debitur'!F169,'Informasi Debitur'!D108)&lt;&gt;0),"Tidak Ada Pinjaman Modal Kerja &amp; Investasi",IF(SUM('Informasi Debitur'!D108,'Informasi Debitur'!F169)=0,"Blank",'Informasi Debitur'!W175*12))</f>
        <v>Tidak Ada Pinjaman Modal Kerja &amp; Investasi</v>
      </c>
      <c r="CG755" s="739"/>
      <c r="CH755" s="739"/>
      <c r="CI755" s="739"/>
      <c r="CJ755" s="739"/>
      <c r="CK755" s="739"/>
      <c r="CL755" s="740" t="str">
        <f>IF(CF755="Blank","",IF(CF755="Tidak Ada Pinjaman Modal Kerja &amp; Investasi","E",IF(CF755&lt;=24,"A",IF(CF755&lt;=36,"B",IF(CF755&lt;=48,"C","D")))))</f>
        <v>E</v>
      </c>
    </row>
    <row r="756" spans="79:90" x14ac:dyDescent="0.25">
      <c r="CA756" s="724">
        <v>9</v>
      </c>
      <c r="CB756" s="724">
        <v>6</v>
      </c>
      <c r="CC756" s="724" t="s">
        <v>367</v>
      </c>
      <c r="CD756" s="280" t="s">
        <v>2894</v>
      </c>
      <c r="CE756" s="727" t="s">
        <v>368</v>
      </c>
      <c r="CF756" s="310">
        <f>IF(COUNT('Informasi Debitur'!K93:M94,'Informasi Debitur'!C90:E90)=0,"Blank",MAX('Informasi Debitur'!O91:O94))</f>
        <v>7</v>
      </c>
      <c r="CG756" s="310"/>
      <c r="CH756" s="310"/>
      <c r="CL756" s="699" t="str">
        <f>IF(CF756="Blank","",IF(CF756&lt;=1,"A",IF(CF756&lt;=3,"B",IF(CF756&lt;=6,"C","D"))))</f>
        <v>D</v>
      </c>
    </row>
    <row r="757" spans="79:90" ht="51" x14ac:dyDescent="0.25">
      <c r="CA757" s="724">
        <v>10</v>
      </c>
      <c r="CB757" s="724">
        <v>30</v>
      </c>
      <c r="CC757" s="724" t="s">
        <v>429</v>
      </c>
      <c r="CD757" s="280" t="s">
        <v>431</v>
      </c>
      <c r="CE757" s="727" t="s">
        <v>431</v>
      </c>
      <c r="CF757" s="706">
        <f>IF(AND('Informasi Debitur'!G169&gt;0,SUM('Informasi Debitur'!K154:K168)=0),"Blank",IF(ISERROR(SUM('Informasi Debitur'!G169,'Informasi Debitur'!D108)/SUM(SUM('Informasi Debitur'!K154:K168),SUM('Informasi Debitur'!R221:R230))),0,(SUM('Informasi Debitur'!G169,'Informasi Debitur'!D108)/SUM(SUM('Informasi Debitur'!K154:K168),SUM('Informasi Debitur'!R221:R230)))))</f>
        <v>0.66440141332963831</v>
      </c>
      <c r="CG757" s="706"/>
      <c r="CH757" s="706"/>
      <c r="CI757" s="706"/>
      <c r="CJ757" s="706"/>
      <c r="CK757" s="706"/>
      <c r="CL757" s="699" t="str">
        <f>IF(CF757="Blank","",IF(CF757&lt;=0.5,"A",IF(CF757&lt;=0.75,"B",IF(CF757&lt;=1,"C","D"))))</f>
        <v>B</v>
      </c>
    </row>
    <row r="758" spans="79:90" ht="25.5" x14ac:dyDescent="0.25">
      <c r="CA758" s="724">
        <v>11</v>
      </c>
      <c r="CB758" s="724">
        <v>31</v>
      </c>
      <c r="CC758" s="724" t="s">
        <v>432</v>
      </c>
      <c r="CD758" s="280" t="s">
        <v>434</v>
      </c>
      <c r="CE758" s="727" t="s">
        <v>434</v>
      </c>
      <c r="CF758" s="707">
        <f>IF(ISERROR('Informasi Debitur'!W173/'Informasi Debitur'!X173),"Blank",('Informasi Debitur'!W173/'Informasi Debitur'!X173)*12)</f>
        <v>40</v>
      </c>
      <c r="CG758" s="707"/>
      <c r="CH758" s="707"/>
      <c r="CI758" s="707"/>
      <c r="CL758" s="699" t="str">
        <f>IF(CF758="Blank","",IF(CF758&lt;=24,"A",IF(CF758&lt;=30,"B",IF(CF758&lt;=36,"C",IF(CF758&lt;=42,"D","E")))))</f>
        <v>D</v>
      </c>
    </row>
    <row r="759" spans="79:90" ht="140.25" x14ac:dyDescent="0.25">
      <c r="CA759" s="724">
        <v>12</v>
      </c>
      <c r="CB759" s="724">
        <v>12</v>
      </c>
      <c r="CC759" s="724" t="s">
        <v>382</v>
      </c>
      <c r="CD759" s="280" t="s">
        <v>7775</v>
      </c>
      <c r="CE759" s="727" t="s">
        <v>7756</v>
      </c>
      <c r="CF759" s="310" t="str">
        <f>IF(COUNTA('Informasi Debitur'!F42)&lt;&gt;0,'Informasi Debitur'!F42,"Blank")</f>
        <v>80 - 100% ditempati</v>
      </c>
      <c r="CG759" s="310"/>
      <c r="CL759" s="699" t="str">
        <f>IF(CF759="Blank","",IF(CF759="N/A","A",IF(CF759="100% ditempati","B",IF(CF759="80 - 100% ditempati","C",IF(CF759="60 - 80% ditempati","D",IF(CF759="40 - 60% ditempati","E","F"))))))</f>
        <v>C</v>
      </c>
    </row>
    <row r="760" spans="79:90" ht="63.75" x14ac:dyDescent="0.25">
      <c r="CA760" s="724">
        <v>13</v>
      </c>
      <c r="CB760" s="724">
        <v>2</v>
      </c>
      <c r="CC760" s="724" t="s">
        <v>357</v>
      </c>
      <c r="CD760" s="280" t="s">
        <v>441</v>
      </c>
      <c r="CE760" s="728" t="s">
        <v>441</v>
      </c>
      <c r="CF760" s="705" t="str">
        <f>IF(COUNTA('Informasi Debitur'!D27)=0,"Blank",'Informasi Debitur'!D27)</f>
        <v>Calon debitur memiliki rumah dimana dia tinggal</v>
      </c>
      <c r="CI760" s="708"/>
      <c r="CL760" s="699" t="str">
        <f>IF(CF760="Blank","",IF(ISERROR(VLOOKUP(CF760,$CR$708:$CT$711,3,FALSE)),VLOOKUP(CF760,$CS$708:$CT$711,2,FALSE),VLOOKUP(CF760,$CR$708:$CT$711,3,FALSE)))</f>
        <v>A</v>
      </c>
    </row>
    <row r="761" spans="79:90" ht="76.5" x14ac:dyDescent="0.25">
      <c r="CA761" s="724">
        <v>14</v>
      </c>
      <c r="CB761" s="724">
        <v>3</v>
      </c>
      <c r="CC761" s="724" t="s">
        <v>359</v>
      </c>
      <c r="CD761" s="280" t="s">
        <v>442</v>
      </c>
      <c r="CE761" s="727" t="s">
        <v>442</v>
      </c>
      <c r="CF761" s="707">
        <f>IF(COUNTA('Informasi Debitur'!H28)&lt;&gt;0,(('Informasi Debitur'!J4)-('Informasi Debitur'!H28))/365,"Tidak Ada")</f>
        <v>7.1342465753424653</v>
      </c>
      <c r="CG761" s="707"/>
      <c r="CH761" s="707"/>
      <c r="CL761" s="699" t="str">
        <f>IF(CF761="Tidak Ada","A",IF(CF761&lt;=1,"B",IF(CF761&lt;=5,"C",IF(CF761&lt;=10,"D",IF(CF761&lt;=20,"E","F")))))</f>
        <v>D</v>
      </c>
    </row>
    <row r="762" spans="79:90" ht="25.5" x14ac:dyDescent="0.25">
      <c r="CA762" s="724">
        <v>15</v>
      </c>
      <c r="CB762" s="724">
        <v>22</v>
      </c>
      <c r="CC762" s="724" t="s">
        <v>409</v>
      </c>
      <c r="CD762" s="280" t="s">
        <v>410</v>
      </c>
      <c r="CE762" s="727" t="s">
        <v>368</v>
      </c>
      <c r="CF762" s="705" t="str">
        <f>IF(COUNTA('Informasi Debitur'!F254)=0,"Blank",'Informasi Debitur'!F254)</f>
        <v>Tidak Ada , karena hanya ada satu jaminan</v>
      </c>
      <c r="CL762" s="699" t="str">
        <f>IF(CF762="Blank","",IF(CF762="Tidak Ada , karena hanya ada satu jaminan","A",IF(CF762="Jaminan telah dibeli dari pihak luar (bukan kerabat calon debitur / pemegang saham / manajemen inti)","B",IF(CF762="Jaminan telah dibeli dari kerabat calon debitur / pemegang saham / manajemen inti ","C",IF(CF762="Jaminan telah dialihkan dari kerabat calon debitur / pemegang saham / manajemen inti ","D","E")))))</f>
        <v>A</v>
      </c>
    </row>
    <row r="763" spans="79:90" ht="51" x14ac:dyDescent="0.25">
      <c r="CA763" s="724">
        <v>16</v>
      </c>
      <c r="CB763" s="724">
        <v>20</v>
      </c>
      <c r="CC763" s="724" t="s">
        <v>402</v>
      </c>
      <c r="CD763" s="280" t="s">
        <v>7757</v>
      </c>
      <c r="CE763" s="727" t="s">
        <v>368</v>
      </c>
      <c r="CF763" s="709" t="str">
        <f>IF(COUNTA('Informasi Debitur'!F251,'Informasi Debitur'!F252)=0,"Blank",IF(COUNTA('Informasi Debitur'!F251)&lt;&gt;0,'Informasi Debitur'!F251,'Informasi Debitur'!F252))</f>
        <v>Calon debitur memiliki dua atau lebih tanah / bangunan dan menjaminkan sebagian darinya sebagai jaminan</v>
      </c>
      <c r="CL763" s="699" t="str">
        <f>IF(CF763="Blank","",IF(ISERROR(VLOOKUP(CF763,$CR$713:$CT$716,3,FALSE)),VLOOKUP(CF763,$CS$713:$CT$716,2,FALSE),VLOOKUP(CF763,$CR$713:$CT$716,3,FALSE)))</f>
        <v>B</v>
      </c>
    </row>
    <row r="764" spans="79:90" ht="38.25" x14ac:dyDescent="0.25">
      <c r="CA764" s="724">
        <v>17</v>
      </c>
      <c r="CB764" s="724">
        <v>32</v>
      </c>
      <c r="CC764" s="724" t="s">
        <v>435</v>
      </c>
      <c r="CD764" s="280" t="s">
        <v>437</v>
      </c>
      <c r="CE764" s="727" t="s">
        <v>437</v>
      </c>
      <c r="CF764" s="710">
        <f>IF(COUNTA('Informasi Debitur'!H189)=0,"Blank",IF('Informasi Debitur'!H189="Tidak","Tidak memiliki kartu kredit atau calon debitur yang bukan perorangan",'Informasi Debitur'!H193/'Informasi Debitur'!H192))</f>
        <v>0.13207423580786026</v>
      </c>
      <c r="CL764" s="699" t="str">
        <f>IF(CF764="Blank","",IF(CF764="Tidak memiliki kartu kredit atau calon debitur yang bukan perorangan","A",IF(CF764&lt;0.25,"B",IF(CF764&lt;=0.5,"C","D"))))</f>
        <v>B</v>
      </c>
    </row>
    <row r="765" spans="79:90" ht="25.5" x14ac:dyDescent="0.25">
      <c r="CA765" s="724">
        <v>18</v>
      </c>
      <c r="CB765" s="724" t="s">
        <v>89</v>
      </c>
      <c r="CC765" s="724"/>
      <c r="CD765" s="280" t="s">
        <v>566</v>
      </c>
      <c r="CE765" s="727"/>
      <c r="CF765" s="310" t="str">
        <f>IF(COUNTA('Informasi Debitur'!K71:L75)=0,"Blank",'Informasi Debitur'!O70)</f>
        <v>Pria</v>
      </c>
      <c r="CG765" s="310"/>
      <c r="CL765" s="699" t="str">
        <f>IF(CF765="Blank","",IF(CF765="Pria","A","B"))</f>
        <v>A</v>
      </c>
    </row>
    <row r="766" spans="79:90" ht="25.5" x14ac:dyDescent="0.25">
      <c r="CA766" s="724">
        <v>19</v>
      </c>
      <c r="CB766" s="724" t="s">
        <v>89</v>
      </c>
      <c r="CC766" s="724"/>
      <c r="CD766" s="280" t="s">
        <v>567</v>
      </c>
      <c r="CE766" s="727"/>
      <c r="CF766" s="711">
        <f>IF(SUM(CJ724)&gt;0,SUM(CJ724),IF(SUM(CI724)&gt;0,SUM(CI724),IF(SUM(CH724)&gt;0,SUM(CH724),SUM(CG724))))</f>
        <v>33.582265976096522</v>
      </c>
      <c r="CG766" s="712" t="str">
        <f>'Analisa Lap Keu'!B19</f>
        <v>-</v>
      </c>
      <c r="CH766" s="712" t="str">
        <f>'Analisa Lap Keu'!C19</f>
        <v>-</v>
      </c>
      <c r="CI766" s="712" t="str">
        <f>'Analisa Lap Keu'!E19</f>
        <v>-</v>
      </c>
      <c r="CJ766" s="712">
        <f>'Analisa Lap Keu'!G19</f>
        <v>33.582265976096522</v>
      </c>
      <c r="CK766" s="712"/>
      <c r="CL766" s="713">
        <f>CF766</f>
        <v>33.582265976096522</v>
      </c>
    </row>
    <row r="767" spans="79:90" ht="25.5" x14ac:dyDescent="0.25">
      <c r="CA767" s="724">
        <v>20</v>
      </c>
      <c r="CB767" s="724" t="s">
        <v>89</v>
      </c>
      <c r="CC767" s="724"/>
      <c r="CD767" s="280" t="s">
        <v>568</v>
      </c>
      <c r="CE767" s="727"/>
      <c r="CF767" s="711">
        <f>IF(SUM(CJ725)&gt;0,SUM(CJ725),IF(SUM(CI725)&gt;0,SUM(CI725),IF(SUM(CH725)&gt;0,SUM(CH725),SUM(CG725))))</f>
        <v>25.697614792058058</v>
      </c>
      <c r="CG767" s="712" t="str">
        <f>'Analisa Lap Keu'!B20</f>
        <v>-</v>
      </c>
      <c r="CH767" s="712" t="str">
        <f>'Analisa Lap Keu'!C20</f>
        <v>-</v>
      </c>
      <c r="CI767" s="712" t="str">
        <f>'Analisa Lap Keu'!E20</f>
        <v>-</v>
      </c>
      <c r="CJ767" s="712">
        <f>'Analisa Lap Keu'!G20</f>
        <v>25.697614792058058</v>
      </c>
      <c r="CK767" s="712"/>
      <c r="CL767" s="714">
        <f>CF767</f>
        <v>25.697614792058058</v>
      </c>
    </row>
    <row r="768" spans="79:90" ht="25.5" x14ac:dyDescent="0.25">
      <c r="CA768" s="724">
        <v>21</v>
      </c>
      <c r="CB768" s="724" t="s">
        <v>89</v>
      </c>
      <c r="CC768" s="724"/>
      <c r="CD768" s="280" t="s">
        <v>569</v>
      </c>
      <c r="CE768" s="727"/>
      <c r="CF768" s="711">
        <f>IF(SUM(CJ726)&gt;0,SUM(CJ726),IF(SUM(CI726)&gt;0,SUM(CI726),IF(SUM(CH726)&gt;0,SUM(CH726),SUM(CG726))))</f>
        <v>33.249448248331689</v>
      </c>
      <c r="CG768" s="712" t="str">
        <f>'Analisa Lap Keu'!B18</f>
        <v>-</v>
      </c>
      <c r="CH768" s="712" t="str">
        <f>'Analisa Lap Keu'!C18</f>
        <v>-</v>
      </c>
      <c r="CI768" s="712" t="str">
        <f>'Analisa Lap Keu'!E18</f>
        <v>-</v>
      </c>
      <c r="CJ768" s="712">
        <f>'Analisa Lap Keu'!G18</f>
        <v>33.249448248331689</v>
      </c>
      <c r="CK768" s="712"/>
      <c r="CL768" s="714">
        <f>CF768</f>
        <v>33.249448248331689</v>
      </c>
    </row>
    <row r="769" spans="79:90" ht="38.25" x14ac:dyDescent="0.25">
      <c r="CA769" s="724">
        <v>22</v>
      </c>
      <c r="CB769" s="724">
        <v>25</v>
      </c>
      <c r="CC769" s="724" t="s">
        <v>417</v>
      </c>
      <c r="CD769" s="280" t="s">
        <v>419</v>
      </c>
      <c r="CE769" s="727" t="s">
        <v>419</v>
      </c>
      <c r="CF769" s="310">
        <f>IF(OR(CG769="Blank",CH769="Blank"),"Blank",(CG769+CH769)-1)</f>
        <v>-1</v>
      </c>
      <c r="CG769" s="855">
        <f>IF('Informasi Debitur'!$R$180="","Blank",'Informasi Debitur'!$R$180)</f>
        <v>0</v>
      </c>
      <c r="CH769" s="855">
        <f>IF('Informasi Debitur'!$R$181="","Blank",'Informasi Debitur'!$R$181)</f>
        <v>0</v>
      </c>
      <c r="CL769" s="278" t="str">
        <f>IF(CF769="Blank","",IF(CF769&lt;=0,"A",IF(CF769&lt;=3,"B","C")))</f>
        <v>A</v>
      </c>
    </row>
    <row r="770" spans="79:90" ht="51" x14ac:dyDescent="0.25">
      <c r="CA770" s="724">
        <v>23</v>
      </c>
      <c r="CB770" s="724">
        <v>19</v>
      </c>
      <c r="CC770" s="724" t="s">
        <v>400</v>
      </c>
      <c r="CD770" s="280" t="s">
        <v>7776</v>
      </c>
      <c r="CE770" s="727" t="s">
        <v>7758</v>
      </c>
      <c r="CF770" s="706">
        <f>IF(SUM(CG770:CJ770)=0,"Blank",IF(CJ770&lt;&gt;0,CJ770,IF(CI770&lt;&gt;0,CI770,IF(CH770&lt;&gt;0,CH770,CG770))))</f>
        <v>7.6827389267264179E-2</v>
      </c>
      <c r="CG770" s="741">
        <f>IF(ISERROR(SUM('Analisa Lap Keu'!B72:B75)/('Analisa Lap Keu'!B68)),0,SUM('Analisa Lap Keu'!B72:B75)/('Analisa Lap Keu'!B68))</f>
        <v>0</v>
      </c>
      <c r="CH770" s="741">
        <f>IF(ISERROR(SUM('Analisa Lap Keu'!C72:C75)/('Analisa Lap Keu'!C68)),0,SUM('Analisa Lap Keu'!C72:C75)/('Analisa Lap Keu'!C68))</f>
        <v>0</v>
      </c>
      <c r="CI770" s="741">
        <f>IF(ISERROR(SUM('Analisa Lap Keu'!E72:E75)/('Analisa Lap Keu'!E68)),0,SUM('Analisa Lap Keu'!E72:E75)/('Analisa Lap Keu'!E68))</f>
        <v>0</v>
      </c>
      <c r="CJ770" s="741">
        <f>IF(ISERROR(SUM('Analisa Lap Keu'!G72:G75)/('Analisa Lap Keu'!G68)),0,SUM('Analisa Lap Keu'!G72:G75)/('Analisa Lap Keu'!G68))</f>
        <v>7.6827389267264179E-2</v>
      </c>
      <c r="CL770" s="699" t="str">
        <f>IF(CF770="Blank",0,IF(CF770&lt;=0.01,"A",IF(CF770&lt;=0.05,"B",IF(CF770&lt;=0.1,"C",IF(CF770&lt;=0.5,"D","E")))))</f>
        <v>C</v>
      </c>
    </row>
    <row r="771" spans="79:90" ht="76.5" x14ac:dyDescent="0.25">
      <c r="CA771" s="724">
        <v>24</v>
      </c>
      <c r="CB771" s="724">
        <v>16</v>
      </c>
      <c r="CC771" s="724" t="s">
        <v>392</v>
      </c>
      <c r="CD771" s="280" t="s">
        <v>7759</v>
      </c>
      <c r="CE771" s="727" t="s">
        <v>368</v>
      </c>
      <c r="CF771" s="705" t="str">
        <f>IF(COUNTA('Buyer Checking'!C146)=0,"Blank",'Buyer Checking'!C146)</f>
        <v>Penjualan berdasarkan kontrak (job order), tetapi barang/produk bersifat umum (tidak customized/tailored), sehingga  mudah untuk dijual ke pembeli lain</v>
      </c>
      <c r="CL771" s="699" t="str">
        <f>IF(CF771="Blank","",IF(CF771="Tidak ada kontrak (walk in). Hal ini berlaku untuk ritel, produk kebutuhan pokok atau produk khusus (tertentu) dengan basis pelanggan yang stabil","A",IF(CF771="Ini adalah usaha ritel atau grosir. Calon debitur memiliki beberapa pembeli utama yang dapat dengan mudah digantikan","B",IF(CF771="Ini adalah usaha ritel atau grosir.  Calon debitur memiliki beberapa pembeli utama yang sulit digantikan","C",IF(CF771="Penjualan berdasarkan kontrak (job order), tetapi barang/produk bersifat umum (tidak customized/tailored), sehingga  mudah untuk dijual ke pembeli lain","D","E")))))</f>
        <v>D</v>
      </c>
    </row>
    <row r="772" spans="79:90" ht="51" x14ac:dyDescent="0.25">
      <c r="CA772" s="724">
        <v>25</v>
      </c>
      <c r="CB772" s="729">
        <v>27</v>
      </c>
      <c r="CC772" s="729" t="s">
        <v>422</v>
      </c>
      <c r="CD772" s="730" t="s">
        <v>424</v>
      </c>
      <c r="CE772" s="730" t="s">
        <v>424</v>
      </c>
      <c r="CF772" s="731">
        <f>IF(SUM(CG730:CJ730)=0,"Blank",(SUM('Informasi Debitur'!G170,'Informasi Debitur'!H109,'Informasi Debitur'!H193))/Sheet2!CK730)</f>
        <v>8.0597581299762244E-3</v>
      </c>
      <c r="CG772" s="735">
        <f>'Analisa Lap Keu'!B68</f>
        <v>0</v>
      </c>
      <c r="CH772" s="735">
        <f>'Analisa Lap Keu'!C68</f>
        <v>0</v>
      </c>
      <c r="CI772" s="735">
        <f>'Analisa Lap Keu'!E68</f>
        <v>0</v>
      </c>
      <c r="CJ772" s="735">
        <f>'Analisa Lap Keu'!G68</f>
        <v>18762.97</v>
      </c>
      <c r="CK772" s="735">
        <f>IF(SUM(CJ730)&lt;&gt;0,CJ730,IF(SUM(CI730)&lt;&gt;0,CI730,IF(SUM(CH730)&lt;&gt;0,CH730,CG730)))</f>
        <v>18762.97</v>
      </c>
      <c r="CL772" s="733" t="str">
        <f>IF(CF772="Blank","",IF(CF772&lt;=0.02,"A",IF(CF772&lt;=0.1,"B",IF(CF772&lt;=0.2,"C",IF(CF772&lt;=0.6,"D","E")))))</f>
        <v>A</v>
      </c>
    </row>
    <row r="773" spans="79:90" ht="25.5" x14ac:dyDescent="0.25">
      <c r="CA773" s="724">
        <v>26</v>
      </c>
      <c r="CB773" s="724">
        <v>26</v>
      </c>
      <c r="CC773" s="724" t="s">
        <v>420</v>
      </c>
      <c r="CD773" s="280" t="s">
        <v>3163</v>
      </c>
      <c r="CE773" s="727" t="s">
        <v>3163</v>
      </c>
      <c r="CF773" s="310" t="str">
        <f>IF(COUNTA('Informasi Debitur'!$H$181)=0,"Blank",IF('Informasi Debitur'!$R$181=0,"Tidak Ada",'Informasi Debitur'!$R$181))</f>
        <v>Tidak Ada</v>
      </c>
      <c r="CG773" s="310"/>
      <c r="CL773" s="699" t="str">
        <f>IF(CF773="Blank","",IF(CF773="Tidak Ada","A",IF(CF773&lt;=2,"B",IF(CF773&lt;=5,"C","D"))))</f>
        <v>A</v>
      </c>
    </row>
    <row r="774" spans="79:90" ht="51" x14ac:dyDescent="0.25">
      <c r="CA774" s="724">
        <v>27</v>
      </c>
      <c r="CB774" s="724">
        <v>8</v>
      </c>
      <c r="CC774" s="724" t="s">
        <v>374</v>
      </c>
      <c r="CD774" s="280" t="s">
        <v>375</v>
      </c>
      <c r="CE774" s="727" t="s">
        <v>362</v>
      </c>
      <c r="CF774" s="706">
        <f>IF(SUM('Informasi Debitur'!G108,'Informasi Debitur'!F169)=0,"Blank",IF(OR(COUNTA('Analisa Lap Keu'!E102)=0,SUM('Analisa Lap Keu'!E102)=0),"Tidak Ada",'Analisa Lap Keu'!E103))</f>
        <v>2.9674824657373228E-2</v>
      </c>
      <c r="CG774" s="706"/>
      <c r="CH774" s="706"/>
      <c r="CI774" s="706"/>
      <c r="CJ774" s="706"/>
      <c r="CK774" s="706"/>
      <c r="CL774" s="699" t="str">
        <f>IF(CF774="Blank","",IF(CF774="Tidak Ada","A",IF(CF774&lt;=0.1,"B",IF(CF774&lt;=0.2,"C",IF(CF774&lt;=0.5,"D","E")))))</f>
        <v>B</v>
      </c>
    </row>
    <row r="775" spans="79:90" ht="25.5" x14ac:dyDescent="0.25">
      <c r="CA775" s="724">
        <v>28</v>
      </c>
      <c r="CB775" s="724">
        <v>4</v>
      </c>
      <c r="CC775" s="724" t="s">
        <v>363</v>
      </c>
      <c r="CD775" s="280" t="s">
        <v>364</v>
      </c>
      <c r="CE775" s="727" t="s">
        <v>362</v>
      </c>
      <c r="CF775" s="716">
        <f>IF('Analisa Lap Keu'!D122='Analisa Lap Keu'!A193,'Analisa Lap Keu'!D124,'Analisa Lap Keu'!D122)</f>
        <v>0.97032517534262674</v>
      </c>
      <c r="CL775" s="699" t="str">
        <f>IF(CF775="","",IF(CF775="Calon debitur tidak dapat menunjukkan perhitungan berapa jumlah kredit  yang dia butuhkan","E",IF(CF775="Calon debitur mengajukan jumlah maksimum yang dapat dia pinjam berdasarkan jaminan yang dimiliki","F",IF(CF775&lt;0.8,"A",IF(CF775&lt;1,"B",IF(CF775&lt;=1.2,"C","D"))))))</f>
        <v>B</v>
      </c>
    </row>
    <row r="776" spans="79:90" ht="25.5" x14ac:dyDescent="0.25">
      <c r="CA776" s="724">
        <v>29</v>
      </c>
      <c r="CB776" s="724">
        <v>29</v>
      </c>
      <c r="CC776" s="724" t="s">
        <v>427</v>
      </c>
      <c r="CD776" s="280" t="s">
        <v>428</v>
      </c>
      <c r="CE776" s="727" t="s">
        <v>368</v>
      </c>
      <c r="CF776" s="310">
        <f>IF(COUNT('Informasi Debitur'!P154:P168)=0,"Blank",MAX('Informasi Debitur'!AD154:AD168))</f>
        <v>0</v>
      </c>
      <c r="CG776" s="310"/>
      <c r="CL776" s="699" t="str">
        <f>IF(CF776="Blank","",IF(CF776=0,"A",IF(CF776&lt;=30,"B",IF(CF776&lt;=60,"C",IF(CF776&lt;=90,"D",IF(CF776&lt;=120,"E","F"))))))</f>
        <v>A</v>
      </c>
    </row>
    <row r="777" spans="79:90" ht="63.75" x14ac:dyDescent="0.25">
      <c r="CA777" s="724">
        <v>30</v>
      </c>
      <c r="CB777" s="724">
        <v>14</v>
      </c>
      <c r="CC777" s="724" t="s">
        <v>389</v>
      </c>
      <c r="CD777" s="280" t="s">
        <v>7760</v>
      </c>
      <c r="CE777" s="727" t="s">
        <v>368</v>
      </c>
      <c r="CF777" s="285" t="str">
        <f>IF(COUNTA('Supplier Checking'!C145)=0,"Blank",'Supplier Checking'!C145)</f>
        <v>Calon debitur secara rutin memesan dari beberapa supplier utama – supplier ini dapat dengan mudah digantikan tanpa mempengaruhi usaha</v>
      </c>
      <c r="CL777" s="699" t="str">
        <f>IF(CF777="Blank","",IF(CF777="Calon debitur secara rutin memesan dari beberapa supplier utama – supplier ini dapat dengan mudah digantikan tanpa mempengaruhi usaha","A",IF(CF777="Calon debitur secara rutin memesan dari beberapa supplier utama  –  supplier ini tidak dapat dengan mudah digantikan tanpa berdampak pada usaha","B",IF(CF777="Calon debitur secara rutin memesan dari satu supplier – supplier ini  dapat dengan mudah digantikan tanpa mempengaruhi usaha","C",IF(CF777="Calon debitur secara rutin memesan dari satu supplier – supplier ini tidak dapat dengan mudah digantikan tanpa mempengaruhi usaha","D","E")))))</f>
        <v>A</v>
      </c>
    </row>
    <row r="778" spans="79:90" ht="25.5" x14ac:dyDescent="0.25">
      <c r="CA778" s="724">
        <v>31</v>
      </c>
      <c r="CB778" s="724">
        <v>9</v>
      </c>
      <c r="CC778" s="724" t="s">
        <v>376</v>
      </c>
      <c r="CD778" s="280" t="s">
        <v>377</v>
      </c>
      <c r="CE778" s="727" t="s">
        <v>362</v>
      </c>
      <c r="CF778" s="717">
        <f>IF(SUM(CG736:CJ736)=0,"Blank",MKK!G41/(Sheet2!CK736/12))</f>
        <v>0.63955759669178169</v>
      </c>
      <c r="CG778" s="715">
        <f>'Analisa Lap Keu'!B68</f>
        <v>0</v>
      </c>
      <c r="CH778" s="715">
        <f>'Analisa Lap Keu'!C68</f>
        <v>0</v>
      </c>
      <c r="CI778" s="715">
        <f>'Analisa Lap Keu'!E68</f>
        <v>0</v>
      </c>
      <c r="CJ778" s="715">
        <f>'Analisa Lap Keu'!G68</f>
        <v>18762.97</v>
      </c>
      <c r="CK778" s="715">
        <f>IF(SUM(CJ736)&lt;&gt;0,CJ736,IF(SUM(CI736)&lt;&gt;0,CI736,IF(SUM(CH736)&lt;&gt;0,CH736,CG736)))</f>
        <v>18762.97</v>
      </c>
      <c r="CL778" s="699" t="str">
        <f>IF(CF778="Blank","",IF(CF778&lt;=1,"A",IF(CF778&lt;=2,"B",IF(CF778&lt;=3,"C","D"))))</f>
        <v>A</v>
      </c>
    </row>
    <row r="779" spans="79:90" ht="38.25" x14ac:dyDescent="0.25">
      <c r="CA779" s="724">
        <v>32</v>
      </c>
      <c r="CB779" s="729">
        <v>18</v>
      </c>
      <c r="CC779" s="729" t="s">
        <v>398</v>
      </c>
      <c r="CD779" s="730" t="s">
        <v>572</v>
      </c>
      <c r="CE779" s="730" t="s">
        <v>572</v>
      </c>
      <c r="CF779" s="731">
        <f>IF(SUM('Analisa Rek Koran'!O19)=0,"Blank",1-'Analisa Rek Koran'!O19)</f>
        <v>0.65352180385088288</v>
      </c>
      <c r="CG779" s="731"/>
      <c r="CH779" s="732"/>
      <c r="CI779" s="732"/>
      <c r="CJ779" s="732"/>
      <c r="CK779" s="732"/>
      <c r="CL779" s="733" t="str">
        <f>IF(CF779="Blank","",IF(CF779&lt;=0.1,"A",IF(CF779&lt;=0.3,"B",IF(CF779&lt;=0.5,"C","D"))))</f>
        <v>D</v>
      </c>
    </row>
    <row r="780" spans="79:90" ht="25.5" x14ac:dyDescent="0.25">
      <c r="CA780" s="724">
        <v>33</v>
      </c>
      <c r="CB780" s="729">
        <v>13</v>
      </c>
      <c r="CC780" s="729" t="s">
        <v>388</v>
      </c>
      <c r="CD780" s="730" t="s">
        <v>7777</v>
      </c>
      <c r="CE780" s="730" t="s">
        <v>7761</v>
      </c>
      <c r="CF780" s="731">
        <f>IF('Supplier Checking'!C143="","Blank",'Supplier Checking'!C143)</f>
        <v>0.59387509207919087</v>
      </c>
      <c r="CG780" s="732"/>
      <c r="CH780" s="732"/>
      <c r="CI780" s="732"/>
      <c r="CJ780" s="732"/>
      <c r="CK780" s="732"/>
      <c r="CL780" s="733" t="str">
        <f>IF(CF780="Blank","",IF(CF780&lt;=0.4,"A",IF(CF780&lt;=0.7,"B","C")))</f>
        <v>B</v>
      </c>
    </row>
    <row r="781" spans="79:90" ht="26.25" x14ac:dyDescent="0.25">
      <c r="CA781" s="724">
        <v>34</v>
      </c>
      <c r="CB781" s="725" t="s">
        <v>89</v>
      </c>
      <c r="CD781" s="726" t="s">
        <v>573</v>
      </c>
      <c r="CE781" s="632"/>
      <c r="CF781" s="718">
        <f>IF(CJ739&gt;0,CJ739,IF(CI739&gt;0,CI739,IF(CH739&gt;0,CH739,CG739)))</f>
        <v>41.134099432370149</v>
      </c>
      <c r="CG781" s="715">
        <f>IF(ISERROR('Analisa Lap Keu'!B18+'Analisa Lap Keu'!B19-'Analisa Lap Keu'!B20-'Analisa Lap Keu'!B21),0,'Analisa Lap Keu'!B18+'Analisa Lap Keu'!B19-'Analisa Lap Keu'!B20-'Analisa Lap Keu'!B21)</f>
        <v>0</v>
      </c>
      <c r="CH781" s="715">
        <f>IF(ISERROR('Analisa Lap Keu'!C18+'Analisa Lap Keu'!C19-'Analisa Lap Keu'!C20-'Analisa Lap Keu'!C21),0,'Analisa Lap Keu'!C18+'Analisa Lap Keu'!C19-'Analisa Lap Keu'!C20-'Analisa Lap Keu'!C21)</f>
        <v>0</v>
      </c>
      <c r="CI781" s="715">
        <f>IF(ISERROR('Analisa Lap Keu'!E18+'Analisa Lap Keu'!E19-'Analisa Lap Keu'!E20-'Analisa Lap Keu'!E21),0,'Analisa Lap Keu'!E18+'Analisa Lap Keu'!E19-'Analisa Lap Keu'!E20-'Analisa Lap Keu'!E21)</f>
        <v>0</v>
      </c>
      <c r="CJ781" s="715">
        <f>IF(ISERROR('Analisa Lap Keu'!G18+'Analisa Lap Keu'!G19-'Analisa Lap Keu'!G20-'Analisa Lap Keu'!G21),0,'Analisa Lap Keu'!G18+'Analisa Lap Keu'!G19-'Analisa Lap Keu'!G20-'Analisa Lap Keu'!G21)</f>
        <v>41.134099432370149</v>
      </c>
      <c r="CL781" s="719">
        <f>CF781</f>
        <v>41.134099432370149</v>
      </c>
    </row>
    <row r="782" spans="79:90" ht="39" x14ac:dyDescent="0.25">
      <c r="CA782" s="724">
        <v>35</v>
      </c>
      <c r="CB782" s="725" t="s">
        <v>89</v>
      </c>
      <c r="CD782" s="726" t="s">
        <v>574</v>
      </c>
      <c r="CE782" s="632"/>
      <c r="CF782" s="718">
        <f>IF(CJ740&gt;0,CJ740,IF(CI740&gt;0,CI740,IF(CH740&gt;0,CH740,CG740)))</f>
        <v>3.7831609488263322</v>
      </c>
      <c r="CG782" s="715">
        <f>IF(ISERROR('Analisa Lap Keu'!B62/('Analisa Lap Keu'!B68/12)),0,'Analisa Lap Keu'!B62/('Analisa Lap Keu'!B68/12))</f>
        <v>0</v>
      </c>
      <c r="CH782" s="715">
        <f>IF(ISERROR('Analisa Lap Keu'!C62/('Analisa Lap Keu'!C68/12)),0,'Analisa Lap Keu'!C62/('Analisa Lap Keu'!C68/12))</f>
        <v>0</v>
      </c>
      <c r="CI782" s="715">
        <f>IF(ISERROR('Analisa Lap Keu'!E62/('Analisa Lap Keu'!E68/12)),0,'Analisa Lap Keu'!E62/('Analisa Lap Keu'!E68/12))</f>
        <v>0</v>
      </c>
      <c r="CJ782" s="715">
        <f>IF(ISERROR('Analisa Lap Keu'!G62/('Analisa Lap Keu'!G68/12)),0,'Analisa Lap Keu'!G62/('Analisa Lap Keu'!G68/12))</f>
        <v>3.7831609488263322</v>
      </c>
      <c r="CL782" s="719">
        <f>CF782</f>
        <v>3.7831609488263322</v>
      </c>
    </row>
    <row r="783" spans="79:90" ht="26.25" x14ac:dyDescent="0.25">
      <c r="CA783" s="724">
        <v>36</v>
      </c>
      <c r="CB783" s="725" t="s">
        <v>89</v>
      </c>
      <c r="CD783" s="726" t="s">
        <v>575</v>
      </c>
      <c r="CE783" s="632"/>
      <c r="CF783" s="310" t="str">
        <f>IF(COUNTA('Supplier Checking'!C142)=0,"Blank",'Supplier Checking'!C142)</f>
        <v>Bulanan</v>
      </c>
      <c r="CG783" s="310"/>
      <c r="CL783" s="699" t="str">
        <f>IF(CF783="Blank","",IF(CF783="Bulanan","A",IF(CF783="Mingguan","B",IF(CF783="Harian","C","D"))))</f>
        <v>A</v>
      </c>
    </row>
    <row r="784" spans="79:90" x14ac:dyDescent="0.25">
      <c r="CA784" s="724">
        <v>37</v>
      </c>
      <c r="CC784" s="736" t="s">
        <v>7780</v>
      </c>
      <c r="CD784" s="229" t="s">
        <v>7372</v>
      </c>
      <c r="CE784" s="229" t="s">
        <v>7782</v>
      </c>
      <c r="CF784" s="310">
        <f>IF(COUNTA('Informasi Debitur'!D33)=0,"Blank",'Informasi Debitur'!D33)</f>
        <v>14</v>
      </c>
      <c r="CL784" s="742" t="str">
        <f>IF(CF784="Blank","",IF(CF784&gt;15,"A",IF(CF784&gt;=11,"B",IF(CF784&gt;=6,"C",IF(CF784&gt;=3,"D","E")))))</f>
        <v>B</v>
      </c>
    </row>
    <row r="789" spans="79:80" x14ac:dyDescent="0.25">
      <c r="CA789" s="732"/>
      <c r="CB789" s="736" t="s">
        <v>7763</v>
      </c>
    </row>
    <row r="790" spans="79:80" x14ac:dyDescent="0.25">
      <c r="CA790" s="734"/>
      <c r="CB790" s="309" t="s">
        <v>7765</v>
      </c>
    </row>
    <row r="791" spans="79:80" x14ac:dyDescent="0.25">
      <c r="CA791" s="743"/>
      <c r="CB791" s="309" t="s">
        <v>7781</v>
      </c>
    </row>
  </sheetData>
  <mergeCells count="6">
    <mergeCell ref="CF746:CL746"/>
    <mergeCell ref="CB700:CF700"/>
    <mergeCell ref="CF701:CL701"/>
    <mergeCell ref="CM701:CN701"/>
    <mergeCell ref="CO701:CP701"/>
    <mergeCell ref="CB745:CF745"/>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N218"/>
  <sheetViews>
    <sheetView topLeftCell="A61" zoomScale="85" zoomScaleNormal="85" workbookViewId="0">
      <selection activeCell="G66" sqref="G66"/>
    </sheetView>
  </sheetViews>
  <sheetFormatPr defaultRowHeight="15" x14ac:dyDescent="0.25"/>
  <cols>
    <col min="1" max="4" width="12.7109375" customWidth="1"/>
    <col min="5" max="5" width="21.42578125" customWidth="1"/>
    <col min="6" max="7" width="12.7109375" customWidth="1"/>
    <col min="8" max="8" width="53.85546875" bestFit="1" customWidth="1"/>
    <col min="9" max="11" width="12.7109375" customWidth="1"/>
    <col min="12" max="12" width="12.85546875" bestFit="1" customWidth="1"/>
    <col min="13" max="13" width="12.85546875" customWidth="1"/>
    <col min="14" max="37" width="10.7109375" customWidth="1"/>
    <col min="38" max="38" width="15.140625" bestFit="1" customWidth="1"/>
    <col min="39" max="67" width="10.7109375" customWidth="1"/>
  </cols>
  <sheetData>
    <row r="1" spans="1:60" x14ac:dyDescent="0.25">
      <c r="A1" t="s">
        <v>0</v>
      </c>
    </row>
    <row r="2" spans="1:60" x14ac:dyDescent="0.25">
      <c r="A2" s="304" t="s">
        <v>3000</v>
      </c>
      <c r="B2" t="s">
        <v>46</v>
      </c>
      <c r="C2" t="s">
        <v>534</v>
      </c>
      <c r="D2" t="s">
        <v>536</v>
      </c>
      <c r="E2" t="s">
        <v>813</v>
      </c>
      <c r="F2" t="s">
        <v>3</v>
      </c>
      <c r="G2" t="s">
        <v>3001</v>
      </c>
      <c r="H2" t="s">
        <v>85</v>
      </c>
      <c r="I2" t="s">
        <v>3002</v>
      </c>
      <c r="J2" t="s">
        <v>3003</v>
      </c>
      <c r="K2" t="s">
        <v>3004</v>
      </c>
      <c r="L2" t="s">
        <v>3005</v>
      </c>
      <c r="M2" t="s">
        <v>225</v>
      </c>
      <c r="N2" t="s">
        <v>226</v>
      </c>
      <c r="O2" t="s">
        <v>227</v>
      </c>
      <c r="P2" t="s">
        <v>229</v>
      </c>
      <c r="Q2" t="s">
        <v>3006</v>
      </c>
      <c r="R2" t="s">
        <v>3007</v>
      </c>
      <c r="S2" t="s">
        <v>3008</v>
      </c>
      <c r="T2" t="s">
        <v>3009</v>
      </c>
      <c r="U2" t="s">
        <v>3010</v>
      </c>
      <c r="V2" t="s">
        <v>238</v>
      </c>
      <c r="W2" t="s">
        <v>45</v>
      </c>
      <c r="X2" t="s">
        <v>729</v>
      </c>
      <c r="Y2" t="s">
        <v>4248</v>
      </c>
      <c r="Z2" t="s">
        <v>3011</v>
      </c>
      <c r="AA2" t="s">
        <v>3012</v>
      </c>
      <c r="AB2" t="s">
        <v>3013</v>
      </c>
      <c r="AC2" t="s">
        <v>243</v>
      </c>
      <c r="AD2" t="s">
        <v>3014</v>
      </c>
      <c r="AE2" t="s">
        <v>3015</v>
      </c>
      <c r="AF2" t="s">
        <v>3129</v>
      </c>
      <c r="AG2" t="s">
        <v>3016</v>
      </c>
      <c r="AH2" t="s">
        <v>3017</v>
      </c>
      <c r="AI2" t="s">
        <v>3018</v>
      </c>
      <c r="AJ2" t="s">
        <v>3019</v>
      </c>
      <c r="AK2" t="s">
        <v>3020</v>
      </c>
      <c r="AL2" t="s">
        <v>3021</v>
      </c>
      <c r="AM2" t="s">
        <v>3022</v>
      </c>
      <c r="AN2" t="s">
        <v>3023</v>
      </c>
      <c r="AO2" t="s">
        <v>3024</v>
      </c>
      <c r="AP2" t="s">
        <v>3025</v>
      </c>
      <c r="AQ2" t="s">
        <v>502</v>
      </c>
      <c r="AR2" t="s">
        <v>223</v>
      </c>
      <c r="AS2" t="s">
        <v>224</v>
      </c>
      <c r="AT2" t="s">
        <v>220</v>
      </c>
      <c r="AU2" t="s">
        <v>3026</v>
      </c>
      <c r="AV2" t="s">
        <v>237</v>
      </c>
      <c r="AW2" t="s">
        <v>3027</v>
      </c>
      <c r="AX2" t="s">
        <v>236</v>
      </c>
      <c r="AY2" t="s">
        <v>3028</v>
      </c>
      <c r="AZ2" t="s">
        <v>3145</v>
      </c>
      <c r="BA2" t="s">
        <v>3146</v>
      </c>
      <c r="BB2" t="s">
        <v>3147</v>
      </c>
      <c r="BC2" t="s">
        <v>3148</v>
      </c>
      <c r="BD2" t="s">
        <v>3149</v>
      </c>
      <c r="BE2" t="s">
        <v>3150</v>
      </c>
      <c r="BF2" t="s">
        <v>239</v>
      </c>
      <c r="BG2" t="s">
        <v>4198</v>
      </c>
      <c r="BH2" t="s">
        <v>4242</v>
      </c>
    </row>
    <row r="3" spans="1:60" x14ac:dyDescent="0.25">
      <c r="A3" t="str">
        <f>TRIM('Informasi Debitur'!J7)</f>
        <v>0008C00010251</v>
      </c>
      <c r="B3" t="str">
        <f>TRIM('Informasi Debitur'!C4)</f>
        <v>IRFAN HERIYANTO HALIM</v>
      </c>
      <c r="C3" t="str">
        <f>TRIM('Informasi Debitur'!C5)</f>
        <v>0008C</v>
      </c>
      <c r="D3" t="str">
        <f>TRIM('Informasi Debitur'!C6)</f>
        <v>GABRIEL.C.LIAUWAN</v>
      </c>
      <c r="E3" t="str">
        <f>TRIM('Informasi Debitur'!C7)</f>
        <v>15049774</v>
      </c>
      <c r="F3" t="str">
        <f>TRIM('Informasi Debitur'!C9)</f>
        <v>BANJARMASIN A. YANI</v>
      </c>
      <c r="G3" s="387">
        <f>('Informasi Debitur'!J4)</f>
        <v>43255</v>
      </c>
      <c r="H3" t="str">
        <f>TRIM('Informasi Debitur'!J5)</f>
        <v>OH NJEN LIENG</v>
      </c>
      <c r="I3" t="str">
        <f>TRIM('Informasi Debitur'!J6)</f>
        <v/>
      </c>
      <c r="J3" s="387">
        <f>('Informasi Debitur'!J8)</f>
        <v>0</v>
      </c>
      <c r="K3" t="str">
        <f>TRIM('Informasi Debitur'!B17)</f>
        <v>Kredit untuk investasi/modal kerja usaha utama</v>
      </c>
      <c r="L3" t="str">
        <f>TRIM('Informasi Debitur'!D20)&amp;", "&amp;TRIM('Informasi Debitur'!D21)</f>
        <v xml:space="preserve">Jl A Yani km 6,5 No 31 Kertak Hanyar I Kertak Hanyar , Kab Banjar, </v>
      </c>
      <c r="M3" t="str">
        <f>TRIM('Informasi Debitur'!D22)</f>
        <v>Banjarmasin</v>
      </c>
      <c r="N3" t="str">
        <f>TRIM('Informasi Debitur'!D23)</f>
        <v>Kalimantan Selatan</v>
      </c>
      <c r="O3" t="str">
        <f>TRIM('Informasi Debitur'!D24)</f>
        <v/>
      </c>
      <c r="P3" t="str">
        <f>TRIM('Informasi Debitur'!D25)</f>
        <v>05116744433</v>
      </c>
      <c r="Q3" t="str">
        <f>TRIM('Informasi Debitur'!D27)</f>
        <v>Calon debitur memiliki rumah dimana dia tinggal</v>
      </c>
      <c r="R3" t="str">
        <f>TRIM('Informasi Debitur'!D27)</f>
        <v>Calon debitur memiliki rumah dimana dia tinggal</v>
      </c>
      <c r="S3" s="387">
        <f>('Informasi Debitur'!H28)</f>
        <v>40651</v>
      </c>
      <c r="T3" s="387">
        <f>('Informasi Debitur'!H29)</f>
        <v>0</v>
      </c>
      <c r="U3" t="str">
        <f>TRIM('Informasi Debitur'!D30)</f>
        <v>2012</v>
      </c>
      <c r="V3" t="str">
        <f>TRIM('Informasi Debitur'!D31)</f>
        <v>Trading</v>
      </c>
      <c r="W3" t="str">
        <f>TRIM('Informasi Debitur'!D32)</f>
        <v>AUTOMOTIVE &amp; COMPONENT</v>
      </c>
      <c r="X3" t="str">
        <f>TRIM('Informasi Debitur'!G32)</f>
        <v>JASA INDUSTRI PENGOLAHAN KAROSERI</v>
      </c>
      <c r="Y3" t="str">
        <f>TRIM('Informasi Debitur'!D35)</f>
        <v>40</v>
      </c>
      <c r="Z3" t="str">
        <f>TRIM('Informasi Debitur'!J33)</f>
        <v>Usaha dijalankan oleh Bp Oh Njen Lieng (61 thn) dengan nama PT Barito Inti Perkasa yang didirikan sejak tahun 2010. Usaha bergerak dalam bidang pembuatan Karoseri (Bak Truck, Tangki BBM yang terbuat dari Plat Besi Baja), sebelum membuka usaha pembuatan karoseri Cadeb sempat bekerja di tempat milik Pamannya yang bergerak di bidang pembuatan Karoseri dengan nama UD Berlian prima Abadi yang berlokasi di Serpong Tanggerang, selain itu Cadeb juga memiliki usaha lain dalam bidang trading batu bara yang sudah dijalankan sejak tahun 2004 dengan nama PT Barito Inti Perdana</v>
      </c>
      <c r="AA3" t="str">
        <f>TRIM('Informasi Debitur'!F37)</f>
        <v>Diri Sendiri</v>
      </c>
      <c r="AB3" t="str">
        <f>TRIM('Informasi Debitur'!F38)</f>
        <v/>
      </c>
      <c r="AC3" t="str">
        <f>TRIM('Informasi Debitur'!D39)</f>
        <v>Retail</v>
      </c>
      <c r="AD3" t="str">
        <f>TRIM('Informasi Debitur'!D40)</f>
        <v>Lokal</v>
      </c>
      <c r="AE3" t="str">
        <f>TRIM('Informasi Debitur'!D41)</f>
        <v>10</v>
      </c>
      <c r="AF3" t="str">
        <f>TRIM('Informasi Debitur'!F43)</f>
        <v>Ya</v>
      </c>
      <c r="AG3" t="str">
        <f>TRIM('Informasi Debitur'!F46)</f>
        <v>Batubara</v>
      </c>
      <c r="AH3" t="str">
        <f>TRIM('Informasi Debitur'!H46)</f>
        <v>0.25</v>
      </c>
      <c r="AI3" t="str">
        <f>TRIM('Informasi Debitur'!F47)</f>
        <v/>
      </c>
      <c r="AJ3" t="str">
        <f>TRIM('Informasi Debitur'!H47)</f>
        <v/>
      </c>
      <c r="AK3" t="str">
        <f>TRIM('Informasi Debitur'!F48)</f>
        <v/>
      </c>
      <c r="AL3" t="str">
        <f>TRIM('Informasi Debitur'!H48)</f>
        <v/>
      </c>
      <c r="AM3" t="str">
        <f>TRIM('Informasi Debitur'!F49)</f>
        <v/>
      </c>
      <c r="AN3" t="str">
        <f>TRIM('Informasi Debitur'!H49)</f>
        <v/>
      </c>
      <c r="AO3" t="str">
        <f>TRIM('Informasi Debitur'!F50)</f>
        <v/>
      </c>
      <c r="AP3" t="str">
        <f>TRIM('Informasi Debitur'!H50)</f>
        <v/>
      </c>
      <c r="AQ3" t="str">
        <f>TRIM('Informasi Debitur'!C88)</f>
        <v>Perseroan Terbatas (PT/PERSEROAN)</v>
      </c>
      <c r="AR3" t="str">
        <f>TRIM('Informasi Debitur'!C89)</f>
        <v>74</v>
      </c>
      <c r="AS3" s="387">
        <f>('Informasi Debitur'!C90)</f>
        <v>42648</v>
      </c>
      <c r="AT3" t="str">
        <f>TRIM('Informasi Debitur'!C92)</f>
        <v>030942833732000</v>
      </c>
      <c r="AU3" t="str">
        <f>TRIM('Informasi Debitur'!G92)</f>
        <v>PT BARITO INTI PERKASA</v>
      </c>
      <c r="AV3" t="str">
        <f>TRIM('Informasi Debitur'!C93)</f>
        <v>510/6/DPMPTSP/PM/2017</v>
      </c>
      <c r="AW3" t="str">
        <f>TRIM('Informasi Debitur'!G93)</f>
        <v>PT BARITO INTI PERKASA</v>
      </c>
      <c r="AX3" t="str">
        <f>TRIM('Informasi Debitur'!C94)</f>
        <v>160112900332</v>
      </c>
      <c r="AY3" t="str">
        <f>TRIM('Informasi Debitur'!G94)</f>
        <v>PT BARITO INTI PERKASA</v>
      </c>
      <c r="AZ3" t="str">
        <f>TRIM('Informasi Debitur'!B258)</f>
        <v>NA</v>
      </c>
      <c r="BA3" t="str">
        <f>TRIM('Informasi Debitur'!B259)</f>
        <v/>
      </c>
      <c r="BB3" t="str">
        <f>TRIM('Informasi Debitur'!B260)</f>
        <v/>
      </c>
      <c r="BC3" t="str">
        <f>TRIM('Informasi Debitur'!H258)</f>
        <v/>
      </c>
      <c r="BD3" t="str">
        <f>TRIM('Informasi Debitur'!H259)</f>
        <v/>
      </c>
      <c r="BE3" t="str">
        <f>TRIM('Informasi Debitur'!H260)</f>
        <v/>
      </c>
      <c r="BF3" t="str">
        <f>TRIM('Informasi Debitur'!D33)</f>
        <v>14</v>
      </c>
      <c r="BG3" t="str">
        <f>TRIM('Informasi Debitur'!D36)</f>
        <v>Yuanita</v>
      </c>
      <c r="BH3" s="387">
        <f>'Informasi Debitur'!C91</f>
        <v>40623</v>
      </c>
    </row>
    <row r="5" spans="1:60" x14ac:dyDescent="0.25">
      <c r="A5" t="s">
        <v>4</v>
      </c>
    </row>
    <row r="6" spans="1:60" x14ac:dyDescent="0.25">
      <c r="A6" s="388" t="s">
        <v>2402</v>
      </c>
      <c r="B6" s="388" t="s">
        <v>231</v>
      </c>
      <c r="C6" s="388" t="s">
        <v>90</v>
      </c>
      <c r="D6" s="388" t="s">
        <v>124</v>
      </c>
      <c r="E6" s="388" t="s">
        <v>135</v>
      </c>
      <c r="F6" s="388" t="s">
        <v>4249</v>
      </c>
      <c r="G6" s="388" t="s">
        <v>4250</v>
      </c>
      <c r="H6" s="388" t="s">
        <v>3029</v>
      </c>
      <c r="I6" s="388" t="s">
        <v>4251</v>
      </c>
      <c r="J6" s="388" t="s">
        <v>3030</v>
      </c>
      <c r="K6" s="388" t="s">
        <v>3031</v>
      </c>
      <c r="L6" s="388"/>
      <c r="M6" s="388"/>
      <c r="N6" s="388"/>
    </row>
    <row r="7" spans="1:60" x14ac:dyDescent="0.25">
      <c r="A7" s="388" t="str">
        <f>TRIM(MKK!A34)</f>
        <v>PRK</v>
      </c>
      <c r="B7" s="388" t="str">
        <f>TRIM(MKK!B34)</f>
        <v>Modal Kerja</v>
      </c>
      <c r="C7" s="388" t="str">
        <f>TRIM(MKK!C34)</f>
        <v>Rp</v>
      </c>
      <c r="D7" s="388" t="str">
        <f>TRIM(MKK!D34)</f>
        <v>0</v>
      </c>
      <c r="E7" s="388" t="str">
        <f>TRIM(MKK!E34)</f>
        <v>1000</v>
      </c>
      <c r="F7" s="388" t="str">
        <f>TRIM(MKK!F34)</f>
        <v>1000</v>
      </c>
      <c r="G7" s="388" t="str">
        <f>TRIM(MKK!G34)</f>
        <v>1000</v>
      </c>
      <c r="H7" s="388"/>
      <c r="I7" s="388" t="str">
        <f>TRIM(MKK!H34)</f>
        <v>1</v>
      </c>
      <c r="J7" s="389">
        <f>(MKK!I34)</f>
        <v>0</v>
      </c>
      <c r="K7" s="389">
        <f>(MKK!J34)</f>
        <v>0</v>
      </c>
      <c r="L7" s="388"/>
      <c r="M7" s="388"/>
      <c r="N7" s="388"/>
    </row>
    <row r="8" spans="1:60" x14ac:dyDescent="0.25">
      <c r="A8" s="388" t="str">
        <f>TRIM(MKK!A35)</f>
        <v>0</v>
      </c>
      <c r="B8" s="388" t="str">
        <f>TRIM(MKK!B35)</f>
        <v/>
      </c>
      <c r="C8" s="388" t="str">
        <f>TRIM(MKK!C35)</f>
        <v>0</v>
      </c>
      <c r="D8" s="388" t="str">
        <f>TRIM(MKK!D35)</f>
        <v>0</v>
      </c>
      <c r="E8" s="388" t="str">
        <f>TRIM(MKK!E35)</f>
        <v>0</v>
      </c>
      <c r="F8" s="388" t="str">
        <f>TRIM(MKK!F35)</f>
        <v>0</v>
      </c>
      <c r="G8" s="388" t="str">
        <f>TRIM(MKK!G35)</f>
        <v>0</v>
      </c>
      <c r="H8" s="388"/>
      <c r="I8" s="388" t="str">
        <f>TRIM(MKK!H35)</f>
        <v>0</v>
      </c>
      <c r="J8" s="389">
        <f>(MKK!I35)</f>
        <v>0</v>
      </c>
      <c r="K8" s="389">
        <f>(MKK!J35)</f>
        <v>0</v>
      </c>
      <c r="L8" s="388"/>
      <c r="M8" s="388"/>
      <c r="N8" s="388"/>
    </row>
    <row r="9" spans="1:60" x14ac:dyDescent="0.25">
      <c r="A9" s="388" t="str">
        <f>TRIM(MKK!A36)</f>
        <v>0</v>
      </c>
      <c r="B9" s="388" t="str">
        <f>TRIM(MKK!B36)</f>
        <v/>
      </c>
      <c r="C9" s="388" t="str">
        <f>TRIM(MKK!C36)</f>
        <v>0</v>
      </c>
      <c r="D9" s="388" t="str">
        <f>TRIM(MKK!D36)</f>
        <v>0</v>
      </c>
      <c r="E9" s="388" t="str">
        <f>TRIM(MKK!E36)</f>
        <v>0</v>
      </c>
      <c r="F9" s="388" t="str">
        <f>TRIM(MKK!F36)</f>
        <v>0</v>
      </c>
      <c r="G9" s="388" t="str">
        <f>TRIM(MKK!G36)</f>
        <v>0</v>
      </c>
      <c r="H9" s="388"/>
      <c r="I9" s="388" t="str">
        <f>TRIM(MKK!H36)</f>
        <v>0</v>
      </c>
      <c r="J9" s="389">
        <f>(MKK!I36)</f>
        <v>0</v>
      </c>
      <c r="K9" s="389">
        <f>(MKK!J36)</f>
        <v>0</v>
      </c>
      <c r="L9" s="388"/>
      <c r="M9" s="388"/>
      <c r="N9" s="388"/>
    </row>
    <row r="10" spans="1:60" x14ac:dyDescent="0.25">
      <c r="A10" s="388" t="str">
        <f>TRIM(MKK!A37)</f>
        <v>0</v>
      </c>
      <c r="B10" s="388" t="str">
        <f>TRIM(MKK!B37)</f>
        <v/>
      </c>
      <c r="C10" s="388" t="str">
        <f>TRIM(MKK!C37)</f>
        <v>0</v>
      </c>
      <c r="D10" s="388" t="str">
        <f>TRIM(MKK!D37)</f>
        <v>0</v>
      </c>
      <c r="E10" s="388" t="str">
        <f>TRIM(MKK!E37)</f>
        <v>0</v>
      </c>
      <c r="F10" s="388" t="str">
        <f>TRIM(MKK!F37)</f>
        <v>0</v>
      </c>
      <c r="G10" s="388" t="str">
        <f>TRIM(MKK!G37)</f>
        <v>0</v>
      </c>
      <c r="H10" s="388"/>
      <c r="I10" s="388" t="str">
        <f>TRIM(MKK!H37)</f>
        <v>0</v>
      </c>
      <c r="J10" s="389">
        <f>(MKK!I37)</f>
        <v>0</v>
      </c>
      <c r="K10" s="389">
        <f>(MKK!J37)</f>
        <v>0</v>
      </c>
      <c r="L10" s="388"/>
      <c r="M10" s="388"/>
      <c r="N10" s="388"/>
    </row>
    <row r="11" spans="1:60" x14ac:dyDescent="0.25">
      <c r="A11" s="388" t="str">
        <f>TRIM(MKK!A38)</f>
        <v>0</v>
      </c>
      <c r="B11" s="388" t="str">
        <f>TRIM(MKK!B38)</f>
        <v/>
      </c>
      <c r="C11" s="388" t="str">
        <f>TRIM(MKK!C38)</f>
        <v>0</v>
      </c>
      <c r="D11" s="388" t="str">
        <f>TRIM(MKK!D38)</f>
        <v>0</v>
      </c>
      <c r="E11" s="388" t="str">
        <f>TRIM(MKK!E38)</f>
        <v>0</v>
      </c>
      <c r="F11" s="388" t="str">
        <f>TRIM(MKK!F38)</f>
        <v>0</v>
      </c>
      <c r="G11" s="388" t="str">
        <f>TRIM(MKK!G38)</f>
        <v>0</v>
      </c>
      <c r="H11" s="388"/>
      <c r="I11" s="388" t="str">
        <f>TRIM(MKK!H38)</f>
        <v>0</v>
      </c>
      <c r="J11" s="389">
        <f>(MKK!I38)</f>
        <v>0</v>
      </c>
      <c r="K11" s="389">
        <f>(MKK!J38)</f>
        <v>0</v>
      </c>
      <c r="L11" s="388"/>
      <c r="M11" s="388"/>
      <c r="N11" s="388"/>
    </row>
    <row r="12" spans="1:60" x14ac:dyDescent="0.25">
      <c r="A12" s="388" t="str">
        <f>TRIM(MKK!A39)</f>
        <v>0</v>
      </c>
      <c r="B12" s="388" t="str">
        <f>TRIM(MKK!B39)</f>
        <v/>
      </c>
      <c r="C12" s="388" t="str">
        <f>TRIM(MKK!C39)</f>
        <v>0</v>
      </c>
      <c r="D12" s="388" t="str">
        <f>TRIM(MKK!D39)</f>
        <v>0</v>
      </c>
      <c r="E12" s="388" t="str">
        <f>TRIM(MKK!E39)</f>
        <v>0</v>
      </c>
      <c r="F12" s="388" t="str">
        <f>TRIM(MKK!F39)</f>
        <v>0</v>
      </c>
      <c r="G12" s="388" t="str">
        <f>TRIM(MKK!G39)</f>
        <v>0</v>
      </c>
      <c r="H12" s="388"/>
      <c r="I12" s="388" t="str">
        <f>TRIM(MKK!H39)</f>
        <v>0</v>
      </c>
      <c r="J12" s="389">
        <f>(MKK!I39)</f>
        <v>0</v>
      </c>
      <c r="K12" s="389">
        <f>(MKK!J39)</f>
        <v>0</v>
      </c>
      <c r="L12" s="388"/>
      <c r="M12" s="388"/>
      <c r="N12" s="388"/>
    </row>
    <row r="13" spans="1:60" x14ac:dyDescent="0.25">
      <c r="A13" s="388" t="str">
        <f>TRIM(MKK!A40)</f>
        <v>0</v>
      </c>
      <c r="B13" s="388" t="str">
        <f>TRIM(MKK!B40)</f>
        <v/>
      </c>
      <c r="C13" s="388" t="str">
        <f>TRIM(MKK!C40)</f>
        <v>0</v>
      </c>
      <c r="D13" s="388" t="str">
        <f>TRIM(MKK!D40)</f>
        <v>0</v>
      </c>
      <c r="E13" s="388" t="str">
        <f>TRIM(MKK!E40)</f>
        <v>0</v>
      </c>
      <c r="F13" s="388" t="str">
        <f>TRIM(MKK!F40)</f>
        <v>0</v>
      </c>
      <c r="G13" s="388" t="str">
        <f>TRIM(MKK!G40)</f>
        <v>0</v>
      </c>
      <c r="H13" s="388"/>
      <c r="I13" s="388" t="str">
        <f>TRIM(MKK!H40)</f>
        <v>0</v>
      </c>
      <c r="J13" s="389">
        <f>(MKK!I40)</f>
        <v>0</v>
      </c>
      <c r="K13" s="389">
        <f>(MKK!J40)</f>
        <v>0</v>
      </c>
      <c r="L13" s="388"/>
      <c r="M13" s="388"/>
      <c r="N13" s="388"/>
    </row>
    <row r="15" spans="1:60" x14ac:dyDescent="0.25">
      <c r="A15" t="s">
        <v>3032</v>
      </c>
    </row>
    <row r="16" spans="1:60" x14ac:dyDescent="0.25">
      <c r="A16" t="s">
        <v>12</v>
      </c>
      <c r="B16" t="s">
        <v>3033</v>
      </c>
      <c r="C16" t="s">
        <v>218</v>
      </c>
      <c r="D16" t="s">
        <v>219</v>
      </c>
      <c r="E16" t="s">
        <v>1</v>
      </c>
      <c r="F16" t="s">
        <v>33</v>
      </c>
      <c r="G16" t="s">
        <v>220</v>
      </c>
      <c r="H16" t="s">
        <v>3034</v>
      </c>
      <c r="I16" t="s">
        <v>3035</v>
      </c>
      <c r="J16" t="s">
        <v>3036</v>
      </c>
    </row>
    <row r="17" spans="1:66" x14ac:dyDescent="0.25">
      <c r="A17" t="str">
        <f>TRIM('Informasi Debitur'!A122)</f>
        <v>Oh Njen Lieng</v>
      </c>
      <c r="B17" t="str">
        <f>TRIM('Informasi Debitur'!B122)</f>
        <v>KTP</v>
      </c>
      <c r="C17" t="str">
        <f>TRIM('Informasi Debitur'!C122)</f>
        <v>6372041509560001</v>
      </c>
      <c r="D17" t="str">
        <f>TRIM('Informasi Debitur'!E122)</f>
        <v>0.5</v>
      </c>
      <c r="E17" t="str">
        <f>TRIM('Informasi Debitur'!F122)</f>
        <v>Jl A.Yani km 19 RT 009, RW 005</v>
      </c>
      <c r="F17" t="str">
        <f>TRIM('Informasi Debitur'!J122)</f>
        <v>02 - Direktur (Pemilik)</v>
      </c>
      <c r="G17" t="str">
        <f>TRIM('Informasi Debitur'!K122)</f>
        <v>093115764411000</v>
      </c>
      <c r="H17" t="str">
        <f>TRIM('Informasi Debitur'!L122)</f>
        <v>61</v>
      </c>
      <c r="I17" t="str">
        <f>TRIM('Informasi Debitur'!M122)</f>
        <v>8</v>
      </c>
      <c r="J17" t="str">
        <f>TRIM('Informasi Debitur'!N122)</f>
        <v>2010</v>
      </c>
    </row>
    <row r="18" spans="1:66" x14ac:dyDescent="0.25">
      <c r="A18" t="str">
        <f>TRIM('Informasi Debitur'!A123)</f>
        <v>Andy Susanto</v>
      </c>
      <c r="B18" t="str">
        <f>TRIM('Informasi Debitur'!B123)</f>
        <v>KTP</v>
      </c>
      <c r="C18" t="str">
        <f>TRIM('Informasi Debitur'!C123)</f>
        <v>3373040206610002</v>
      </c>
      <c r="D18" t="str">
        <f>TRIM('Informasi Debitur'!E123)</f>
        <v>0.5</v>
      </c>
      <c r="E18" t="str">
        <f>TRIM('Informasi Debitur'!F123)</f>
        <v>Jl Imam Bonjol no 70, RT 11, RW 08</v>
      </c>
      <c r="F18" t="str">
        <f>TRIM('Informasi Debitur'!J123)</f>
        <v>04 - Komisaris (Pemilik)</v>
      </c>
      <c r="G18" t="str">
        <f>TRIM('Informasi Debitur'!K123)</f>
        <v/>
      </c>
      <c r="H18" t="str">
        <f>TRIM('Informasi Debitur'!L123)</f>
        <v>45</v>
      </c>
      <c r="I18" t="str">
        <f>TRIM('Informasi Debitur'!M123)</f>
        <v>7</v>
      </c>
      <c r="J18" t="str">
        <f>TRIM('Informasi Debitur'!N123)</f>
        <v>2011</v>
      </c>
    </row>
    <row r="19" spans="1:66" x14ac:dyDescent="0.25">
      <c r="A19" t="str">
        <f>TRIM('Informasi Debitur'!A124)</f>
        <v/>
      </c>
      <c r="B19" t="str">
        <f>TRIM('Informasi Debitur'!B124)</f>
        <v/>
      </c>
      <c r="C19" t="str">
        <f>TRIM('Informasi Debitur'!C124)</f>
        <v/>
      </c>
      <c r="D19" t="str">
        <f>TRIM('Informasi Debitur'!E124)</f>
        <v/>
      </c>
      <c r="E19" t="str">
        <f>TRIM('Informasi Debitur'!F124)</f>
        <v/>
      </c>
      <c r="F19" t="str">
        <f>TRIM('Informasi Debitur'!J124)</f>
        <v/>
      </c>
      <c r="G19" t="str">
        <f>TRIM('Informasi Debitur'!K124)</f>
        <v/>
      </c>
      <c r="H19" t="str">
        <f>TRIM('Informasi Debitur'!L124)</f>
        <v/>
      </c>
      <c r="I19" t="str">
        <f>TRIM('Informasi Debitur'!M124)</f>
        <v/>
      </c>
      <c r="J19" t="str">
        <f>TRIM('Informasi Debitur'!N124)</f>
        <v/>
      </c>
    </row>
    <row r="20" spans="1:66" x14ac:dyDescent="0.25">
      <c r="A20" t="str">
        <f>TRIM('Informasi Debitur'!A125)</f>
        <v/>
      </c>
      <c r="B20" t="str">
        <f>TRIM('Informasi Debitur'!B125)</f>
        <v/>
      </c>
      <c r="C20" t="str">
        <f>TRIM('Informasi Debitur'!C125)</f>
        <v/>
      </c>
      <c r="D20" t="str">
        <f>TRIM('Informasi Debitur'!E125)</f>
        <v/>
      </c>
      <c r="E20" t="str">
        <f>TRIM('Informasi Debitur'!F125)</f>
        <v/>
      </c>
      <c r="F20" t="str">
        <f>TRIM('Informasi Debitur'!J125)</f>
        <v/>
      </c>
      <c r="G20" t="str">
        <f>TRIM('Informasi Debitur'!K125)</f>
        <v/>
      </c>
      <c r="H20" t="str">
        <f>TRIM('Informasi Debitur'!L125)</f>
        <v/>
      </c>
      <c r="I20" t="str">
        <f>TRIM('Informasi Debitur'!M125)</f>
        <v/>
      </c>
      <c r="J20" t="str">
        <f>TRIM('Informasi Debitur'!N125)</f>
        <v/>
      </c>
    </row>
    <row r="21" spans="1:66" x14ac:dyDescent="0.25">
      <c r="A21" t="str">
        <f>TRIM('Informasi Debitur'!A126)</f>
        <v/>
      </c>
      <c r="B21" t="str">
        <f>TRIM('Informasi Debitur'!B126)</f>
        <v/>
      </c>
      <c r="C21" t="str">
        <f>TRIM('Informasi Debitur'!C126)</f>
        <v/>
      </c>
      <c r="D21" t="str">
        <f>TRIM('Informasi Debitur'!E126)</f>
        <v/>
      </c>
      <c r="E21" t="str">
        <f>TRIM('Informasi Debitur'!F126)</f>
        <v/>
      </c>
      <c r="F21" t="str">
        <f>TRIM('Informasi Debitur'!J126)</f>
        <v/>
      </c>
      <c r="G21" t="str">
        <f>TRIM('Informasi Debitur'!K126)</f>
        <v/>
      </c>
      <c r="H21" t="str">
        <f>TRIM('Informasi Debitur'!L126)</f>
        <v/>
      </c>
      <c r="I21" t="str">
        <f>TRIM('Informasi Debitur'!M126)</f>
        <v/>
      </c>
      <c r="J21" t="str">
        <f>TRIM('Informasi Debitur'!N126)</f>
        <v/>
      </c>
    </row>
    <row r="22" spans="1:66" x14ac:dyDescent="0.25">
      <c r="A22" t="str">
        <f>TRIM('Informasi Debitur'!A127)</f>
        <v/>
      </c>
      <c r="B22" t="str">
        <f>TRIM('Informasi Debitur'!B127)</f>
        <v/>
      </c>
      <c r="C22" t="str">
        <f>TRIM('Informasi Debitur'!C127)</f>
        <v/>
      </c>
      <c r="D22" t="str">
        <f>TRIM('Informasi Debitur'!E127)</f>
        <v/>
      </c>
      <c r="E22" t="str">
        <f>TRIM('Informasi Debitur'!F127)</f>
        <v/>
      </c>
      <c r="F22" t="str">
        <f>TRIM('Informasi Debitur'!J127)</f>
        <v/>
      </c>
      <c r="G22" t="str">
        <f>TRIM('Informasi Debitur'!K127)</f>
        <v/>
      </c>
      <c r="H22" t="str">
        <f>TRIM('Informasi Debitur'!L127)</f>
        <v/>
      </c>
      <c r="I22" t="str">
        <f>TRIM('Informasi Debitur'!M127)</f>
        <v/>
      </c>
      <c r="J22" t="str">
        <f>TRIM('Informasi Debitur'!N127)</f>
        <v/>
      </c>
    </row>
    <row r="23" spans="1:66" x14ac:dyDescent="0.25">
      <c r="A23" t="str">
        <f>TRIM('Informasi Debitur'!A128)</f>
        <v/>
      </c>
      <c r="B23" t="str">
        <f>TRIM('Informasi Debitur'!B128)</f>
        <v/>
      </c>
      <c r="C23" t="str">
        <f>TRIM('Informasi Debitur'!C128)</f>
        <v/>
      </c>
      <c r="D23" t="str">
        <f>TRIM('Informasi Debitur'!E128)</f>
        <v/>
      </c>
      <c r="E23" t="str">
        <f>TRIM('Informasi Debitur'!F128)</f>
        <v/>
      </c>
      <c r="F23" t="str">
        <f>TRIM('Informasi Debitur'!J128)</f>
        <v/>
      </c>
      <c r="G23" t="str">
        <f>TRIM('Informasi Debitur'!K128)</f>
        <v/>
      </c>
      <c r="H23" t="str">
        <f>TRIM('Informasi Debitur'!L128)</f>
        <v/>
      </c>
      <c r="I23" t="str">
        <f>TRIM('Informasi Debitur'!M128)</f>
        <v/>
      </c>
      <c r="J23" t="str">
        <f>TRIM('Informasi Debitur'!N128)</f>
        <v/>
      </c>
    </row>
    <row r="24" spans="1:66" x14ac:dyDescent="0.25">
      <c r="A24" t="str">
        <f>TRIM('Informasi Debitur'!A129)</f>
        <v/>
      </c>
      <c r="B24" t="str">
        <f>TRIM('Informasi Debitur'!B129)</f>
        <v/>
      </c>
      <c r="C24" t="str">
        <f>TRIM('Informasi Debitur'!C129)</f>
        <v/>
      </c>
      <c r="D24" t="str">
        <f>TRIM('Informasi Debitur'!E129)</f>
        <v/>
      </c>
      <c r="E24" t="str">
        <f>TRIM('Informasi Debitur'!F129)</f>
        <v/>
      </c>
      <c r="F24" t="str">
        <f>TRIM('Informasi Debitur'!J129)</f>
        <v/>
      </c>
      <c r="G24" t="str">
        <f>TRIM('Informasi Debitur'!K129)</f>
        <v/>
      </c>
      <c r="H24" t="str">
        <f>TRIM('Informasi Debitur'!L129)</f>
        <v/>
      </c>
      <c r="I24" t="str">
        <f>TRIM('Informasi Debitur'!M129)</f>
        <v/>
      </c>
      <c r="J24" t="str">
        <f>TRIM('Informasi Debitur'!N129)</f>
        <v/>
      </c>
    </row>
    <row r="25" spans="1:66" x14ac:dyDescent="0.25">
      <c r="A25" t="str">
        <f>TRIM('Informasi Debitur'!A130)</f>
        <v/>
      </c>
      <c r="B25" t="str">
        <f>TRIM('Informasi Debitur'!B130)</f>
        <v/>
      </c>
      <c r="C25" t="str">
        <f>TRIM('Informasi Debitur'!C130)</f>
        <v/>
      </c>
      <c r="D25" t="str">
        <f>TRIM('Informasi Debitur'!E130)</f>
        <v/>
      </c>
      <c r="E25" t="str">
        <f>TRIM('Informasi Debitur'!F130)</f>
        <v/>
      </c>
      <c r="F25" t="str">
        <f>TRIM('Informasi Debitur'!J130)</f>
        <v/>
      </c>
      <c r="G25" t="str">
        <f>TRIM('Informasi Debitur'!K130)</f>
        <v/>
      </c>
      <c r="H25" t="str">
        <f>TRIM('Informasi Debitur'!L130)</f>
        <v/>
      </c>
      <c r="I25" t="str">
        <f>TRIM('Informasi Debitur'!M130)</f>
        <v/>
      </c>
      <c r="J25" t="str">
        <f>TRIM('Informasi Debitur'!N130)</f>
        <v/>
      </c>
    </row>
    <row r="26" spans="1:66" x14ac:dyDescent="0.25">
      <c r="A26" t="str">
        <f>TRIM('Informasi Debitur'!A131)</f>
        <v/>
      </c>
      <c r="B26" t="str">
        <f>TRIM('Informasi Debitur'!B131)</f>
        <v/>
      </c>
      <c r="C26" t="str">
        <f>TRIM('Informasi Debitur'!C131)</f>
        <v/>
      </c>
      <c r="D26" t="str">
        <f>TRIM('Informasi Debitur'!E131)</f>
        <v/>
      </c>
      <c r="E26" t="str">
        <f>TRIM('Informasi Debitur'!F131)</f>
        <v/>
      </c>
      <c r="F26" t="str">
        <f>TRIM('Informasi Debitur'!J131)</f>
        <v/>
      </c>
      <c r="G26" t="str">
        <f>TRIM('Informasi Debitur'!K131)</f>
        <v/>
      </c>
      <c r="H26" t="str">
        <f>TRIM('Informasi Debitur'!L131)</f>
        <v/>
      </c>
      <c r="I26" t="str">
        <f>TRIM('Informasi Debitur'!M131)</f>
        <v/>
      </c>
      <c r="J26" t="str">
        <f>TRIM('Informasi Debitur'!N131)</f>
        <v/>
      </c>
    </row>
    <row r="27" spans="1:66" x14ac:dyDescent="0.25">
      <c r="A27" t="str">
        <f>TRIM('Informasi Debitur'!A132)</f>
        <v/>
      </c>
      <c r="B27" t="str">
        <f>TRIM('Informasi Debitur'!B132)</f>
        <v/>
      </c>
      <c r="C27" t="str">
        <f>TRIM('Informasi Debitur'!C132)</f>
        <v/>
      </c>
      <c r="D27" t="str">
        <f>TRIM('Informasi Debitur'!E132)</f>
        <v/>
      </c>
      <c r="E27" t="str">
        <f>TRIM('Informasi Debitur'!F132)</f>
        <v/>
      </c>
      <c r="F27" t="str">
        <f>TRIM('Informasi Debitur'!J132)</f>
        <v/>
      </c>
      <c r="G27" t="str">
        <f>TRIM('Informasi Debitur'!K132)</f>
        <v/>
      </c>
      <c r="H27" t="str">
        <f>TRIM('Informasi Debitur'!L132)</f>
        <v/>
      </c>
      <c r="I27" t="str">
        <f>TRIM('Informasi Debitur'!M132)</f>
        <v/>
      </c>
      <c r="J27" t="str">
        <f>TRIM('Informasi Debitur'!N132)</f>
        <v/>
      </c>
    </row>
    <row r="29" spans="1:66" x14ac:dyDescent="0.25">
      <c r="A29" t="s">
        <v>327</v>
      </c>
    </row>
    <row r="30" spans="1:66" x14ac:dyDescent="0.25">
      <c r="A30" t="s">
        <v>3037</v>
      </c>
      <c r="B30" t="s">
        <v>3038</v>
      </c>
      <c r="C30" t="s">
        <v>3130</v>
      </c>
      <c r="D30" t="s">
        <v>3039</v>
      </c>
      <c r="E30" t="s">
        <v>3040</v>
      </c>
      <c r="F30" t="s">
        <v>3041</v>
      </c>
      <c r="G30" t="s">
        <v>3042</v>
      </c>
      <c r="H30" t="s">
        <v>3043</v>
      </c>
      <c r="I30" t="s">
        <v>3044</v>
      </c>
      <c r="J30" t="s">
        <v>3045</v>
      </c>
      <c r="K30" t="s">
        <v>3046</v>
      </c>
      <c r="L30" t="s">
        <v>3047</v>
      </c>
      <c r="M30" t="s">
        <v>3048</v>
      </c>
      <c r="N30" t="s">
        <v>3049</v>
      </c>
      <c r="O30" t="s">
        <v>3050</v>
      </c>
      <c r="P30" t="s">
        <v>3051</v>
      </c>
      <c r="Q30" t="s">
        <v>3052</v>
      </c>
      <c r="R30" t="s">
        <v>3053</v>
      </c>
      <c r="S30" t="s">
        <v>3054</v>
      </c>
      <c r="T30" t="s">
        <v>3055</v>
      </c>
      <c r="U30" t="s">
        <v>3056</v>
      </c>
      <c r="V30" t="s">
        <v>3057</v>
      </c>
      <c r="W30" t="s">
        <v>344</v>
      </c>
      <c r="X30" t="s">
        <v>342</v>
      </c>
      <c r="Y30" t="s">
        <v>343</v>
      </c>
      <c r="Z30" t="s">
        <v>347</v>
      </c>
      <c r="AA30" t="s">
        <v>348</v>
      </c>
      <c r="AB30" t="s">
        <v>3131</v>
      </c>
      <c r="AC30" t="s">
        <v>3132</v>
      </c>
      <c r="AD30" t="s">
        <v>725</v>
      </c>
      <c r="AE30" t="s">
        <v>3133</v>
      </c>
      <c r="AF30" t="s">
        <v>3134</v>
      </c>
      <c r="AG30" t="s">
        <v>3135</v>
      </c>
      <c r="AH30" t="s">
        <v>3136</v>
      </c>
      <c r="AI30" t="s">
        <v>3137</v>
      </c>
      <c r="AJ30" t="s">
        <v>3138</v>
      </c>
      <c r="AK30" t="s">
        <v>3139</v>
      </c>
      <c r="AL30" t="s">
        <v>4252</v>
      </c>
      <c r="AM30" t="s">
        <v>4253</v>
      </c>
      <c r="AN30" t="s">
        <v>4254</v>
      </c>
      <c r="AO30" t="s">
        <v>3140</v>
      </c>
      <c r="AP30" t="s">
        <v>4255</v>
      </c>
      <c r="AQ30" t="s">
        <v>4256</v>
      </c>
      <c r="AR30" t="s">
        <v>4257</v>
      </c>
      <c r="AS30" t="s">
        <v>4258</v>
      </c>
      <c r="AT30" t="s">
        <v>4259</v>
      </c>
      <c r="AU30" t="s">
        <v>4260</v>
      </c>
      <c r="AV30" t="s">
        <v>4261</v>
      </c>
      <c r="AW30" t="s">
        <v>4262</v>
      </c>
      <c r="AX30" t="s">
        <v>4263</v>
      </c>
      <c r="AY30" t="s">
        <v>4264</v>
      </c>
      <c r="AZ30" t="s">
        <v>4265</v>
      </c>
      <c r="BA30" t="s">
        <v>4266</v>
      </c>
      <c r="BB30" t="s">
        <v>4267</v>
      </c>
      <c r="BC30" t="s">
        <v>4268</v>
      </c>
      <c r="BD30" t="s">
        <v>4269</v>
      </c>
      <c r="BE30" t="s">
        <v>4270</v>
      </c>
      <c r="BF30" t="s">
        <v>4271</v>
      </c>
      <c r="BG30" t="s">
        <v>3058</v>
      </c>
      <c r="BH30" t="s">
        <v>3059</v>
      </c>
      <c r="BI30" t="s">
        <v>3060</v>
      </c>
      <c r="BJ30" t="s">
        <v>3061</v>
      </c>
      <c r="BK30" t="s">
        <v>3142</v>
      </c>
      <c r="BL30" t="s">
        <v>3141</v>
      </c>
      <c r="BM30" t="s">
        <v>3143</v>
      </c>
      <c r="BN30" t="s">
        <v>3144</v>
      </c>
    </row>
    <row r="31" spans="1:66" x14ac:dyDescent="0.25">
      <c r="A31" t="str">
        <f>TRIM('Informasi Debitur'!H138)</f>
        <v>Ya</v>
      </c>
      <c r="B31" t="str">
        <f>TRIM('Informasi Debitur'!H139)</f>
        <v>Ya</v>
      </c>
      <c r="C31" t="str">
        <f>TRIM('Informasi Debitur'!H140)</f>
        <v>Ya</v>
      </c>
      <c r="D31" t="str">
        <f>TRIM('Informasi Debitur'!H141)</f>
        <v>Ya</v>
      </c>
      <c r="E31" t="str">
        <f>TRIM(RAC!H18)</f>
        <v>Lanjutkan ke proses selanjutnya</v>
      </c>
      <c r="F31" t="str">
        <f>TRIM(RAC!F26)</f>
        <v>Pass</v>
      </c>
      <c r="G31" t="str">
        <f>TRIM(RAC!G26)</f>
        <v/>
      </c>
      <c r="H31" t="str">
        <f>TRIM(RAC!H26)</f>
        <v>Pass</v>
      </c>
      <c r="I31" t="str">
        <f>TRIM(RAC!F31)</f>
        <v>Pass</v>
      </c>
      <c r="J31" t="str">
        <f>TRIM(RAC!G31)</f>
        <v/>
      </c>
      <c r="K31" t="str">
        <f>TRIM(RAC!H31)</f>
        <v>Pass</v>
      </c>
      <c r="L31" t="str">
        <f>TRIM(RAC!F32)</f>
        <v>Pass</v>
      </c>
      <c r="M31" t="str">
        <f>TRIM(RAC!G32)</f>
        <v/>
      </c>
      <c r="N31" t="str">
        <f>TRIM(RAC!H32)</f>
        <v>Pass</v>
      </c>
      <c r="O31" t="str">
        <f>TRIM(RAC!F33)</f>
        <v>Pass</v>
      </c>
      <c r="P31" t="str">
        <f>TRIM(RAC!G33)</f>
        <v/>
      </c>
      <c r="Q31" t="str">
        <f>TRIM(RAC!H33)</f>
        <v>Pass</v>
      </c>
      <c r="U31" t="str">
        <f>TRIM(RAC!E37)</f>
        <v>PASS</v>
      </c>
      <c r="V31" t="str">
        <f>TRIM(RAC!E38)</f>
        <v>PASS</v>
      </c>
      <c r="W31" t="str">
        <f>TRIM(RAC!C43)</f>
        <v>Green</v>
      </c>
      <c r="X31" t="str">
        <f>TRIM(RAC!C46)</f>
        <v>1400</v>
      </c>
      <c r="Y31" t="str">
        <f>TRIM(RAC!C47)</f>
        <v>1501.886</v>
      </c>
      <c r="Z31" t="str">
        <f>TRIM(RAC!C49)</f>
        <v>Modal Kerja</v>
      </c>
      <c r="AA31" t="str">
        <f>TRIM(RAC!C50)</f>
        <v>18762.97</v>
      </c>
      <c r="AE31" t="str">
        <f>TRIM(RAC!C56)</f>
        <v>0.932161295864</v>
      </c>
      <c r="AF31" t="str">
        <f>TRIM(RAC!D56)</f>
        <v>PASS</v>
      </c>
      <c r="AI31" t="str">
        <f>TRIM(RAC!C57)</f>
        <v>0.0545789925582144</v>
      </c>
      <c r="AJ31" t="str">
        <f>TRIM(RAC!D57)</f>
        <v>PASS</v>
      </c>
      <c r="AK31" t="str">
        <f>TRIM(RAC!C59)</f>
        <v>PASS</v>
      </c>
      <c r="AL31" t="str">
        <f>TRIM(RAC!C60)</f>
        <v>1400</v>
      </c>
      <c r="AM31" t="str">
        <f>TRIM(RAC!C61)</f>
        <v>0</v>
      </c>
      <c r="AN31" t="str">
        <f>TRIM(RAC!C63)</f>
        <v>1612.04177931319</v>
      </c>
      <c r="AO31" t="str">
        <f>TRIM(RAC!C64)</f>
        <v>374.59</v>
      </c>
      <c r="AP31" t="str">
        <f>TRIM(RAC!C65)</f>
        <v>410.333</v>
      </c>
      <c r="AQ31" t="str">
        <f>TRIM(RAC!C67)</f>
        <v>2.05375785817614</v>
      </c>
      <c r="AR31" t="str">
        <f>TRIM(RAC!C72)</f>
        <v>1400</v>
      </c>
      <c r="AS31" t="str">
        <f>TRIM(RAC!E56)</f>
        <v>0.665829497045715</v>
      </c>
      <c r="AT31" t="str">
        <f>TRIM(RAC!F56)</f>
        <v>PASS</v>
      </c>
      <c r="AW31" t="str">
        <f>TRIM(RAC!E57)</f>
        <v>0.0332604060018217</v>
      </c>
      <c r="AX31" t="str">
        <f>TRIM(RAC!F57)</f>
        <v>PASS</v>
      </c>
      <c r="AY31" t="str">
        <f>TRIM(RAC!E59)</f>
        <v>PASS</v>
      </c>
      <c r="AZ31" t="str">
        <f>TRIM(RAC!E60)</f>
        <v>1000</v>
      </c>
      <c r="BA31" t="str">
        <f>TRIM(RAC!E61)</f>
        <v>0</v>
      </c>
      <c r="BB31" t="str">
        <f>TRIM(RAC!E63)</f>
        <v>1612.04177931319</v>
      </c>
      <c r="BC31" t="str">
        <f>TRIM(RAC!E64)</f>
        <v>374.59</v>
      </c>
      <c r="BD31" t="str">
        <f>TRIM(RAC!E65)</f>
        <v>410.333</v>
      </c>
      <c r="BE31" t="str">
        <f>TRIM(RAC!E67)</f>
        <v>2.05375785817614</v>
      </c>
      <c r="BF31" t="str">
        <f>TRIM(RAC!E72)</f>
        <v>1000</v>
      </c>
      <c r="BG31" t="str">
        <f>TRIM(RAC!C103)</f>
        <v>Tidak</v>
      </c>
      <c r="BH31" t="str">
        <f>TRIM(RAC!D103)</f>
        <v>Sesuai BWMK</v>
      </c>
      <c r="BI31" t="str">
        <f>TRIM(RAC!C104)</f>
        <v>Tidak</v>
      </c>
      <c r="BJ31" t="str">
        <f>TRIM(RAC!D104)</f>
        <v>Sesuai BWMK</v>
      </c>
      <c r="BK31" t="str">
        <f>TRIM(RAC!C106)</f>
        <v>Tidak</v>
      </c>
      <c r="BL31" t="str">
        <f>TRIM(RAC!D106)</f>
        <v>Sesuai BWMK</v>
      </c>
      <c r="BM31" t="str">
        <f>TRIM(RAC!C107)</f>
        <v>Tidak</v>
      </c>
      <c r="BN31" t="str">
        <f>TRIM(RAC!D107)</f>
        <v>Sesuai BWMK</v>
      </c>
    </row>
    <row r="33" spans="1:10" x14ac:dyDescent="0.25">
      <c r="A33" t="s">
        <v>3062</v>
      </c>
    </row>
    <row r="34" spans="1:10" x14ac:dyDescent="0.25">
      <c r="A34" t="s">
        <v>240</v>
      </c>
      <c r="B34" t="s">
        <v>2402</v>
      </c>
      <c r="C34" t="s">
        <v>231</v>
      </c>
      <c r="D34" t="s">
        <v>5</v>
      </c>
      <c r="E34" t="s">
        <v>6</v>
      </c>
      <c r="F34" t="s">
        <v>35</v>
      </c>
      <c r="G34" t="s">
        <v>254</v>
      </c>
      <c r="H34" t="s">
        <v>3063</v>
      </c>
      <c r="I34" t="s">
        <v>3064</v>
      </c>
      <c r="J34" t="s">
        <v>247</v>
      </c>
    </row>
    <row r="35" spans="1:10" x14ac:dyDescent="0.25">
      <c r="A35" t="str">
        <f>TRIM('Informasi Debitur'!A154)</f>
        <v>Permata</v>
      </c>
      <c r="B35" t="str">
        <f>TRIM('Informasi Debitur'!C154)</f>
        <v>KPM</v>
      </c>
      <c r="C35" t="str">
        <f>TRIM('Informasi Debitur'!D154)</f>
        <v>Konsumsi</v>
      </c>
      <c r="D35" t="str">
        <f>TRIM('Informasi Debitur'!F154)</f>
        <v>49.117</v>
      </c>
      <c r="E35" t="str">
        <f>TRIM('Informasi Debitur'!G154)</f>
        <v>49.117</v>
      </c>
      <c r="F35" t="str">
        <f>TRIM('Informasi Debitur'!J154)</f>
        <v>Mobil</v>
      </c>
      <c r="G35" t="str">
        <f>TRIM('Informasi Debitur'!K154)</f>
        <v>136</v>
      </c>
      <c r="H35" t="str">
        <f>TRIM('Informasi Debitur'!L154)</f>
        <v>2</v>
      </c>
      <c r="I35" t="str">
        <f>TRIM('Informasi Debitur'!M154)</f>
        <v>1 - Lancar</v>
      </c>
      <c r="J35" t="str">
        <f>TRIM('Informasi Debitur'!P154)</f>
        <v>0</v>
      </c>
    </row>
    <row r="36" spans="1:10" x14ac:dyDescent="0.25">
      <c r="A36" t="str">
        <f>TRIM('Informasi Debitur'!A155)</f>
        <v>Permata</v>
      </c>
      <c r="B36" t="str">
        <f>TRIM('Informasi Debitur'!C155)</f>
        <v>KPM</v>
      </c>
      <c r="C36" t="str">
        <f>TRIM('Informasi Debitur'!D155)</f>
        <v>Konsumsi</v>
      </c>
      <c r="D36" t="str">
        <f>TRIM('Informasi Debitur'!F155)</f>
        <v>94.872</v>
      </c>
      <c r="E36" t="str">
        <f>TRIM('Informasi Debitur'!G155)</f>
        <v>94.872</v>
      </c>
      <c r="F36" t="str">
        <f>TRIM('Informasi Debitur'!J155)</f>
        <v>Mobil</v>
      </c>
      <c r="G36" t="str">
        <f>TRIM('Informasi Debitur'!K155)</f>
        <v>240</v>
      </c>
      <c r="H36" t="str">
        <f>TRIM('Informasi Debitur'!L155)</f>
        <v>2</v>
      </c>
      <c r="I36" t="str">
        <f>TRIM('Informasi Debitur'!M155)</f>
        <v>1 - Lancar</v>
      </c>
      <c r="J36" t="str">
        <f>TRIM('Informasi Debitur'!P155)</f>
        <v>0</v>
      </c>
    </row>
    <row r="37" spans="1:10" x14ac:dyDescent="0.25">
      <c r="A37" t="str">
        <f>TRIM('Informasi Debitur'!A156)</f>
        <v>Panin</v>
      </c>
      <c r="B37" t="str">
        <f>TRIM('Informasi Debitur'!C156)</f>
        <v>KPR</v>
      </c>
      <c r="C37" t="str">
        <f>TRIM('Informasi Debitur'!D156)</f>
        <v>Konsumsi</v>
      </c>
      <c r="D37" t="str">
        <f>TRIM('Informasi Debitur'!F156)</f>
        <v>375.936</v>
      </c>
      <c r="E37" t="str">
        <f>TRIM('Informasi Debitur'!G156)</f>
        <v>375.936</v>
      </c>
      <c r="F37" t="str">
        <f>TRIM('Informasi Debitur'!J156)</f>
        <v>Rumah</v>
      </c>
      <c r="G37" t="str">
        <f>TRIM('Informasi Debitur'!K156)</f>
        <v>1067.4</v>
      </c>
      <c r="H37" t="str">
        <f>TRIM('Informasi Debitur'!L156)</f>
        <v>10</v>
      </c>
      <c r="I37" t="str">
        <f>TRIM('Informasi Debitur'!M156)</f>
        <v>1 - Lancar</v>
      </c>
      <c r="J37" t="str">
        <f>TRIM('Informasi Debitur'!P156)</f>
        <v>0</v>
      </c>
    </row>
    <row r="38" spans="1:10" x14ac:dyDescent="0.25">
      <c r="A38" t="str">
        <f>TRIM('Informasi Debitur'!A157)</f>
        <v>Danamon</v>
      </c>
      <c r="B38" t="str">
        <f>TRIM('Informasi Debitur'!C157)</f>
        <v>KPM</v>
      </c>
      <c r="C38" t="str">
        <f>TRIM('Informasi Debitur'!D157)</f>
        <v>Konsumsi</v>
      </c>
      <c r="D38" t="str">
        <f>TRIM('Informasi Debitur'!F157)</f>
        <v>70.036</v>
      </c>
      <c r="E38" t="str">
        <f>TRIM('Informasi Debitur'!G157)</f>
        <v>70.036</v>
      </c>
      <c r="F38" t="str">
        <f>TRIM('Informasi Debitur'!J157)</f>
        <v>Mobil</v>
      </c>
      <c r="G38" t="str">
        <f>TRIM('Informasi Debitur'!K157)</f>
        <v>0</v>
      </c>
      <c r="H38" t="str">
        <f>TRIM('Informasi Debitur'!L157)</f>
        <v>2</v>
      </c>
      <c r="I38" t="str">
        <f>TRIM('Informasi Debitur'!M157)</f>
        <v>1 - Lancar</v>
      </c>
      <c r="J38" t="str">
        <f>TRIM('Informasi Debitur'!P157)</f>
        <v>0</v>
      </c>
    </row>
    <row r="39" spans="1:10" x14ac:dyDescent="0.25">
      <c r="A39" t="str">
        <f>TRIM('Informasi Debitur'!A158)</f>
        <v>Danamon</v>
      </c>
      <c r="B39" t="str">
        <f>TRIM('Informasi Debitur'!C158)</f>
        <v>KPM</v>
      </c>
      <c r="C39" t="str">
        <f>TRIM('Informasi Debitur'!D158)</f>
        <v>Konsumsi</v>
      </c>
      <c r="D39" t="str">
        <f>TRIM('Informasi Debitur'!F158)</f>
        <v>70.036</v>
      </c>
      <c r="E39" t="str">
        <f>TRIM('Informasi Debitur'!G158)</f>
        <v>70.036</v>
      </c>
      <c r="F39" t="str">
        <f>TRIM('Informasi Debitur'!J158)</f>
        <v>Mobil</v>
      </c>
      <c r="G39" t="str">
        <f>TRIM('Informasi Debitur'!K158)</f>
        <v>0</v>
      </c>
      <c r="H39" t="str">
        <f>TRIM('Informasi Debitur'!L158)</f>
        <v>2</v>
      </c>
      <c r="I39" t="str">
        <f>TRIM('Informasi Debitur'!M158)</f>
        <v>1 - Lancar</v>
      </c>
      <c r="J39" t="str">
        <f>TRIM('Informasi Debitur'!P158)</f>
        <v>0</v>
      </c>
    </row>
    <row r="40" spans="1:10" x14ac:dyDescent="0.25">
      <c r="A40" t="str">
        <f>TRIM('Informasi Debitur'!A159)</f>
        <v>Citibank</v>
      </c>
      <c r="B40" t="str">
        <f>TRIM('Informasi Debitur'!C159)</f>
        <v>Kartu Kredit</v>
      </c>
      <c r="C40" t="str">
        <f>TRIM('Informasi Debitur'!D159)</f>
        <v>Lainnya</v>
      </c>
      <c r="D40" t="str">
        <f>TRIM('Informasi Debitur'!F159)</f>
        <v>174.855</v>
      </c>
      <c r="E40" t="str">
        <f>TRIM('Informasi Debitur'!G159)</f>
        <v>174.855</v>
      </c>
      <c r="F40" t="str">
        <f>TRIM('Informasi Debitur'!J159)</f>
        <v>-</v>
      </c>
      <c r="G40" t="str">
        <f>TRIM('Informasi Debitur'!K159)</f>
        <v>0</v>
      </c>
      <c r="H40" t="str">
        <f>TRIM('Informasi Debitur'!L159)</f>
        <v>2</v>
      </c>
      <c r="I40" t="str">
        <f>TRIM('Informasi Debitur'!M159)</f>
        <v>1 - Lancar</v>
      </c>
      <c r="J40" t="str">
        <f>TRIM('Informasi Debitur'!P159)</f>
        <v>0</v>
      </c>
    </row>
    <row r="41" spans="1:10" x14ac:dyDescent="0.25">
      <c r="A41" t="str">
        <f>TRIM('Informasi Debitur'!A160)</f>
        <v>Bank2</v>
      </c>
      <c r="B41" t="str">
        <f>TRIM('Informasi Debitur'!C160)</f>
        <v>Kartu Kredit</v>
      </c>
      <c r="C41" t="str">
        <f>TRIM('Informasi Debitur'!D160)</f>
        <v>Lainnya</v>
      </c>
      <c r="D41" t="str">
        <f>TRIM('Informasi Debitur'!F160)</f>
        <v>280.1</v>
      </c>
      <c r="E41" t="str">
        <f>TRIM('Informasi Debitur'!G160)</f>
        <v>120.963</v>
      </c>
      <c r="F41" t="str">
        <f>TRIM('Informasi Debitur'!J160)</f>
        <v>-</v>
      </c>
      <c r="G41" t="str">
        <f>TRIM('Informasi Debitur'!K160)</f>
        <v>0</v>
      </c>
      <c r="H41" t="str">
        <f>TRIM('Informasi Debitur'!L160)</f>
        <v/>
      </c>
      <c r="I41" t="str">
        <f>TRIM('Informasi Debitur'!M160)</f>
        <v>1 - Lancar</v>
      </c>
      <c r="J41" t="str">
        <f>TRIM('Informasi Debitur'!P160)</f>
        <v>0</v>
      </c>
    </row>
    <row r="42" spans="1:10" x14ac:dyDescent="0.25">
      <c r="A42" t="str">
        <f>TRIM('Informasi Debitur'!A161)</f>
        <v>Bank2</v>
      </c>
      <c r="B42" t="str">
        <f>TRIM('Informasi Debitur'!C161)</f>
        <v>Kartu Kredit</v>
      </c>
      <c r="C42" t="str">
        <f>TRIM('Informasi Debitur'!D161)</f>
        <v>Lainnya</v>
      </c>
      <c r="D42" t="str">
        <f>TRIM('Informasi Debitur'!F161)</f>
        <v>865.036</v>
      </c>
      <c r="E42" t="str">
        <f>TRIM('Informasi Debitur'!G161)</f>
        <v>3.182</v>
      </c>
      <c r="F42" t="str">
        <f>TRIM('Informasi Debitur'!J161)</f>
        <v>-</v>
      </c>
      <c r="G42" t="str">
        <f>TRIM('Informasi Debitur'!K161)</f>
        <v>0</v>
      </c>
      <c r="H42" t="str">
        <f>TRIM('Informasi Debitur'!L161)</f>
        <v/>
      </c>
      <c r="I42" t="str">
        <f>TRIM('Informasi Debitur'!M161)</f>
        <v>1 - Lancar</v>
      </c>
      <c r="J42" t="str">
        <f>TRIM('Informasi Debitur'!P161)</f>
        <v>0</v>
      </c>
    </row>
    <row r="43" spans="1:10" x14ac:dyDescent="0.25">
      <c r="A43" t="str">
        <f>TRIM('Informasi Debitur'!A162)</f>
        <v/>
      </c>
      <c r="B43" t="str">
        <f>TRIM('Informasi Debitur'!C162)</f>
        <v/>
      </c>
      <c r="C43" t="str">
        <f>TRIM('Informasi Debitur'!D162)</f>
        <v/>
      </c>
      <c r="D43" t="str">
        <f>TRIM('Informasi Debitur'!F162)</f>
        <v/>
      </c>
      <c r="E43" t="str">
        <f>TRIM('Informasi Debitur'!G162)</f>
        <v/>
      </c>
      <c r="F43" t="str">
        <f>TRIM('Informasi Debitur'!J162)</f>
        <v/>
      </c>
      <c r="G43" t="str">
        <f>TRIM('Informasi Debitur'!K162)</f>
        <v/>
      </c>
      <c r="H43" t="str">
        <f>TRIM('Informasi Debitur'!L162)</f>
        <v/>
      </c>
      <c r="I43" t="str">
        <f>TRIM('Informasi Debitur'!M162)</f>
        <v/>
      </c>
      <c r="J43" t="str">
        <f>TRIM('Informasi Debitur'!P162)</f>
        <v/>
      </c>
    </row>
    <row r="44" spans="1:10" x14ac:dyDescent="0.25">
      <c r="A44" t="str">
        <f>TRIM('Informasi Debitur'!A163)</f>
        <v/>
      </c>
      <c r="B44" t="str">
        <f>TRIM('Informasi Debitur'!C163)</f>
        <v/>
      </c>
      <c r="C44" t="str">
        <f>TRIM('Informasi Debitur'!D163)</f>
        <v/>
      </c>
      <c r="D44" t="str">
        <f>TRIM('Informasi Debitur'!F163)</f>
        <v/>
      </c>
      <c r="E44" t="str">
        <f>TRIM('Informasi Debitur'!G163)</f>
        <v/>
      </c>
      <c r="F44" t="str">
        <f>TRIM('Informasi Debitur'!J163)</f>
        <v/>
      </c>
      <c r="G44" t="str">
        <f>TRIM('Informasi Debitur'!K163)</f>
        <v/>
      </c>
      <c r="H44" t="str">
        <f>TRIM('Informasi Debitur'!L163)</f>
        <v/>
      </c>
      <c r="I44" t="str">
        <f>TRIM('Informasi Debitur'!M163)</f>
        <v/>
      </c>
      <c r="J44" t="str">
        <f>TRIM('Informasi Debitur'!P163)</f>
        <v/>
      </c>
    </row>
    <row r="45" spans="1:10" x14ac:dyDescent="0.25">
      <c r="A45" t="str">
        <f>TRIM('Informasi Debitur'!A164)</f>
        <v/>
      </c>
      <c r="B45" t="str">
        <f>TRIM('Informasi Debitur'!C164)</f>
        <v/>
      </c>
      <c r="C45" t="str">
        <f>TRIM('Informasi Debitur'!D164)</f>
        <v/>
      </c>
      <c r="D45" t="str">
        <f>TRIM('Informasi Debitur'!F164)</f>
        <v/>
      </c>
      <c r="E45" t="str">
        <f>TRIM('Informasi Debitur'!G164)</f>
        <v/>
      </c>
      <c r="F45" t="str">
        <f>TRIM('Informasi Debitur'!J164)</f>
        <v/>
      </c>
      <c r="G45" t="str">
        <f>TRIM('Informasi Debitur'!K164)</f>
        <v/>
      </c>
      <c r="H45" t="str">
        <f>TRIM('Informasi Debitur'!L164)</f>
        <v/>
      </c>
      <c r="I45" t="str">
        <f>TRIM('Informasi Debitur'!M164)</f>
        <v/>
      </c>
      <c r="J45" t="str">
        <f>TRIM('Informasi Debitur'!P164)</f>
        <v/>
      </c>
    </row>
    <row r="46" spans="1:10" x14ac:dyDescent="0.25">
      <c r="A46" t="str">
        <f>TRIM('Informasi Debitur'!A165)</f>
        <v/>
      </c>
      <c r="B46" t="str">
        <f>TRIM('Informasi Debitur'!C165)</f>
        <v/>
      </c>
      <c r="C46" t="str">
        <f>TRIM('Informasi Debitur'!D165)</f>
        <v/>
      </c>
      <c r="D46" t="str">
        <f>TRIM('Informasi Debitur'!F165)</f>
        <v/>
      </c>
      <c r="E46" t="str">
        <f>TRIM('Informasi Debitur'!G165)</f>
        <v/>
      </c>
      <c r="F46" t="str">
        <f>TRIM('Informasi Debitur'!J165)</f>
        <v/>
      </c>
      <c r="G46" t="str">
        <f>TRIM('Informasi Debitur'!K165)</f>
        <v/>
      </c>
      <c r="H46" t="str">
        <f>TRIM('Informasi Debitur'!L165)</f>
        <v/>
      </c>
      <c r="I46" t="str">
        <f>TRIM('Informasi Debitur'!M165)</f>
        <v/>
      </c>
      <c r="J46" t="str">
        <f>TRIM('Informasi Debitur'!P165)</f>
        <v/>
      </c>
    </row>
    <row r="47" spans="1:10" x14ac:dyDescent="0.25">
      <c r="A47" t="str">
        <f>TRIM('Informasi Debitur'!A166)</f>
        <v/>
      </c>
      <c r="B47" t="str">
        <f>TRIM('Informasi Debitur'!C166)</f>
        <v/>
      </c>
      <c r="C47" t="str">
        <f>TRIM('Informasi Debitur'!D166)</f>
        <v/>
      </c>
      <c r="D47" t="str">
        <f>TRIM('Informasi Debitur'!F166)</f>
        <v/>
      </c>
      <c r="E47" t="str">
        <f>TRIM('Informasi Debitur'!G166)</f>
        <v/>
      </c>
      <c r="F47" t="str">
        <f>TRIM('Informasi Debitur'!J166)</f>
        <v/>
      </c>
      <c r="G47" t="str">
        <f>TRIM('Informasi Debitur'!K166)</f>
        <v/>
      </c>
      <c r="H47" t="str">
        <f>TRIM('Informasi Debitur'!L166)</f>
        <v/>
      </c>
      <c r="I47" t="str">
        <f>TRIM('Informasi Debitur'!M166)</f>
        <v/>
      </c>
      <c r="J47" t="str">
        <f>TRIM('Informasi Debitur'!P166)</f>
        <v/>
      </c>
    </row>
    <row r="48" spans="1:10" x14ac:dyDescent="0.25">
      <c r="A48" t="str">
        <f>TRIM('Informasi Debitur'!A167)</f>
        <v/>
      </c>
      <c r="B48" t="str">
        <f>TRIM('Informasi Debitur'!C167)</f>
        <v/>
      </c>
      <c r="C48" t="str">
        <f>TRIM('Informasi Debitur'!D167)</f>
        <v/>
      </c>
      <c r="D48" t="str">
        <f>TRIM('Informasi Debitur'!F167)</f>
        <v/>
      </c>
      <c r="E48" t="str">
        <f>TRIM('Informasi Debitur'!G167)</f>
        <v/>
      </c>
      <c r="F48" t="str">
        <f>TRIM('Informasi Debitur'!J167)</f>
        <v/>
      </c>
      <c r="G48" t="str">
        <f>TRIM('Informasi Debitur'!K167)</f>
        <v/>
      </c>
      <c r="H48" t="str">
        <f>TRIM('Informasi Debitur'!L167)</f>
        <v/>
      </c>
      <c r="I48" t="str">
        <f>TRIM('Informasi Debitur'!M167)</f>
        <v/>
      </c>
      <c r="J48" t="str">
        <f>TRIM('Informasi Debitur'!P167)</f>
        <v/>
      </c>
    </row>
    <row r="49" spans="1:14" x14ac:dyDescent="0.25">
      <c r="A49" t="str">
        <f>TRIM('Informasi Debitur'!A168)</f>
        <v/>
      </c>
      <c r="B49" t="str">
        <f>TRIM('Informasi Debitur'!C168)</f>
        <v/>
      </c>
      <c r="C49" t="str">
        <f>TRIM('Informasi Debitur'!D168)</f>
        <v/>
      </c>
      <c r="D49" t="str">
        <f>TRIM('Informasi Debitur'!F168)</f>
        <v/>
      </c>
      <c r="E49" t="str">
        <f>TRIM('Informasi Debitur'!G168)</f>
        <v/>
      </c>
      <c r="F49" t="str">
        <f>TRIM('Informasi Debitur'!J168)</f>
        <v/>
      </c>
      <c r="G49" t="str">
        <f>TRIM('Informasi Debitur'!K168)</f>
        <v/>
      </c>
      <c r="H49" t="str">
        <f>TRIM('Informasi Debitur'!L168)</f>
        <v/>
      </c>
      <c r="I49" t="str">
        <f>TRIM('Informasi Debitur'!M168)</f>
        <v/>
      </c>
      <c r="J49" t="str">
        <f>TRIM('Informasi Debitur'!P168)</f>
        <v/>
      </c>
    </row>
    <row r="51" spans="1:14" x14ac:dyDescent="0.25">
      <c r="A51" t="s">
        <v>3065</v>
      </c>
    </row>
    <row r="52" spans="1:14" x14ac:dyDescent="0.25">
      <c r="A52" t="s">
        <v>35</v>
      </c>
      <c r="B52" t="s">
        <v>120</v>
      </c>
      <c r="C52" t="s">
        <v>769</v>
      </c>
      <c r="D52" t="s">
        <v>121</v>
      </c>
      <c r="E52" t="s">
        <v>3066</v>
      </c>
      <c r="F52" t="s">
        <v>200</v>
      </c>
      <c r="G52" t="s">
        <v>3067</v>
      </c>
      <c r="H52" t="s">
        <v>3068</v>
      </c>
      <c r="I52" t="s">
        <v>257</v>
      </c>
      <c r="J52" t="s">
        <v>202</v>
      </c>
      <c r="K52" t="s">
        <v>203</v>
      </c>
      <c r="L52" t="s">
        <v>204</v>
      </c>
      <c r="N52" t="s">
        <v>15</v>
      </c>
    </row>
    <row r="53" spans="1:14" x14ac:dyDescent="0.25">
      <c r="A53" t="str">
        <f>TRIM(MKK!A96)</f>
        <v>Tanah dan Bangunan</v>
      </c>
      <c r="B53" t="str">
        <f>TRIM(MKK!C96)</f>
        <v>Jalan A. Yani km 7 Komplek Bunyamin Residence Blok A No. 16, RT 13, Kel. Kertak Hanyar II, Kec. Kertak Hanyar, Kabupaten Banjar- Propinsi Kalimantan Selatan</v>
      </c>
      <c r="C53" t="str">
        <f>TRIM(MKK!D96)</f>
        <v>1501.886</v>
      </c>
      <c r="D53" t="str">
        <f>TRIM(MKK!E96)</f>
        <v>SHM 2895</v>
      </c>
      <c r="E53" t="str">
        <f>TRIM(MKK!F96)</f>
        <v>0</v>
      </c>
      <c r="F53" t="str">
        <f>TRIM(MKK!G96)</f>
        <v>Yuanita</v>
      </c>
      <c r="G53" t="str">
        <f>TRIM(MKK!H96)</f>
        <v>Hak Tanggungan</v>
      </c>
      <c r="H53" t="str">
        <f>TRIM(MKK!I96)</f>
        <v>1250</v>
      </c>
      <c r="J53" t="str">
        <f>TRIM(MKK!J96)</f>
        <v>850.297</v>
      </c>
      <c r="K53" t="str">
        <f>TRIM(MKK!K96)</f>
        <v>Jaminan baru</v>
      </c>
      <c r="L53" t="str">
        <f>TRIM(MKK!L96)</f>
        <v>Tidak</v>
      </c>
      <c r="N53" t="str">
        <f>TRIM('Informasi Debitur'!Q221)</f>
        <v xml:space="preserve">Internal Appraisal 23 Mei 2018, Rumah untuk tempat tinggal.
</v>
      </c>
    </row>
    <row r="54" spans="1:14" x14ac:dyDescent="0.25">
      <c r="A54" t="str">
        <f>TRIM(MKK!A97)</f>
        <v>0</v>
      </c>
      <c r="B54" t="str">
        <f>TRIM(MKK!C97)</f>
        <v>0</v>
      </c>
      <c r="C54" t="str">
        <f>TRIM(MKK!D97)</f>
        <v>0</v>
      </c>
      <c r="D54" t="str">
        <f>TRIM(MKK!E97)</f>
        <v>0</v>
      </c>
      <c r="E54" t="str">
        <f>TRIM(MKK!F97)</f>
        <v>0</v>
      </c>
      <c r="F54" t="str">
        <f>TRIM(MKK!G97)</f>
        <v>0</v>
      </c>
      <c r="G54" t="str">
        <f>TRIM(MKK!H97)</f>
        <v>0</v>
      </c>
      <c r="H54" t="str">
        <f>TRIM(MKK!I97)</f>
        <v>0</v>
      </c>
      <c r="J54" t="str">
        <f>TRIM(MKK!J97)</f>
        <v>0</v>
      </c>
      <c r="K54" t="str">
        <f>TRIM(MKK!K97)</f>
        <v>0</v>
      </c>
      <c r="L54" t="str">
        <f>TRIM(MKK!L97)</f>
        <v>0</v>
      </c>
      <c r="N54" t="str">
        <f>TRIM('Informasi Debitur'!Q222)</f>
        <v/>
      </c>
    </row>
    <row r="55" spans="1:14" x14ac:dyDescent="0.25">
      <c r="A55" t="str">
        <f>TRIM(MKK!A98)</f>
        <v>0</v>
      </c>
      <c r="B55" t="str">
        <f>TRIM(MKK!C98)</f>
        <v>0</v>
      </c>
      <c r="C55" t="str">
        <f>TRIM(MKK!D98)</f>
        <v>0</v>
      </c>
      <c r="D55" t="str">
        <f>TRIM(MKK!E98)</f>
        <v>0</v>
      </c>
      <c r="E55" t="str">
        <f>TRIM(MKK!F98)</f>
        <v>0</v>
      </c>
      <c r="F55" t="str">
        <f>TRIM(MKK!G98)</f>
        <v>0</v>
      </c>
      <c r="G55" t="str">
        <f>TRIM(MKK!H98)</f>
        <v/>
      </c>
      <c r="H55" t="str">
        <f>TRIM(MKK!I98)</f>
        <v>0</v>
      </c>
      <c r="J55" t="str">
        <f>TRIM(MKK!J98)</f>
        <v>0</v>
      </c>
      <c r="K55" t="str">
        <f>TRIM(MKK!K98)</f>
        <v>0</v>
      </c>
      <c r="L55" t="str">
        <f>TRIM(MKK!L98)</f>
        <v>0</v>
      </c>
      <c r="N55" t="str">
        <f>TRIM('Informasi Debitur'!Q223)</f>
        <v/>
      </c>
    </row>
    <row r="56" spans="1:14" x14ac:dyDescent="0.25">
      <c r="A56" t="str">
        <f>TRIM(MKK!A99)</f>
        <v>0</v>
      </c>
      <c r="B56" t="str">
        <f>TRIM(MKK!C99)</f>
        <v>0</v>
      </c>
      <c r="C56" t="str">
        <f>TRIM(MKK!D99)</f>
        <v>0</v>
      </c>
      <c r="D56" t="str">
        <f>TRIM(MKK!E99)</f>
        <v>0</v>
      </c>
      <c r="E56" t="str">
        <f>TRIM(MKK!F99)</f>
        <v>0</v>
      </c>
      <c r="F56" t="str">
        <f>TRIM(MKK!G99)</f>
        <v>0</v>
      </c>
      <c r="G56" t="str">
        <f>TRIM(MKK!H99)</f>
        <v/>
      </c>
      <c r="H56" t="str">
        <f>TRIM(MKK!I99)</f>
        <v>0</v>
      </c>
      <c r="J56" t="str">
        <f>TRIM(MKK!J99)</f>
        <v>0</v>
      </c>
      <c r="K56" t="str">
        <f>TRIM(MKK!K99)</f>
        <v>0</v>
      </c>
      <c r="L56" t="str">
        <f>TRIM(MKK!L99)</f>
        <v>0</v>
      </c>
      <c r="N56" t="str">
        <f>TRIM('Informasi Debitur'!Q224)</f>
        <v/>
      </c>
    </row>
    <row r="57" spans="1:14" x14ac:dyDescent="0.25">
      <c r="A57" t="str">
        <f>TRIM(MKK!A100)</f>
        <v>0</v>
      </c>
      <c r="B57" t="str">
        <f>TRIM(MKK!C100)</f>
        <v>0</v>
      </c>
      <c r="C57" t="str">
        <f>TRIM(MKK!D100)</f>
        <v>0</v>
      </c>
      <c r="D57" t="str">
        <f>TRIM(MKK!E100)</f>
        <v>0</v>
      </c>
      <c r="E57" t="str">
        <f>TRIM(MKK!F100)</f>
        <v>0</v>
      </c>
      <c r="F57" t="str">
        <f>TRIM(MKK!G100)</f>
        <v>0</v>
      </c>
      <c r="G57" t="str">
        <f>TRIM(MKK!H100)</f>
        <v/>
      </c>
      <c r="H57" t="str">
        <f>TRIM(MKK!I100)</f>
        <v>0</v>
      </c>
      <c r="J57" t="str">
        <f>TRIM(MKK!J100)</f>
        <v>0</v>
      </c>
      <c r="K57" t="str">
        <f>TRIM(MKK!K100)</f>
        <v>0</v>
      </c>
      <c r="L57" t="str">
        <f>TRIM(MKK!L100)</f>
        <v>0</v>
      </c>
      <c r="N57" t="str">
        <f>TRIM('Informasi Debitur'!Q225)</f>
        <v/>
      </c>
    </row>
    <row r="58" spans="1:14" x14ac:dyDescent="0.25">
      <c r="A58" t="str">
        <f>TRIM(MKK!A101)</f>
        <v>0</v>
      </c>
      <c r="B58" t="str">
        <f>TRIM(MKK!C101)</f>
        <v>0</v>
      </c>
      <c r="C58" t="str">
        <f>TRIM(MKK!D101)</f>
        <v>0</v>
      </c>
      <c r="D58" t="str">
        <f>TRIM(MKK!E101)</f>
        <v>0</v>
      </c>
      <c r="E58" t="str">
        <f>TRIM(MKK!F101)</f>
        <v>0</v>
      </c>
      <c r="F58" t="str">
        <f>TRIM(MKK!G101)</f>
        <v>0</v>
      </c>
      <c r="G58" t="str">
        <f>TRIM(MKK!H101)</f>
        <v/>
      </c>
      <c r="H58" t="str">
        <f>TRIM(MKK!I101)</f>
        <v>0</v>
      </c>
      <c r="J58" t="str">
        <f>TRIM(MKK!J101)</f>
        <v>0</v>
      </c>
      <c r="K58" t="str">
        <f>TRIM(MKK!K101)</f>
        <v>0</v>
      </c>
      <c r="L58" t="str">
        <f>TRIM(MKK!L101)</f>
        <v>0</v>
      </c>
      <c r="N58" t="str">
        <f>TRIM('Informasi Debitur'!Q226)</f>
        <v/>
      </c>
    </row>
    <row r="59" spans="1:14" x14ac:dyDescent="0.25">
      <c r="A59" t="str">
        <f>TRIM(MKK!A102)</f>
        <v>0</v>
      </c>
      <c r="B59" t="str">
        <f>TRIM(MKK!C102)</f>
        <v>0</v>
      </c>
      <c r="C59" t="str">
        <f>TRIM(MKK!D102)</f>
        <v>0</v>
      </c>
      <c r="D59" t="str">
        <f>TRIM(MKK!E102)</f>
        <v>0</v>
      </c>
      <c r="E59" t="str">
        <f>TRIM(MKK!F102)</f>
        <v>0</v>
      </c>
      <c r="F59" t="str">
        <f>TRIM(MKK!G102)</f>
        <v>0</v>
      </c>
      <c r="G59" t="str">
        <f>TRIM(MKK!H102)</f>
        <v/>
      </c>
      <c r="H59" t="str">
        <f>TRIM(MKK!I102)</f>
        <v>0</v>
      </c>
      <c r="J59" t="str">
        <f>TRIM(MKK!J102)</f>
        <v>0</v>
      </c>
      <c r="K59" t="str">
        <f>TRIM(MKK!K102)</f>
        <v>0</v>
      </c>
      <c r="L59" t="str">
        <f>TRIM(MKK!L102)</f>
        <v>0</v>
      </c>
      <c r="N59" t="str">
        <f>TRIM('Informasi Debitur'!Q227)</f>
        <v/>
      </c>
    </row>
    <row r="60" spans="1:14" x14ac:dyDescent="0.25">
      <c r="A60" t="str">
        <f>TRIM(MKK!A103)</f>
        <v>0</v>
      </c>
      <c r="B60" t="str">
        <f>TRIM(MKK!C103)</f>
        <v>0</v>
      </c>
      <c r="C60" t="str">
        <f>TRIM(MKK!D103)</f>
        <v>0</v>
      </c>
      <c r="D60" t="str">
        <f>TRIM(MKK!E103)</f>
        <v>0</v>
      </c>
      <c r="E60" t="str">
        <f>TRIM(MKK!F103)</f>
        <v>0</v>
      </c>
      <c r="F60" t="str">
        <f>TRIM(MKK!G103)</f>
        <v>0</v>
      </c>
      <c r="G60" t="str">
        <f>TRIM(MKK!H103)</f>
        <v/>
      </c>
      <c r="H60" t="str">
        <f>TRIM(MKK!I103)</f>
        <v>0</v>
      </c>
      <c r="J60" t="str">
        <f>TRIM(MKK!J103)</f>
        <v>0</v>
      </c>
      <c r="K60" t="str">
        <f>TRIM(MKK!K103)</f>
        <v>0</v>
      </c>
      <c r="L60" t="str">
        <f>TRIM(MKK!L103)</f>
        <v>0</v>
      </c>
      <c r="N60" t="str">
        <f>TRIM('Informasi Debitur'!Q228)</f>
        <v/>
      </c>
    </row>
    <row r="61" spans="1:14" x14ac:dyDescent="0.25">
      <c r="A61" t="str">
        <f>TRIM(MKK!A104)</f>
        <v>0</v>
      </c>
      <c r="B61" t="str">
        <f>TRIM(MKK!C104)</f>
        <v>0</v>
      </c>
      <c r="C61" t="str">
        <f>TRIM(MKK!D104)</f>
        <v>0</v>
      </c>
      <c r="D61" t="str">
        <f>TRIM(MKK!E104)</f>
        <v>0</v>
      </c>
      <c r="E61" t="str">
        <f>TRIM(MKK!F104)</f>
        <v>0</v>
      </c>
      <c r="F61" t="str">
        <f>TRIM(MKK!G104)</f>
        <v>0</v>
      </c>
      <c r="G61" t="str">
        <f>TRIM(MKK!H104)</f>
        <v/>
      </c>
      <c r="H61" t="str">
        <f>TRIM(MKK!I104)</f>
        <v>0</v>
      </c>
      <c r="J61" t="str">
        <f>TRIM(MKK!J104)</f>
        <v>0</v>
      </c>
      <c r="K61" t="str">
        <f>TRIM(MKK!K104)</f>
        <v>0</v>
      </c>
      <c r="L61" t="str">
        <f>TRIM(MKK!L104)</f>
        <v>0</v>
      </c>
      <c r="N61" t="str">
        <f>TRIM('Informasi Debitur'!Q229)</f>
        <v/>
      </c>
    </row>
    <row r="62" spans="1:14" x14ac:dyDescent="0.25">
      <c r="A62" t="str">
        <f>TRIM(MKK!A105)</f>
        <v>0</v>
      </c>
      <c r="B62" t="str">
        <f>TRIM(MKK!C105)</f>
        <v>0</v>
      </c>
      <c r="C62" t="str">
        <f>TRIM(MKK!D105)</f>
        <v>0</v>
      </c>
      <c r="D62" t="str">
        <f>TRIM(MKK!E105)</f>
        <v>0</v>
      </c>
      <c r="E62" t="str">
        <f>TRIM(MKK!F105)</f>
        <v>0</v>
      </c>
      <c r="F62" t="str">
        <f>TRIM(MKK!G105)</f>
        <v>0</v>
      </c>
      <c r="G62" t="str">
        <f>TRIM(MKK!H105)</f>
        <v/>
      </c>
      <c r="H62" t="str">
        <f>TRIM(MKK!I105)</f>
        <v>0</v>
      </c>
      <c r="J62" t="str">
        <f>TRIM(MKK!J105)</f>
        <v>0</v>
      </c>
      <c r="K62" t="str">
        <f>TRIM(MKK!K105)</f>
        <v>0</v>
      </c>
      <c r="L62" t="str">
        <f>TRIM(MKK!L105)</f>
        <v>0</v>
      </c>
      <c r="N62" t="str">
        <f>TRIM('Informasi Debitur'!Q230)</f>
        <v/>
      </c>
    </row>
    <row r="64" spans="1:14" x14ac:dyDescent="0.25">
      <c r="A64" t="s">
        <v>264</v>
      </c>
    </row>
    <row r="65" spans="1:25" x14ac:dyDescent="0.25">
      <c r="A65" t="s">
        <v>3069</v>
      </c>
      <c r="B65" t="s">
        <v>3070</v>
      </c>
      <c r="C65" t="s">
        <v>3071</v>
      </c>
      <c r="D65" t="s">
        <v>3072</v>
      </c>
      <c r="E65" t="s">
        <v>2980</v>
      </c>
      <c r="F65" t="s">
        <v>3073</v>
      </c>
      <c r="G65" t="s">
        <v>3151</v>
      </c>
    </row>
    <row r="66" spans="1:25" x14ac:dyDescent="0.25">
      <c r="A66">
        <f>'Analisa Rek Koran'!F15</f>
        <v>0</v>
      </c>
      <c r="B66" s="1217">
        <f>'Analisa Rek Koran'!F18</f>
        <v>1563.5808333333334</v>
      </c>
      <c r="C66" s="1217">
        <f>'Analisa Rek Koran'!F19</f>
        <v>0</v>
      </c>
      <c r="D66" s="1218" t="str">
        <f>'Analisa Rek Koran'!F20</f>
        <v/>
      </c>
      <c r="E66" s="1219">
        <f>'Analisa Rek Koran'!O18</f>
        <v>541.74666666666667</v>
      </c>
      <c r="F66" s="1218">
        <f>'Analisa Rek Koran'!O19</f>
        <v>0.34647819614911712</v>
      </c>
      <c r="G66" s="1218" t="str">
        <f>'Analisa Rek Koran'!O20</f>
        <v>Tidak Ada</v>
      </c>
    </row>
    <row r="68" spans="1:25" x14ac:dyDescent="0.25">
      <c r="A68" t="s">
        <v>712</v>
      </c>
    </row>
    <row r="69" spans="1:25" x14ac:dyDescent="0.25">
      <c r="A69" t="s">
        <v>279</v>
      </c>
      <c r="B69" t="s">
        <v>3152</v>
      </c>
      <c r="C69" t="s">
        <v>3074</v>
      </c>
      <c r="D69" t="s">
        <v>3075</v>
      </c>
      <c r="E69" t="s">
        <v>3076</v>
      </c>
      <c r="F69" t="s">
        <v>325</v>
      </c>
      <c r="G69" t="s">
        <v>3077</v>
      </c>
      <c r="H69" t="s">
        <v>3153</v>
      </c>
      <c r="I69" t="s">
        <v>3078</v>
      </c>
      <c r="J69" t="s">
        <v>3080</v>
      </c>
      <c r="K69" t="s">
        <v>3079</v>
      </c>
      <c r="L69" t="s">
        <v>3081</v>
      </c>
      <c r="M69" t="s">
        <v>288</v>
      </c>
      <c r="N69" t="s">
        <v>293</v>
      </c>
      <c r="O69" t="s">
        <v>804</v>
      </c>
      <c r="P69" t="s">
        <v>3082</v>
      </c>
      <c r="Q69" t="s">
        <v>3083</v>
      </c>
      <c r="R69" t="s">
        <v>3084</v>
      </c>
      <c r="S69" t="s">
        <v>3085</v>
      </c>
      <c r="T69" t="s">
        <v>3086</v>
      </c>
      <c r="U69" t="s">
        <v>751</v>
      </c>
      <c r="V69" t="s">
        <v>315</v>
      </c>
      <c r="W69" t="s">
        <v>2961</v>
      </c>
      <c r="X69" t="s">
        <v>2962</v>
      </c>
      <c r="Y69" t="s">
        <v>2964</v>
      </c>
    </row>
    <row r="70" spans="1:25" x14ac:dyDescent="0.25">
      <c r="A70" s="1086" t="str">
        <f>TRIM('Analisa Lap Keu'!C9)</f>
        <v>42734</v>
      </c>
      <c r="B70" t="str">
        <f>TRIM('Analisa Lap Keu'!C7)</f>
        <v/>
      </c>
      <c r="C70" t="str">
        <f>TRIM('Analisa Lap Keu'!C11)</f>
        <v>NA</v>
      </c>
      <c r="D70" t="str">
        <f>TRIM('Analisa Lap Keu'!C12)</f>
        <v>-</v>
      </c>
      <c r="E70" t="str">
        <f>TRIM('Analisa Lap Keu'!C13)</f>
        <v>-</v>
      </c>
      <c r="F70" t="str">
        <f>TRIM('Analisa Lap Keu'!C15)</f>
        <v>-</v>
      </c>
      <c r="G70" t="str">
        <f>TRIM('Analisa Lap Keu'!C16)</f>
        <v>-</v>
      </c>
      <c r="H70" t="str">
        <f>TRIM('Analisa Lap Keu'!C17)</f>
        <v>-</v>
      </c>
      <c r="I70" t="str">
        <f>TRIM('Analisa Lap Keu'!C18)</f>
        <v>-</v>
      </c>
      <c r="J70" t="str">
        <f>TRIM('Analisa Lap Keu'!C19)</f>
        <v>-</v>
      </c>
      <c r="K70" t="str">
        <f>TRIM('Analisa Lap Keu'!C20)</f>
        <v>-</v>
      </c>
      <c r="L70" t="str">
        <f>TRIM('Analisa Lap Keu'!C21)</f>
        <v>-</v>
      </c>
      <c r="M70" t="str">
        <f>TRIM('Analisa Lap Keu'!C30)</f>
        <v>0</v>
      </c>
      <c r="N70" t="str">
        <f>TRIM('Analisa Lap Keu'!C39)</f>
        <v>0</v>
      </c>
      <c r="O70" t="str">
        <f>TRIM('Analisa Lap Keu'!C42)</f>
        <v>0</v>
      </c>
      <c r="P70" t="str">
        <f>TRIM('Analisa Lap Keu'!C50)</f>
        <v>0</v>
      </c>
      <c r="Q70" t="str">
        <f>TRIM('Analisa Lap Keu'!C55)</f>
        <v>0</v>
      </c>
      <c r="R70" t="str">
        <f>TRIM('Analisa Lap Keu'!C62)</f>
        <v>0</v>
      </c>
      <c r="S70" t="str">
        <f>TRIM('Analisa Lap Keu'!C63)</f>
        <v>0</v>
      </c>
      <c r="T70" t="str">
        <f>TRIM('Analisa Lap Keu'!C71)</f>
        <v>0</v>
      </c>
      <c r="U70" t="str">
        <f>TRIM('Analisa Lap Keu'!C77)</f>
        <v>0</v>
      </c>
      <c r="V70" t="str">
        <f>TRIM('Analisa Lap Keu'!C78)</f>
        <v>0</v>
      </c>
      <c r="W70" t="str">
        <f>TRIM('Analisa Lap Keu'!C82)</f>
        <v>0</v>
      </c>
      <c r="X70" t="str">
        <f>TRIM('Analisa Lap Keu'!C85)</f>
        <v>0</v>
      </c>
      <c r="Y70" t="str">
        <f>TRIM('Analisa Lap Keu'!C87)</f>
        <v>0</v>
      </c>
    </row>
    <row r="71" spans="1:25" x14ac:dyDescent="0.25">
      <c r="A71" s="1086" t="str">
        <f>TRIM('Analisa Lap Keu'!E9)</f>
        <v>43099</v>
      </c>
      <c r="B71" t="str">
        <f>TRIM('Analisa Lap Keu'!E7)</f>
        <v/>
      </c>
      <c r="C71" t="str">
        <f>TRIM('Analisa Lap Keu'!E11)</f>
        <v>-</v>
      </c>
      <c r="D71" t="str">
        <f>TRIM('Analisa Lap Keu'!E12)</f>
        <v>0</v>
      </c>
      <c r="E71" t="str">
        <f>TRIM('Analisa Lap Keu'!E13)</f>
        <v>-</v>
      </c>
      <c r="F71" t="str">
        <f>TRIM('Analisa Lap Keu'!E15)</f>
        <v>-</v>
      </c>
      <c r="G71" t="str">
        <f>TRIM('Analisa Lap Keu'!E16)</f>
        <v>-</v>
      </c>
      <c r="H71" t="str">
        <f>TRIM('Analisa Lap Keu'!E17)</f>
        <v>-</v>
      </c>
      <c r="I71" t="str">
        <f>TRIM('Analisa Lap Keu'!E18)</f>
        <v>-</v>
      </c>
      <c r="J71" t="str">
        <f>TRIM('Analisa Lap Keu'!E19)</f>
        <v>-</v>
      </c>
      <c r="K71" t="str">
        <f>TRIM('Analisa Lap Keu'!E20)</f>
        <v>-</v>
      </c>
      <c r="L71" t="str">
        <f>TRIM('Analisa Lap Keu'!E21)</f>
        <v>-</v>
      </c>
      <c r="M71" t="str">
        <f>TRIM('Analisa Lap Keu'!E30)</f>
        <v>0</v>
      </c>
      <c r="N71" t="str">
        <f>TRIM('Analisa Lap Keu'!E39)</f>
        <v>0</v>
      </c>
      <c r="O71" t="str">
        <f>TRIM('Analisa Lap Keu'!E42)</f>
        <v>0</v>
      </c>
      <c r="P71" t="str">
        <f>TRIM('Analisa Lap Keu'!E50)</f>
        <v>539.226</v>
      </c>
      <c r="Q71" t="str">
        <f>TRIM('Analisa Lap Keu'!E55)</f>
        <v>-539</v>
      </c>
      <c r="R71" t="str">
        <f>TRIM('Analisa Lap Keu'!E62)</f>
        <v>0</v>
      </c>
      <c r="S71" t="str">
        <f>TRIM('Analisa Lap Keu'!E63)</f>
        <v>0.225999999999999</v>
      </c>
      <c r="T71" t="str">
        <f>TRIM('Analisa Lap Keu'!E71)</f>
        <v>0</v>
      </c>
      <c r="U71" t="str">
        <f>TRIM('Analisa Lap Keu'!E77)</f>
        <v>0</v>
      </c>
      <c r="V71" t="str">
        <f>TRIM('Analisa Lap Keu'!E78)</f>
        <v>0</v>
      </c>
      <c r="W71" t="str">
        <f>TRIM('Analisa Lap Keu'!E82)</f>
        <v>0</v>
      </c>
      <c r="X71" t="str">
        <f>TRIM('Analisa Lap Keu'!E85)</f>
        <v>0</v>
      </c>
      <c r="Y71" t="str">
        <f>TRIM('Analisa Lap Keu'!E87)</f>
        <v>0</v>
      </c>
    </row>
    <row r="72" spans="1:25" x14ac:dyDescent="0.25">
      <c r="A72" s="1086" t="str">
        <f>TRIM('Analisa Lap Keu'!G9)</f>
        <v>43452</v>
      </c>
      <c r="B72" t="str">
        <f>TRIM('Analisa Lap Keu'!G7)</f>
        <v>Proforma</v>
      </c>
      <c r="C72" t="str">
        <f>TRIM('Analisa Lap Keu'!G11)</f>
        <v>-</v>
      </c>
      <c r="D72" t="str">
        <f>TRIM('Analisa Lap Keu'!G12)</f>
        <v>4.14556374218315</v>
      </c>
      <c r="E72" t="str">
        <f>TRIM('Analisa Lap Keu'!G13)</f>
        <v>7.57353469769185</v>
      </c>
      <c r="F72" t="str">
        <f>TRIM('Analisa Lap Keu'!G15)</f>
        <v>3.83416959853181</v>
      </c>
      <c r="G72" t="str">
        <f>TRIM('Analisa Lap Keu'!G16)</f>
        <v>0.274550074231854</v>
      </c>
      <c r="H72" t="str">
        <f>TRIM('Analisa Lap Keu'!G17)</f>
        <v>41.1340994323701</v>
      </c>
      <c r="I72" t="str">
        <f>TRIM('Analisa Lap Keu'!G18)</f>
        <v>33.2494482483317</v>
      </c>
      <c r="J72" t="str">
        <f>TRIM('Analisa Lap Keu'!G19)</f>
        <v>33.5822659760965</v>
      </c>
      <c r="K72" t="str">
        <f>TRIM('Analisa Lap Keu'!G20)</f>
        <v>25.6976147920581</v>
      </c>
      <c r="L72" t="str">
        <f>TRIM('Analisa Lap Keu'!G21)</f>
        <v>0</v>
      </c>
      <c r="M72" t="str">
        <f>TRIM('Analisa Lap Keu'!G30)</f>
        <v>5356.4</v>
      </c>
      <c r="N72" t="str">
        <f>TRIM('Analisa Lap Keu'!G39)</f>
        <v>2183.338999</v>
      </c>
      <c r="O72" t="str">
        <f>TRIM('Analisa Lap Keu'!G42)</f>
        <v>7539.738999</v>
      </c>
      <c r="P72" t="str">
        <f>TRIM('Analisa Lap Keu'!G50)</f>
        <v>1292.08</v>
      </c>
      <c r="Q72" t="str">
        <f>TRIM('Analisa Lap Keu'!G55)</f>
        <v>331.96</v>
      </c>
      <c r="R72" t="str">
        <f>TRIM('Analisa Lap Keu'!G62)</f>
        <v>5915.277949</v>
      </c>
      <c r="S72" t="str">
        <f>TRIM('Analisa Lap Keu'!G63)</f>
        <v>7539.317949</v>
      </c>
      <c r="T72" t="str">
        <f>TRIM('Analisa Lap Keu'!G71)</f>
        <v>5628.895</v>
      </c>
      <c r="U72" t="str">
        <f>TRIM('Analisa Lap Keu'!G77)</f>
        <v>1441.51</v>
      </c>
      <c r="V72" t="str">
        <f>TRIM('Analisa Lap Keu'!G78)</f>
        <v>4187.385</v>
      </c>
      <c r="W72" t="str">
        <f>TRIM('Analisa Lap Keu'!G82)</f>
        <v>3634.487949</v>
      </c>
      <c r="X72" t="str">
        <f>TRIM('Analisa Lap Keu'!G85)</f>
        <v>3634.487949</v>
      </c>
      <c r="Y72" t="str">
        <f>TRIM('Analisa Lap Keu'!G87)</f>
        <v>308.937949000001</v>
      </c>
    </row>
    <row r="73" spans="1:25" x14ac:dyDescent="0.25">
      <c r="A73" s="1086" t="str">
        <f>TRIM('Analisa Lap Keu'!I9)</f>
        <v>43452</v>
      </c>
      <c r="B73" t="str">
        <f>TRIM('Analisa Lap Keu'!I7)</f>
        <v>Proforma</v>
      </c>
      <c r="C73" t="str">
        <f>TRIM('Analisa Lap Keu'!I11)</f>
        <v>-</v>
      </c>
      <c r="D73" t="str">
        <f>TRIM('Analisa Lap Keu'!I12)</f>
        <v>4.62936226843236</v>
      </c>
      <c r="E73" t="str">
        <f>TRIM('Analisa Lap Keu'!I13)</f>
        <v>4.30348321982218</v>
      </c>
      <c r="F73" t="str">
        <f>TRIM('Analisa Lap Keu'!I15)</f>
        <v>1.76407699067776</v>
      </c>
      <c r="G73" t="str">
        <f>TRIM('Analisa Lap Keu'!I16)</f>
        <v>0.020058464068171</v>
      </c>
      <c r="H73" t="str">
        <f>TRIM('Analisa Lap Keu'!I17)</f>
        <v>60.5185528364681</v>
      </c>
      <c r="I73" t="str">
        <f>TRIM('Analisa Lap Keu'!I18)</f>
        <v>30</v>
      </c>
      <c r="J73" t="str">
        <f>TRIM('Analisa Lap Keu'!I19)</f>
        <v>60.5185528364681</v>
      </c>
      <c r="K73" t="str">
        <f>TRIM('Analisa Lap Keu'!I20)</f>
        <v>30</v>
      </c>
      <c r="L73" t="str">
        <f>TRIM('Analisa Lap Keu'!I21)</f>
        <v>0</v>
      </c>
      <c r="M73" t="str">
        <f>TRIM('Analisa Lap Keu'!I30)</f>
        <v>3850.20074074074</v>
      </c>
      <c r="N73" t="str">
        <f>TRIM('Analisa Lap Keu'!I39)</f>
        <v>2183.338999</v>
      </c>
      <c r="O73" t="str">
        <f>TRIM('Analisa Lap Keu'!I42)</f>
        <v>6033.53973974074</v>
      </c>
      <c r="P73" t="str">
        <f>TRIM('Analisa Lap Keu'!I50)</f>
        <v>831.691390193261</v>
      </c>
      <c r="Q73" t="str">
        <f>TRIM('Analisa Lap Keu'!I55)</f>
        <v>-713.04</v>
      </c>
      <c r="R73" t="str">
        <f>TRIM('Analisa Lap Keu'!G62)</f>
        <v>5915.277949</v>
      </c>
      <c r="S73" t="str">
        <f>TRIM('Analisa Lap Keu'!I63)</f>
        <v>6033.92933919326</v>
      </c>
      <c r="T73" t="str">
        <f>TRIM('Analisa Lap Keu'!I71)</f>
        <v>2166.98820656976</v>
      </c>
      <c r="U73" t="str">
        <f>TRIM('Analisa Lap Keu'!I77)</f>
        <v>554.946427256571</v>
      </c>
      <c r="V73" t="str">
        <f>TRIM('Analisa Lap Keu'!I78)</f>
        <v>1612.04177931319</v>
      </c>
      <c r="W73" t="str">
        <f>TRIM('Analisa Lap Keu'!I82)</f>
        <v>1237.45177931319</v>
      </c>
      <c r="X73" t="str">
        <f>TRIM('Analisa Lap Keu'!I85)</f>
        <v>1237.45177931319</v>
      </c>
      <c r="Y73" t="str">
        <f>TRIM('Analisa Lap Keu'!I87)</f>
        <v>1237.45177931319</v>
      </c>
    </row>
    <row r="75" spans="1:25" x14ac:dyDescent="0.25">
      <c r="A75" t="s">
        <v>3087</v>
      </c>
    </row>
    <row r="76" spans="1:25" x14ac:dyDescent="0.25">
      <c r="A76" t="s">
        <v>28</v>
      </c>
      <c r="B76" t="s">
        <v>25</v>
      </c>
      <c r="C76" t="s">
        <v>3088</v>
      </c>
      <c r="D76" t="s">
        <v>3089</v>
      </c>
      <c r="E76" t="s">
        <v>3090</v>
      </c>
      <c r="F76" t="s">
        <v>3091</v>
      </c>
      <c r="G76" t="s">
        <v>3154</v>
      </c>
      <c r="H76" t="s">
        <v>3092</v>
      </c>
      <c r="I76" t="s">
        <v>3093</v>
      </c>
      <c r="J76" t="s">
        <v>3094</v>
      </c>
      <c r="K76" t="s">
        <v>3095</v>
      </c>
    </row>
    <row r="77" spans="1:25" x14ac:dyDescent="0.25">
      <c r="A77" t="str">
        <f>TRIM('Analisa Lap Keu'!E93)</f>
        <v>601.940740740741</v>
      </c>
      <c r="B77" t="str">
        <f>TRIM('Analisa Lap Keu'!E94)</f>
        <v>850</v>
      </c>
      <c r="C77" t="str">
        <f>TRIM('Analisa Lap Keu'!E95)</f>
        <v>421.358390193261</v>
      </c>
      <c r="D77" t="str">
        <f>TRIM('Analisa Lap Keu'!E96)</f>
        <v>0</v>
      </c>
      <c r="E77" t="str">
        <f>TRIM('Analisa Lap Keu'!E97)</f>
        <v>1030.58235054748</v>
      </c>
      <c r="F77" t="str">
        <f>TRIM('Analisa Lap Keu'!E98)</f>
        <v>0</v>
      </c>
      <c r="G77" t="str">
        <f>TRIM('Analisa Lap Keu'!E99)</f>
        <v>1000</v>
      </c>
      <c r="H77" t="str">
        <f>TRIM('Analisa Lap Keu'!E100)</f>
        <v>1000</v>
      </c>
      <c r="I77" t="str">
        <f>TRIM('Analisa Lap Keu'!E102)</f>
        <v>30.58235054748</v>
      </c>
      <c r="J77" t="str">
        <f>TRIM('Analisa Lap Keu'!E113)</f>
        <v>0</v>
      </c>
      <c r="K77" t="str">
        <f>TRIM('Analisa Lap Keu'!E114)</f>
        <v>0</v>
      </c>
    </row>
    <row r="79" spans="1:25" x14ac:dyDescent="0.25">
      <c r="A79" t="s">
        <v>3096</v>
      </c>
    </row>
    <row r="80" spans="1:25" x14ac:dyDescent="0.25">
      <c r="A80" t="s">
        <v>3097</v>
      </c>
      <c r="B80" t="s">
        <v>82</v>
      </c>
      <c r="C80" t="s">
        <v>83</v>
      </c>
      <c r="D80" t="s">
        <v>132</v>
      </c>
      <c r="E80" t="s">
        <v>3155</v>
      </c>
      <c r="F80" t="s">
        <v>3156</v>
      </c>
      <c r="G80" t="s">
        <v>3157</v>
      </c>
      <c r="H80" t="s">
        <v>3158</v>
      </c>
      <c r="I80" t="s">
        <v>154</v>
      </c>
      <c r="J80" t="s">
        <v>3098</v>
      </c>
      <c r="K80" t="s">
        <v>3099</v>
      </c>
    </row>
    <row r="81" spans="1:11" x14ac:dyDescent="0.25">
      <c r="A81" t="str">
        <f>TRIM(MKK!F3)</f>
        <v>MKK. 068 / S / 0008 / 07 / 2018</v>
      </c>
      <c r="B81" s="387" t="str">
        <f>(MKK!B6)</f>
        <v>NA</v>
      </c>
      <c r="C81" s="387" t="str">
        <f>(MKK!B7)</f>
        <v>2 BULAN SEBELUM JATUH TEMPO</v>
      </c>
      <c r="D81" t="str">
        <f>TRIM(MKK!B8)</f>
        <v>BARU</v>
      </c>
      <c r="E81" t="str">
        <f>TRIM(MKK!C18)</f>
        <v>0</v>
      </c>
      <c r="F81" t="str">
        <f>TRIM(MKK!D18)</f>
        <v>0</v>
      </c>
      <c r="G81" t="str">
        <f>TRIM(MKK!C19)</f>
        <v>0</v>
      </c>
      <c r="H81" t="str">
        <f>TRIM(MKK!D19)</f>
        <v>1000</v>
      </c>
      <c r="I81" t="str">
        <f>TRIM(MKK!B193)</f>
        <v>Disetujui hanya sebagian</v>
      </c>
      <c r="J81" s="387">
        <f>(MKK!B194)</f>
        <v>43311</v>
      </c>
      <c r="K81" s="387" t="str">
        <f>(MKK!B195)</f>
        <v>30-Okt-2018</v>
      </c>
    </row>
    <row r="83" spans="1:11" x14ac:dyDescent="0.25">
      <c r="A83" t="s">
        <v>3100</v>
      </c>
    </row>
    <row r="84" spans="1:11" x14ac:dyDescent="0.25">
      <c r="A84" t="s">
        <v>129</v>
      </c>
      <c r="B84" t="s">
        <v>3101</v>
      </c>
      <c r="C84" t="s">
        <v>138</v>
      </c>
    </row>
    <row r="85" spans="1:11" x14ac:dyDescent="0.25">
      <c r="A85" t="str">
        <f>TRIM(MKK!A113)</f>
        <v>Corporate Guarantee</v>
      </c>
      <c r="B85" t="str">
        <f>TRIM(MKK!B113)</f>
        <v>PT. BARITO INTI PERKASA</v>
      </c>
      <c r="C85" t="str">
        <f>TRIM(MKK!D113)</f>
        <v>PERUSAHAAN</v>
      </c>
    </row>
    <row r="86" spans="1:11" x14ac:dyDescent="0.25">
      <c r="A86" t="str">
        <f>TRIM(MKK!A114)</f>
        <v/>
      </c>
      <c r="B86" t="str">
        <f>TRIM(MKK!B114)</f>
        <v/>
      </c>
      <c r="C86" t="str">
        <f>TRIM(MKK!D114)</f>
        <v/>
      </c>
    </row>
    <row r="87" spans="1:11" x14ac:dyDescent="0.25">
      <c r="A87" t="str">
        <f>TRIM(MKK!A115)</f>
        <v/>
      </c>
      <c r="B87" t="str">
        <f>TRIM(MKK!B115)</f>
        <v/>
      </c>
      <c r="C87" t="str">
        <f>TRIM(MKK!D115)</f>
        <v/>
      </c>
    </row>
    <row r="88" spans="1:11" x14ac:dyDescent="0.25">
      <c r="A88" t="str">
        <f>TRIM(MKK!A116)</f>
        <v/>
      </c>
      <c r="B88" t="str">
        <f>TRIM(MKK!B116)</f>
        <v/>
      </c>
      <c r="C88" t="str">
        <f>TRIM(MKK!D116)</f>
        <v/>
      </c>
    </row>
    <row r="89" spans="1:11" x14ac:dyDescent="0.25">
      <c r="A89" t="str">
        <f>TRIM(MKK!A117)</f>
        <v/>
      </c>
      <c r="B89" t="str">
        <f>TRIM(MKK!B117)</f>
        <v/>
      </c>
      <c r="C89" t="str">
        <f>TRIM(MKK!D117)</f>
        <v/>
      </c>
    </row>
    <row r="90" spans="1:11" x14ac:dyDescent="0.25">
      <c r="A90" t="str">
        <f>TRIM(MKK!A118)</f>
        <v>0</v>
      </c>
      <c r="B90" t="str">
        <f>TRIM(MKK!B118)</f>
        <v>0</v>
      </c>
      <c r="C90" t="str">
        <f>TRIM(MKK!D118)</f>
        <v>0</v>
      </c>
    </row>
    <row r="91" spans="1:11" x14ac:dyDescent="0.25">
      <c r="A91" t="str">
        <f>TRIM(MKK!A119)</f>
        <v>0</v>
      </c>
      <c r="B91" t="str">
        <f>TRIM(MKK!B119)</f>
        <v>0</v>
      </c>
      <c r="C91" t="str">
        <f>TRIM(MKK!D119)</f>
        <v>0</v>
      </c>
    </row>
    <row r="92" spans="1:11" x14ac:dyDescent="0.25">
      <c r="A92" t="str">
        <f>TRIM(MKK!A120)</f>
        <v>0</v>
      </c>
      <c r="B92" t="str">
        <f>TRIM(MKK!B120)</f>
        <v>0</v>
      </c>
      <c r="C92" t="str">
        <f>TRIM(MKK!D120)</f>
        <v>0</v>
      </c>
    </row>
    <row r="94" spans="1:11" x14ac:dyDescent="0.25">
      <c r="A94" t="s">
        <v>145</v>
      </c>
    </row>
    <row r="95" spans="1:11" x14ac:dyDescent="0.25">
      <c r="A95" t="s">
        <v>144</v>
      </c>
      <c r="B95" t="s">
        <v>3102</v>
      </c>
      <c r="C95" t="s">
        <v>3103</v>
      </c>
      <c r="D95" t="s">
        <v>149</v>
      </c>
      <c r="E95" t="s">
        <v>3104</v>
      </c>
    </row>
    <row r="96" spans="1:11" x14ac:dyDescent="0.25">
      <c r="A96" t="str">
        <f>TRIM(MKK!A127)</f>
        <v>2. Debitur wajib menyerahkan periode List persedian barang, Piutang Usaha dan Hutang Usaha secara periodical per semester (Periode Juni dan Desember) --&gt; RM dan ABL 
 Verifikasi, Legal&amp;FC/AS&amp;CEM Monitor</v>
      </c>
      <c r="B96" t="str">
        <f>TRIM(MKK!J127)</f>
        <v>0</v>
      </c>
      <c r="C96" t="str">
        <f>TRIM(MKK!K127)</f>
        <v>0</v>
      </c>
      <c r="D96" t="str">
        <f>TRIM(MKK!L127)</f>
        <v>Ya</v>
      </c>
      <c r="E96" t="str">
        <f>TRIM(MKK!M127)</f>
        <v>6 Bulanan</v>
      </c>
    </row>
    <row r="97" spans="1:5" x14ac:dyDescent="0.25">
      <c r="A97" t="str">
        <f>TRIM(MKK!A128)</f>
        <v>3. Debitur wajib melampirkan rekap pendapatan usaha periode bulan Maret 2018 s.d Juni 2018 (bukti pembayaran berupa nota penjualan/invoice) --&gt; RM &amp; ABL Verifikasi, ACM 
 Review, Legal&amp;FC Monitor.</v>
      </c>
      <c r="B97" t="str">
        <f>TRIM(MKK!J128)</f>
        <v>0</v>
      </c>
      <c r="C97" t="str">
        <f>TRIM(MKK!K128)</f>
        <v>0</v>
      </c>
      <c r="D97" t="str">
        <f>TRIM(MKK!L128)</f>
        <v>Ya</v>
      </c>
      <c r="E97" t="str">
        <f>TRIM(MKK!M128)</f>
        <v/>
      </c>
    </row>
    <row r="98" spans="1:5" x14ac:dyDescent="0.25">
      <c r="A98" t="str">
        <f>TRIM(MKK!A129)</f>
        <v>0</v>
      </c>
      <c r="B98" t="str">
        <f>TRIM(MKK!J129)</f>
        <v>0</v>
      </c>
      <c r="C98" t="str">
        <f>TRIM(MKK!K129)</f>
        <v>0</v>
      </c>
      <c r="D98" t="str">
        <f>TRIM(MKK!L129)</f>
        <v/>
      </c>
      <c r="E98" t="str">
        <f>TRIM(MKK!M129)</f>
        <v/>
      </c>
    </row>
    <row r="100" spans="1:5" x14ac:dyDescent="0.25">
      <c r="A100" t="s">
        <v>146</v>
      </c>
    </row>
    <row r="101" spans="1:5" x14ac:dyDescent="0.25">
      <c r="A101" t="s">
        <v>144</v>
      </c>
      <c r="B101" t="s">
        <v>3102</v>
      </c>
      <c r="C101" t="s">
        <v>3103</v>
      </c>
      <c r="D101" t="s">
        <v>149</v>
      </c>
      <c r="E101" t="s">
        <v>3104</v>
      </c>
    </row>
    <row r="102" spans="1:5" x14ac:dyDescent="0.25">
      <c r="A102" t="str">
        <f>TRIM(MKK!A131)</f>
        <v>0</v>
      </c>
      <c r="B102" t="str">
        <f>TRIM(MKK!J131)</f>
        <v>0</v>
      </c>
      <c r="C102" t="str">
        <f>TRIM(MKK!K131)</f>
        <v>0</v>
      </c>
      <c r="D102" t="str">
        <f>TRIM(MKK!L131)</f>
        <v/>
      </c>
      <c r="E102" t="str">
        <f>TRIM(MKK!M131)</f>
        <v/>
      </c>
    </row>
    <row r="103" spans="1:5" x14ac:dyDescent="0.25">
      <c r="A103" t="str">
        <f>TRIM(MKK!A132)</f>
        <v>0</v>
      </c>
      <c r="B103" t="str">
        <f>TRIM(MKK!J132)</f>
        <v>0</v>
      </c>
      <c r="C103" t="str">
        <f>TRIM(MKK!K132)</f>
        <v>0</v>
      </c>
      <c r="D103" t="str">
        <f>TRIM(MKK!L132)</f>
        <v/>
      </c>
      <c r="E103" t="str">
        <f>TRIM(MKK!M132)</f>
        <v/>
      </c>
    </row>
    <row r="104" spans="1:5" x14ac:dyDescent="0.25">
      <c r="A104" t="str">
        <f>TRIM(MKK!A133)</f>
        <v>0</v>
      </c>
      <c r="B104" t="str">
        <f>TRIM(MKK!J133)</f>
        <v>0</v>
      </c>
      <c r="C104" t="str">
        <f>TRIM(MKK!K133)</f>
        <v>0</v>
      </c>
      <c r="D104" t="str">
        <f>TRIM(MKK!L133)</f>
        <v/>
      </c>
      <c r="E104" t="str">
        <f>TRIM(MKK!M133)</f>
        <v/>
      </c>
    </row>
    <row r="105" spans="1:5" x14ac:dyDescent="0.25">
      <c r="A105" t="str">
        <f>TRIM(MKK!A134)</f>
        <v>0</v>
      </c>
      <c r="B105" t="str">
        <f>TRIM(MKK!J134)</f>
        <v>0</v>
      </c>
      <c r="C105" t="str">
        <f>TRIM(MKK!K134)</f>
        <v>0</v>
      </c>
      <c r="D105" t="str">
        <f>TRIM(MKK!L134)</f>
        <v/>
      </c>
      <c r="E105" t="str">
        <f>TRIM(MKK!M134)</f>
        <v/>
      </c>
    </row>
    <row r="106" spans="1:5" x14ac:dyDescent="0.25">
      <c r="A106" t="str">
        <f>TRIM(MKK!A135)</f>
        <v>0</v>
      </c>
      <c r="B106" t="str">
        <f>TRIM(MKK!J135)</f>
        <v>0</v>
      </c>
      <c r="C106" t="str">
        <f>TRIM(MKK!K135)</f>
        <v>0</v>
      </c>
      <c r="D106" t="str">
        <f>TRIM(MKK!L135)</f>
        <v/>
      </c>
      <c r="E106" t="str">
        <f>TRIM(MKK!M135)</f>
        <v/>
      </c>
    </row>
    <row r="107" spans="1:5" x14ac:dyDescent="0.25">
      <c r="A107" t="str">
        <f>TRIM(MKK!A136)</f>
        <v>0</v>
      </c>
      <c r="B107" t="str">
        <f>TRIM(MKK!J136)</f>
        <v>0</v>
      </c>
      <c r="C107" t="str">
        <f>TRIM(MKK!K136)</f>
        <v>0</v>
      </c>
      <c r="D107" t="str">
        <f>TRIM(MKK!L136)</f>
        <v/>
      </c>
      <c r="E107" t="str">
        <f>TRIM(MKK!M136)</f>
        <v/>
      </c>
    </row>
    <row r="108" spans="1:5" x14ac:dyDescent="0.25">
      <c r="A108" t="str">
        <f>TRIM(MKK!A137)</f>
        <v>0</v>
      </c>
      <c r="B108" t="str">
        <f>TRIM(MKK!J137)</f>
        <v>0</v>
      </c>
      <c r="C108" t="str">
        <f>TRIM(MKK!K137)</f>
        <v>0</v>
      </c>
      <c r="D108" t="str">
        <f>TRIM(MKK!L137)</f>
        <v/>
      </c>
      <c r="E108" t="str">
        <f>TRIM(MKK!M137)</f>
        <v/>
      </c>
    </row>
    <row r="109" spans="1:5" x14ac:dyDescent="0.25">
      <c r="A109" t="str">
        <f>TRIM(MKK!A138)</f>
        <v>0</v>
      </c>
      <c r="B109" t="str">
        <f>TRIM(MKK!J138)</f>
        <v>0</v>
      </c>
      <c r="C109" t="str">
        <f>TRIM(MKK!K138)</f>
        <v>0</v>
      </c>
      <c r="D109" t="str">
        <f>TRIM(MKK!L138)</f>
        <v/>
      </c>
      <c r="E109" t="str">
        <f>TRIM(MKK!M138)</f>
        <v/>
      </c>
    </row>
    <row r="110" spans="1:5" x14ac:dyDescent="0.25">
      <c r="A110" t="str">
        <f>TRIM(MKK!A139)</f>
        <v>0</v>
      </c>
      <c r="B110" t="str">
        <f>TRIM(MKK!J139)</f>
        <v>0</v>
      </c>
      <c r="C110" t="str">
        <f>TRIM(MKK!K139)</f>
        <v>0</v>
      </c>
      <c r="D110" t="str">
        <f>TRIM(MKK!L139)</f>
        <v/>
      </c>
      <c r="E110" t="str">
        <f>TRIM(MKK!M139)</f>
        <v/>
      </c>
    </row>
    <row r="111" spans="1:5" x14ac:dyDescent="0.25">
      <c r="A111" t="str">
        <f>TRIM(MKK!A140)</f>
        <v>0</v>
      </c>
      <c r="B111" t="str">
        <f>TRIM(MKK!J140)</f>
        <v>0</v>
      </c>
      <c r="C111" t="str">
        <f>TRIM(MKK!K140)</f>
        <v>0</v>
      </c>
      <c r="D111" t="str">
        <f>TRIM(MKK!L140)</f>
        <v/>
      </c>
      <c r="E111" t="str">
        <f>TRIM(MKK!M140)</f>
        <v/>
      </c>
    </row>
    <row r="113" spans="1:18" x14ac:dyDescent="0.25">
      <c r="A113" t="s">
        <v>3105</v>
      </c>
    </row>
    <row r="114" spans="1:18" x14ac:dyDescent="0.25">
      <c r="A114" t="s">
        <v>3106</v>
      </c>
      <c r="B114" t="s">
        <v>3107</v>
      </c>
      <c r="C114" t="s">
        <v>3108</v>
      </c>
      <c r="D114" t="s">
        <v>3109</v>
      </c>
      <c r="E114" t="s">
        <v>3110</v>
      </c>
      <c r="F114" t="s">
        <v>3111</v>
      </c>
      <c r="G114" t="s">
        <v>3112</v>
      </c>
      <c r="H114" t="s">
        <v>3113</v>
      </c>
      <c r="I114" t="s">
        <v>3114</v>
      </c>
    </row>
    <row r="115" spans="1:18" x14ac:dyDescent="0.25">
      <c r="A115" t="str">
        <f>TRIM('Pelaporan BI'!C11)</f>
        <v>907 - PENDUDUK - Perorangan</v>
      </c>
      <c r="B115" t="str">
        <f>TRIM('Pelaporan BI'!C12)</f>
        <v>Industri - Lainnya - 3990</v>
      </c>
      <c r="C115" t="str">
        <f>TRIM('Pelaporan BI'!C13)</f>
        <v>9900 - Tidak terkait dengan Bank</v>
      </c>
      <c r="D115" t="str">
        <f>TRIM('Pelaporan BI'!C14)</f>
        <v>0199 - Lainnya - Perorangan</v>
      </c>
      <c r="E115" t="str">
        <f>TRIM('Pelaporan BI'!F11)</f>
        <v>9000 - Penduduk - Sektor Swasta - Bukan Lembaga Keuangan - Perseorangan</v>
      </c>
      <c r="F115" t="str">
        <f>TRIM('Pelaporan BI'!F13)</f>
        <v>2 - Tidak Terkait dengan Bank</v>
      </c>
      <c r="G115" t="str">
        <f>TRIM('Pelaporan BI'!F14)</f>
        <v>9 - Lainnya</v>
      </c>
      <c r="H115" t="str">
        <f>TRIM('Pelaporan BI'!F15)</f>
        <v>90 - Debitur UMKM - UMKM Lainnya - Menengah</v>
      </c>
      <c r="I115" t="str">
        <f>TRIM('Pelaporan BI'!F16)</f>
        <v>35 - Tagihan Kepada Korporasi</v>
      </c>
    </row>
    <row r="117" spans="1:18" x14ac:dyDescent="0.25">
      <c r="A117" t="s">
        <v>3115</v>
      </c>
    </row>
    <row r="118" spans="1:18" x14ac:dyDescent="0.25">
      <c r="A118" t="s">
        <v>2402</v>
      </c>
      <c r="B118" t="s">
        <v>784</v>
      </c>
      <c r="C118" t="s">
        <v>3116</v>
      </c>
      <c r="D118" t="s">
        <v>3117</v>
      </c>
      <c r="E118" t="s">
        <v>3118</v>
      </c>
      <c r="F118" t="s">
        <v>3119</v>
      </c>
      <c r="G118" t="s">
        <v>3120</v>
      </c>
      <c r="H118" t="s">
        <v>3121</v>
      </c>
      <c r="I118" t="s">
        <v>802</v>
      </c>
      <c r="J118" t="s">
        <v>803</v>
      </c>
      <c r="K118" t="s">
        <v>3122</v>
      </c>
      <c r="L118" t="s">
        <v>3159</v>
      </c>
      <c r="M118" t="s">
        <v>3123</v>
      </c>
      <c r="N118" t="s">
        <v>3124</v>
      </c>
      <c r="O118" t="s">
        <v>3125</v>
      </c>
      <c r="P118" t="s">
        <v>3126</v>
      </c>
      <c r="Q118" t="s">
        <v>3127</v>
      </c>
      <c r="R118" t="s">
        <v>3128</v>
      </c>
    </row>
    <row r="119" spans="1:18" x14ac:dyDescent="0.25">
      <c r="A119" t="str">
        <f>TRIM('Pelaporan BI'!B30)</f>
        <v>PRK</v>
      </c>
      <c r="B119" t="str">
        <f>TRIM('Pelaporan BI'!B31)</f>
        <v/>
      </c>
      <c r="C119" t="str">
        <f>TRIM('Pelaporan BI'!B34)</f>
        <v>79 - Lainnya</v>
      </c>
      <c r="D119" t="str">
        <f>TRIM('Pelaporan BI'!B35)</f>
        <v>90 - Debitur UMKM - UMKM Lainnya - Menengah</v>
      </c>
      <c r="E119" t="str">
        <f>TRIM('Pelaporan BI'!B36)</f>
        <v>39 - Kredit modal kerja lainnya</v>
      </c>
      <c r="F119" t="str">
        <f>TRIM('Pelaporan BI'!B37)</f>
        <v>9 - Lainnya</v>
      </c>
      <c r="G119" t="str">
        <f>TRIM('Pelaporan BI'!B38)</f>
        <v>Industri - Lainnya - 3990</v>
      </c>
      <c r="H119" t="str">
        <f>TRIM('Pelaporan BI'!B39)</f>
        <v>5192 - Banjarbaru, Kota.</v>
      </c>
      <c r="I119" t="str">
        <f>TRIM('Pelaporan BI'!B40)</f>
        <v>IDR - Indonesian Rupiah</v>
      </c>
      <c r="J119" t="str">
        <f>TRIM('Pelaporan BI'!B41)</f>
        <v>1 - Lancar</v>
      </c>
      <c r="K119" t="str">
        <f>TRIM('Pelaporan BI'!C32)</f>
        <v>05 - Dengan perjanjian kredit - Kredit yang diberikan</v>
      </c>
      <c r="L119" t="str">
        <f>TRIM('Pelaporan BI'!C33)</f>
        <v>0605 - untuk kredit lainnya</v>
      </c>
      <c r="M119" t="str">
        <f>TRIM('Pelaporan BI'!C34)</f>
        <v>9 - Lainnya</v>
      </c>
      <c r="N119" t="str">
        <f>TRIM('Pelaporan BI'!C36)</f>
        <v>1 - Modal Kerja</v>
      </c>
      <c r="O119" t="str">
        <f>TRIM('Pelaporan BI'!C37)</f>
        <v>9 - Lainnya</v>
      </c>
      <c r="P119" t="str">
        <f>TRIM('Pelaporan BI'!C38)</f>
        <v>Industri Karoseri Kendaraan Bermotor Roda Empat Atau Lebih - 342000</v>
      </c>
      <c r="Q119" t="str">
        <f>TRIM('Pelaporan BI'!C39)</f>
        <v>5192 - Kota Banjarbaru</v>
      </c>
      <c r="R119" t="str">
        <f>TRIM('Pelaporan BI'!C42)</f>
        <v>6 - Pinjaman yang Diberikan dan Piutang</v>
      </c>
    </row>
    <row r="120" spans="1:18" x14ac:dyDescent="0.25">
      <c r="A120" t="str">
        <f>TRIM('Pelaporan BI'!D30)</f>
        <v>0</v>
      </c>
      <c r="B120" t="str">
        <f>TRIM('Pelaporan BI'!D31)</f>
        <v/>
      </c>
      <c r="C120" t="str">
        <f>TRIM('Pelaporan BI'!D34)</f>
        <v>79 - Lainnya</v>
      </c>
      <c r="D120" t="str">
        <f>TRIM('Pelaporan BI'!D35)</f>
        <v>90 - Debitur UMKM - UMKM Lainnya - Menengah</v>
      </c>
      <c r="E120" t="str">
        <f>TRIM('Pelaporan BI'!D36)</f>
        <v>39 - Kredit modal kerja lainnya</v>
      </c>
      <c r="F120" t="str">
        <f>TRIM('Pelaporan BI'!D37)</f>
        <v>9 - Lainnya</v>
      </c>
      <c r="G120" t="str">
        <f>TRIM('Pelaporan BI'!D38)</f>
        <v>Perdagangan Eceran - 6500</v>
      </c>
      <c r="H120" t="str">
        <f>TRIM('Pelaporan BI'!D39)</f>
        <v>5192 - Banjarbaru, Kota.</v>
      </c>
      <c r="I120" t="str">
        <f>TRIM('Pelaporan BI'!D40)</f>
        <v>IDR - Indonesian Rupiah</v>
      </c>
      <c r="J120" t="str">
        <f>TRIM('Pelaporan BI'!D41)</f>
        <v>1 - Lancar</v>
      </c>
      <c r="K120" t="str">
        <f>TRIM('Pelaporan BI'!E32)</f>
        <v>05 - Dengan perjanjian kredit - Kredit yang diberikan</v>
      </c>
      <c r="L120" t="str">
        <f>TRIM('Pelaporan BI'!E33)</f>
        <v>0605 - untuk kredit lainnya</v>
      </c>
      <c r="M120" t="str">
        <f>TRIM('Pelaporan BI'!E34)</f>
        <v>9 - Lainnya</v>
      </c>
      <c r="N120" t="str">
        <f>TRIM('Pelaporan BI'!E36)</f>
        <v>1 - Modal Kerja</v>
      </c>
      <c r="O120" t="str">
        <f>TRIM('Pelaporan BI'!E37)</f>
        <v>9 - Lainnya</v>
      </c>
      <c r="P120" t="str">
        <f>TRIM('Pelaporan BI'!E38)</f>
        <v>Perdagangan Eceran Berbagai Macam Barang yang Didominasi Makanan, Minuman dan Tembakau - 521100</v>
      </c>
      <c r="Q120" t="str">
        <f>TRIM('Pelaporan BI'!E39)</f>
        <v>5192 - Kota Banjarbaru</v>
      </c>
      <c r="R120" t="str">
        <f>TRIM('Pelaporan BI'!E42)</f>
        <v>6 - Pinjaman yang Diberikan dan Piutang</v>
      </c>
    </row>
    <row r="121" spans="1:18" x14ac:dyDescent="0.25">
      <c r="A121" t="str">
        <f>TRIM('Pelaporan BI'!F30)</f>
        <v>0</v>
      </c>
      <c r="B121" t="str">
        <f>TRIM('Pelaporan BI'!F31)</f>
        <v/>
      </c>
      <c r="C121" t="str">
        <f>TRIM('Pelaporan BI'!F34)</f>
        <v>79 - Lainnya</v>
      </c>
      <c r="D121" t="str">
        <f>TRIM('Pelaporan BI'!F35)</f>
        <v>90 - Debitur UMKM - UMKM Lainnya - Menengah</v>
      </c>
      <c r="E121" t="str">
        <f>TRIM('Pelaporan BI'!F36)</f>
        <v>39 - Kredit modal kerja lainnya</v>
      </c>
      <c r="F121" t="str">
        <f>TRIM('Pelaporan BI'!F37)</f>
        <v>9 - Lainnya</v>
      </c>
      <c r="G121" t="str">
        <f>TRIM('Pelaporan BI'!F38)</f>
        <v>Perdagangan Eceran - 6500</v>
      </c>
      <c r="H121" t="str">
        <f>TRIM('Pelaporan BI'!F39)</f>
        <v>5192 - Banjarbaru, Kota.</v>
      </c>
      <c r="I121" t="str">
        <f>TRIM('Pelaporan BI'!F40)</f>
        <v>IDR - Indonesian Rupiah</v>
      </c>
      <c r="J121" t="str">
        <f>TRIM('Pelaporan BI'!F41)</f>
        <v>1 - Lancar</v>
      </c>
      <c r="K121" t="str">
        <f>TRIM('Pelaporan BI'!G32)</f>
        <v>05 - Dengan perjanjian kredit - Kredit yang diberikan</v>
      </c>
      <c r="L121" t="str">
        <f>TRIM('Pelaporan BI'!G33)</f>
        <v>0605 - untuk kredit lainnya</v>
      </c>
      <c r="M121" t="str">
        <f>TRIM('Pelaporan BI'!G34)</f>
        <v>9 - Lainnya</v>
      </c>
      <c r="N121" t="str">
        <f>TRIM('Pelaporan BI'!G36)</f>
        <v>1 - Modal Kerja</v>
      </c>
      <c r="O121" t="str">
        <f>TRIM('Pelaporan BI'!G37)</f>
        <v>9 - Lainnya</v>
      </c>
      <c r="P121" t="str">
        <f>TRIM('Pelaporan BI'!G38)</f>
        <v>Perdagangan Eceran Berbagai Macam Barang yang Didominasi Makanan, Minuman dan Tembakau - 521100</v>
      </c>
      <c r="Q121" t="str">
        <f>TRIM('Pelaporan BI'!G39)</f>
        <v>5192 - Kota Banjarbaru</v>
      </c>
      <c r="R121" t="str">
        <f>TRIM('Pelaporan BI'!G42)</f>
        <v>6 - Pinjaman yang Diberikan dan Piutang</v>
      </c>
    </row>
    <row r="122" spans="1:18" x14ac:dyDescent="0.25">
      <c r="A122" t="str">
        <f>TRIM('Pelaporan BI'!H30)</f>
        <v>0</v>
      </c>
      <c r="B122" t="str">
        <f>TRIM('Pelaporan BI'!H31)</f>
        <v/>
      </c>
      <c r="C122" t="str">
        <f>TRIM('Pelaporan BI'!H34)</f>
        <v>79 - Lainnya</v>
      </c>
      <c r="D122" t="str">
        <f>TRIM('Pelaporan BI'!H35)</f>
        <v>90 - Debitur UMKM - UMKM Lainnya - Menengah</v>
      </c>
      <c r="E122" t="str">
        <f>TRIM('Pelaporan BI'!H36)</f>
        <v>39 - Kredit modal kerja lainnya</v>
      </c>
      <c r="F122" t="str">
        <f>TRIM('Pelaporan BI'!H37)</f>
        <v>9 - Lainnya</v>
      </c>
      <c r="G122" t="str">
        <f>TRIM('Pelaporan BI'!H38)</f>
        <v>Perdagangan Eceran - 6500</v>
      </c>
      <c r="H122" t="str">
        <f>TRIM('Pelaporan BI'!H39)</f>
        <v>5192 - Banjarbaru, Kota.</v>
      </c>
      <c r="I122" t="str">
        <f>TRIM('Pelaporan BI'!H40)</f>
        <v>IDR - Indonesian Rupiah</v>
      </c>
      <c r="J122" t="str">
        <f>TRIM('Pelaporan BI'!H41)</f>
        <v>1 - Lancar</v>
      </c>
      <c r="K122" t="str">
        <f>TRIM('Pelaporan BI'!I32)</f>
        <v>05 - Dengan perjanjian kredit - Kredit yang diberikan</v>
      </c>
      <c r="L122" t="str">
        <f>TRIM('Pelaporan BI'!I33)</f>
        <v>0605 - untuk kredit lainnya</v>
      </c>
      <c r="M122" t="str">
        <f>TRIM('Pelaporan BI'!I34)</f>
        <v>9 - Lainnya</v>
      </c>
      <c r="N122" t="str">
        <f>TRIM('Pelaporan BI'!I36)</f>
        <v>1 - Modal Kerja</v>
      </c>
      <c r="O122" t="str">
        <f>TRIM('Pelaporan BI'!I37)</f>
        <v>9 - Lainnya</v>
      </c>
      <c r="P122" t="str">
        <f>TRIM('Pelaporan BI'!I38)</f>
        <v>Perdagangan Eceran Berbagai Macam Barang yang Didominasi Makanan, Minuman dan Tembakau - 521100</v>
      </c>
      <c r="Q122" t="str">
        <f>TRIM('Pelaporan BI'!I39)</f>
        <v>5192 - Kota Banjarbaru</v>
      </c>
      <c r="R122" t="str">
        <f>TRIM('Pelaporan BI'!I42)</f>
        <v>6 - Pinjaman yang Diberikan dan Piutang</v>
      </c>
    </row>
    <row r="123" spans="1:18" x14ac:dyDescent="0.25">
      <c r="A123" t="str">
        <f>TRIM('Pelaporan BI'!B47)</f>
        <v>0</v>
      </c>
      <c r="B123" t="str">
        <f>TRIM('Pelaporan BI'!B48)</f>
        <v/>
      </c>
      <c r="C123" t="str">
        <f>TRIM('Pelaporan BI'!B51)</f>
        <v>79 - Lainnya</v>
      </c>
      <c r="D123" t="str">
        <f>TRIM('Pelaporan BI'!B52)</f>
        <v>90 - Debitur UMKM - UMKM Lainnya - Menengah</v>
      </c>
      <c r="E123" t="str">
        <f>TRIM('Pelaporan BI'!B53)</f>
        <v>39 - Kredit modal kerja lainnya</v>
      </c>
      <c r="F123" t="str">
        <f>TRIM('Pelaporan BI'!B54)</f>
        <v>9 - Lainnya</v>
      </c>
      <c r="G123" t="str">
        <f>TRIM('Pelaporan BI'!B55)</f>
        <v>Perdagangan Eceran - 6500</v>
      </c>
      <c r="H123" t="str">
        <f>TRIM('Pelaporan BI'!B56)</f>
        <v>5192 - Banjarbaru, Kota.</v>
      </c>
      <c r="I123" t="str">
        <f>TRIM('Pelaporan BI'!B57)</f>
        <v>IDR - Indonesian Rupiah</v>
      </c>
      <c r="J123" t="str">
        <f>TRIM('Pelaporan BI'!B58)</f>
        <v>1 - Lancar</v>
      </c>
      <c r="K123" t="str">
        <f>TRIM('Pelaporan BI'!C49)</f>
        <v>05 - Dengan perjanjian kredit - Kredit yang diberikan</v>
      </c>
      <c r="L123" t="str">
        <f>TRIM('Pelaporan BI'!C50)</f>
        <v>0605 - untuk kredit lainnya</v>
      </c>
      <c r="M123" t="str">
        <f>TRIM('Pelaporan BI'!C51)</f>
        <v>9 - Lainnya</v>
      </c>
      <c r="N123" t="str">
        <f>TRIM('Pelaporan BI'!C53)</f>
        <v>1 - Modal Kerja</v>
      </c>
      <c r="O123" t="str">
        <f>TRIM('Pelaporan BI'!C54)</f>
        <v>9 - Lainnya</v>
      </c>
      <c r="P123" t="str">
        <f>TRIM('Pelaporan BI'!C55)</f>
        <v>Perdagangan Eceran Berbagai Macam Barang yang Didominasi Makanan, Minuman dan Tembakau - 521100</v>
      </c>
      <c r="Q123" t="str">
        <f>TRIM('Pelaporan BI'!C56)</f>
        <v>5192 - Kota Banjarbaru</v>
      </c>
      <c r="R123" t="str">
        <f>TRIM('Pelaporan BI'!C59)</f>
        <v>6 - Pinjaman yang Diberikan dan Piutang</v>
      </c>
    </row>
    <row r="124" spans="1:18" x14ac:dyDescent="0.25">
      <c r="A124" t="str">
        <f>TRIM('Pelaporan BI'!D47)</f>
        <v>0</v>
      </c>
      <c r="B124" t="str">
        <f>TRIM('Pelaporan BI'!D48)</f>
        <v/>
      </c>
      <c r="C124" t="str">
        <f>TRIM('Pelaporan BI'!D51)</f>
        <v>79 - Lainnya</v>
      </c>
      <c r="D124" t="str">
        <f>TRIM('Pelaporan BI'!D52)</f>
        <v>90 - Debitur UMKM - UMKM Lainnya - Menengah</v>
      </c>
      <c r="E124" t="str">
        <f>TRIM('Pelaporan BI'!D53)</f>
        <v>39 - Kredit modal kerja lainnya</v>
      </c>
      <c r="F124" t="str">
        <f>TRIM('Pelaporan BI'!D54)</f>
        <v>9 - Lainnya</v>
      </c>
      <c r="G124" t="str">
        <f>TRIM('Pelaporan BI'!D55)</f>
        <v>Perdagangan Eceran - 6500</v>
      </c>
      <c r="H124" t="str">
        <f>TRIM('Pelaporan BI'!D56)</f>
        <v>5192 - Banjarbaru, Kota.</v>
      </c>
      <c r="I124" t="str">
        <f>TRIM('Pelaporan BI'!D57)</f>
        <v>IDR - Indonesian Rupiah</v>
      </c>
      <c r="J124" t="str">
        <f>TRIM('Pelaporan BI'!D58)</f>
        <v>1 - Lancar</v>
      </c>
      <c r="K124" t="str">
        <f>TRIM('Pelaporan BI'!E49)</f>
        <v>05 - Dengan perjanjian kredit - Kredit yang diberikan</v>
      </c>
      <c r="L124" t="str">
        <f>TRIM('Pelaporan BI'!E50)</f>
        <v>0605 - untuk kredit lainnya</v>
      </c>
      <c r="M124" t="str">
        <f>TRIM('Pelaporan BI'!E51)</f>
        <v>9 - Lainnya</v>
      </c>
      <c r="N124" t="str">
        <f>TRIM('Pelaporan BI'!E53)</f>
        <v>1 - Modal Kerja</v>
      </c>
      <c r="O124" t="str">
        <f>TRIM('Pelaporan BI'!E54)</f>
        <v>9 - Lainnya</v>
      </c>
      <c r="P124" t="str">
        <f>TRIM('Pelaporan BI'!E55)</f>
        <v>Perdagangan Eceran Berbagai Macam Barang yang Didominasi Makanan, Minuman dan Tembakau - 521100</v>
      </c>
      <c r="Q124" t="str">
        <f>TRIM('Pelaporan BI'!E56)</f>
        <v>5192 - Kota Banjarbaru</v>
      </c>
      <c r="R124" t="str">
        <f>TRIM('Pelaporan BI'!E59)</f>
        <v>6 - Pinjaman yang Diberikan dan Piutang</v>
      </c>
    </row>
    <row r="125" spans="1:18" x14ac:dyDescent="0.25">
      <c r="A125" t="str">
        <f>TRIM('Pelaporan BI'!F47)</f>
        <v>0</v>
      </c>
      <c r="B125" t="str">
        <f>TRIM('Pelaporan BI'!F48)</f>
        <v/>
      </c>
      <c r="C125" t="str">
        <f>TRIM('Pelaporan BI'!F51)</f>
        <v>79 - Lainnya</v>
      </c>
      <c r="D125" t="str">
        <f>TRIM('Pelaporan BI'!F52)</f>
        <v>90 - Debitur UMKM - UMKM Lainnya - Menengah</v>
      </c>
      <c r="E125" t="str">
        <f>TRIM('Pelaporan BI'!F53)</f>
        <v>39 - Kredit modal kerja lainnya</v>
      </c>
      <c r="F125" t="str">
        <f>TRIM('Pelaporan BI'!F54)</f>
        <v>9 - Lainnya</v>
      </c>
      <c r="G125" t="str">
        <f>TRIM('Pelaporan BI'!F55)</f>
        <v>Perdagangan Eceran - 6500</v>
      </c>
      <c r="H125" t="str">
        <f>TRIM('Pelaporan BI'!F56)</f>
        <v>5192 - Banjarbaru, Kota.</v>
      </c>
      <c r="I125" t="str">
        <f>TRIM('Pelaporan BI'!F57)</f>
        <v>IDR - Indonesian Rupiah</v>
      </c>
      <c r="J125" t="str">
        <f>TRIM('Pelaporan BI'!F58)</f>
        <v>1 - Lancar</v>
      </c>
      <c r="K125" t="str">
        <f>TRIM('Pelaporan BI'!G49)</f>
        <v>05 - Dengan perjanjian kredit - Kredit yang diberikan</v>
      </c>
      <c r="L125" t="str">
        <f>TRIM('Pelaporan BI'!G50)</f>
        <v>0605 - untuk kredit lainnya</v>
      </c>
      <c r="M125" t="str">
        <f>TRIM('Pelaporan BI'!G51)</f>
        <v>9 - Lainnya</v>
      </c>
      <c r="N125" t="str">
        <f>TRIM('Pelaporan BI'!G53)</f>
        <v>1 - Modal Kerja</v>
      </c>
      <c r="O125" t="str">
        <f>TRIM('Pelaporan BI'!G54)</f>
        <v>9 - Lainnya</v>
      </c>
      <c r="P125" t="str">
        <f>TRIM('Pelaporan BI'!G55)</f>
        <v>Perdagangan Eceran Berbagai Macam Barang yang Didominasi Makanan, Minuman dan Tembakau - 521100</v>
      </c>
      <c r="Q125" t="str">
        <f>TRIM('Pelaporan BI'!G56)</f>
        <v>5192 - Kota Banjarbaru</v>
      </c>
      <c r="R125" t="str">
        <f>TRIM('Pelaporan BI'!G59)</f>
        <v>6 - Pinjaman yang Diberikan dan Piutang</v>
      </c>
    </row>
    <row r="127" spans="1:18" x14ac:dyDescent="0.25">
      <c r="A127" t="s">
        <v>4216</v>
      </c>
      <c r="B127" t="s">
        <v>4272</v>
      </c>
    </row>
    <row r="128" spans="1:18" x14ac:dyDescent="0.25">
      <c r="A128" s="388" t="str">
        <f>TRIM(MKK!B50)</f>
        <v/>
      </c>
      <c r="B128" s="388" t="str">
        <f>TRIM(MKK!B51)</f>
        <v/>
      </c>
    </row>
    <row r="130" spans="1:14" x14ac:dyDescent="0.25">
      <c r="A130" t="s">
        <v>4273</v>
      </c>
    </row>
    <row r="131" spans="1:14" x14ac:dyDescent="0.25">
      <c r="A131" s="388" t="s">
        <v>2402</v>
      </c>
      <c r="B131" s="388" t="s">
        <v>231</v>
      </c>
      <c r="C131" s="388" t="s">
        <v>90</v>
      </c>
      <c r="D131" s="388" t="s">
        <v>124</v>
      </c>
      <c r="E131" s="388" t="s">
        <v>135</v>
      </c>
      <c r="F131" s="388" t="s">
        <v>4249</v>
      </c>
      <c r="G131" s="388" t="s">
        <v>4250</v>
      </c>
      <c r="H131" s="388" t="s">
        <v>3029</v>
      </c>
      <c r="I131" s="388" t="s">
        <v>4251</v>
      </c>
      <c r="J131" s="388" t="s">
        <v>3030</v>
      </c>
      <c r="K131" s="388" t="s">
        <v>3031</v>
      </c>
      <c r="L131" s="388" t="s">
        <v>7179</v>
      </c>
      <c r="M131" s="388" t="s">
        <v>7180</v>
      </c>
      <c r="N131" s="388"/>
    </row>
    <row r="132" spans="1:14" x14ac:dyDescent="0.25">
      <c r="A132" s="388" t="str">
        <f>TRIM(MKK!A55)</f>
        <v/>
      </c>
      <c r="B132" s="388" t="str">
        <f>TRIM(MKK!B55)</f>
        <v/>
      </c>
      <c r="C132" s="388" t="str">
        <f>TRIM(MKK!C55)</f>
        <v/>
      </c>
      <c r="D132" s="388" t="str">
        <f>TRIM(MKK!D55)</f>
        <v/>
      </c>
      <c r="E132" s="388" t="str">
        <f>TRIM(MKK!E55)</f>
        <v/>
      </c>
      <c r="F132" s="388" t="str">
        <f>TRIM(MKK!F55)</f>
        <v>0</v>
      </c>
      <c r="G132" s="388" t="str">
        <f>TRIM(MKK!G55)</f>
        <v>0</v>
      </c>
      <c r="H132" s="388"/>
      <c r="I132" s="388" t="str">
        <f>TRIM(MKK!H55)</f>
        <v/>
      </c>
      <c r="J132" s="389">
        <f>(MKK!I55)</f>
        <v>0</v>
      </c>
      <c r="K132" s="389">
        <f>(MKK!J55)</f>
        <v>0</v>
      </c>
      <c r="L132" s="388" t="str">
        <f>TRIM(MKK!K55)</f>
        <v/>
      </c>
      <c r="M132" s="388" t="str">
        <f>TRIM(MKK!L55)</f>
        <v/>
      </c>
      <c r="N132" s="388"/>
    </row>
    <row r="133" spans="1:14" x14ac:dyDescent="0.25">
      <c r="A133" s="388" t="str">
        <f>TRIM(MKK!A56)</f>
        <v/>
      </c>
      <c r="B133" s="388" t="str">
        <f>TRIM(MKK!B56)</f>
        <v/>
      </c>
      <c r="C133" s="388" t="str">
        <f>TRIM(MKK!C56)</f>
        <v/>
      </c>
      <c r="D133" s="388" t="str">
        <f>TRIM(MKK!D56)</f>
        <v/>
      </c>
      <c r="E133" s="388" t="str">
        <f>TRIM(MKK!E56)</f>
        <v/>
      </c>
      <c r="F133" s="388" t="str">
        <f>TRIM(MKK!F56)</f>
        <v>0</v>
      </c>
      <c r="G133" s="388" t="str">
        <f>TRIM(MKK!G56)</f>
        <v>0</v>
      </c>
      <c r="H133" s="388"/>
      <c r="I133" s="388" t="str">
        <f>TRIM(MKK!H56)</f>
        <v/>
      </c>
      <c r="J133" s="389">
        <f>(MKK!I56)</f>
        <v>0</v>
      </c>
      <c r="K133" s="389">
        <f>(MKK!J56)</f>
        <v>0</v>
      </c>
      <c r="L133" s="388" t="str">
        <f>TRIM(MKK!K56)</f>
        <v/>
      </c>
      <c r="M133" s="388" t="str">
        <f>TRIM(MKK!L56)</f>
        <v/>
      </c>
      <c r="N133" s="388"/>
    </row>
    <row r="134" spans="1:14" x14ac:dyDescent="0.25">
      <c r="A134" s="388" t="str">
        <f>TRIM(MKK!A57)</f>
        <v/>
      </c>
      <c r="B134" s="388" t="str">
        <f>TRIM(MKK!B57)</f>
        <v/>
      </c>
      <c r="C134" s="388" t="str">
        <f>TRIM(MKK!C57)</f>
        <v/>
      </c>
      <c r="D134" s="388" t="str">
        <f>TRIM(MKK!D57)</f>
        <v/>
      </c>
      <c r="E134" s="388" t="str">
        <f>TRIM(MKK!E57)</f>
        <v/>
      </c>
      <c r="F134" s="388" t="str">
        <f>TRIM(MKK!F57)</f>
        <v>0</v>
      </c>
      <c r="G134" s="388" t="str">
        <f>TRIM(MKK!G57)</f>
        <v>0</v>
      </c>
      <c r="H134" s="388"/>
      <c r="I134" s="388" t="str">
        <f>TRIM(MKK!H57)</f>
        <v/>
      </c>
      <c r="J134" s="389">
        <f>(MKK!I57)</f>
        <v>0</v>
      </c>
      <c r="K134" s="389">
        <f>(MKK!J57)</f>
        <v>0</v>
      </c>
      <c r="L134" s="388" t="str">
        <f>TRIM(MKK!K57)</f>
        <v/>
      </c>
      <c r="M134" s="388" t="str">
        <f>TRIM(MKK!L57)</f>
        <v/>
      </c>
      <c r="N134" s="388"/>
    </row>
    <row r="135" spans="1:14" x14ac:dyDescent="0.25">
      <c r="A135" s="388" t="str">
        <f>TRIM(MKK!A58)</f>
        <v/>
      </c>
      <c r="B135" s="388" t="str">
        <f>TRIM(MKK!B58)</f>
        <v/>
      </c>
      <c r="C135" s="388" t="str">
        <f>TRIM(MKK!C58)</f>
        <v/>
      </c>
      <c r="D135" s="388" t="str">
        <f>TRIM(MKK!D58)</f>
        <v/>
      </c>
      <c r="E135" s="388" t="str">
        <f>TRIM(MKK!E58)</f>
        <v/>
      </c>
      <c r="F135" s="388" t="str">
        <f>TRIM(MKK!F58)</f>
        <v>0</v>
      </c>
      <c r="G135" s="388" t="str">
        <f>TRIM(MKK!G58)</f>
        <v>0</v>
      </c>
      <c r="H135" s="388"/>
      <c r="I135" s="388" t="str">
        <f>TRIM(MKK!H58)</f>
        <v/>
      </c>
      <c r="J135" s="389">
        <f>(MKK!I58)</f>
        <v>0</v>
      </c>
      <c r="K135" s="389">
        <f>(MKK!J58)</f>
        <v>0</v>
      </c>
      <c r="L135" s="388" t="str">
        <f>TRIM(MKK!K58)</f>
        <v/>
      </c>
      <c r="M135" s="388" t="str">
        <f>TRIM(MKK!L58)</f>
        <v/>
      </c>
      <c r="N135" s="388"/>
    </row>
    <row r="136" spans="1:14" x14ac:dyDescent="0.25">
      <c r="A136" s="388" t="str">
        <f>TRIM(MKK!A59)</f>
        <v/>
      </c>
      <c r="B136" s="388" t="str">
        <f>TRIM(MKK!B59)</f>
        <v/>
      </c>
      <c r="C136" s="388" t="str">
        <f>TRIM(MKK!C59)</f>
        <v/>
      </c>
      <c r="D136" s="388" t="str">
        <f>TRIM(MKK!D59)</f>
        <v/>
      </c>
      <c r="E136" s="388" t="str">
        <f>TRIM(MKK!E59)</f>
        <v/>
      </c>
      <c r="F136" s="388" t="str">
        <f>TRIM(MKK!F59)</f>
        <v>0</v>
      </c>
      <c r="G136" s="388" t="str">
        <f>TRIM(MKK!G59)</f>
        <v>0</v>
      </c>
      <c r="H136" s="388"/>
      <c r="I136" s="388" t="str">
        <f>TRIM(MKK!H59)</f>
        <v/>
      </c>
      <c r="J136" s="389">
        <f>(MKK!I59)</f>
        <v>0</v>
      </c>
      <c r="K136" s="389">
        <f>(MKK!J59)</f>
        <v>0</v>
      </c>
      <c r="L136" s="388" t="str">
        <f>TRIM(MKK!K59)</f>
        <v/>
      </c>
      <c r="M136" s="388" t="str">
        <f>TRIM(MKK!L59)</f>
        <v/>
      </c>
      <c r="N136" s="388"/>
    </row>
    <row r="137" spans="1:14" x14ac:dyDescent="0.25">
      <c r="A137" s="388" t="str">
        <f>TRIM(MKK!A60)</f>
        <v/>
      </c>
      <c r="B137" s="388" t="str">
        <f>TRIM(MKK!B60)</f>
        <v/>
      </c>
      <c r="C137" s="388" t="str">
        <f>TRIM(MKK!C60)</f>
        <v/>
      </c>
      <c r="D137" s="388" t="str">
        <f>TRIM(MKK!D60)</f>
        <v/>
      </c>
      <c r="E137" s="388" t="str">
        <f>TRIM(MKK!E60)</f>
        <v/>
      </c>
      <c r="F137" s="388" t="str">
        <f>TRIM(MKK!F60)</f>
        <v>0</v>
      </c>
      <c r="G137" s="388" t="str">
        <f>TRIM(MKK!G60)</f>
        <v>0</v>
      </c>
      <c r="H137" s="388"/>
      <c r="I137" s="388" t="str">
        <f>TRIM(MKK!H60)</f>
        <v/>
      </c>
      <c r="J137" s="389">
        <f>(MKK!I60)</f>
        <v>0</v>
      </c>
      <c r="K137" s="389">
        <f>(MKK!J60)</f>
        <v>0</v>
      </c>
      <c r="L137" s="388" t="str">
        <f>TRIM(MKK!K60)</f>
        <v/>
      </c>
      <c r="M137" s="388" t="str">
        <f>TRIM(MKK!L60)</f>
        <v/>
      </c>
      <c r="N137" s="388"/>
    </row>
    <row r="138" spans="1:14" x14ac:dyDescent="0.25">
      <c r="A138" s="388" t="str">
        <f>TRIM(MKK!A61)</f>
        <v/>
      </c>
      <c r="B138" s="388" t="str">
        <f>TRIM(MKK!B61)</f>
        <v/>
      </c>
      <c r="C138" s="388" t="str">
        <f>TRIM(MKK!C61)</f>
        <v/>
      </c>
      <c r="D138" s="388" t="str">
        <f>TRIM(MKK!D61)</f>
        <v/>
      </c>
      <c r="E138" s="388" t="str">
        <f>TRIM(MKK!E61)</f>
        <v/>
      </c>
      <c r="F138" s="388" t="str">
        <f>TRIM(MKK!F61)</f>
        <v>0</v>
      </c>
      <c r="G138" s="388" t="str">
        <f>TRIM(MKK!G61)</f>
        <v>0</v>
      </c>
      <c r="H138" s="388"/>
      <c r="I138" s="388" t="str">
        <f>TRIM(MKK!H61)</f>
        <v/>
      </c>
      <c r="J138" s="389">
        <f>(MKK!I61)</f>
        <v>0</v>
      </c>
      <c r="K138" s="389">
        <f>(MKK!J61)</f>
        <v>0</v>
      </c>
      <c r="L138" s="388" t="str">
        <f>TRIM(MKK!K61)</f>
        <v/>
      </c>
      <c r="M138" s="388" t="str">
        <f>TRIM(MKK!L61)</f>
        <v/>
      </c>
      <c r="N138" s="388"/>
    </row>
    <row r="140" spans="1:14" x14ac:dyDescent="0.25">
      <c r="A140" t="s">
        <v>4217</v>
      </c>
      <c r="B140" t="s">
        <v>4274</v>
      </c>
    </row>
    <row r="141" spans="1:14" x14ac:dyDescent="0.25">
      <c r="A141" s="388" t="str">
        <f>TRIM(MKK!B71)</f>
        <v/>
      </c>
      <c r="B141" s="388" t="str">
        <f>TRIM(MKK!B72)</f>
        <v/>
      </c>
    </row>
    <row r="143" spans="1:14" x14ac:dyDescent="0.25">
      <c r="A143" s="388" t="s">
        <v>2402</v>
      </c>
      <c r="B143" s="388" t="s">
        <v>231</v>
      </c>
      <c r="C143" s="388" t="s">
        <v>90</v>
      </c>
      <c r="D143" s="388" t="s">
        <v>124</v>
      </c>
      <c r="E143" s="388" t="s">
        <v>135</v>
      </c>
      <c r="F143" s="388" t="s">
        <v>4249</v>
      </c>
      <c r="G143" s="388" t="s">
        <v>4250</v>
      </c>
      <c r="H143" s="388" t="s">
        <v>3029</v>
      </c>
      <c r="I143" s="388" t="s">
        <v>4251</v>
      </c>
      <c r="J143" s="388" t="s">
        <v>3030</v>
      </c>
      <c r="K143" s="388" t="s">
        <v>3031</v>
      </c>
      <c r="L143" s="388" t="s">
        <v>199</v>
      </c>
      <c r="M143" s="388" t="s">
        <v>7180</v>
      </c>
      <c r="N143" s="388"/>
    </row>
    <row r="144" spans="1:14" x14ac:dyDescent="0.25">
      <c r="A144" s="388" t="str">
        <f>TRIM(MKK!A76)</f>
        <v/>
      </c>
      <c r="B144" s="388" t="str">
        <f>TRIM(MKK!B76)</f>
        <v/>
      </c>
      <c r="C144" s="388" t="str">
        <f>TRIM(MKK!C76)</f>
        <v/>
      </c>
      <c r="D144" s="388" t="str">
        <f>TRIM(MKK!D76)</f>
        <v/>
      </c>
      <c r="E144" s="388" t="str">
        <f>TRIM(MKK!E76)</f>
        <v/>
      </c>
      <c r="F144" s="388" t="str">
        <f>TRIM(MKK!F76)</f>
        <v>0</v>
      </c>
      <c r="G144" s="388" t="str">
        <f>TRIM(MKK!G76)</f>
        <v>0</v>
      </c>
      <c r="H144" s="388"/>
      <c r="I144" s="388" t="str">
        <f>TRIM(MKK!H76)</f>
        <v/>
      </c>
      <c r="J144" s="389">
        <f>(MKK!I76)</f>
        <v>0</v>
      </c>
      <c r="K144" s="389">
        <f>(MKK!J76)</f>
        <v>0</v>
      </c>
      <c r="L144" s="388" t="str">
        <f>TRIM(MKK!K76)</f>
        <v/>
      </c>
      <c r="M144" s="388" t="str">
        <f>TRIM(MKK!L76)</f>
        <v/>
      </c>
      <c r="N144" s="388" t="str">
        <f>TRIM(MKK!M76)</f>
        <v/>
      </c>
    </row>
    <row r="145" spans="1:14" x14ac:dyDescent="0.25">
      <c r="A145" s="388" t="str">
        <f>TRIM(MKK!A77)</f>
        <v/>
      </c>
      <c r="B145" s="388" t="str">
        <f>TRIM(MKK!B77)</f>
        <v/>
      </c>
      <c r="C145" s="388" t="str">
        <f>TRIM(MKK!C77)</f>
        <v/>
      </c>
      <c r="D145" s="388" t="str">
        <f>TRIM(MKK!D77)</f>
        <v/>
      </c>
      <c r="E145" s="388" t="str">
        <f>TRIM(MKK!E77)</f>
        <v/>
      </c>
      <c r="F145" s="388" t="str">
        <f>TRIM(MKK!F77)</f>
        <v>0</v>
      </c>
      <c r="G145" s="388" t="str">
        <f>TRIM(MKK!G77)</f>
        <v>0</v>
      </c>
      <c r="H145" s="388"/>
      <c r="I145" s="388" t="str">
        <f>TRIM(MKK!H77)</f>
        <v/>
      </c>
      <c r="J145" s="389">
        <f>(MKK!I77)</f>
        <v>0</v>
      </c>
      <c r="K145" s="389">
        <f>(MKK!J77)</f>
        <v>0</v>
      </c>
      <c r="L145" s="388" t="str">
        <f>TRIM(MKK!K77)</f>
        <v/>
      </c>
      <c r="M145" s="388" t="str">
        <f>TRIM(MKK!L77)</f>
        <v/>
      </c>
      <c r="N145" s="388" t="str">
        <f>TRIM(MKK!M77)</f>
        <v/>
      </c>
    </row>
    <row r="146" spans="1:14" x14ac:dyDescent="0.25">
      <c r="A146" s="388" t="str">
        <f>TRIM(MKK!A78)</f>
        <v/>
      </c>
      <c r="B146" s="388" t="str">
        <f>TRIM(MKK!B78)</f>
        <v/>
      </c>
      <c r="C146" s="388" t="str">
        <f>TRIM(MKK!C78)</f>
        <v/>
      </c>
      <c r="D146" s="388" t="str">
        <f>TRIM(MKK!D78)</f>
        <v/>
      </c>
      <c r="E146" s="388" t="str">
        <f>TRIM(MKK!E78)</f>
        <v/>
      </c>
      <c r="F146" s="388" t="str">
        <f>TRIM(MKK!F78)</f>
        <v>0</v>
      </c>
      <c r="G146" s="388" t="str">
        <f>TRIM(MKK!G78)</f>
        <v>0</v>
      </c>
      <c r="H146" s="388"/>
      <c r="I146" s="388" t="str">
        <f>TRIM(MKK!H78)</f>
        <v/>
      </c>
      <c r="J146" s="389">
        <f>(MKK!I78)</f>
        <v>0</v>
      </c>
      <c r="K146" s="389">
        <f>(MKK!J78)</f>
        <v>0</v>
      </c>
      <c r="L146" s="388" t="str">
        <f>TRIM(MKK!K78)</f>
        <v/>
      </c>
      <c r="M146" s="388" t="str">
        <f>TRIM(MKK!L78)</f>
        <v/>
      </c>
      <c r="N146" s="388" t="str">
        <f>TRIM(MKK!M78)</f>
        <v/>
      </c>
    </row>
    <row r="147" spans="1:14" x14ac:dyDescent="0.25">
      <c r="A147" s="388" t="str">
        <f>TRIM(MKK!A79)</f>
        <v/>
      </c>
      <c r="B147" s="388" t="str">
        <f>TRIM(MKK!B79)</f>
        <v/>
      </c>
      <c r="C147" s="388" t="str">
        <f>TRIM(MKK!C79)</f>
        <v/>
      </c>
      <c r="D147" s="388" t="str">
        <f>TRIM(MKK!D79)</f>
        <v/>
      </c>
      <c r="E147" s="388" t="str">
        <f>TRIM(MKK!E79)</f>
        <v/>
      </c>
      <c r="F147" s="388" t="str">
        <f>TRIM(MKK!F79)</f>
        <v>0</v>
      </c>
      <c r="G147" s="388" t="str">
        <f>TRIM(MKK!G79)</f>
        <v>0</v>
      </c>
      <c r="H147" s="388"/>
      <c r="I147" s="388" t="str">
        <f>TRIM(MKK!H79)</f>
        <v/>
      </c>
      <c r="J147" s="389">
        <f>(MKK!I79)</f>
        <v>0</v>
      </c>
      <c r="K147" s="389">
        <f>(MKK!J79)</f>
        <v>0</v>
      </c>
      <c r="L147" s="388" t="str">
        <f>TRIM(MKK!K79)</f>
        <v/>
      </c>
      <c r="M147" s="388" t="str">
        <f>TRIM(MKK!L79)</f>
        <v/>
      </c>
      <c r="N147" s="388" t="str">
        <f>TRIM(MKK!M79)</f>
        <v/>
      </c>
    </row>
    <row r="148" spans="1:14" x14ac:dyDescent="0.25">
      <c r="A148" s="388" t="str">
        <f>TRIM(MKK!A80)</f>
        <v/>
      </c>
      <c r="B148" s="388" t="str">
        <f>TRIM(MKK!B80)</f>
        <v/>
      </c>
      <c r="C148" s="388" t="str">
        <f>TRIM(MKK!C80)</f>
        <v/>
      </c>
      <c r="D148" s="388" t="str">
        <f>TRIM(MKK!D80)</f>
        <v/>
      </c>
      <c r="E148" s="388" t="str">
        <f>TRIM(MKK!E80)</f>
        <v/>
      </c>
      <c r="F148" s="388" t="str">
        <f>TRIM(MKK!F80)</f>
        <v>0</v>
      </c>
      <c r="G148" s="388" t="str">
        <f>TRIM(MKK!G80)</f>
        <v>0</v>
      </c>
      <c r="H148" s="388"/>
      <c r="I148" s="388" t="str">
        <f>TRIM(MKK!H80)</f>
        <v/>
      </c>
      <c r="J148" s="389">
        <f>(MKK!I80)</f>
        <v>0</v>
      </c>
      <c r="K148" s="389">
        <f>(MKK!J80)</f>
        <v>0</v>
      </c>
      <c r="L148" s="388" t="str">
        <f>TRIM(MKK!K80)</f>
        <v/>
      </c>
      <c r="M148" s="388" t="str">
        <f>TRIM(MKK!L80)</f>
        <v/>
      </c>
      <c r="N148" s="388" t="str">
        <f>TRIM(MKK!M80)</f>
        <v/>
      </c>
    </row>
    <row r="149" spans="1:14" x14ac:dyDescent="0.25">
      <c r="A149" s="388" t="str">
        <f>TRIM(MKK!A81)</f>
        <v/>
      </c>
      <c r="B149" s="388" t="str">
        <f>TRIM(MKK!B81)</f>
        <v/>
      </c>
      <c r="C149" s="388" t="str">
        <f>TRIM(MKK!C81)</f>
        <v/>
      </c>
      <c r="D149" s="388" t="str">
        <f>TRIM(MKK!D81)</f>
        <v/>
      </c>
      <c r="E149" s="388" t="str">
        <f>TRIM(MKK!E81)</f>
        <v/>
      </c>
      <c r="F149" s="388" t="str">
        <f>TRIM(MKK!F81)</f>
        <v>0</v>
      </c>
      <c r="G149" s="388" t="str">
        <f>TRIM(MKK!G81)</f>
        <v>0</v>
      </c>
      <c r="H149" s="388"/>
      <c r="I149" s="388" t="str">
        <f>TRIM(MKK!H81)</f>
        <v/>
      </c>
      <c r="J149" s="389">
        <f>(MKK!I81)</f>
        <v>0</v>
      </c>
      <c r="K149" s="389">
        <f>(MKK!J81)</f>
        <v>0</v>
      </c>
      <c r="L149" s="388" t="str">
        <f>TRIM(MKK!K81)</f>
        <v/>
      </c>
      <c r="M149" s="388" t="str">
        <f>TRIM(MKK!L81)</f>
        <v/>
      </c>
      <c r="N149" s="388" t="str">
        <f>TRIM(MKK!M81)</f>
        <v/>
      </c>
    </row>
    <row r="150" spans="1:14" x14ac:dyDescent="0.25">
      <c r="A150" s="388" t="str">
        <f>TRIM(MKK!A82)</f>
        <v/>
      </c>
      <c r="B150" s="388" t="str">
        <f>TRIM(MKK!B82)</f>
        <v/>
      </c>
      <c r="C150" s="388" t="str">
        <f>TRIM(MKK!C82)</f>
        <v/>
      </c>
      <c r="D150" s="388" t="str">
        <f>TRIM(MKK!D82)</f>
        <v/>
      </c>
      <c r="E150" s="388" t="str">
        <f>TRIM(MKK!E82)</f>
        <v/>
      </c>
      <c r="F150" s="388" t="str">
        <f>TRIM(MKK!F82)</f>
        <v>0</v>
      </c>
      <c r="G150" s="388" t="str">
        <f>TRIM(MKK!G82)</f>
        <v>0</v>
      </c>
      <c r="H150" s="388"/>
      <c r="I150" s="388" t="str">
        <f>TRIM(MKK!H82)</f>
        <v/>
      </c>
      <c r="J150" s="389">
        <f>(MKK!I82)</f>
        <v>0</v>
      </c>
      <c r="K150" s="389">
        <f>(MKK!J82)</f>
        <v>0</v>
      </c>
      <c r="L150" s="388" t="str">
        <f>TRIM(MKK!K82)</f>
        <v/>
      </c>
      <c r="M150" s="388" t="str">
        <f>TRIM(MKK!L82)</f>
        <v/>
      </c>
      <c r="N150" s="388" t="str">
        <f>TRIM(MKK!M82)</f>
        <v/>
      </c>
    </row>
    <row r="155" spans="1:14" x14ac:dyDescent="0.25">
      <c r="A155" t="s">
        <v>7181</v>
      </c>
      <c r="E155" t="s">
        <v>7366</v>
      </c>
      <c r="F155" t="s">
        <v>349</v>
      </c>
      <c r="H155" s="437" t="s">
        <v>4328</v>
      </c>
      <c r="I155" s="437" t="s">
        <v>775</v>
      </c>
    </row>
    <row r="156" spans="1:14" x14ac:dyDescent="0.25">
      <c r="A156" t="str">
        <f>IF('Informasi Debitur'!$C$77="Relationship",'Informasi Debitur'!$C$77,"")</f>
        <v/>
      </c>
      <c r="B156" t="str">
        <f>IF('Informasi Debitur'!$C$77="Referral",'Informasi Debitur'!$C$77,"")</f>
        <v>Referral</v>
      </c>
      <c r="C156" t="str">
        <f>IF('Informasi Debitur'!$C$77="Canvassing",'Informasi Debitur'!$C$77,"")</f>
        <v/>
      </c>
      <c r="E156" t="s">
        <v>331</v>
      </c>
      <c r="F156">
        <v>1</v>
      </c>
      <c r="H156" s="437" t="s">
        <v>7382</v>
      </c>
      <c r="I156" s="438">
        <v>1.3</v>
      </c>
    </row>
    <row r="157" spans="1:14" x14ac:dyDescent="0.25">
      <c r="A157" t="s">
        <v>7182</v>
      </c>
      <c r="B157" t="s">
        <v>7190</v>
      </c>
      <c r="C157" t="s">
        <v>7204</v>
      </c>
      <c r="E157" t="s">
        <v>7610</v>
      </c>
      <c r="F157">
        <v>1</v>
      </c>
      <c r="H157" s="437" t="s">
        <v>7383</v>
      </c>
      <c r="I157" s="438">
        <v>1.3</v>
      </c>
    </row>
    <row r="158" spans="1:14" x14ac:dyDescent="0.25">
      <c r="A158" t="s">
        <v>7183</v>
      </c>
      <c r="B158" t="s">
        <v>7191</v>
      </c>
      <c r="C158" t="s">
        <v>7205</v>
      </c>
      <c r="E158" t="s">
        <v>7611</v>
      </c>
      <c r="F158">
        <v>3</v>
      </c>
      <c r="H158" s="437" t="s">
        <v>7384</v>
      </c>
      <c r="I158" s="438">
        <v>1.1000000000000001</v>
      </c>
    </row>
    <row r="159" spans="1:14" x14ac:dyDescent="0.25">
      <c r="A159" t="s">
        <v>7184</v>
      </c>
      <c r="B159" t="s">
        <v>7192</v>
      </c>
      <c r="C159" t="s">
        <v>45</v>
      </c>
      <c r="E159" s="410" t="s">
        <v>7603</v>
      </c>
      <c r="F159">
        <v>1</v>
      </c>
      <c r="H159" s="437" t="s">
        <v>7385</v>
      </c>
      <c r="I159" s="438">
        <v>1.1000000000000001</v>
      </c>
    </row>
    <row r="160" spans="1:14" x14ac:dyDescent="0.25">
      <c r="A160" t="s">
        <v>7185</v>
      </c>
      <c r="B160" t="s">
        <v>7193</v>
      </c>
      <c r="E160" s="410" t="s">
        <v>7604</v>
      </c>
      <c r="F160">
        <v>3</v>
      </c>
      <c r="H160" s="437" t="s">
        <v>7386</v>
      </c>
      <c r="I160" s="438">
        <v>1.1000000000000001</v>
      </c>
    </row>
    <row r="161" spans="1:9" x14ac:dyDescent="0.25">
      <c r="A161" t="s">
        <v>7186</v>
      </c>
      <c r="B161" t="s">
        <v>7189</v>
      </c>
      <c r="E161" s="410" t="s">
        <v>7605</v>
      </c>
      <c r="F161">
        <v>5</v>
      </c>
      <c r="H161" s="437" t="s">
        <v>7387</v>
      </c>
      <c r="I161" s="438">
        <v>1.1000000000000001</v>
      </c>
    </row>
    <row r="162" spans="1:9" x14ac:dyDescent="0.25">
      <c r="A162" t="s">
        <v>7187</v>
      </c>
      <c r="B162" t="s">
        <v>7194</v>
      </c>
      <c r="E162" s="410" t="s">
        <v>7606</v>
      </c>
      <c r="F162">
        <v>8</v>
      </c>
      <c r="H162" s="437" t="s">
        <v>7388</v>
      </c>
      <c r="I162" s="438">
        <v>1.1000000000000001</v>
      </c>
    </row>
    <row r="163" spans="1:9" x14ac:dyDescent="0.25">
      <c r="A163" t="s">
        <v>7188</v>
      </c>
      <c r="B163" t="s">
        <v>7195</v>
      </c>
      <c r="E163" s="410" t="s">
        <v>7607</v>
      </c>
      <c r="F163">
        <v>5</v>
      </c>
      <c r="H163" s="437" t="s">
        <v>7389</v>
      </c>
      <c r="I163" s="438">
        <v>0.9</v>
      </c>
    </row>
    <row r="164" spans="1:9" x14ac:dyDescent="0.25">
      <c r="A164" t="s">
        <v>7189</v>
      </c>
      <c r="B164" t="s">
        <v>7196</v>
      </c>
      <c r="E164" s="410" t="s">
        <v>7608</v>
      </c>
      <c r="F164">
        <v>6</v>
      </c>
      <c r="H164" s="437" t="s">
        <v>7390</v>
      </c>
      <c r="I164" s="438">
        <v>0.9</v>
      </c>
    </row>
    <row r="165" spans="1:9" x14ac:dyDescent="0.25">
      <c r="B165" t="s">
        <v>7197</v>
      </c>
      <c r="E165" s="410" t="s">
        <v>7609</v>
      </c>
      <c r="F165">
        <v>8</v>
      </c>
      <c r="H165" s="437" t="s">
        <v>7391</v>
      </c>
      <c r="I165" s="438">
        <v>0.9</v>
      </c>
    </row>
    <row r="166" spans="1:9" x14ac:dyDescent="0.25">
      <c r="B166" t="s">
        <v>7198</v>
      </c>
      <c r="E166" s="410" t="s">
        <v>7367</v>
      </c>
      <c r="F166">
        <v>8</v>
      </c>
      <c r="H166" s="437" t="s">
        <v>7393</v>
      </c>
      <c r="I166" s="438">
        <v>1</v>
      </c>
    </row>
    <row r="167" spans="1:9" x14ac:dyDescent="0.25">
      <c r="B167" t="s">
        <v>7199</v>
      </c>
      <c r="E167" s="410" t="s">
        <v>7368</v>
      </c>
      <c r="F167">
        <v>9</v>
      </c>
      <c r="H167" s="437" t="s">
        <v>7394</v>
      </c>
      <c r="I167" s="438">
        <v>1</v>
      </c>
    </row>
    <row r="168" spans="1:9" x14ac:dyDescent="0.25">
      <c r="B168" t="s">
        <v>7200</v>
      </c>
      <c r="E168" s="410" t="s">
        <v>7369</v>
      </c>
      <c r="F168">
        <v>10</v>
      </c>
      <c r="H168" s="437" t="s">
        <v>7395</v>
      </c>
      <c r="I168" s="438">
        <v>0.8</v>
      </c>
    </row>
    <row r="169" spans="1:9" x14ac:dyDescent="0.25">
      <c r="B169" t="s">
        <v>7201</v>
      </c>
      <c r="H169" s="437" t="s">
        <v>7396</v>
      </c>
      <c r="I169" s="438">
        <v>0.8</v>
      </c>
    </row>
    <row r="170" spans="1:9" x14ac:dyDescent="0.25">
      <c r="B170" t="s">
        <v>7202</v>
      </c>
      <c r="E170">
        <v>1</v>
      </c>
      <c r="F170">
        <v>3</v>
      </c>
      <c r="H170" s="437" t="s">
        <v>7397</v>
      </c>
      <c r="I170" s="438">
        <v>0.8</v>
      </c>
    </row>
    <row r="171" spans="1:9" x14ac:dyDescent="0.25">
      <c r="B171" t="s">
        <v>7203</v>
      </c>
      <c r="E171">
        <v>2</v>
      </c>
      <c r="F171">
        <v>5</v>
      </c>
      <c r="H171" s="437"/>
      <c r="I171" s="438"/>
    </row>
    <row r="172" spans="1:9" x14ac:dyDescent="0.25">
      <c r="E172">
        <v>3</v>
      </c>
      <c r="F172">
        <v>8</v>
      </c>
      <c r="H172" s="437"/>
      <c r="I172" s="438"/>
    </row>
    <row r="173" spans="1:9" x14ac:dyDescent="0.25">
      <c r="E173">
        <v>4</v>
      </c>
      <c r="F173">
        <v>9</v>
      </c>
      <c r="H173" s="437"/>
      <c r="I173" s="438"/>
    </row>
    <row r="174" spans="1:9" x14ac:dyDescent="0.25">
      <c r="E174">
        <v>5</v>
      </c>
      <c r="F174">
        <v>10</v>
      </c>
      <c r="H174" s="437"/>
      <c r="I174" s="438"/>
    </row>
    <row r="175" spans="1:9" x14ac:dyDescent="0.25">
      <c r="H175" s="437"/>
      <c r="I175" s="438"/>
    </row>
    <row r="176" spans="1:9" x14ac:dyDescent="0.25">
      <c r="A176" s="650" t="s">
        <v>7683</v>
      </c>
      <c r="B176" s="650" t="s">
        <v>7687</v>
      </c>
      <c r="H176" s="437"/>
      <c r="I176" s="438"/>
    </row>
    <row r="177" spans="1:9" x14ac:dyDescent="0.25">
      <c r="A177" s="650" t="s">
        <v>7684</v>
      </c>
      <c r="B177" s="650" t="s">
        <v>7689</v>
      </c>
      <c r="H177" s="437"/>
      <c r="I177" s="438"/>
    </row>
    <row r="178" spans="1:9" x14ac:dyDescent="0.25">
      <c r="A178" s="650" t="s">
        <v>7685</v>
      </c>
      <c r="B178" s="650" t="s">
        <v>7688</v>
      </c>
      <c r="H178" s="437"/>
      <c r="I178" s="438"/>
    </row>
    <row r="179" spans="1:9" x14ac:dyDescent="0.25">
      <c r="A179" s="650" t="s">
        <v>7686</v>
      </c>
      <c r="B179" s="650" t="s">
        <v>7690</v>
      </c>
      <c r="H179" s="437"/>
      <c r="I179" s="438"/>
    </row>
    <row r="180" spans="1:9" x14ac:dyDescent="0.25">
      <c r="H180" s="437"/>
      <c r="I180" s="438"/>
    </row>
    <row r="181" spans="1:9" x14ac:dyDescent="0.25">
      <c r="H181" s="437"/>
      <c r="I181" s="438"/>
    </row>
    <row r="182" spans="1:9" x14ac:dyDescent="0.25">
      <c r="H182" s="437"/>
      <c r="I182" s="438"/>
    </row>
    <row r="183" spans="1:9" x14ac:dyDescent="0.25">
      <c r="H183" s="437"/>
      <c r="I183" s="438"/>
    </row>
    <row r="184" spans="1:9" x14ac:dyDescent="0.25">
      <c r="H184" s="437"/>
      <c r="I184" s="438"/>
    </row>
    <row r="185" spans="1:9" x14ac:dyDescent="0.25">
      <c r="H185" s="437"/>
      <c r="I185" s="438"/>
    </row>
    <row r="186" spans="1:9" x14ac:dyDescent="0.25">
      <c r="H186" s="437"/>
      <c r="I186" s="438"/>
    </row>
    <row r="187" spans="1:9" x14ac:dyDescent="0.25">
      <c r="H187" s="437"/>
      <c r="I187" s="438"/>
    </row>
    <row r="188" spans="1:9" x14ac:dyDescent="0.25">
      <c r="H188" s="437"/>
      <c r="I188" s="438"/>
    </row>
    <row r="189" spans="1:9" x14ac:dyDescent="0.25">
      <c r="H189" s="437"/>
      <c r="I189" s="438"/>
    </row>
    <row r="190" spans="1:9" x14ac:dyDescent="0.25">
      <c r="H190" s="437"/>
      <c r="I190" s="438"/>
    </row>
    <row r="191" spans="1:9" x14ac:dyDescent="0.25">
      <c r="H191" s="437"/>
      <c r="I191" s="438"/>
    </row>
    <row r="192" spans="1:9" x14ac:dyDescent="0.25">
      <c r="H192" s="437"/>
      <c r="I192" s="438"/>
    </row>
    <row r="193" spans="8:9" x14ac:dyDescent="0.25">
      <c r="H193" s="437"/>
      <c r="I193" s="438"/>
    </row>
    <row r="194" spans="8:9" x14ac:dyDescent="0.25">
      <c r="H194" s="437"/>
      <c r="I194" s="438"/>
    </row>
    <row r="195" spans="8:9" x14ac:dyDescent="0.25">
      <c r="H195" s="437"/>
      <c r="I195" s="438"/>
    </row>
    <row r="196" spans="8:9" x14ac:dyDescent="0.25">
      <c r="H196" s="437"/>
      <c r="I196" s="438"/>
    </row>
    <row r="197" spans="8:9" x14ac:dyDescent="0.25">
      <c r="H197" s="437"/>
      <c r="I197" s="438"/>
    </row>
    <row r="198" spans="8:9" x14ac:dyDescent="0.25">
      <c r="H198" s="437"/>
      <c r="I198" s="438"/>
    </row>
    <row r="199" spans="8:9" x14ac:dyDescent="0.25">
      <c r="H199" s="437"/>
      <c r="I199" s="438"/>
    </row>
    <row r="200" spans="8:9" x14ac:dyDescent="0.25">
      <c r="H200" s="437"/>
      <c r="I200" s="438"/>
    </row>
    <row r="201" spans="8:9" x14ac:dyDescent="0.25">
      <c r="H201" s="437"/>
      <c r="I201" s="438"/>
    </row>
    <row r="202" spans="8:9" x14ac:dyDescent="0.25">
      <c r="H202" s="437"/>
      <c r="I202" s="438"/>
    </row>
    <row r="203" spans="8:9" x14ac:dyDescent="0.25">
      <c r="H203" s="437"/>
      <c r="I203" s="438"/>
    </row>
    <row r="204" spans="8:9" x14ac:dyDescent="0.25">
      <c r="H204" s="437"/>
      <c r="I204" s="438"/>
    </row>
    <row r="205" spans="8:9" x14ac:dyDescent="0.25">
      <c r="H205" s="437"/>
      <c r="I205" s="438"/>
    </row>
    <row r="206" spans="8:9" x14ac:dyDescent="0.25">
      <c r="H206" s="437"/>
      <c r="I206" s="438"/>
    </row>
    <row r="207" spans="8:9" x14ac:dyDescent="0.25">
      <c r="H207" s="437"/>
      <c r="I207" s="438"/>
    </row>
    <row r="208" spans="8:9" x14ac:dyDescent="0.25">
      <c r="H208" s="437"/>
      <c r="I208" s="438"/>
    </row>
    <row r="209" spans="8:9" x14ac:dyDescent="0.25">
      <c r="H209" s="437"/>
      <c r="I209" s="438"/>
    </row>
    <row r="210" spans="8:9" x14ac:dyDescent="0.25">
      <c r="H210" s="437"/>
      <c r="I210" s="438"/>
    </row>
    <row r="211" spans="8:9" x14ac:dyDescent="0.25">
      <c r="H211" s="437"/>
      <c r="I211" s="438"/>
    </row>
    <row r="212" spans="8:9" x14ac:dyDescent="0.25">
      <c r="H212" s="437"/>
      <c r="I212" s="438"/>
    </row>
    <row r="213" spans="8:9" x14ac:dyDescent="0.25">
      <c r="H213" s="437"/>
      <c r="I213" s="438"/>
    </row>
    <row r="214" spans="8:9" x14ac:dyDescent="0.25">
      <c r="H214" s="437"/>
      <c r="I214" s="438"/>
    </row>
    <row r="215" spans="8:9" x14ac:dyDescent="0.25">
      <c r="H215" s="437"/>
      <c r="I215" s="438"/>
    </row>
    <row r="216" spans="8:9" x14ac:dyDescent="0.25">
      <c r="H216" s="437"/>
      <c r="I216" s="438"/>
    </row>
    <row r="217" spans="8:9" x14ac:dyDescent="0.25">
      <c r="H217" s="437"/>
      <c r="I217" s="438"/>
    </row>
    <row r="218" spans="8:9" x14ac:dyDescent="0.25">
      <c r="H218" s="437"/>
      <c r="I218" s="438"/>
    </row>
  </sheetData>
  <pageMargins left="0.7" right="0.7" top="0.75" bottom="0.75" header="0.3" footer="0.3"/>
  <pageSetup orientation="portrait" horizontalDpi="200" verticalDpi="200" r:id="rId1"/>
  <ignoredErrors>
    <ignoredError sqref="B156" formula="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H71"/>
  <sheetViews>
    <sheetView workbookViewId="0">
      <selection activeCell="E15" sqref="E15"/>
    </sheetView>
  </sheetViews>
  <sheetFormatPr defaultRowHeight="15" x14ac:dyDescent="0.25"/>
  <cols>
    <col min="1" max="1" width="42.42578125" style="21" bestFit="1" customWidth="1"/>
    <col min="2" max="2" width="25" style="21" customWidth="1"/>
    <col min="3" max="4" width="9.140625" style="21"/>
    <col min="5" max="5" width="50.42578125" style="21" bestFit="1" customWidth="1"/>
    <col min="6" max="16384" width="9.140625" style="21"/>
  </cols>
  <sheetData>
    <row r="1" spans="1:8" x14ac:dyDescent="0.25">
      <c r="A1" s="21" t="s">
        <v>165</v>
      </c>
      <c r="E1" s="21" t="s">
        <v>167</v>
      </c>
      <c r="G1" s="700" t="s">
        <v>7730</v>
      </c>
      <c r="H1" s="700" t="s">
        <v>7734</v>
      </c>
    </row>
    <row r="2" spans="1:8" x14ac:dyDescent="0.25">
      <c r="A2" s="21" t="s">
        <v>164</v>
      </c>
      <c r="B2" s="21" t="s">
        <v>171</v>
      </c>
      <c r="C2" s="21" t="s">
        <v>7731</v>
      </c>
      <c r="E2" s="21" t="s">
        <v>1198</v>
      </c>
      <c r="G2" s="700" t="s">
        <v>787</v>
      </c>
      <c r="H2" s="700" t="s">
        <v>2414</v>
      </c>
    </row>
    <row r="3" spans="1:8" x14ac:dyDescent="0.25">
      <c r="A3" s="21" t="s">
        <v>904</v>
      </c>
      <c r="B3" s="21" t="s">
        <v>2274</v>
      </c>
      <c r="C3" s="21" t="s">
        <v>7732</v>
      </c>
      <c r="E3" s="21" t="s">
        <v>1203</v>
      </c>
      <c r="G3" s="700" t="s">
        <v>790</v>
      </c>
      <c r="H3" s="700" t="s">
        <v>2415</v>
      </c>
    </row>
    <row r="4" spans="1:8" x14ac:dyDescent="0.25">
      <c r="A4" s="21" t="s">
        <v>904</v>
      </c>
      <c r="B4" s="21" t="s">
        <v>2280</v>
      </c>
      <c r="C4" s="21" t="s">
        <v>7732</v>
      </c>
      <c r="E4" s="21" t="s">
        <v>1212</v>
      </c>
      <c r="G4" s="700" t="s">
        <v>797</v>
      </c>
      <c r="H4" s="700" t="s">
        <v>2417</v>
      </c>
    </row>
    <row r="5" spans="1:8" x14ac:dyDescent="0.25">
      <c r="A5" s="21" t="s">
        <v>933</v>
      </c>
      <c r="B5" s="21" t="s">
        <v>2321</v>
      </c>
      <c r="C5" s="21" t="s">
        <v>7733</v>
      </c>
      <c r="G5" s="700"/>
    </row>
    <row r="6" spans="1:8" x14ac:dyDescent="0.25">
      <c r="A6" s="21" t="s">
        <v>933</v>
      </c>
      <c r="B6" s="21" t="s">
        <v>2335</v>
      </c>
      <c r="C6" s="21" t="s">
        <v>7733</v>
      </c>
      <c r="E6" s="21" t="s">
        <v>168</v>
      </c>
    </row>
    <row r="7" spans="1:8" x14ac:dyDescent="0.25">
      <c r="A7" s="21" t="s">
        <v>933</v>
      </c>
      <c r="B7" s="21" t="s">
        <v>2348</v>
      </c>
      <c r="C7" s="21" t="s">
        <v>7733</v>
      </c>
      <c r="E7" s="21" t="s">
        <v>823</v>
      </c>
    </row>
    <row r="8" spans="1:8" x14ac:dyDescent="0.25">
      <c r="A8" s="21" t="s">
        <v>934</v>
      </c>
      <c r="B8" s="21" t="s">
        <v>2322</v>
      </c>
      <c r="C8" s="21" t="s">
        <v>7735</v>
      </c>
      <c r="E8" s="21" t="s">
        <v>825</v>
      </c>
    </row>
    <row r="9" spans="1:8" x14ac:dyDescent="0.25">
      <c r="A9" s="21" t="s">
        <v>934</v>
      </c>
      <c r="B9" s="21" t="s">
        <v>2336</v>
      </c>
      <c r="C9" s="21" t="s">
        <v>7735</v>
      </c>
      <c r="E9" s="21" t="s">
        <v>831</v>
      </c>
    </row>
    <row r="10" spans="1:8" x14ac:dyDescent="0.25">
      <c r="A10" s="21" t="s">
        <v>934</v>
      </c>
      <c r="B10" s="21" t="s">
        <v>2349</v>
      </c>
      <c r="C10" s="21" t="s">
        <v>7735</v>
      </c>
      <c r="E10" s="21" t="s">
        <v>836</v>
      </c>
      <c r="G10" s="700"/>
    </row>
    <row r="11" spans="1:8" x14ac:dyDescent="0.25">
      <c r="A11" s="21" t="s">
        <v>935</v>
      </c>
      <c r="B11" s="21" t="s">
        <v>2323</v>
      </c>
      <c r="C11" s="21" t="s">
        <v>7736</v>
      </c>
      <c r="E11" s="21" t="s">
        <v>841</v>
      </c>
      <c r="G11" s="700"/>
    </row>
    <row r="12" spans="1:8" x14ac:dyDescent="0.25">
      <c r="A12" s="21" t="s">
        <v>935</v>
      </c>
      <c r="B12" s="21" t="s">
        <v>2337</v>
      </c>
      <c r="C12" s="21" t="s">
        <v>7736</v>
      </c>
      <c r="E12" s="21" t="s">
        <v>844</v>
      </c>
      <c r="G12" s="700"/>
    </row>
    <row r="13" spans="1:8" x14ac:dyDescent="0.25">
      <c r="A13" s="21" t="s">
        <v>935</v>
      </c>
      <c r="B13" s="21" t="s">
        <v>2350</v>
      </c>
      <c r="C13" s="21" t="s">
        <v>7736</v>
      </c>
      <c r="G13" s="700"/>
    </row>
    <row r="14" spans="1:8" x14ac:dyDescent="0.25">
      <c r="A14" s="21" t="s">
        <v>936</v>
      </c>
      <c r="B14" s="21" t="s">
        <v>2324</v>
      </c>
      <c r="C14" s="21" t="s">
        <v>7737</v>
      </c>
      <c r="E14" s="21" t="s">
        <v>7738</v>
      </c>
      <c r="G14" s="700"/>
    </row>
    <row r="15" spans="1:8" x14ac:dyDescent="0.25">
      <c r="A15" s="21" t="s">
        <v>936</v>
      </c>
      <c r="B15" s="21" t="s">
        <v>2338</v>
      </c>
      <c r="C15" s="21" t="s">
        <v>7737</v>
      </c>
      <c r="E15" s="21" t="s">
        <v>2382</v>
      </c>
      <c r="G15" s="700"/>
    </row>
    <row r="16" spans="1:8" x14ac:dyDescent="0.25">
      <c r="A16" s="21" t="s">
        <v>936</v>
      </c>
      <c r="B16" s="21" t="s">
        <v>2351</v>
      </c>
      <c r="C16" s="21" t="s">
        <v>7737</v>
      </c>
      <c r="E16" s="21" t="s">
        <v>2383</v>
      </c>
      <c r="G16" s="700"/>
    </row>
    <row r="17" spans="1:7" x14ac:dyDescent="0.25">
      <c r="A17" s="21" t="s">
        <v>937</v>
      </c>
      <c r="B17" s="21" t="s">
        <v>2325</v>
      </c>
      <c r="C17" s="21" t="s">
        <v>7739</v>
      </c>
      <c r="E17" s="21" t="s">
        <v>2384</v>
      </c>
      <c r="G17" s="700"/>
    </row>
    <row r="18" spans="1:7" x14ac:dyDescent="0.25">
      <c r="A18" s="21" t="s">
        <v>937</v>
      </c>
      <c r="B18" s="21" t="s">
        <v>2339</v>
      </c>
      <c r="C18" s="21" t="s">
        <v>7739</v>
      </c>
      <c r="E18" s="21" t="s">
        <v>1222</v>
      </c>
      <c r="G18" s="700"/>
    </row>
    <row r="19" spans="1:7" x14ac:dyDescent="0.25">
      <c r="A19" s="21" t="s">
        <v>937</v>
      </c>
      <c r="B19" s="21" t="s">
        <v>2352</v>
      </c>
      <c r="C19" s="21" t="s">
        <v>7739</v>
      </c>
      <c r="G19" s="700"/>
    </row>
    <row r="20" spans="1:7" x14ac:dyDescent="0.25">
      <c r="A20" s="21" t="s">
        <v>938</v>
      </c>
      <c r="B20" s="21" t="s">
        <v>2326</v>
      </c>
      <c r="C20" s="21" t="s">
        <v>7740</v>
      </c>
      <c r="G20" s="700"/>
    </row>
    <row r="21" spans="1:7" x14ac:dyDescent="0.25">
      <c r="A21" s="21" t="s">
        <v>938</v>
      </c>
      <c r="B21" s="21" t="s">
        <v>2340</v>
      </c>
      <c r="C21" s="21" t="s">
        <v>7740</v>
      </c>
      <c r="E21" t="s">
        <v>7837</v>
      </c>
      <c r="F21" t="s">
        <v>7838</v>
      </c>
      <c r="G21" s="700"/>
    </row>
    <row r="22" spans="1:7" x14ac:dyDescent="0.25">
      <c r="A22" s="21" t="s">
        <v>938</v>
      </c>
      <c r="B22" s="21" t="s">
        <v>2353</v>
      </c>
      <c r="C22" s="21" t="s">
        <v>7740</v>
      </c>
      <c r="E22" s="21" t="s">
        <v>1232</v>
      </c>
      <c r="F22" s="21" t="s">
        <v>7839</v>
      </c>
      <c r="G22" s="700"/>
    </row>
    <row r="23" spans="1:7" x14ac:dyDescent="0.25">
      <c r="A23" s="21" t="s">
        <v>939</v>
      </c>
      <c r="B23" s="21" t="s">
        <v>2327</v>
      </c>
      <c r="C23" s="21" t="s">
        <v>7741</v>
      </c>
      <c r="E23" s="21" t="s">
        <v>1256</v>
      </c>
      <c r="F23" s="21" t="s">
        <v>7840</v>
      </c>
      <c r="G23" s="700"/>
    </row>
    <row r="24" spans="1:7" x14ac:dyDescent="0.25">
      <c r="A24" s="21" t="s">
        <v>939</v>
      </c>
      <c r="B24" s="21" t="s">
        <v>2341</v>
      </c>
      <c r="C24" s="21" t="s">
        <v>7741</v>
      </c>
      <c r="G24" s="700"/>
    </row>
    <row r="25" spans="1:7" x14ac:dyDescent="0.25">
      <c r="A25" s="21" t="s">
        <v>939</v>
      </c>
      <c r="B25" s="21" t="s">
        <v>2354</v>
      </c>
      <c r="C25" s="21" t="s">
        <v>7741</v>
      </c>
      <c r="G25" s="700"/>
    </row>
    <row r="26" spans="1:7" x14ac:dyDescent="0.25">
      <c r="A26" s="21" t="s">
        <v>940</v>
      </c>
      <c r="B26" s="21" t="s">
        <v>2328</v>
      </c>
      <c r="C26" s="21" t="s">
        <v>7742</v>
      </c>
      <c r="G26" s="700"/>
    </row>
    <row r="27" spans="1:7" x14ac:dyDescent="0.25">
      <c r="A27" s="21" t="s">
        <v>940</v>
      </c>
      <c r="B27" s="21" t="s">
        <v>2342</v>
      </c>
      <c r="C27" s="21" t="s">
        <v>7742</v>
      </c>
      <c r="G27" s="700"/>
    </row>
    <row r="28" spans="1:7" x14ac:dyDescent="0.25">
      <c r="A28" s="21" t="s">
        <v>940</v>
      </c>
      <c r="B28" s="21" t="s">
        <v>2355</v>
      </c>
      <c r="C28" s="21" t="s">
        <v>7742</v>
      </c>
      <c r="G28" s="700"/>
    </row>
    <row r="29" spans="1:7" x14ac:dyDescent="0.25">
      <c r="A29" s="21" t="s">
        <v>941</v>
      </c>
      <c r="B29" s="21" t="s">
        <v>2329</v>
      </c>
      <c r="C29" s="21" t="s">
        <v>7743</v>
      </c>
      <c r="G29" s="700"/>
    </row>
    <row r="30" spans="1:7" x14ac:dyDescent="0.25">
      <c r="A30" s="21" t="s">
        <v>941</v>
      </c>
      <c r="B30" s="21" t="s">
        <v>2343</v>
      </c>
      <c r="C30" s="21" t="s">
        <v>7743</v>
      </c>
      <c r="G30" s="700"/>
    </row>
    <row r="31" spans="1:7" x14ac:dyDescent="0.25">
      <c r="A31" s="21" t="s">
        <v>941</v>
      </c>
      <c r="B31" s="21" t="s">
        <v>2356</v>
      </c>
      <c r="C31" s="21" t="s">
        <v>7743</v>
      </c>
      <c r="G31" s="700"/>
    </row>
    <row r="32" spans="1:7" x14ac:dyDescent="0.25">
      <c r="A32" s="21" t="s">
        <v>942</v>
      </c>
      <c r="B32" s="21" t="s">
        <v>2294</v>
      </c>
      <c r="C32" s="21" t="s">
        <v>7744</v>
      </c>
      <c r="G32" s="700"/>
    </row>
    <row r="33" spans="1:7" x14ac:dyDescent="0.25">
      <c r="A33" s="21" t="s">
        <v>943</v>
      </c>
      <c r="B33" s="21" t="s">
        <v>2295</v>
      </c>
      <c r="C33" s="21" t="s">
        <v>7745</v>
      </c>
      <c r="G33" s="700"/>
    </row>
    <row r="34" spans="1:7" x14ac:dyDescent="0.25">
      <c r="A34" s="21" t="s">
        <v>947</v>
      </c>
      <c r="B34" s="21" t="s">
        <v>2361</v>
      </c>
      <c r="C34" s="21" t="s">
        <v>7746</v>
      </c>
      <c r="G34" s="700"/>
    </row>
    <row r="35" spans="1:7" x14ac:dyDescent="0.25">
      <c r="G35" s="700"/>
    </row>
    <row r="36" spans="1:7" x14ac:dyDescent="0.25">
      <c r="A36" s="701" t="s">
        <v>7747</v>
      </c>
      <c r="G36" s="700"/>
    </row>
    <row r="37" spans="1:7" x14ac:dyDescent="0.25">
      <c r="A37" s="21" t="s">
        <v>904</v>
      </c>
      <c r="G37" s="700"/>
    </row>
    <row r="38" spans="1:7" x14ac:dyDescent="0.25">
      <c r="A38" s="21" t="s">
        <v>933</v>
      </c>
      <c r="G38" s="700"/>
    </row>
    <row r="39" spans="1:7" x14ac:dyDescent="0.25">
      <c r="A39" s="21" t="s">
        <v>934</v>
      </c>
      <c r="G39" s="700"/>
    </row>
    <row r="40" spans="1:7" x14ac:dyDescent="0.25">
      <c r="A40" s="21" t="s">
        <v>935</v>
      </c>
      <c r="G40" s="700"/>
    </row>
    <row r="41" spans="1:7" x14ac:dyDescent="0.25">
      <c r="A41" s="21" t="s">
        <v>936</v>
      </c>
      <c r="G41" s="700"/>
    </row>
    <row r="42" spans="1:7" x14ac:dyDescent="0.25">
      <c r="A42" s="21" t="s">
        <v>937</v>
      </c>
      <c r="G42" s="700"/>
    </row>
    <row r="43" spans="1:7" x14ac:dyDescent="0.25">
      <c r="A43" s="21" t="s">
        <v>938</v>
      </c>
      <c r="G43" s="700"/>
    </row>
    <row r="44" spans="1:7" x14ac:dyDescent="0.25">
      <c r="A44" s="21" t="s">
        <v>939</v>
      </c>
      <c r="G44" s="700"/>
    </row>
    <row r="45" spans="1:7" x14ac:dyDescent="0.25">
      <c r="A45" s="21" t="s">
        <v>940</v>
      </c>
      <c r="G45" s="700"/>
    </row>
    <row r="46" spans="1:7" x14ac:dyDescent="0.25">
      <c r="A46" s="21" t="s">
        <v>941</v>
      </c>
      <c r="G46" s="700"/>
    </row>
    <row r="47" spans="1:7" x14ac:dyDescent="0.25">
      <c r="A47" s="21" t="s">
        <v>942</v>
      </c>
      <c r="G47" s="700"/>
    </row>
    <row r="48" spans="1:7" x14ac:dyDescent="0.25">
      <c r="A48" s="21" t="s">
        <v>943</v>
      </c>
      <c r="G48" s="700"/>
    </row>
    <row r="49" spans="1:7" x14ac:dyDescent="0.25">
      <c r="A49" s="21" t="s">
        <v>947</v>
      </c>
      <c r="G49" s="700"/>
    </row>
    <row r="50" spans="1:7" x14ac:dyDescent="0.25">
      <c r="G50" s="700"/>
    </row>
    <row r="51" spans="1:7" x14ac:dyDescent="0.25">
      <c r="G51" s="700"/>
    </row>
    <row r="52" spans="1:7" x14ac:dyDescent="0.25">
      <c r="G52" s="700"/>
    </row>
    <row r="53" spans="1:7" x14ac:dyDescent="0.25">
      <c r="G53" s="700"/>
    </row>
    <row r="54" spans="1:7" x14ac:dyDescent="0.25">
      <c r="G54" s="700"/>
    </row>
    <row r="55" spans="1:7" x14ac:dyDescent="0.25">
      <c r="G55" s="700"/>
    </row>
    <row r="56" spans="1:7" x14ac:dyDescent="0.25">
      <c r="G56" s="700"/>
    </row>
    <row r="57" spans="1:7" x14ac:dyDescent="0.25">
      <c r="G57" s="700"/>
    </row>
    <row r="58" spans="1:7" x14ac:dyDescent="0.25">
      <c r="G58" s="700"/>
    </row>
    <row r="59" spans="1:7" x14ac:dyDescent="0.25">
      <c r="G59" s="700"/>
    </row>
    <row r="60" spans="1:7" x14ac:dyDescent="0.25">
      <c r="G60" s="700"/>
    </row>
    <row r="61" spans="1:7" x14ac:dyDescent="0.25">
      <c r="G61" s="700"/>
    </row>
    <row r="62" spans="1:7" x14ac:dyDescent="0.25">
      <c r="G62" s="700"/>
    </row>
    <row r="63" spans="1:7" x14ac:dyDescent="0.25">
      <c r="G63" s="700"/>
    </row>
    <row r="64" spans="1:7" x14ac:dyDescent="0.25">
      <c r="G64" s="700"/>
    </row>
    <row r="65" spans="7:7" x14ac:dyDescent="0.25">
      <c r="G65" s="700"/>
    </row>
    <row r="66" spans="7:7" x14ac:dyDescent="0.25">
      <c r="G66" s="700"/>
    </row>
    <row r="67" spans="7:7" x14ac:dyDescent="0.25">
      <c r="G67" s="700"/>
    </row>
    <row r="68" spans="7:7" x14ac:dyDescent="0.25">
      <c r="G68" s="700"/>
    </row>
    <row r="69" spans="7:7" x14ac:dyDescent="0.25">
      <c r="G69" s="700"/>
    </row>
    <row r="70" spans="7:7" x14ac:dyDescent="0.25">
      <c r="G70" s="700"/>
    </row>
    <row r="71" spans="7:7" x14ac:dyDescent="0.25">
      <c r="G71" s="700"/>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D501"/>
  <sheetViews>
    <sheetView showZeros="0" topLeftCell="AU12" zoomScale="85" zoomScaleNormal="85" workbookViewId="0">
      <selection activeCell="BC16" sqref="BC16"/>
    </sheetView>
  </sheetViews>
  <sheetFormatPr defaultRowHeight="15" x14ac:dyDescent="0.25"/>
  <cols>
    <col min="1" max="1" width="24.28515625" style="105" bestFit="1" customWidth="1"/>
    <col min="2" max="2" width="13.140625" style="105" customWidth="1"/>
    <col min="3" max="3" width="27.5703125" style="105" customWidth="1"/>
    <col min="4" max="4" width="16.28515625" style="105" customWidth="1"/>
    <col min="5" max="5" width="19.7109375" style="105" customWidth="1"/>
    <col min="6" max="6" width="13.85546875" style="105" bestFit="1" customWidth="1"/>
    <col min="7" max="7" width="12.42578125" style="105" customWidth="1"/>
    <col min="8" max="8" width="23.42578125" style="105" customWidth="1"/>
    <col min="9" max="9" width="11.42578125" style="105" customWidth="1"/>
    <col min="10" max="10" width="16.85546875" style="105" customWidth="1"/>
    <col min="11" max="11" width="13.42578125" style="105" customWidth="1"/>
    <col min="12" max="12" width="13.5703125" style="105" customWidth="1"/>
    <col min="13" max="13" width="16.7109375" style="105" customWidth="1"/>
    <col min="14" max="14" width="9.140625" style="105"/>
    <col min="15" max="15" width="24.5703125" style="105" customWidth="1"/>
    <col min="16" max="16" width="21" style="105" customWidth="1"/>
    <col min="17" max="17" width="9.140625" style="139"/>
    <col min="18" max="18" width="19.140625" style="105" customWidth="1"/>
    <col min="19" max="19" width="20.7109375" style="105" bestFit="1" customWidth="1"/>
    <col min="20" max="20" width="15.85546875" style="105" customWidth="1"/>
    <col min="21" max="21" width="19" style="105" customWidth="1"/>
    <col min="22" max="22" width="20.140625" style="105" customWidth="1"/>
    <col min="23" max="23" width="30.85546875" style="105" customWidth="1"/>
    <col min="24" max="24" width="35.140625" style="105" customWidth="1"/>
    <col min="25" max="25" width="22" style="105" customWidth="1"/>
    <col min="26" max="26" width="25" style="105" customWidth="1"/>
    <col min="27" max="27" width="17.85546875" style="105" customWidth="1"/>
    <col min="28" max="28" width="19.28515625" style="105" customWidth="1"/>
    <col min="29" max="29" width="24.5703125" style="105" customWidth="1"/>
    <col min="30" max="30" width="9.140625" style="105"/>
    <col min="31" max="31" width="14" style="105" customWidth="1"/>
    <col min="32" max="32" width="24.140625" style="105" customWidth="1"/>
    <col min="33" max="33" width="18.5703125" style="105" customWidth="1"/>
    <col min="34" max="34" width="26.42578125" style="105" customWidth="1"/>
    <col min="35" max="35" width="28.140625" style="105" customWidth="1"/>
    <col min="36" max="36" width="28.28515625" style="105" customWidth="1"/>
    <col min="37" max="37" width="38" style="105" customWidth="1"/>
    <col min="38" max="38" width="33" style="105" customWidth="1"/>
    <col min="39" max="39" width="35.5703125" style="105" customWidth="1"/>
    <col min="40" max="40" width="30.85546875" style="105" customWidth="1"/>
    <col min="41" max="41" width="19.42578125" style="105" customWidth="1"/>
    <col min="42" max="42" width="19.28515625" style="105" customWidth="1"/>
    <col min="43" max="43" width="31" style="105" customWidth="1"/>
    <col min="44" max="44" width="22.28515625" style="105" customWidth="1"/>
    <col min="45" max="45" width="12.28515625" style="105" customWidth="1"/>
    <col min="46" max="46" width="31.42578125" style="105" customWidth="1"/>
    <col min="47" max="47" width="37.7109375" style="105" customWidth="1"/>
    <col min="48" max="48" width="35" style="105" customWidth="1"/>
    <col min="49" max="49" width="20.42578125" style="105" customWidth="1"/>
    <col min="50" max="50" width="29.42578125" customWidth="1"/>
    <col min="51" max="51" width="27.42578125" style="105" customWidth="1"/>
    <col min="52" max="52" width="19" style="105" customWidth="1"/>
    <col min="53" max="16384" width="9.140625" style="105"/>
  </cols>
  <sheetData>
    <row r="1" spans="1:56" ht="76.5" x14ac:dyDescent="0.25">
      <c r="A1" s="105" t="s">
        <v>68</v>
      </c>
      <c r="B1" s="105" t="s">
        <v>106</v>
      </c>
      <c r="C1" s="105" t="s">
        <v>7696</v>
      </c>
      <c r="D1" s="105" t="s">
        <v>122</v>
      </c>
      <c r="E1" s="105" t="s">
        <v>125</v>
      </c>
      <c r="F1" s="105" t="s">
        <v>130</v>
      </c>
      <c r="G1" s="105" t="s">
        <v>88</v>
      </c>
      <c r="H1" s="105" t="s">
        <v>155</v>
      </c>
      <c r="I1" s="105" t="s">
        <v>7874</v>
      </c>
      <c r="J1" s="105" t="s">
        <v>249</v>
      </c>
      <c r="K1" s="105" t="s">
        <v>262</v>
      </c>
      <c r="L1" s="105" t="s">
        <v>280</v>
      </c>
      <c r="M1" s="105" t="s">
        <v>331</v>
      </c>
      <c r="N1" s="105">
        <v>1</v>
      </c>
      <c r="O1" s="106" t="s">
        <v>335</v>
      </c>
      <c r="P1" s="106" t="s">
        <v>338</v>
      </c>
      <c r="Q1" s="139">
        <v>1</v>
      </c>
      <c r="R1" s="37" t="s">
        <v>554</v>
      </c>
      <c r="S1" s="105" t="s">
        <v>443</v>
      </c>
      <c r="T1" s="105" t="s">
        <v>446</v>
      </c>
      <c r="U1" s="37" t="s">
        <v>371</v>
      </c>
      <c r="V1" s="105" t="s">
        <v>361</v>
      </c>
      <c r="W1" s="105" t="s">
        <v>477</v>
      </c>
      <c r="X1" s="105" t="s">
        <v>484</v>
      </c>
      <c r="Y1" s="112" t="s">
        <v>495</v>
      </c>
      <c r="Z1" s="112" t="s">
        <v>496</v>
      </c>
      <c r="AA1" s="105" t="s">
        <v>405</v>
      </c>
      <c r="AB1" s="112" t="s">
        <v>562</v>
      </c>
      <c r="AC1" s="105" t="s">
        <v>503</v>
      </c>
      <c r="AD1" s="105" t="s">
        <v>331</v>
      </c>
      <c r="AE1" s="105" t="s">
        <v>27</v>
      </c>
      <c r="AF1" s="218" t="s">
        <v>785</v>
      </c>
      <c r="AG1" s="2226" t="s">
        <v>814</v>
      </c>
      <c r="AH1" s="2226"/>
      <c r="AI1" s="2226"/>
      <c r="AJ1" s="2226"/>
      <c r="AK1" s="2226"/>
      <c r="AL1" s="2226"/>
      <c r="AM1" s="2226"/>
      <c r="AN1" s="2226"/>
      <c r="AO1" s="105" t="s">
        <v>1977</v>
      </c>
      <c r="AW1" s="105" t="s">
        <v>3167</v>
      </c>
      <c r="AX1" t="s">
        <v>3206</v>
      </c>
      <c r="AY1" s="105" t="s">
        <v>3707</v>
      </c>
      <c r="AZ1" s="105" t="s">
        <v>7884</v>
      </c>
      <c r="BA1" s="105" t="s">
        <v>7899</v>
      </c>
      <c r="BB1" s="105" t="s">
        <v>7908</v>
      </c>
      <c r="BC1" s="829" t="s">
        <v>35</v>
      </c>
      <c r="BD1" s="829" t="s">
        <v>7876</v>
      </c>
    </row>
    <row r="2" spans="1:56" ht="63.75" x14ac:dyDescent="0.25">
      <c r="A2" s="105" t="s">
        <v>99</v>
      </c>
      <c r="B2" s="105" t="s">
        <v>107</v>
      </c>
      <c r="C2" s="105" t="s">
        <v>24</v>
      </c>
      <c r="D2" s="105" t="s">
        <v>123</v>
      </c>
      <c r="E2" s="105" t="s">
        <v>139</v>
      </c>
      <c r="F2" s="105" t="s">
        <v>131</v>
      </c>
      <c r="G2" s="105" t="s">
        <v>89</v>
      </c>
      <c r="H2" s="105" t="s">
        <v>156</v>
      </c>
      <c r="I2" s="105" t="s">
        <v>7879</v>
      </c>
      <c r="J2" s="105" t="s">
        <v>250</v>
      </c>
      <c r="K2" s="105" t="s">
        <v>74</v>
      </c>
      <c r="L2" s="105" t="s">
        <v>281</v>
      </c>
      <c r="M2" s="105" t="s">
        <v>332</v>
      </c>
      <c r="N2" s="105">
        <v>3</v>
      </c>
      <c r="O2" s="106" t="s">
        <v>661</v>
      </c>
      <c r="P2" s="106" t="s">
        <v>666</v>
      </c>
      <c r="Q2" s="139">
        <v>3</v>
      </c>
      <c r="R2" s="34" t="s">
        <v>556</v>
      </c>
      <c r="S2" s="105" t="s">
        <v>444</v>
      </c>
      <c r="T2" s="105" t="s">
        <v>447</v>
      </c>
      <c r="U2" s="105" t="s">
        <v>372</v>
      </c>
      <c r="V2" s="105" t="s">
        <v>383</v>
      </c>
      <c r="W2" s="105" t="s">
        <v>478</v>
      </c>
      <c r="X2" s="105" t="s">
        <v>393</v>
      </c>
      <c r="Y2" s="112" t="s">
        <v>493</v>
      </c>
      <c r="Z2" s="112" t="s">
        <v>494</v>
      </c>
      <c r="AA2" s="112" t="s">
        <v>406</v>
      </c>
      <c r="AB2" s="112" t="s">
        <v>405</v>
      </c>
      <c r="AC2" s="105" t="s">
        <v>504</v>
      </c>
      <c r="AD2" s="105">
        <v>1</v>
      </c>
      <c r="AE2" s="105" t="s">
        <v>577</v>
      </c>
      <c r="AF2" s="105" t="s">
        <v>786</v>
      </c>
      <c r="AG2" s="105" t="s">
        <v>815</v>
      </c>
      <c r="AH2" s="105" t="s">
        <v>849</v>
      </c>
      <c r="AI2" s="105" t="s">
        <v>961</v>
      </c>
      <c r="AJ2" s="105" t="s">
        <v>1198</v>
      </c>
      <c r="AK2" s="105" t="s">
        <v>1213</v>
      </c>
      <c r="AL2" s="105" t="s">
        <v>1223</v>
      </c>
      <c r="AM2" s="105" t="s">
        <v>1266</v>
      </c>
      <c r="AN2" s="105" t="s">
        <v>1766</v>
      </c>
      <c r="AO2" s="105" t="s">
        <v>1978</v>
      </c>
      <c r="AP2" s="105" t="s">
        <v>2376</v>
      </c>
      <c r="AQ2" s="105" t="s">
        <v>2385</v>
      </c>
      <c r="AR2" s="105" t="s">
        <v>2404</v>
      </c>
      <c r="AS2" s="105" t="s">
        <v>2414</v>
      </c>
      <c r="AT2" s="105" t="s">
        <v>2418</v>
      </c>
      <c r="AU2" s="105" t="s">
        <v>3736</v>
      </c>
      <c r="AV2" s="105" t="s">
        <v>2423</v>
      </c>
      <c r="AW2" s="105" t="s">
        <v>3168</v>
      </c>
      <c r="AX2" t="s">
        <v>3207</v>
      </c>
      <c r="AY2" s="105" t="s">
        <v>3708</v>
      </c>
      <c r="AZ2" s="391" t="s">
        <v>7885</v>
      </c>
      <c r="BA2" s="105" t="s">
        <v>7900</v>
      </c>
      <c r="BB2" s="105" t="s">
        <v>7909</v>
      </c>
      <c r="BC2" s="829" t="s">
        <v>24</v>
      </c>
      <c r="BD2" s="829" t="s">
        <v>4241</v>
      </c>
    </row>
    <row r="3" spans="1:56" ht="102" x14ac:dyDescent="0.25">
      <c r="A3" s="105" t="s">
        <v>96</v>
      </c>
      <c r="B3" s="105" t="s">
        <v>108</v>
      </c>
      <c r="C3" s="105" t="s">
        <v>115</v>
      </c>
      <c r="E3" s="105" t="s">
        <v>7880</v>
      </c>
      <c r="G3" s="105" t="s">
        <v>133</v>
      </c>
      <c r="H3" s="105" t="s">
        <v>157</v>
      </c>
      <c r="I3" s="105" t="s">
        <v>4241</v>
      </c>
      <c r="J3" s="105" t="s">
        <v>251</v>
      </c>
      <c r="L3" s="105" t="s">
        <v>282</v>
      </c>
      <c r="M3" s="105" t="s">
        <v>333</v>
      </c>
      <c r="N3" s="105">
        <v>5</v>
      </c>
      <c r="O3" s="106" t="s">
        <v>336</v>
      </c>
      <c r="P3" s="106" t="s">
        <v>339</v>
      </c>
      <c r="Q3" s="139">
        <v>4</v>
      </c>
      <c r="R3" s="105" t="s">
        <v>558</v>
      </c>
      <c r="S3" s="105" t="s">
        <v>445</v>
      </c>
      <c r="T3" s="105" t="s">
        <v>448</v>
      </c>
      <c r="U3" s="105" t="s">
        <v>373</v>
      </c>
      <c r="V3" s="105" t="s">
        <v>384</v>
      </c>
      <c r="W3" s="105" t="s">
        <v>479</v>
      </c>
      <c r="X3" s="105" t="s">
        <v>394</v>
      </c>
      <c r="Y3" s="112" t="s">
        <v>491</v>
      </c>
      <c r="Z3" s="112" t="s">
        <v>492</v>
      </c>
      <c r="AA3" s="112" t="s">
        <v>407</v>
      </c>
      <c r="AB3" s="112" t="s">
        <v>406</v>
      </c>
      <c r="AC3" s="105" t="s">
        <v>505</v>
      </c>
      <c r="AD3" s="105">
        <v>2</v>
      </c>
      <c r="AE3" s="105" t="s">
        <v>578</v>
      </c>
      <c r="AF3" s="105" t="s">
        <v>787</v>
      </c>
      <c r="AG3" s="105" t="s">
        <v>816</v>
      </c>
      <c r="AH3" s="105" t="s">
        <v>850</v>
      </c>
      <c r="AI3" s="105" t="s">
        <v>962</v>
      </c>
      <c r="AJ3" s="105" t="s">
        <v>1199</v>
      </c>
      <c r="AK3" s="105" t="s">
        <v>1214</v>
      </c>
      <c r="AL3" s="105" t="s">
        <v>1224</v>
      </c>
      <c r="AM3" s="105" t="s">
        <v>1267</v>
      </c>
      <c r="AN3" s="105" t="s">
        <v>1767</v>
      </c>
      <c r="AO3" s="105" t="s">
        <v>1979</v>
      </c>
      <c r="AP3" s="105" t="s">
        <v>2377</v>
      </c>
      <c r="AQ3" s="105" t="s">
        <v>2386</v>
      </c>
      <c r="AR3" s="105" t="s">
        <v>2405</v>
      </c>
      <c r="AS3" s="105" t="s">
        <v>2415</v>
      </c>
      <c r="AT3" s="105" t="s">
        <v>2419</v>
      </c>
      <c r="AU3" s="105" t="s">
        <v>3737</v>
      </c>
      <c r="AV3" s="105" t="s">
        <v>2424</v>
      </c>
      <c r="AW3" s="105" t="s">
        <v>3169</v>
      </c>
      <c r="AX3" t="s">
        <v>3208</v>
      </c>
      <c r="AY3" s="105" t="s">
        <v>3709</v>
      </c>
      <c r="AZ3" s="391" t="s">
        <v>4279</v>
      </c>
      <c r="BA3" s="105" t="s">
        <v>7901</v>
      </c>
      <c r="BB3" s="105" t="s">
        <v>7910</v>
      </c>
      <c r="BC3" s="829" t="s">
        <v>109</v>
      </c>
      <c r="BD3" s="829" t="s">
        <v>7873</v>
      </c>
    </row>
    <row r="4" spans="1:56" ht="114.75" x14ac:dyDescent="0.25">
      <c r="A4" s="105" t="s">
        <v>98</v>
      </c>
      <c r="C4" s="105" t="s">
        <v>116</v>
      </c>
      <c r="D4" s="105" t="s">
        <v>2906</v>
      </c>
      <c r="E4" s="105" t="s">
        <v>126</v>
      </c>
      <c r="F4" s="105" t="s">
        <v>118</v>
      </c>
      <c r="G4" s="105" t="s">
        <v>134</v>
      </c>
      <c r="H4" s="105" t="s">
        <v>158</v>
      </c>
      <c r="I4" s="105" t="s">
        <v>8046</v>
      </c>
      <c r="J4" s="105" t="s">
        <v>252</v>
      </c>
      <c r="L4" s="105" t="s">
        <v>283</v>
      </c>
      <c r="M4" s="105" t="s">
        <v>658</v>
      </c>
      <c r="N4" s="105">
        <v>8</v>
      </c>
      <c r="O4" s="106" t="s">
        <v>662</v>
      </c>
      <c r="P4" s="106" t="s">
        <v>667</v>
      </c>
      <c r="Q4" s="139">
        <v>5</v>
      </c>
      <c r="R4" s="105" t="s">
        <v>560</v>
      </c>
      <c r="S4" s="105" t="s">
        <v>136</v>
      </c>
      <c r="T4" s="105" t="s">
        <v>136</v>
      </c>
      <c r="V4" s="105" t="s">
        <v>385</v>
      </c>
      <c r="W4" s="105" t="s">
        <v>480</v>
      </c>
      <c r="X4" s="105" t="s">
        <v>485</v>
      </c>
      <c r="Y4" s="105" t="s">
        <v>497</v>
      </c>
      <c r="Z4" s="105" t="s">
        <v>498</v>
      </c>
      <c r="AA4" s="112" t="s">
        <v>408</v>
      </c>
      <c r="AB4" s="112" t="s">
        <v>407</v>
      </c>
      <c r="AC4" s="105" t="s">
        <v>506</v>
      </c>
      <c r="AD4" s="105">
        <v>3</v>
      </c>
      <c r="AE4" s="105" t="s">
        <v>579</v>
      </c>
      <c r="AF4" s="105" t="s">
        <v>788</v>
      </c>
      <c r="AG4" s="105" t="s">
        <v>817</v>
      </c>
      <c r="AH4" s="105" t="s">
        <v>851</v>
      </c>
      <c r="AI4" s="105" t="s">
        <v>963</v>
      </c>
      <c r="AJ4" s="105" t="s">
        <v>1200</v>
      </c>
      <c r="AK4" s="105" t="s">
        <v>1215</v>
      </c>
      <c r="AL4" s="105" t="s">
        <v>1225</v>
      </c>
      <c r="AM4" s="105" t="s">
        <v>1268</v>
      </c>
      <c r="AN4" s="105" t="s">
        <v>1768</v>
      </c>
      <c r="AO4" s="105" t="s">
        <v>1980</v>
      </c>
      <c r="AP4" s="105" t="s">
        <v>2378</v>
      </c>
      <c r="AQ4" s="105" t="s">
        <v>2387</v>
      </c>
      <c r="AR4" s="105" t="s">
        <v>2406</v>
      </c>
      <c r="AS4" s="105" t="s">
        <v>2416</v>
      </c>
      <c r="AT4" s="105" t="s">
        <v>2420</v>
      </c>
      <c r="AU4" s="105" t="s">
        <v>3738</v>
      </c>
      <c r="AV4" s="105" t="s">
        <v>2425</v>
      </c>
      <c r="AW4" s="105" t="s">
        <v>3170</v>
      </c>
      <c r="AX4" t="s">
        <v>3209</v>
      </c>
      <c r="AY4" s="105" t="s">
        <v>3710</v>
      </c>
      <c r="AZ4" s="391" t="s">
        <v>7229</v>
      </c>
      <c r="BA4" s="105" t="s">
        <v>7902</v>
      </c>
      <c r="BB4" s="105" t="s">
        <v>7911</v>
      </c>
      <c r="BC4" s="829" t="s">
        <v>110</v>
      </c>
      <c r="BD4" s="829" t="s">
        <v>7873</v>
      </c>
    </row>
    <row r="5" spans="1:56" ht="76.5" x14ac:dyDescent="0.25">
      <c r="A5" s="105" t="s">
        <v>101</v>
      </c>
      <c r="C5" s="105" t="s">
        <v>7695</v>
      </c>
      <c r="D5" s="105" t="s">
        <v>2907</v>
      </c>
      <c r="F5" s="105" t="s">
        <v>117</v>
      </c>
      <c r="G5" s="105" t="s">
        <v>135</v>
      </c>
      <c r="H5" s="105" t="s">
        <v>159</v>
      </c>
      <c r="I5" s="105" t="s">
        <v>7873</v>
      </c>
      <c r="J5" s="105" t="s">
        <v>253</v>
      </c>
      <c r="K5" s="105" t="s">
        <v>61</v>
      </c>
      <c r="M5" s="105" t="s">
        <v>659</v>
      </c>
      <c r="N5" s="105">
        <v>9</v>
      </c>
      <c r="O5" s="106" t="s">
        <v>337</v>
      </c>
      <c r="P5" s="106" t="s">
        <v>340</v>
      </c>
      <c r="Q5" s="139">
        <v>7</v>
      </c>
      <c r="V5" s="105" t="s">
        <v>386</v>
      </c>
      <c r="W5" s="105" t="s">
        <v>481</v>
      </c>
      <c r="X5" s="105" t="s">
        <v>486</v>
      </c>
      <c r="AB5" s="112" t="s">
        <v>408</v>
      </c>
      <c r="AC5" s="105" t="s">
        <v>7774</v>
      </c>
      <c r="AD5" s="105">
        <v>4</v>
      </c>
      <c r="AE5" s="105" t="s">
        <v>581</v>
      </c>
      <c r="AF5" s="105" t="s">
        <v>789</v>
      </c>
      <c r="AG5" s="105" t="s">
        <v>818</v>
      </c>
      <c r="AH5" s="105" t="s">
        <v>852</v>
      </c>
      <c r="AI5" s="105" t="s">
        <v>964</v>
      </c>
      <c r="AJ5" s="105" t="s">
        <v>1201</v>
      </c>
      <c r="AK5" s="105" t="s">
        <v>1216</v>
      </c>
      <c r="AL5" s="105" t="s">
        <v>1226</v>
      </c>
      <c r="AM5" s="105" t="s">
        <v>1269</v>
      </c>
      <c r="AN5" s="105" t="s">
        <v>1769</v>
      </c>
      <c r="AO5" s="105" t="s">
        <v>1981</v>
      </c>
      <c r="AP5" s="105" t="s">
        <v>2379</v>
      </c>
      <c r="AQ5" s="105" t="s">
        <v>2388</v>
      </c>
      <c r="AR5" s="105" t="s">
        <v>2407</v>
      </c>
      <c r="AS5" s="105" t="s">
        <v>2417</v>
      </c>
      <c r="AT5" s="105" t="s">
        <v>2421</v>
      </c>
      <c r="AU5" s="105" t="s">
        <v>3739</v>
      </c>
      <c r="AV5" s="105" t="s">
        <v>1712</v>
      </c>
      <c r="AW5" s="105" t="s">
        <v>3171</v>
      </c>
      <c r="AX5" t="s">
        <v>3210</v>
      </c>
      <c r="AY5" s="105" t="s">
        <v>3711</v>
      </c>
      <c r="AZ5" s="392" t="s">
        <v>7886</v>
      </c>
      <c r="BA5" s="105" t="s">
        <v>7903</v>
      </c>
      <c r="BB5" s="105" t="s">
        <v>7912</v>
      </c>
      <c r="BC5" s="829" t="s">
        <v>111</v>
      </c>
      <c r="BD5" s="829" t="s">
        <v>7879</v>
      </c>
    </row>
    <row r="6" spans="1:56" ht="63.75" x14ac:dyDescent="0.25">
      <c r="A6" s="105" t="s">
        <v>95</v>
      </c>
      <c r="B6" s="105" t="s">
        <v>232</v>
      </c>
      <c r="C6" s="105" t="s">
        <v>111</v>
      </c>
      <c r="D6" s="105" t="s">
        <v>2909</v>
      </c>
      <c r="G6" s="105" t="s">
        <v>136</v>
      </c>
      <c r="I6" s="105" t="s">
        <v>7698</v>
      </c>
      <c r="K6" s="105" t="s">
        <v>62</v>
      </c>
      <c r="M6" s="105" t="s">
        <v>660</v>
      </c>
      <c r="N6" s="105">
        <v>10</v>
      </c>
      <c r="O6" s="106" t="s">
        <v>663</v>
      </c>
      <c r="P6" s="106" t="s">
        <v>668</v>
      </c>
      <c r="Q6" s="139">
        <v>8</v>
      </c>
      <c r="V6" s="105" t="s">
        <v>387</v>
      </c>
      <c r="AC6" s="105" t="s">
        <v>507</v>
      </c>
      <c r="AD6" s="105">
        <v>5</v>
      </c>
      <c r="AF6" s="105" t="s">
        <v>790</v>
      </c>
      <c r="AG6" s="105" t="s">
        <v>819</v>
      </c>
      <c r="AH6" s="105" t="s">
        <v>853</v>
      </c>
      <c r="AI6" s="105" t="s">
        <v>965</v>
      </c>
      <c r="AJ6" s="105" t="s">
        <v>1202</v>
      </c>
      <c r="AK6" s="105" t="s">
        <v>1217</v>
      </c>
      <c r="AL6" s="105" t="s">
        <v>1227</v>
      </c>
      <c r="AM6" s="105" t="s">
        <v>1270</v>
      </c>
      <c r="AN6" s="105" t="s">
        <v>1770</v>
      </c>
      <c r="AO6" s="105" t="s">
        <v>1982</v>
      </c>
      <c r="AP6" s="105" t="s">
        <v>2380</v>
      </c>
      <c r="AQ6" s="105" t="s">
        <v>2389</v>
      </c>
      <c r="AR6" s="105" t="s">
        <v>2408</v>
      </c>
      <c r="AT6" s="105" t="s">
        <v>2422</v>
      </c>
      <c r="AU6" s="105" t="s">
        <v>3740</v>
      </c>
      <c r="AV6" s="105" t="s">
        <v>1713</v>
      </c>
      <c r="AW6" s="105" t="s">
        <v>3172</v>
      </c>
      <c r="AX6" t="s">
        <v>3211</v>
      </c>
      <c r="AY6" s="105" t="s">
        <v>3712</v>
      </c>
      <c r="AZ6" s="105" t="s">
        <v>4283</v>
      </c>
      <c r="BA6" s="105" t="s">
        <v>7904</v>
      </c>
      <c r="BB6" s="105" t="s">
        <v>7913</v>
      </c>
      <c r="BC6" s="829" t="s">
        <v>112</v>
      </c>
      <c r="BD6" s="829" t="s">
        <v>7879</v>
      </c>
    </row>
    <row r="7" spans="1:56" ht="63.75" x14ac:dyDescent="0.25">
      <c r="A7" s="105" t="s">
        <v>100</v>
      </c>
      <c r="B7" s="105" t="s">
        <v>233</v>
      </c>
      <c r="C7" s="105" t="s">
        <v>112</v>
      </c>
      <c r="D7" s="105" t="s">
        <v>2908</v>
      </c>
      <c r="G7" s="105" t="s">
        <v>7639</v>
      </c>
      <c r="K7" s="105" t="s">
        <v>63</v>
      </c>
      <c r="O7" s="106" t="s">
        <v>664</v>
      </c>
      <c r="P7" s="106" t="s">
        <v>669</v>
      </c>
      <c r="Q7" s="139">
        <v>9</v>
      </c>
      <c r="AC7" s="105" t="s">
        <v>508</v>
      </c>
      <c r="AD7" s="105">
        <v>6</v>
      </c>
      <c r="AF7" s="105" t="s">
        <v>791</v>
      </c>
      <c r="AG7" s="105" t="s">
        <v>820</v>
      </c>
      <c r="AH7" s="105" t="s">
        <v>854</v>
      </c>
      <c r="AI7" s="105" t="s">
        <v>966</v>
      </c>
      <c r="AJ7" s="105" t="s">
        <v>1203</v>
      </c>
      <c r="AK7" s="105" t="s">
        <v>1218</v>
      </c>
      <c r="AL7" s="105" t="s">
        <v>1228</v>
      </c>
      <c r="AM7" s="105" t="s">
        <v>1271</v>
      </c>
      <c r="AN7" s="105" t="s">
        <v>1771</v>
      </c>
      <c r="AO7" s="105" t="s">
        <v>1983</v>
      </c>
      <c r="AP7" s="105" t="s">
        <v>2381</v>
      </c>
      <c r="AQ7" s="105" t="s">
        <v>2390</v>
      </c>
      <c r="AR7" s="105" t="s">
        <v>2409</v>
      </c>
      <c r="AU7" s="105" t="s">
        <v>3741</v>
      </c>
      <c r="AV7" s="105" t="s">
        <v>2426</v>
      </c>
      <c r="AW7" s="105" t="s">
        <v>3173</v>
      </c>
      <c r="AX7" t="s">
        <v>3212</v>
      </c>
      <c r="AY7" s="105" t="s">
        <v>3713</v>
      </c>
      <c r="AZ7" s="105" t="s">
        <v>7231</v>
      </c>
      <c r="BA7" s="105" t="s">
        <v>7905</v>
      </c>
      <c r="BB7" s="105" t="s">
        <v>7914</v>
      </c>
      <c r="BC7" s="829" t="s">
        <v>7882</v>
      </c>
      <c r="BD7" s="829"/>
    </row>
    <row r="8" spans="1:56" ht="63.75" x14ac:dyDescent="0.25">
      <c r="A8" s="105" t="s">
        <v>97</v>
      </c>
      <c r="B8" s="105" t="s">
        <v>7963</v>
      </c>
      <c r="C8" s="105" t="s">
        <v>7882</v>
      </c>
      <c r="D8" s="105" t="s">
        <v>2910</v>
      </c>
      <c r="K8" s="105" t="s">
        <v>64</v>
      </c>
      <c r="O8" s="106" t="s">
        <v>665</v>
      </c>
      <c r="P8" s="106" t="s">
        <v>670</v>
      </c>
      <c r="Q8" s="139">
        <v>10</v>
      </c>
      <c r="R8" s="116" t="s">
        <v>555</v>
      </c>
      <c r="AC8" s="105" t="s">
        <v>509</v>
      </c>
      <c r="AD8" s="105">
        <v>7</v>
      </c>
      <c r="AF8" s="105" t="s">
        <v>792</v>
      </c>
      <c r="AG8" s="105" t="s">
        <v>821</v>
      </c>
      <c r="AH8" s="105" t="s">
        <v>855</v>
      </c>
      <c r="AI8" s="105" t="s">
        <v>967</v>
      </c>
      <c r="AJ8" s="105" t="s">
        <v>1204</v>
      </c>
      <c r="AK8" s="105" t="s">
        <v>1219</v>
      </c>
      <c r="AL8" s="105" t="s">
        <v>1229</v>
      </c>
      <c r="AM8" s="105" t="s">
        <v>1272</v>
      </c>
      <c r="AN8" s="105" t="s">
        <v>1772</v>
      </c>
      <c r="AO8" s="105" t="s">
        <v>1984</v>
      </c>
      <c r="AP8" s="105" t="s">
        <v>2382</v>
      </c>
      <c r="AQ8" s="105" t="s">
        <v>2391</v>
      </c>
      <c r="AR8" s="105" t="s">
        <v>2410</v>
      </c>
      <c r="AU8" s="105" t="s">
        <v>3742</v>
      </c>
      <c r="AV8" s="105" t="s">
        <v>2427</v>
      </c>
      <c r="AW8" s="105" t="s">
        <v>3174</v>
      </c>
      <c r="AX8" t="s">
        <v>3213</v>
      </c>
      <c r="AY8" s="105" t="s">
        <v>3714</v>
      </c>
      <c r="AZ8" s="391" t="s">
        <v>4285</v>
      </c>
      <c r="BA8" s="105" t="s">
        <v>7906</v>
      </c>
      <c r="BB8" s="105" t="s">
        <v>7915</v>
      </c>
      <c r="BC8" s="829" t="s">
        <v>113</v>
      </c>
      <c r="BD8" s="829" t="s">
        <v>7879</v>
      </c>
    </row>
    <row r="9" spans="1:56" ht="38.25" x14ac:dyDescent="0.25">
      <c r="A9" s="105" t="s">
        <v>94</v>
      </c>
      <c r="B9" s="105" t="s">
        <v>7964</v>
      </c>
      <c r="C9" s="105" t="s">
        <v>113</v>
      </c>
      <c r="D9" s="105" t="s">
        <v>2911</v>
      </c>
      <c r="R9" s="105" t="s">
        <v>557</v>
      </c>
      <c r="AC9" s="105" t="s">
        <v>510</v>
      </c>
      <c r="AD9" s="105">
        <v>8</v>
      </c>
      <c r="AF9" s="105" t="s">
        <v>793</v>
      </c>
      <c r="AG9" s="105" t="s">
        <v>822</v>
      </c>
      <c r="AH9" s="105" t="s">
        <v>856</v>
      </c>
      <c r="AI9" s="105" t="s">
        <v>968</v>
      </c>
      <c r="AJ9" s="105" t="s">
        <v>1205</v>
      </c>
      <c r="AK9" s="105" t="s">
        <v>1220</v>
      </c>
      <c r="AL9" s="105" t="s">
        <v>1230</v>
      </c>
      <c r="AM9" s="105" t="s">
        <v>1273</v>
      </c>
      <c r="AN9" s="105" t="s">
        <v>1773</v>
      </c>
      <c r="AO9" s="105" t="s">
        <v>1985</v>
      </c>
      <c r="AP9" s="105" t="s">
        <v>2383</v>
      </c>
      <c r="AQ9" s="105" t="s">
        <v>2392</v>
      </c>
      <c r="AR9" s="105" t="s">
        <v>2411</v>
      </c>
      <c r="AU9" s="105" t="s">
        <v>3743</v>
      </c>
      <c r="AV9" s="105" t="s">
        <v>2428</v>
      </c>
      <c r="AW9" s="105" t="s">
        <v>3175</v>
      </c>
      <c r="AX9" t="s">
        <v>3214</v>
      </c>
      <c r="AY9" s="105" t="s">
        <v>3715</v>
      </c>
      <c r="AZ9" s="391" t="s">
        <v>7887</v>
      </c>
      <c r="BA9" s="105" t="s">
        <v>7907</v>
      </c>
      <c r="BB9" s="105" t="s">
        <v>7916</v>
      </c>
      <c r="BC9" s="829" t="s">
        <v>114</v>
      </c>
      <c r="BD9" s="829" t="s">
        <v>7879</v>
      </c>
    </row>
    <row r="10" spans="1:56" ht="89.25" x14ac:dyDescent="0.25">
      <c r="B10" s="105" t="s">
        <v>136</v>
      </c>
      <c r="C10" s="105" t="s">
        <v>114</v>
      </c>
      <c r="D10" s="105" t="s">
        <v>2912</v>
      </c>
      <c r="R10" s="105" t="s">
        <v>559</v>
      </c>
      <c r="AC10" s="105" t="s">
        <v>511</v>
      </c>
      <c r="AD10" s="105">
        <v>9</v>
      </c>
      <c r="AF10" s="105" t="s">
        <v>794</v>
      </c>
      <c r="AG10" s="105" t="s">
        <v>823</v>
      </c>
      <c r="AH10" s="105" t="s">
        <v>857</v>
      </c>
      <c r="AI10" s="105" t="s">
        <v>969</v>
      </c>
      <c r="AJ10" s="105" t="s">
        <v>1206</v>
      </c>
      <c r="AK10" s="105" t="s">
        <v>1221</v>
      </c>
      <c r="AL10" s="105" t="s">
        <v>1231</v>
      </c>
      <c r="AM10" s="105" t="s">
        <v>1274</v>
      </c>
      <c r="AN10" s="105" t="s">
        <v>1774</v>
      </c>
      <c r="AO10" s="105" t="s">
        <v>1986</v>
      </c>
      <c r="AP10" s="105" t="s">
        <v>2384</v>
      </c>
      <c r="AQ10" s="105" t="s">
        <v>2393</v>
      </c>
      <c r="AR10" s="105" t="s">
        <v>2412</v>
      </c>
      <c r="AU10" s="105" t="s">
        <v>3744</v>
      </c>
      <c r="AV10" s="105" t="s">
        <v>2429</v>
      </c>
      <c r="AW10" s="105" t="s">
        <v>3176</v>
      </c>
      <c r="AX10" t="s">
        <v>3215</v>
      </c>
      <c r="AY10" s="105" t="s">
        <v>3716</v>
      </c>
      <c r="AZ10" s="391" t="s">
        <v>7888</v>
      </c>
      <c r="BC10" s="829" t="s">
        <v>115</v>
      </c>
      <c r="BD10" s="829" t="s">
        <v>7879</v>
      </c>
    </row>
    <row r="11" spans="1:56" ht="51" x14ac:dyDescent="0.25">
      <c r="C11" s="105" t="s">
        <v>119</v>
      </c>
      <c r="D11" s="105" t="s">
        <v>2913</v>
      </c>
      <c r="R11" s="105" t="s">
        <v>561</v>
      </c>
      <c r="AC11" s="105" t="s">
        <v>512</v>
      </c>
      <c r="AD11" s="105">
        <v>10</v>
      </c>
      <c r="AF11" s="105" t="s">
        <v>795</v>
      </c>
      <c r="AG11" s="105" t="s">
        <v>824</v>
      </c>
      <c r="AH11" s="105" t="s">
        <v>858</v>
      </c>
      <c r="AI11" s="105" t="s">
        <v>970</v>
      </c>
      <c r="AJ11" s="105" t="s">
        <v>1207</v>
      </c>
      <c r="AK11" s="105" t="s">
        <v>1222</v>
      </c>
      <c r="AL11" s="105" t="s">
        <v>1232</v>
      </c>
      <c r="AM11" s="105" t="s">
        <v>1275</v>
      </c>
      <c r="AN11" s="105" t="s">
        <v>1775</v>
      </c>
      <c r="AO11" s="105" t="s">
        <v>1987</v>
      </c>
      <c r="AP11" s="105" t="s">
        <v>1222</v>
      </c>
      <c r="AQ11" s="105" t="s">
        <v>2394</v>
      </c>
      <c r="AR11" s="105" t="s">
        <v>2413</v>
      </c>
      <c r="AU11" s="105" t="s">
        <v>3745</v>
      </c>
      <c r="AV11" s="105" t="s">
        <v>2430</v>
      </c>
      <c r="AW11" s="105" t="s">
        <v>3177</v>
      </c>
      <c r="AX11" t="s">
        <v>3216</v>
      </c>
      <c r="AY11" s="105" t="s">
        <v>3717</v>
      </c>
      <c r="AZ11" s="392" t="s">
        <v>4324</v>
      </c>
      <c r="BA11"/>
      <c r="BC11" s="829" t="s">
        <v>116</v>
      </c>
      <c r="BD11" s="829" t="s">
        <v>7879</v>
      </c>
    </row>
    <row r="12" spans="1:56" ht="89.25" x14ac:dyDescent="0.25">
      <c r="A12" s="105" t="s">
        <v>106</v>
      </c>
      <c r="C12" s="105" t="s">
        <v>28</v>
      </c>
      <c r="D12" s="105" t="s">
        <v>2914</v>
      </c>
      <c r="AD12" s="105">
        <v>11</v>
      </c>
      <c r="AF12" s="105" t="s">
        <v>796</v>
      </c>
      <c r="AG12" s="105" t="s">
        <v>825</v>
      </c>
      <c r="AH12" s="105" t="s">
        <v>859</v>
      </c>
      <c r="AI12" s="105" t="s">
        <v>971</v>
      </c>
      <c r="AJ12" s="105" t="s">
        <v>1208</v>
      </c>
      <c r="AL12" s="105" t="s">
        <v>1233</v>
      </c>
      <c r="AM12" s="105" t="s">
        <v>1276</v>
      </c>
      <c r="AN12" s="105" t="s">
        <v>1776</v>
      </c>
      <c r="AO12" s="105" t="s">
        <v>1988</v>
      </c>
      <c r="AQ12" s="105" t="s">
        <v>2395</v>
      </c>
      <c r="AU12" s="105" t="s">
        <v>3746</v>
      </c>
      <c r="AV12" s="105" t="s">
        <v>2431</v>
      </c>
      <c r="AW12" s="105" t="s">
        <v>3178</v>
      </c>
      <c r="AX12" t="s">
        <v>3217</v>
      </c>
      <c r="AY12" s="105" t="s">
        <v>3718</v>
      </c>
      <c r="AZ12" s="391" t="s">
        <v>4284</v>
      </c>
      <c r="BA12"/>
      <c r="BC12" s="829" t="s">
        <v>28</v>
      </c>
      <c r="BD12" s="829" t="s">
        <v>7879</v>
      </c>
    </row>
    <row r="13" spans="1:56" ht="38.25" x14ac:dyDescent="0.25">
      <c r="A13" s="105" t="s">
        <v>108</v>
      </c>
      <c r="C13" s="105" t="s">
        <v>109</v>
      </c>
      <c r="D13" s="105" t="s">
        <v>136</v>
      </c>
      <c r="AD13" s="105">
        <v>12</v>
      </c>
      <c r="AF13" s="105" t="s">
        <v>797</v>
      </c>
      <c r="AG13" s="105" t="s">
        <v>826</v>
      </c>
      <c r="AH13" s="105" t="s">
        <v>860</v>
      </c>
      <c r="AI13" s="105" t="s">
        <v>972</v>
      </c>
      <c r="AJ13" s="105" t="s">
        <v>1209</v>
      </c>
      <c r="AL13" s="105" t="s">
        <v>1234</v>
      </c>
      <c r="AM13" s="105" t="s">
        <v>1277</v>
      </c>
      <c r="AN13" s="105" t="s">
        <v>1777</v>
      </c>
      <c r="AO13" s="105" t="s">
        <v>1989</v>
      </c>
      <c r="AQ13" s="105" t="s">
        <v>2396</v>
      </c>
      <c r="AU13" s="105" t="s">
        <v>3747</v>
      </c>
      <c r="AV13" s="105" t="s">
        <v>2432</v>
      </c>
      <c r="AW13" s="105" t="s">
        <v>3179</v>
      </c>
      <c r="AX13" t="s">
        <v>3218</v>
      </c>
      <c r="AY13" s="105" t="s">
        <v>3719</v>
      </c>
      <c r="AZ13" s="391" t="s">
        <v>4286</v>
      </c>
      <c r="BA13"/>
      <c r="BC13" s="829" t="s">
        <v>119</v>
      </c>
      <c r="BD13" s="829" t="s">
        <v>7879</v>
      </c>
    </row>
    <row r="14" spans="1:56" ht="102" x14ac:dyDescent="0.25">
      <c r="A14" s="105" t="s">
        <v>107</v>
      </c>
      <c r="C14" s="105" t="s">
        <v>110</v>
      </c>
      <c r="AD14" s="105">
        <v>13</v>
      </c>
      <c r="AF14" s="218" t="s">
        <v>798</v>
      </c>
      <c r="AG14" s="105" t="s">
        <v>827</v>
      </c>
      <c r="AH14" s="105" t="s">
        <v>861</v>
      </c>
      <c r="AI14" s="105" t="s">
        <v>973</v>
      </c>
      <c r="AJ14" s="105" t="s">
        <v>1210</v>
      </c>
      <c r="AL14" s="105" t="s">
        <v>1235</v>
      </c>
      <c r="AM14" s="105" t="s">
        <v>1278</v>
      </c>
      <c r="AN14" s="105" t="s">
        <v>1778</v>
      </c>
      <c r="AO14" s="105" t="s">
        <v>1990</v>
      </c>
      <c r="AQ14" s="105" t="s">
        <v>2397</v>
      </c>
      <c r="AU14" s="105" t="s">
        <v>3748</v>
      </c>
      <c r="AV14" s="105" t="s">
        <v>2433</v>
      </c>
      <c r="AW14" s="105" t="s">
        <v>3180</v>
      </c>
      <c r="AX14" t="s">
        <v>3219</v>
      </c>
      <c r="AY14" s="105" t="s">
        <v>3720</v>
      </c>
      <c r="AZ14" s="391" t="s">
        <v>4325</v>
      </c>
      <c r="BA14"/>
      <c r="BC14" s="829" t="s">
        <v>7695</v>
      </c>
      <c r="BD14" s="829" t="s">
        <v>7879</v>
      </c>
    </row>
    <row r="15" spans="1:56" ht="51" x14ac:dyDescent="0.25">
      <c r="A15" s="105" t="s">
        <v>4218</v>
      </c>
      <c r="C15" s="105" t="s">
        <v>7697</v>
      </c>
      <c r="AD15" s="105">
        <v>14</v>
      </c>
      <c r="AF15" s="105" t="s">
        <v>799</v>
      </c>
      <c r="AG15" s="105" t="s">
        <v>828</v>
      </c>
      <c r="AH15" s="105" t="s">
        <v>862</v>
      </c>
      <c r="AI15" s="105" t="s">
        <v>974</v>
      </c>
      <c r="AJ15" s="105" t="s">
        <v>1211</v>
      </c>
      <c r="AL15" s="105" t="s">
        <v>1236</v>
      </c>
      <c r="AM15" s="105" t="s">
        <v>1279</v>
      </c>
      <c r="AN15" s="105" t="s">
        <v>1779</v>
      </c>
      <c r="AO15" s="105" t="s">
        <v>1991</v>
      </c>
      <c r="AQ15" s="105" t="s">
        <v>2398</v>
      </c>
      <c r="AU15" s="105" t="s">
        <v>3749</v>
      </c>
      <c r="AV15" s="105" t="s">
        <v>2434</v>
      </c>
      <c r="AW15" s="105" t="s">
        <v>3181</v>
      </c>
      <c r="AX15" t="s">
        <v>3220</v>
      </c>
      <c r="AY15" s="105" t="s">
        <v>3721</v>
      </c>
      <c r="AZ15" s="391" t="s">
        <v>7710</v>
      </c>
      <c r="BA15"/>
      <c r="BC15" s="829" t="s">
        <v>7696</v>
      </c>
      <c r="BD15" s="829" t="s">
        <v>7879</v>
      </c>
    </row>
    <row r="16" spans="1:56" ht="38.25" x14ac:dyDescent="0.25">
      <c r="A16" s="105" t="s">
        <v>4219</v>
      </c>
      <c r="AD16" s="105">
        <v>15</v>
      </c>
      <c r="AF16" s="105" t="s">
        <v>800</v>
      </c>
      <c r="AG16" s="105" t="s">
        <v>829</v>
      </c>
      <c r="AH16" s="105" t="s">
        <v>863</v>
      </c>
      <c r="AI16" s="105" t="s">
        <v>975</v>
      </c>
      <c r="AJ16" s="105" t="s">
        <v>1212</v>
      </c>
      <c r="AM16" s="105" t="s">
        <v>1420</v>
      </c>
      <c r="AN16" s="105" t="s">
        <v>1780</v>
      </c>
      <c r="AO16" s="105" t="s">
        <v>1992</v>
      </c>
      <c r="AQ16" s="105" t="s">
        <v>2399</v>
      </c>
      <c r="AU16" s="105" t="s">
        <v>3750</v>
      </c>
      <c r="AV16" s="105" t="s">
        <v>1703</v>
      </c>
      <c r="AX16" t="s">
        <v>3677</v>
      </c>
      <c r="AY16" s="105" t="s">
        <v>3722</v>
      </c>
      <c r="AZ16" s="105" t="s">
        <v>7846</v>
      </c>
      <c r="BA16"/>
      <c r="BC16" s="829" t="s">
        <v>7697</v>
      </c>
      <c r="BD16" s="829" t="s">
        <v>7698</v>
      </c>
    </row>
    <row r="17" spans="1:53" ht="38.25" x14ac:dyDescent="0.25">
      <c r="A17" s="105" t="s">
        <v>4220</v>
      </c>
      <c r="AD17" s="105">
        <v>16</v>
      </c>
      <c r="AF17" s="105" t="s">
        <v>801</v>
      </c>
      <c r="AG17" s="105" t="s">
        <v>830</v>
      </c>
      <c r="AH17" s="105" t="s">
        <v>864</v>
      </c>
      <c r="AI17" s="105" t="s">
        <v>976</v>
      </c>
      <c r="AL17" s="105" t="s">
        <v>1237</v>
      </c>
      <c r="AM17" s="105" t="s">
        <v>1280</v>
      </c>
      <c r="AN17" s="105" t="s">
        <v>1781</v>
      </c>
      <c r="AO17" s="105" t="s">
        <v>1993</v>
      </c>
      <c r="AQ17" s="105" t="s">
        <v>2400</v>
      </c>
      <c r="AU17" s="105" t="s">
        <v>3751</v>
      </c>
      <c r="AV17" s="105" t="s">
        <v>2435</v>
      </c>
      <c r="AW17" s="105" t="s">
        <v>3182</v>
      </c>
      <c r="AX17" t="s">
        <v>3221</v>
      </c>
      <c r="AY17" s="105" t="s">
        <v>3723</v>
      </c>
      <c r="AZ17" s="391" t="s">
        <v>7719</v>
      </c>
      <c r="BA17"/>
    </row>
    <row r="18" spans="1:53" ht="38.25" x14ac:dyDescent="0.25">
      <c r="A18" s="105" t="s">
        <v>4221</v>
      </c>
      <c r="AD18" s="105">
        <v>17</v>
      </c>
      <c r="AG18" s="105" t="s">
        <v>831</v>
      </c>
      <c r="AH18" s="105" t="s">
        <v>865</v>
      </c>
      <c r="AI18" s="105" t="s">
        <v>977</v>
      </c>
      <c r="AL18" s="105" t="s">
        <v>1238</v>
      </c>
      <c r="AM18" s="105" t="s">
        <v>1281</v>
      </c>
      <c r="AN18" s="105" t="s">
        <v>1782</v>
      </c>
      <c r="AO18" s="105" t="s">
        <v>1994</v>
      </c>
      <c r="AQ18" s="105" t="s">
        <v>2401</v>
      </c>
      <c r="AU18" s="105" t="s">
        <v>3752</v>
      </c>
      <c r="AV18" s="105" t="s">
        <v>2436</v>
      </c>
      <c r="AW18" s="105" t="s">
        <v>3183</v>
      </c>
      <c r="AX18" t="s">
        <v>3222</v>
      </c>
      <c r="AY18" s="105" t="s">
        <v>3724</v>
      </c>
      <c r="AZ18" s="391" t="s">
        <v>7889</v>
      </c>
      <c r="BA18"/>
    </row>
    <row r="19" spans="1:53" ht="25.5" x14ac:dyDescent="0.25">
      <c r="A19" s="105" t="s">
        <v>4222</v>
      </c>
      <c r="AD19" s="105">
        <v>18</v>
      </c>
      <c r="AG19" s="105" t="s">
        <v>832</v>
      </c>
      <c r="AH19" s="105" t="s">
        <v>866</v>
      </c>
      <c r="AI19" s="105" t="s">
        <v>978</v>
      </c>
      <c r="AL19" s="105" t="s">
        <v>1239</v>
      </c>
      <c r="AM19" s="105" t="s">
        <v>1282</v>
      </c>
      <c r="AN19" s="105" t="s">
        <v>1783</v>
      </c>
      <c r="AO19" s="105" t="s">
        <v>1995</v>
      </c>
      <c r="AU19" s="105" t="s">
        <v>3753</v>
      </c>
      <c r="AV19" s="105" t="s">
        <v>2437</v>
      </c>
      <c r="AW19" s="105" t="s">
        <v>3184</v>
      </c>
      <c r="AX19" t="s">
        <v>3223</v>
      </c>
      <c r="AY19" s="105" t="s">
        <v>3725</v>
      </c>
      <c r="AZ19" s="391" t="s">
        <v>7890</v>
      </c>
      <c r="BA19"/>
    </row>
    <row r="20" spans="1:53" ht="38.25" x14ac:dyDescent="0.25">
      <c r="A20" s="105" t="s">
        <v>7883</v>
      </c>
      <c r="AD20" s="105">
        <v>19</v>
      </c>
      <c r="AG20" s="105" t="s">
        <v>833</v>
      </c>
      <c r="AH20" s="105" t="s">
        <v>867</v>
      </c>
      <c r="AI20" s="105" t="s">
        <v>979</v>
      </c>
      <c r="AL20" s="105" t="s">
        <v>1240</v>
      </c>
      <c r="AM20" s="105" t="s">
        <v>1283</v>
      </c>
      <c r="AN20" s="105" t="s">
        <v>1784</v>
      </c>
      <c r="AO20" s="105" t="s">
        <v>1996</v>
      </c>
      <c r="AU20" s="105" t="s">
        <v>3754</v>
      </c>
      <c r="AV20" s="105" t="s">
        <v>2438</v>
      </c>
      <c r="AW20" s="105" t="s">
        <v>3185</v>
      </c>
      <c r="AX20" t="s">
        <v>3224</v>
      </c>
      <c r="AY20" s="105" t="s">
        <v>3726</v>
      </c>
      <c r="AZ20" s="391" t="s">
        <v>7712</v>
      </c>
      <c r="BA20"/>
    </row>
    <row r="21" spans="1:53" ht="25.5" x14ac:dyDescent="0.25">
      <c r="A21" s="105" t="s">
        <v>4223</v>
      </c>
      <c r="AD21" s="105">
        <v>20</v>
      </c>
      <c r="AG21" s="105" t="s">
        <v>834</v>
      </c>
      <c r="AH21" s="105" t="s">
        <v>868</v>
      </c>
      <c r="AI21" s="105" t="s">
        <v>980</v>
      </c>
      <c r="AL21" s="105" t="s">
        <v>1241</v>
      </c>
      <c r="AM21" s="105" t="s">
        <v>1284</v>
      </c>
      <c r="AN21" s="105" t="s">
        <v>1785</v>
      </c>
      <c r="AO21" s="105" t="s">
        <v>1997</v>
      </c>
      <c r="AU21" s="105" t="s">
        <v>3755</v>
      </c>
      <c r="AV21" s="105" t="s">
        <v>2439</v>
      </c>
      <c r="AW21" s="105" t="s">
        <v>3186</v>
      </c>
      <c r="AX21" t="s">
        <v>3225</v>
      </c>
      <c r="AY21" s="105" t="s">
        <v>3727</v>
      </c>
      <c r="AZ21" s="391" t="s">
        <v>4316</v>
      </c>
      <c r="BA21"/>
    </row>
    <row r="22" spans="1:53" ht="25.5" x14ac:dyDescent="0.25">
      <c r="A22" s="105" t="s">
        <v>4224</v>
      </c>
      <c r="AD22" s="105">
        <v>21</v>
      </c>
      <c r="AG22" s="105" t="s">
        <v>835</v>
      </c>
      <c r="AH22" s="105" t="s">
        <v>869</v>
      </c>
      <c r="AI22" s="105" t="s">
        <v>981</v>
      </c>
      <c r="AL22" s="105" t="s">
        <v>1242</v>
      </c>
      <c r="AM22" s="105" t="s">
        <v>1285</v>
      </c>
      <c r="AN22" s="105" t="s">
        <v>1786</v>
      </c>
      <c r="AO22" s="105" t="s">
        <v>1998</v>
      </c>
      <c r="AU22" s="105" t="s">
        <v>3756</v>
      </c>
      <c r="AV22" s="105" t="s">
        <v>2440</v>
      </c>
      <c r="AW22" s="105" t="s">
        <v>3187</v>
      </c>
      <c r="AX22" t="s">
        <v>3226</v>
      </c>
      <c r="AY22" s="105" t="s">
        <v>3728</v>
      </c>
      <c r="AZ22" s="391" t="s">
        <v>7238</v>
      </c>
      <c r="BA22"/>
    </row>
    <row r="23" spans="1:53" ht="25.5" x14ac:dyDescent="0.25">
      <c r="A23" s="105" t="s">
        <v>4225</v>
      </c>
      <c r="AD23" s="105">
        <v>22</v>
      </c>
      <c r="AG23" s="105" t="s">
        <v>836</v>
      </c>
      <c r="AH23" s="105" t="s">
        <v>870</v>
      </c>
      <c r="AI23" s="105" t="s">
        <v>982</v>
      </c>
      <c r="AL23" s="105" t="s">
        <v>1243</v>
      </c>
      <c r="AM23" s="105" t="s">
        <v>1286</v>
      </c>
      <c r="AN23" s="105" t="s">
        <v>1787</v>
      </c>
      <c r="AO23" s="105" t="s">
        <v>1999</v>
      </c>
      <c r="AU23" s="105" t="s">
        <v>3757</v>
      </c>
      <c r="AV23" s="105" t="s">
        <v>2441</v>
      </c>
      <c r="AW23" s="105" t="s">
        <v>3188</v>
      </c>
      <c r="AX23" t="s">
        <v>3227</v>
      </c>
      <c r="AY23" s="105" t="s">
        <v>3729</v>
      </c>
      <c r="AZ23" s="392" t="s">
        <v>7240</v>
      </c>
      <c r="BA23"/>
    </row>
    <row r="24" spans="1:53" ht="38.25" x14ac:dyDescent="0.25">
      <c r="A24" s="105" t="s">
        <v>4226</v>
      </c>
      <c r="AD24" s="105">
        <v>23</v>
      </c>
      <c r="AG24" s="105" t="s">
        <v>837</v>
      </c>
      <c r="AH24" s="105" t="s">
        <v>871</v>
      </c>
      <c r="AI24" s="105" t="s">
        <v>983</v>
      </c>
      <c r="AL24" s="105" t="s">
        <v>1244</v>
      </c>
      <c r="AM24" s="105" t="s">
        <v>1287</v>
      </c>
      <c r="AN24" s="105" t="s">
        <v>1788</v>
      </c>
      <c r="AO24" s="105" t="s">
        <v>2000</v>
      </c>
      <c r="AU24" s="105" t="s">
        <v>3758</v>
      </c>
      <c r="AV24" s="105" t="s">
        <v>2442</v>
      </c>
      <c r="AW24" s="105" t="s">
        <v>3189</v>
      </c>
      <c r="AX24" t="s">
        <v>3228</v>
      </c>
      <c r="AY24" s="105" t="s">
        <v>3730</v>
      </c>
      <c r="AZ24" s="105" t="s">
        <v>4298</v>
      </c>
      <c r="BA24"/>
    </row>
    <row r="25" spans="1:53" ht="25.5" x14ac:dyDescent="0.25">
      <c r="A25" s="105" t="s">
        <v>4227</v>
      </c>
      <c r="AD25" s="105">
        <v>24</v>
      </c>
      <c r="AG25" s="105" t="s">
        <v>838</v>
      </c>
      <c r="AH25" s="105" t="s">
        <v>872</v>
      </c>
      <c r="AI25" s="105" t="s">
        <v>984</v>
      </c>
      <c r="AL25" s="105" t="s">
        <v>1245</v>
      </c>
      <c r="AM25" s="105" t="s">
        <v>1288</v>
      </c>
      <c r="AN25" s="105" t="s">
        <v>1789</v>
      </c>
      <c r="AO25" s="105" t="s">
        <v>2001</v>
      </c>
      <c r="AU25" s="105" t="s">
        <v>3759</v>
      </c>
      <c r="AV25" s="105" t="s">
        <v>2443</v>
      </c>
      <c r="AW25" s="105" t="s">
        <v>3190</v>
      </c>
      <c r="AX25" t="s">
        <v>3229</v>
      </c>
      <c r="AZ25" s="391" t="s">
        <v>4299</v>
      </c>
      <c r="BA25"/>
    </row>
    <row r="26" spans="1:53" ht="38.25" x14ac:dyDescent="0.25">
      <c r="A26" s="105" t="s">
        <v>4228</v>
      </c>
      <c r="AD26" s="105">
        <v>25</v>
      </c>
      <c r="AG26" s="105" t="s">
        <v>839</v>
      </c>
      <c r="AH26" s="105" t="s">
        <v>873</v>
      </c>
      <c r="AI26" s="105" t="s">
        <v>985</v>
      </c>
      <c r="AL26" s="105" t="s">
        <v>1246</v>
      </c>
      <c r="AM26" s="105" t="s">
        <v>1289</v>
      </c>
      <c r="AN26" s="105" t="s">
        <v>1790</v>
      </c>
      <c r="AO26" s="105" t="s">
        <v>2002</v>
      </c>
      <c r="AU26" s="105" t="s">
        <v>3760</v>
      </c>
      <c r="AV26" s="105" t="s">
        <v>2444</v>
      </c>
      <c r="AX26" t="s">
        <v>3230</v>
      </c>
      <c r="AZ26" s="105" t="s">
        <v>4300</v>
      </c>
      <c r="BA26"/>
    </row>
    <row r="27" spans="1:53" ht="25.5" x14ac:dyDescent="0.25">
      <c r="A27" s="105" t="s">
        <v>4229</v>
      </c>
      <c r="AD27" s="105">
        <v>26</v>
      </c>
      <c r="AG27" s="105" t="s">
        <v>840</v>
      </c>
      <c r="AH27" s="105" t="s">
        <v>874</v>
      </c>
      <c r="AI27" s="105" t="s">
        <v>986</v>
      </c>
      <c r="AL27" s="105" t="s">
        <v>1247</v>
      </c>
      <c r="AM27" s="105" t="s">
        <v>1290</v>
      </c>
      <c r="AN27" s="105" t="s">
        <v>1791</v>
      </c>
      <c r="AO27" s="105" t="s">
        <v>2003</v>
      </c>
      <c r="AU27" s="105" t="s">
        <v>3761</v>
      </c>
      <c r="AV27" s="105" t="s">
        <v>2445</v>
      </c>
      <c r="AX27" t="s">
        <v>3231</v>
      </c>
      <c r="AZ27" s="105" t="s">
        <v>7891</v>
      </c>
      <c r="BA27"/>
    </row>
    <row r="28" spans="1:53" ht="38.25" x14ac:dyDescent="0.25">
      <c r="A28" s="105" t="s">
        <v>4230</v>
      </c>
      <c r="AD28" s="105">
        <v>27</v>
      </c>
      <c r="AG28" s="105" t="s">
        <v>841</v>
      </c>
      <c r="AH28" s="105" t="s">
        <v>875</v>
      </c>
      <c r="AI28" s="105" t="s">
        <v>987</v>
      </c>
      <c r="AL28" s="105" t="s">
        <v>1248</v>
      </c>
      <c r="AM28" s="105" t="s">
        <v>1449</v>
      </c>
      <c r="AN28" s="105" t="s">
        <v>1792</v>
      </c>
      <c r="AO28" s="105" t="s">
        <v>2004</v>
      </c>
      <c r="AU28" s="105" t="s">
        <v>3762</v>
      </c>
      <c r="AV28" s="105" t="s">
        <v>2587</v>
      </c>
      <c r="AX28" t="s">
        <v>3706</v>
      </c>
      <c r="AZ28" s="391" t="s">
        <v>7892</v>
      </c>
      <c r="BA28"/>
    </row>
    <row r="29" spans="1:53" ht="38.25" x14ac:dyDescent="0.25">
      <c r="A29" s="105" t="s">
        <v>4231</v>
      </c>
      <c r="AD29" s="105">
        <v>28</v>
      </c>
      <c r="AG29" s="105" t="s">
        <v>842</v>
      </c>
      <c r="AH29" s="105" t="s">
        <v>876</v>
      </c>
      <c r="AI29" s="105" t="s">
        <v>988</v>
      </c>
      <c r="AL29" s="105" t="s">
        <v>1249</v>
      </c>
      <c r="AM29" s="105" t="s">
        <v>1291</v>
      </c>
      <c r="AN29" s="105" t="s">
        <v>1793</v>
      </c>
      <c r="AO29" s="105" t="s">
        <v>2005</v>
      </c>
      <c r="AU29" s="105" t="s">
        <v>3763</v>
      </c>
      <c r="AV29" s="105" t="s">
        <v>2446</v>
      </c>
      <c r="AX29" t="s">
        <v>3232</v>
      </c>
      <c r="AZ29" s="391" t="s">
        <v>7893</v>
      </c>
      <c r="BA29"/>
    </row>
    <row r="30" spans="1:53" ht="38.25" x14ac:dyDescent="0.25">
      <c r="A30" s="105" t="s">
        <v>4232</v>
      </c>
      <c r="AD30" s="105">
        <v>29</v>
      </c>
      <c r="AG30" s="105" t="s">
        <v>843</v>
      </c>
      <c r="AH30" s="105" t="s">
        <v>877</v>
      </c>
      <c r="AI30" s="105" t="s">
        <v>989</v>
      </c>
      <c r="AL30" s="105" t="s">
        <v>1250</v>
      </c>
      <c r="AM30" s="105" t="s">
        <v>1421</v>
      </c>
      <c r="AN30" s="105" t="s">
        <v>1794</v>
      </c>
      <c r="AO30" s="105" t="s">
        <v>2006</v>
      </c>
      <c r="AU30" s="105" t="s">
        <v>3764</v>
      </c>
      <c r="AV30" s="105" t="s">
        <v>2562</v>
      </c>
      <c r="AX30" t="s">
        <v>3678</v>
      </c>
      <c r="AZ30" s="391" t="s">
        <v>7853</v>
      </c>
      <c r="BA30"/>
    </row>
    <row r="31" spans="1:53" ht="25.5" x14ac:dyDescent="0.25">
      <c r="A31" s="105" t="s">
        <v>4233</v>
      </c>
      <c r="AD31" s="105">
        <v>30</v>
      </c>
      <c r="AG31" s="105" t="s">
        <v>844</v>
      </c>
      <c r="AH31" s="105" t="s">
        <v>878</v>
      </c>
      <c r="AI31" s="105" t="s">
        <v>990</v>
      </c>
      <c r="AL31" s="105" t="s">
        <v>1251</v>
      </c>
      <c r="AM31" s="105" t="s">
        <v>1292</v>
      </c>
      <c r="AN31" s="105" t="s">
        <v>1795</v>
      </c>
      <c r="AO31" s="105" t="s">
        <v>2007</v>
      </c>
      <c r="AU31" s="105" t="s">
        <v>3765</v>
      </c>
      <c r="AV31" s="105" t="s">
        <v>2447</v>
      </c>
      <c r="AX31" t="s">
        <v>3233</v>
      </c>
      <c r="AZ31" s="391" t="s">
        <v>4288</v>
      </c>
      <c r="BA31"/>
    </row>
    <row r="32" spans="1:53" ht="25.5" x14ac:dyDescent="0.25">
      <c r="A32" s="105" t="s">
        <v>4234</v>
      </c>
      <c r="AG32" s="105" t="s">
        <v>845</v>
      </c>
      <c r="AH32" s="105" t="s">
        <v>879</v>
      </c>
      <c r="AI32" s="105" t="s">
        <v>991</v>
      </c>
      <c r="AL32" s="105" t="s">
        <v>1252</v>
      </c>
      <c r="AM32" s="105" t="s">
        <v>1293</v>
      </c>
      <c r="AN32" s="105" t="s">
        <v>1796</v>
      </c>
      <c r="AO32" s="105" t="s">
        <v>2008</v>
      </c>
      <c r="AU32" s="105" t="s">
        <v>3766</v>
      </c>
      <c r="AV32" s="105" t="s">
        <v>2448</v>
      </c>
      <c r="AX32" t="s">
        <v>3234</v>
      </c>
      <c r="AZ32" s="391" t="s">
        <v>7847</v>
      </c>
      <c r="BA32"/>
    </row>
    <row r="33" spans="1:53" ht="38.25" x14ac:dyDescent="0.25">
      <c r="A33" s="105" t="s">
        <v>4235</v>
      </c>
      <c r="AG33" s="105" t="s">
        <v>846</v>
      </c>
      <c r="AH33" s="105" t="s">
        <v>880</v>
      </c>
      <c r="AI33" s="105" t="s">
        <v>992</v>
      </c>
      <c r="AL33" s="105" t="s">
        <v>1253</v>
      </c>
      <c r="AM33" s="105" t="s">
        <v>1294</v>
      </c>
      <c r="AN33" s="105" t="s">
        <v>1797</v>
      </c>
      <c r="AO33" s="105" t="s">
        <v>2009</v>
      </c>
      <c r="AU33" s="105" t="s">
        <v>3767</v>
      </c>
      <c r="AV33" s="105" t="s">
        <v>2449</v>
      </c>
      <c r="AX33" t="s">
        <v>3235</v>
      </c>
      <c r="AZ33" s="391" t="s">
        <v>7848</v>
      </c>
      <c r="BA33"/>
    </row>
    <row r="34" spans="1:53" ht="38.25" x14ac:dyDescent="0.25">
      <c r="A34" s="105" t="s">
        <v>4236</v>
      </c>
      <c r="AG34" s="105" t="s">
        <v>847</v>
      </c>
      <c r="AH34" s="105" t="s">
        <v>881</v>
      </c>
      <c r="AI34" s="105" t="s">
        <v>993</v>
      </c>
      <c r="AL34" s="105" t="s">
        <v>1254</v>
      </c>
      <c r="AM34" s="105" t="s">
        <v>1295</v>
      </c>
      <c r="AN34" s="105" t="s">
        <v>1798</v>
      </c>
      <c r="AO34" s="105" t="s">
        <v>2010</v>
      </c>
      <c r="AU34" s="105" t="s">
        <v>3768</v>
      </c>
      <c r="AV34" s="105" t="s">
        <v>2450</v>
      </c>
      <c r="AX34" t="s">
        <v>3236</v>
      </c>
      <c r="AZ34" s="391" t="s">
        <v>7851</v>
      </c>
      <c r="BA34"/>
    </row>
    <row r="35" spans="1:53" ht="38.25" x14ac:dyDescent="0.25">
      <c r="A35" s="105" t="s">
        <v>4237</v>
      </c>
      <c r="AG35" s="105" t="s">
        <v>848</v>
      </c>
      <c r="AH35" s="105" t="s">
        <v>882</v>
      </c>
      <c r="AI35" s="105" t="s">
        <v>994</v>
      </c>
      <c r="AL35" s="105" t="s">
        <v>1255</v>
      </c>
      <c r="AM35" s="105" t="s">
        <v>1296</v>
      </c>
      <c r="AN35" s="105" t="s">
        <v>1799</v>
      </c>
      <c r="AO35" s="105" t="s">
        <v>2011</v>
      </c>
      <c r="AU35" s="105" t="s">
        <v>3769</v>
      </c>
      <c r="AV35" s="105" t="s">
        <v>2451</v>
      </c>
      <c r="AX35" t="s">
        <v>3237</v>
      </c>
      <c r="AZ35" s="105" t="s">
        <v>7852</v>
      </c>
      <c r="BA35"/>
    </row>
    <row r="36" spans="1:53" ht="25.5" x14ac:dyDescent="0.25">
      <c r="AH36" s="105" t="s">
        <v>883</v>
      </c>
      <c r="AI36" s="105" t="s">
        <v>995</v>
      </c>
      <c r="AL36" s="105" t="s">
        <v>1256</v>
      </c>
      <c r="AM36" s="105" t="s">
        <v>1297</v>
      </c>
      <c r="AN36" s="105" t="s">
        <v>1800</v>
      </c>
      <c r="AO36" s="105" t="s">
        <v>2012</v>
      </c>
      <c r="AU36" s="105" t="s">
        <v>3770</v>
      </c>
      <c r="AV36" s="105" t="s">
        <v>2452</v>
      </c>
      <c r="AX36" t="s">
        <v>3238</v>
      </c>
      <c r="AZ36" s="391" t="s">
        <v>4303</v>
      </c>
      <c r="BA36"/>
    </row>
    <row r="37" spans="1:53" ht="38.25" x14ac:dyDescent="0.25">
      <c r="AH37" s="105" t="s">
        <v>884</v>
      </c>
      <c r="AI37" s="105" t="s">
        <v>996</v>
      </c>
      <c r="AL37" s="105" t="s">
        <v>1257</v>
      </c>
      <c r="AM37" s="105" t="s">
        <v>1298</v>
      </c>
      <c r="AN37" s="105" t="s">
        <v>1801</v>
      </c>
      <c r="AO37" s="105" t="s">
        <v>2013</v>
      </c>
      <c r="AU37" s="105" t="s">
        <v>3771</v>
      </c>
      <c r="AV37" s="105" t="s">
        <v>2453</v>
      </c>
      <c r="AX37" t="s">
        <v>3239</v>
      </c>
      <c r="AZ37" s="105" t="s">
        <v>4276</v>
      </c>
      <c r="BA37"/>
    </row>
    <row r="38" spans="1:53" ht="38.25" x14ac:dyDescent="0.25">
      <c r="AH38" s="105" t="s">
        <v>885</v>
      </c>
      <c r="AI38" s="105" t="s">
        <v>997</v>
      </c>
      <c r="AL38" s="105" t="s">
        <v>1258</v>
      </c>
      <c r="AM38" s="105" t="s">
        <v>1299</v>
      </c>
      <c r="AN38" s="105" t="s">
        <v>1802</v>
      </c>
      <c r="AO38" s="105" t="s">
        <v>2014</v>
      </c>
      <c r="AU38" s="105" t="s">
        <v>3772</v>
      </c>
      <c r="AV38" s="105" t="s">
        <v>1742</v>
      </c>
      <c r="AX38" t="s">
        <v>3240</v>
      </c>
      <c r="AZ38" s="391" t="s">
        <v>4277</v>
      </c>
      <c r="BA38"/>
    </row>
    <row r="39" spans="1:53" ht="25.5" x14ac:dyDescent="0.25">
      <c r="AH39" s="105" t="s">
        <v>886</v>
      </c>
      <c r="AI39" s="105" t="s">
        <v>998</v>
      </c>
      <c r="AL39" s="105" t="s">
        <v>1259</v>
      </c>
      <c r="AM39" s="105" t="s">
        <v>1300</v>
      </c>
      <c r="AN39" s="105" t="s">
        <v>1803</v>
      </c>
      <c r="AO39" s="105" t="s">
        <v>2015</v>
      </c>
      <c r="AU39" s="105" t="s">
        <v>3773</v>
      </c>
      <c r="AV39" s="105" t="s">
        <v>1743</v>
      </c>
      <c r="AX39" t="s">
        <v>3241</v>
      </c>
      <c r="AZ39" s="105" t="s">
        <v>7844</v>
      </c>
      <c r="BA39"/>
    </row>
    <row r="40" spans="1:53" ht="25.5" x14ac:dyDescent="0.25">
      <c r="AH40" s="105" t="s">
        <v>887</v>
      </c>
      <c r="AI40" s="105" t="s">
        <v>999</v>
      </c>
      <c r="AL40" s="105" t="s">
        <v>1260</v>
      </c>
      <c r="AM40" s="105" t="s">
        <v>1301</v>
      </c>
      <c r="AN40" s="105" t="s">
        <v>1804</v>
      </c>
      <c r="AO40" s="105" t="s">
        <v>2016</v>
      </c>
      <c r="AU40" s="105" t="s">
        <v>3774</v>
      </c>
      <c r="AV40" s="105" t="s">
        <v>2454</v>
      </c>
      <c r="AX40" t="s">
        <v>3242</v>
      </c>
      <c r="AZ40" s="391" t="s">
        <v>7708</v>
      </c>
      <c r="BA40"/>
    </row>
    <row r="41" spans="1:53" ht="25.5" x14ac:dyDescent="0.25">
      <c r="AH41" s="105" t="s">
        <v>888</v>
      </c>
      <c r="AI41" s="105" t="s">
        <v>1000</v>
      </c>
      <c r="AL41" s="105" t="s">
        <v>1261</v>
      </c>
      <c r="AM41" s="105" t="s">
        <v>1302</v>
      </c>
      <c r="AN41" s="105" t="s">
        <v>1805</v>
      </c>
      <c r="AO41" s="105" t="s">
        <v>2017</v>
      </c>
      <c r="AU41" s="105" t="s">
        <v>3775</v>
      </c>
      <c r="AV41" s="105" t="s">
        <v>2455</v>
      </c>
      <c r="AX41" t="s">
        <v>3243</v>
      </c>
      <c r="AZ41" s="391" t="s">
        <v>7845</v>
      </c>
      <c r="BA41"/>
    </row>
    <row r="42" spans="1:53" ht="38.25" x14ac:dyDescent="0.25">
      <c r="AH42" s="105" t="s">
        <v>889</v>
      </c>
      <c r="AI42" s="105" t="s">
        <v>1001</v>
      </c>
      <c r="AL42" s="105" t="s">
        <v>1262</v>
      </c>
      <c r="AM42" s="105" t="s">
        <v>1303</v>
      </c>
      <c r="AN42" s="105" t="s">
        <v>1806</v>
      </c>
      <c r="AO42" s="105" t="s">
        <v>2018</v>
      </c>
      <c r="AU42" s="105" t="s">
        <v>3776</v>
      </c>
      <c r="AV42" s="105" t="s">
        <v>2456</v>
      </c>
      <c r="AX42" t="s">
        <v>3244</v>
      </c>
      <c r="AZ42" s="391" t="s">
        <v>4280</v>
      </c>
      <c r="BA42"/>
    </row>
    <row r="43" spans="1:53" ht="38.25" x14ac:dyDescent="0.25">
      <c r="AH43" s="105" t="s">
        <v>890</v>
      </c>
      <c r="AI43" s="105" t="s">
        <v>1002</v>
      </c>
      <c r="AL43" s="105" t="s">
        <v>1263</v>
      </c>
      <c r="AM43" s="105" t="s">
        <v>1304</v>
      </c>
      <c r="AN43" s="105" t="s">
        <v>1807</v>
      </c>
      <c r="AO43" s="105" t="s">
        <v>2019</v>
      </c>
      <c r="AU43" s="105" t="s">
        <v>3777</v>
      </c>
      <c r="AV43" s="105" t="s">
        <v>2457</v>
      </c>
      <c r="AX43" t="s">
        <v>3245</v>
      </c>
      <c r="AZ43" s="391" t="s">
        <v>7703</v>
      </c>
      <c r="BA43"/>
    </row>
    <row r="44" spans="1:53" ht="25.5" x14ac:dyDescent="0.25">
      <c r="AH44" s="105" t="s">
        <v>891</v>
      </c>
      <c r="AI44" s="105" t="s">
        <v>1003</v>
      </c>
      <c r="AL44" s="105" t="s">
        <v>1264</v>
      </c>
      <c r="AM44" s="105" t="s">
        <v>1305</v>
      </c>
      <c r="AN44" s="105" t="s">
        <v>1808</v>
      </c>
      <c r="AO44" s="105" t="s">
        <v>2020</v>
      </c>
      <c r="AU44" s="105" t="s">
        <v>3778</v>
      </c>
      <c r="AV44" s="105" t="s">
        <v>2458</v>
      </c>
      <c r="AX44" t="s">
        <v>3246</v>
      </c>
      <c r="AZ44" s="391" t="s">
        <v>4290</v>
      </c>
      <c r="BA44"/>
    </row>
    <row r="45" spans="1:53" ht="25.5" x14ac:dyDescent="0.25">
      <c r="AH45" s="105" t="s">
        <v>892</v>
      </c>
      <c r="AI45" s="105" t="s">
        <v>1004</v>
      </c>
      <c r="AL45" s="105" t="s">
        <v>1265</v>
      </c>
      <c r="AM45" s="105" t="s">
        <v>1306</v>
      </c>
      <c r="AN45" s="105" t="s">
        <v>1809</v>
      </c>
      <c r="AO45" s="105" t="s">
        <v>2021</v>
      </c>
      <c r="AU45" s="105" t="s">
        <v>3779</v>
      </c>
      <c r="AV45" s="105" t="s">
        <v>2459</v>
      </c>
      <c r="AX45" t="s">
        <v>3247</v>
      </c>
      <c r="AZ45" s="391" t="s">
        <v>4306</v>
      </c>
      <c r="BA45"/>
    </row>
    <row r="46" spans="1:53" ht="38.25" x14ac:dyDescent="0.25">
      <c r="AH46" s="105" t="s">
        <v>893</v>
      </c>
      <c r="AI46" s="105" t="s">
        <v>1005</v>
      </c>
      <c r="AM46" s="105" t="s">
        <v>1307</v>
      </c>
      <c r="AN46" s="105" t="s">
        <v>1810</v>
      </c>
      <c r="AO46" s="105" t="s">
        <v>2022</v>
      </c>
      <c r="AU46" s="105" t="s">
        <v>3780</v>
      </c>
      <c r="AV46" s="105" t="s">
        <v>2460</v>
      </c>
      <c r="AX46" t="s">
        <v>3248</v>
      </c>
      <c r="AZ46" s="391" t="s">
        <v>7894</v>
      </c>
      <c r="BA46"/>
    </row>
    <row r="47" spans="1:53" ht="25.5" x14ac:dyDescent="0.25">
      <c r="AH47" s="105" t="s">
        <v>894</v>
      </c>
      <c r="AI47" s="105" t="s">
        <v>1006</v>
      </c>
      <c r="AM47" s="105" t="s">
        <v>1308</v>
      </c>
      <c r="AN47" s="105" t="s">
        <v>1811</v>
      </c>
      <c r="AO47" s="105" t="s">
        <v>2023</v>
      </c>
      <c r="AU47" s="105" t="s">
        <v>3781</v>
      </c>
      <c r="AV47" s="105" t="s">
        <v>1751</v>
      </c>
      <c r="AX47" t="s">
        <v>3249</v>
      </c>
      <c r="AZ47" s="391" t="s">
        <v>7895</v>
      </c>
      <c r="BA47"/>
    </row>
    <row r="48" spans="1:53" ht="25.5" x14ac:dyDescent="0.25">
      <c r="AH48" s="105" t="s">
        <v>895</v>
      </c>
      <c r="AI48" s="105" t="s">
        <v>1007</v>
      </c>
      <c r="AM48" s="105" t="s">
        <v>1309</v>
      </c>
      <c r="AN48" s="105" t="s">
        <v>1812</v>
      </c>
      <c r="AO48" s="105" t="s">
        <v>2024</v>
      </c>
      <c r="AU48" s="105" t="s">
        <v>3782</v>
      </c>
      <c r="AV48" s="105" t="s">
        <v>2461</v>
      </c>
      <c r="AX48" t="s">
        <v>3250</v>
      </c>
      <c r="AZ48" s="391" t="s">
        <v>7896</v>
      </c>
      <c r="BA48"/>
    </row>
    <row r="49" spans="34:53" ht="25.5" x14ac:dyDescent="0.25">
      <c r="AH49" s="105" t="s">
        <v>896</v>
      </c>
      <c r="AI49" s="105" t="s">
        <v>1008</v>
      </c>
      <c r="AM49" s="105" t="s">
        <v>1310</v>
      </c>
      <c r="AN49" s="105" t="s">
        <v>1813</v>
      </c>
      <c r="AO49" s="105" t="s">
        <v>2025</v>
      </c>
      <c r="AU49" s="105" t="s">
        <v>3783</v>
      </c>
      <c r="AV49" s="105" t="s">
        <v>2462</v>
      </c>
      <c r="AX49" t="s">
        <v>3251</v>
      </c>
      <c r="AZ49" s="391" t="s">
        <v>4311</v>
      </c>
      <c r="BA49"/>
    </row>
    <row r="50" spans="34:53" ht="25.5" x14ac:dyDescent="0.25">
      <c r="AH50" s="105" t="s">
        <v>897</v>
      </c>
      <c r="AI50" s="105" t="s">
        <v>1009</v>
      </c>
      <c r="AM50" s="105" t="s">
        <v>1311</v>
      </c>
      <c r="AN50" s="105" t="s">
        <v>1814</v>
      </c>
      <c r="AO50" s="105" t="s">
        <v>2026</v>
      </c>
      <c r="AU50" s="105" t="s">
        <v>3784</v>
      </c>
      <c r="AV50" s="105" t="s">
        <v>2463</v>
      </c>
      <c r="AX50" t="s">
        <v>3252</v>
      </c>
      <c r="AZ50" s="391" t="s">
        <v>7705</v>
      </c>
      <c r="BA50"/>
    </row>
    <row r="51" spans="34:53" ht="25.5" x14ac:dyDescent="0.25">
      <c r="AH51" s="105" t="s">
        <v>898</v>
      </c>
      <c r="AI51" s="105" t="s">
        <v>1010</v>
      </c>
      <c r="AM51" s="105" t="s">
        <v>1312</v>
      </c>
      <c r="AN51" s="105" t="s">
        <v>1815</v>
      </c>
      <c r="AO51" s="105" t="s">
        <v>2027</v>
      </c>
      <c r="AU51" s="105" t="s">
        <v>3785</v>
      </c>
      <c r="AV51" s="105" t="s">
        <v>2464</v>
      </c>
      <c r="AX51" t="s">
        <v>3253</v>
      </c>
      <c r="AZ51" s="391" t="s">
        <v>7856</v>
      </c>
      <c r="BA51"/>
    </row>
    <row r="52" spans="34:53" x14ac:dyDescent="0.25">
      <c r="AH52" s="105" t="s">
        <v>899</v>
      </c>
      <c r="AI52" s="105" t="s">
        <v>1011</v>
      </c>
      <c r="AM52" s="105" t="s">
        <v>1313</v>
      </c>
      <c r="AN52" s="105" t="s">
        <v>1816</v>
      </c>
      <c r="AO52" s="105" t="s">
        <v>2028</v>
      </c>
      <c r="AU52" s="105" t="s">
        <v>3786</v>
      </c>
      <c r="AV52" s="105" t="s">
        <v>2465</v>
      </c>
      <c r="AX52" t="s">
        <v>3254</v>
      </c>
      <c r="AZ52" s="391" t="s">
        <v>4281</v>
      </c>
      <c r="BA52"/>
    </row>
    <row r="53" spans="34:53" x14ac:dyDescent="0.25">
      <c r="AH53" s="105" t="s">
        <v>900</v>
      </c>
      <c r="AI53" s="105" t="s">
        <v>1012</v>
      </c>
      <c r="AM53" s="105" t="s">
        <v>1314</v>
      </c>
      <c r="AN53" s="105" t="s">
        <v>1817</v>
      </c>
      <c r="AO53" s="105" t="s">
        <v>2029</v>
      </c>
      <c r="AU53" s="105" t="s">
        <v>3787</v>
      </c>
      <c r="AV53" s="105" t="s">
        <v>2466</v>
      </c>
      <c r="AX53" t="s">
        <v>3255</v>
      </c>
      <c r="AZ53" s="391" t="s">
        <v>4289</v>
      </c>
      <c r="BA53"/>
    </row>
    <row r="54" spans="34:53" ht="25.5" x14ac:dyDescent="0.25">
      <c r="AH54" s="105" t="s">
        <v>901</v>
      </c>
      <c r="AI54" s="105" t="s">
        <v>1013</v>
      </c>
      <c r="AM54" s="105" t="s">
        <v>1315</v>
      </c>
      <c r="AN54" s="105" t="s">
        <v>1818</v>
      </c>
      <c r="AO54" s="105" t="s">
        <v>2030</v>
      </c>
      <c r="AU54" s="105" t="s">
        <v>3788</v>
      </c>
      <c r="AV54" s="105" t="s">
        <v>2467</v>
      </c>
      <c r="AX54" t="s">
        <v>3256</v>
      </c>
      <c r="AZ54" s="392" t="s">
        <v>4292</v>
      </c>
      <c r="BA54"/>
    </row>
    <row r="55" spans="34:53" ht="25.5" x14ac:dyDescent="0.25">
      <c r="AH55" s="105" t="s">
        <v>902</v>
      </c>
      <c r="AI55" s="105" t="s">
        <v>1014</v>
      </c>
      <c r="AM55" s="105" t="s">
        <v>1316</v>
      </c>
      <c r="AN55" s="105" t="s">
        <v>1819</v>
      </c>
      <c r="AO55" s="105" t="s">
        <v>2031</v>
      </c>
      <c r="AU55" s="105" t="s">
        <v>3789</v>
      </c>
      <c r="AV55" s="105" t="s">
        <v>2468</v>
      </c>
      <c r="AX55" t="s">
        <v>3257</v>
      </c>
      <c r="AZ55" s="391" t="s">
        <v>4295</v>
      </c>
      <c r="BA55"/>
    </row>
    <row r="56" spans="34:53" ht="25.5" x14ac:dyDescent="0.25">
      <c r="AH56" s="105" t="s">
        <v>903</v>
      </c>
      <c r="AI56" s="105" t="s">
        <v>1015</v>
      </c>
      <c r="AM56" s="105" t="s">
        <v>1317</v>
      </c>
      <c r="AN56" s="105" t="s">
        <v>1820</v>
      </c>
      <c r="AO56" s="105" t="s">
        <v>2032</v>
      </c>
      <c r="AU56" s="105" t="s">
        <v>3790</v>
      </c>
      <c r="AV56" s="105" t="s">
        <v>2469</v>
      </c>
      <c r="AX56" t="s">
        <v>3258</v>
      </c>
      <c r="AZ56" s="391" t="s">
        <v>7850</v>
      </c>
      <c r="BA56"/>
    </row>
    <row r="57" spans="34:53" ht="25.5" x14ac:dyDescent="0.25">
      <c r="AH57" s="105" t="s">
        <v>904</v>
      </c>
      <c r="AI57" s="105" t="s">
        <v>1016</v>
      </c>
      <c r="AM57" s="105" t="s">
        <v>1318</v>
      </c>
      <c r="AN57" s="105" t="s">
        <v>1821</v>
      </c>
      <c r="AO57" s="105" t="s">
        <v>2033</v>
      </c>
      <c r="AU57" s="105" t="s">
        <v>3791</v>
      </c>
      <c r="AV57" s="105" t="s">
        <v>2470</v>
      </c>
      <c r="AX57" t="s">
        <v>3259</v>
      </c>
      <c r="AZ57" s="105" t="s">
        <v>7854</v>
      </c>
      <c r="BA57"/>
    </row>
    <row r="58" spans="34:53" ht="25.5" x14ac:dyDescent="0.25">
      <c r="AH58" s="105" t="s">
        <v>905</v>
      </c>
      <c r="AI58" s="105" t="s">
        <v>1017</v>
      </c>
      <c r="AM58" s="105" t="s">
        <v>1319</v>
      </c>
      <c r="AN58" s="105" t="s">
        <v>1822</v>
      </c>
      <c r="AO58" s="105" t="s">
        <v>2034</v>
      </c>
      <c r="AU58" s="105" t="s">
        <v>3792</v>
      </c>
      <c r="AV58" s="105" t="s">
        <v>1762</v>
      </c>
      <c r="AX58" t="s">
        <v>3260</v>
      </c>
      <c r="AZ58" s="391" t="s">
        <v>7855</v>
      </c>
      <c r="BA58"/>
    </row>
    <row r="59" spans="34:53" ht="25.5" x14ac:dyDescent="0.25">
      <c r="AH59" s="105" t="s">
        <v>906</v>
      </c>
      <c r="AI59" s="105" t="s">
        <v>1018</v>
      </c>
      <c r="AM59" s="105" t="s">
        <v>1320</v>
      </c>
      <c r="AN59" s="105" t="s">
        <v>1823</v>
      </c>
      <c r="AO59" s="105" t="s">
        <v>2035</v>
      </c>
      <c r="AU59" s="105" t="s">
        <v>3793</v>
      </c>
      <c r="AV59" s="105" t="s">
        <v>1763</v>
      </c>
      <c r="AX59" t="s">
        <v>3261</v>
      </c>
      <c r="AZ59" s="391" t="s">
        <v>4313</v>
      </c>
      <c r="BA59"/>
    </row>
    <row r="60" spans="34:53" ht="25.5" x14ac:dyDescent="0.25">
      <c r="AH60" s="105" t="s">
        <v>907</v>
      </c>
      <c r="AI60" s="105" t="s">
        <v>1019</v>
      </c>
      <c r="AM60" s="105" t="s">
        <v>1321</v>
      </c>
      <c r="AN60" s="105" t="s">
        <v>1824</v>
      </c>
      <c r="AO60" s="105" t="s">
        <v>2036</v>
      </c>
      <c r="AU60" s="105" t="s">
        <v>3794</v>
      </c>
      <c r="AV60" s="105" t="s">
        <v>2471</v>
      </c>
      <c r="AX60" t="s">
        <v>3262</v>
      </c>
      <c r="AZ60" s="391" t="s">
        <v>7725</v>
      </c>
      <c r="BA60"/>
    </row>
    <row r="61" spans="34:53" ht="25.5" x14ac:dyDescent="0.25">
      <c r="AH61" s="105" t="s">
        <v>908</v>
      </c>
      <c r="AI61" s="105" t="s">
        <v>1020</v>
      </c>
      <c r="AM61" s="105" t="s">
        <v>1322</v>
      </c>
      <c r="AN61" s="105" t="s">
        <v>1825</v>
      </c>
      <c r="AO61" s="105" t="s">
        <v>2037</v>
      </c>
      <c r="AU61" s="105" t="s">
        <v>3795</v>
      </c>
      <c r="AV61" s="105" t="s">
        <v>2472</v>
      </c>
      <c r="AX61" t="s">
        <v>3263</v>
      </c>
      <c r="AZ61" s="391" t="s">
        <v>4327</v>
      </c>
      <c r="BA61"/>
    </row>
    <row r="62" spans="34:53" ht="38.25" x14ac:dyDescent="0.25">
      <c r="AH62" s="105" t="s">
        <v>909</v>
      </c>
      <c r="AI62" s="105" t="s">
        <v>1021</v>
      </c>
      <c r="AM62" s="105" t="s">
        <v>1422</v>
      </c>
      <c r="AN62" s="105" t="s">
        <v>1826</v>
      </c>
      <c r="AO62" s="105" t="s">
        <v>2038</v>
      </c>
      <c r="AU62" s="105" t="s">
        <v>3796</v>
      </c>
      <c r="AV62" s="105" t="s">
        <v>2563</v>
      </c>
      <c r="AX62" t="s">
        <v>3679</v>
      </c>
      <c r="AZ62" s="391" t="s">
        <v>4314</v>
      </c>
      <c r="BA62"/>
    </row>
    <row r="63" spans="34:53" ht="38.25" x14ac:dyDescent="0.25">
      <c r="AH63" s="105" t="s">
        <v>910</v>
      </c>
      <c r="AI63" s="105" t="s">
        <v>1022</v>
      </c>
      <c r="AM63" s="105" t="s">
        <v>1323</v>
      </c>
      <c r="AN63" s="105" t="s">
        <v>1827</v>
      </c>
      <c r="AO63" s="105" t="s">
        <v>2039</v>
      </c>
      <c r="AU63" s="105" t="s">
        <v>3797</v>
      </c>
      <c r="AV63" s="105" t="s">
        <v>2473</v>
      </c>
      <c r="AX63" t="s">
        <v>3264</v>
      </c>
      <c r="AZ63" s="105" t="s">
        <v>4315</v>
      </c>
      <c r="BA63"/>
    </row>
    <row r="64" spans="34:53" ht="38.25" x14ac:dyDescent="0.25">
      <c r="AH64" s="105" t="s">
        <v>911</v>
      </c>
      <c r="AI64" s="105" t="s">
        <v>1023</v>
      </c>
      <c r="AM64" s="105" t="s">
        <v>1324</v>
      </c>
      <c r="AN64" s="105" t="s">
        <v>1828</v>
      </c>
      <c r="AO64" s="105" t="s">
        <v>2040</v>
      </c>
      <c r="AU64" s="105" t="s">
        <v>3798</v>
      </c>
      <c r="AV64" s="105" t="s">
        <v>2474</v>
      </c>
      <c r="AX64" t="s">
        <v>3265</v>
      </c>
      <c r="AZ64" s="391" t="s">
        <v>4275</v>
      </c>
      <c r="BA64"/>
    </row>
    <row r="65" spans="34:53" ht="25.5" x14ac:dyDescent="0.25">
      <c r="AH65" s="105" t="s">
        <v>912</v>
      </c>
      <c r="AI65" s="105" t="s">
        <v>1024</v>
      </c>
      <c r="AM65" s="105" t="s">
        <v>1325</v>
      </c>
      <c r="AN65" s="105" t="s">
        <v>1829</v>
      </c>
      <c r="AO65" s="105" t="s">
        <v>2041</v>
      </c>
      <c r="AU65" s="105" t="s">
        <v>3799</v>
      </c>
      <c r="AV65" s="105" t="s">
        <v>2475</v>
      </c>
      <c r="AX65" t="s">
        <v>3266</v>
      </c>
      <c r="AZ65" s="391" t="s">
        <v>4278</v>
      </c>
      <c r="BA65"/>
    </row>
    <row r="66" spans="34:53" ht="25.5" x14ac:dyDescent="0.25">
      <c r="AH66" s="105" t="s">
        <v>913</v>
      </c>
      <c r="AI66" s="105" t="s">
        <v>1025</v>
      </c>
      <c r="AM66" s="105" t="s">
        <v>1423</v>
      </c>
      <c r="AN66" s="105" t="s">
        <v>1830</v>
      </c>
      <c r="AO66" s="105" t="s">
        <v>2042</v>
      </c>
      <c r="AU66" s="105" t="s">
        <v>3800</v>
      </c>
      <c r="AV66" s="105" t="s">
        <v>2564</v>
      </c>
      <c r="AX66" t="s">
        <v>3680</v>
      </c>
      <c r="AZ66" s="391" t="s">
        <v>7278</v>
      </c>
      <c r="BA66"/>
    </row>
    <row r="67" spans="34:53" ht="25.5" x14ac:dyDescent="0.25">
      <c r="AH67" s="105" t="s">
        <v>914</v>
      </c>
      <c r="AI67" s="105" t="s">
        <v>1026</v>
      </c>
      <c r="AM67" s="105" t="s">
        <v>1326</v>
      </c>
      <c r="AN67" s="105" t="s">
        <v>1831</v>
      </c>
      <c r="AO67" s="105" t="s">
        <v>2043</v>
      </c>
      <c r="AU67" s="105" t="s">
        <v>3801</v>
      </c>
      <c r="AV67" s="105" t="s">
        <v>2476</v>
      </c>
      <c r="AX67" t="s">
        <v>3267</v>
      </c>
      <c r="AZ67" s="391" t="s">
        <v>4307</v>
      </c>
      <c r="BA67"/>
    </row>
    <row r="68" spans="34:53" ht="25.5" x14ac:dyDescent="0.25">
      <c r="AH68" s="105" t="s">
        <v>915</v>
      </c>
      <c r="AI68" s="105" t="s">
        <v>1027</v>
      </c>
      <c r="AM68" s="105" t="s">
        <v>1327</v>
      </c>
      <c r="AN68" s="105" t="s">
        <v>1832</v>
      </c>
      <c r="AO68" s="105" t="s">
        <v>2044</v>
      </c>
      <c r="AU68" s="105" t="s">
        <v>3802</v>
      </c>
      <c r="AV68" s="105" t="s">
        <v>2477</v>
      </c>
      <c r="AX68" t="s">
        <v>3268</v>
      </c>
      <c r="AZ68" s="105" t="s">
        <v>4308</v>
      </c>
      <c r="BA68"/>
    </row>
    <row r="69" spans="34:53" ht="25.5" x14ac:dyDescent="0.25">
      <c r="AH69" s="105" t="s">
        <v>916</v>
      </c>
      <c r="AI69" s="105" t="s">
        <v>1028</v>
      </c>
      <c r="AM69" s="105" t="s">
        <v>1328</v>
      </c>
      <c r="AN69" s="105" t="s">
        <v>1833</v>
      </c>
      <c r="AO69" s="105" t="s">
        <v>2045</v>
      </c>
      <c r="AU69" s="105" t="s">
        <v>3803</v>
      </c>
      <c r="AV69" s="105" t="s">
        <v>2478</v>
      </c>
      <c r="AX69" t="s">
        <v>3269</v>
      </c>
      <c r="AZ69" s="105" t="s">
        <v>7897</v>
      </c>
      <c r="BA69"/>
    </row>
    <row r="70" spans="34:53" ht="25.5" x14ac:dyDescent="0.25">
      <c r="AH70" s="105" t="s">
        <v>917</v>
      </c>
      <c r="AI70" s="105" t="s">
        <v>1029</v>
      </c>
      <c r="AM70" s="105" t="s">
        <v>1329</v>
      </c>
      <c r="AN70" s="105" t="s">
        <v>1834</v>
      </c>
      <c r="AO70" s="105" t="s">
        <v>2046</v>
      </c>
      <c r="AU70" s="105" t="s">
        <v>3804</v>
      </c>
      <c r="AV70" s="105" t="s">
        <v>2479</v>
      </c>
      <c r="AX70" t="s">
        <v>3270</v>
      </c>
      <c r="AZ70" s="105" t="s">
        <v>7898</v>
      </c>
      <c r="BA70"/>
    </row>
    <row r="71" spans="34:53" ht="25.5" x14ac:dyDescent="0.25">
      <c r="AH71" s="105" t="s">
        <v>918</v>
      </c>
      <c r="AI71" s="105" t="s">
        <v>1030</v>
      </c>
      <c r="AM71" s="105" t="s">
        <v>1330</v>
      </c>
      <c r="AN71" s="105" t="s">
        <v>1835</v>
      </c>
      <c r="AO71" s="105" t="s">
        <v>2047</v>
      </c>
      <c r="AU71" s="105" t="s">
        <v>3805</v>
      </c>
      <c r="AV71" s="105" t="s">
        <v>2480</v>
      </c>
      <c r="AX71" t="s">
        <v>3271</v>
      </c>
      <c r="AZ71" s="391" t="s">
        <v>7849</v>
      </c>
      <c r="BA71"/>
    </row>
    <row r="72" spans="34:53" ht="25.5" x14ac:dyDescent="0.25">
      <c r="AH72" s="105" t="s">
        <v>919</v>
      </c>
      <c r="AI72" s="105" t="s">
        <v>1031</v>
      </c>
      <c r="AM72" s="105" t="s">
        <v>1331</v>
      </c>
      <c r="AN72" s="105" t="s">
        <v>1836</v>
      </c>
      <c r="AO72" s="105" t="s">
        <v>2048</v>
      </c>
      <c r="AU72" s="105" t="s">
        <v>3806</v>
      </c>
      <c r="AV72" s="105" t="s">
        <v>2481</v>
      </c>
      <c r="AX72" t="s">
        <v>3272</v>
      </c>
      <c r="AZ72" s="105" t="s">
        <v>4294</v>
      </c>
      <c r="BA72"/>
    </row>
    <row r="73" spans="34:53" ht="25.5" x14ac:dyDescent="0.25">
      <c r="AH73" s="105" t="s">
        <v>920</v>
      </c>
      <c r="AI73" s="105" t="s">
        <v>1032</v>
      </c>
      <c r="AM73" s="105" t="s">
        <v>1332</v>
      </c>
      <c r="AN73" s="105" t="s">
        <v>1837</v>
      </c>
      <c r="AO73" s="105" t="s">
        <v>2049</v>
      </c>
      <c r="AU73" s="105" t="s">
        <v>3807</v>
      </c>
      <c r="AV73" s="105" t="s">
        <v>2482</v>
      </c>
      <c r="AX73" t="s">
        <v>3273</v>
      </c>
      <c r="AZ73" s="105" t="s">
        <v>7287</v>
      </c>
      <c r="BA73"/>
    </row>
    <row r="74" spans="34:53" ht="25.5" x14ac:dyDescent="0.25">
      <c r="AH74" s="105" t="s">
        <v>921</v>
      </c>
      <c r="AI74" s="105" t="s">
        <v>1033</v>
      </c>
      <c r="AM74" s="105" t="s">
        <v>1333</v>
      </c>
      <c r="AN74" s="105" t="s">
        <v>1838</v>
      </c>
      <c r="AO74" s="105" t="s">
        <v>2050</v>
      </c>
      <c r="AU74" s="105" t="s">
        <v>3808</v>
      </c>
      <c r="AV74" s="105" t="s">
        <v>2483</v>
      </c>
      <c r="AX74" t="s">
        <v>3274</v>
      </c>
      <c r="AZ74" s="391" t="s">
        <v>4296</v>
      </c>
      <c r="BA74"/>
    </row>
    <row r="75" spans="34:53" ht="25.5" x14ac:dyDescent="0.25">
      <c r="AH75" s="105" t="s">
        <v>922</v>
      </c>
      <c r="AI75" s="105" t="s">
        <v>1034</v>
      </c>
      <c r="AM75" s="105" t="s">
        <v>1334</v>
      </c>
      <c r="AN75" s="105" t="s">
        <v>1839</v>
      </c>
      <c r="AO75" s="105" t="s">
        <v>2051</v>
      </c>
      <c r="AU75" s="105" t="s">
        <v>3809</v>
      </c>
      <c r="AV75" s="105" t="s">
        <v>2484</v>
      </c>
      <c r="AX75" t="s">
        <v>3275</v>
      </c>
      <c r="AZ75" s="105" t="s">
        <v>4304</v>
      </c>
      <c r="BA75"/>
    </row>
    <row r="76" spans="34:53" ht="38.25" x14ac:dyDescent="0.25">
      <c r="AH76" s="105" t="s">
        <v>923</v>
      </c>
      <c r="AI76" s="105" t="s">
        <v>1035</v>
      </c>
      <c r="AM76" s="105" t="s">
        <v>1335</v>
      </c>
      <c r="AN76" s="105" t="s">
        <v>1840</v>
      </c>
      <c r="AO76" s="105" t="s">
        <v>2052</v>
      </c>
      <c r="AU76" s="105" t="s">
        <v>3810</v>
      </c>
      <c r="AV76" s="105" t="s">
        <v>2485</v>
      </c>
      <c r="AX76" t="s">
        <v>3276</v>
      </c>
      <c r="BA76"/>
    </row>
    <row r="77" spans="34:53" ht="38.25" x14ac:dyDescent="0.25">
      <c r="AH77" s="105" t="s">
        <v>924</v>
      </c>
      <c r="AI77" s="105" t="s">
        <v>1036</v>
      </c>
      <c r="AM77" s="105" t="s">
        <v>1336</v>
      </c>
      <c r="AN77" s="105" t="s">
        <v>1841</v>
      </c>
      <c r="AO77" s="105" t="s">
        <v>2053</v>
      </c>
      <c r="AU77" s="105" t="s">
        <v>3811</v>
      </c>
      <c r="AV77" s="105" t="s">
        <v>1619</v>
      </c>
      <c r="AX77" t="s">
        <v>3277</v>
      </c>
      <c r="BA77"/>
    </row>
    <row r="78" spans="34:53" ht="25.5" x14ac:dyDescent="0.25">
      <c r="AH78" s="105" t="s">
        <v>925</v>
      </c>
      <c r="AI78" s="105" t="s">
        <v>1037</v>
      </c>
      <c r="AM78" s="105" t="s">
        <v>1337</v>
      </c>
      <c r="AN78" s="105" t="s">
        <v>1842</v>
      </c>
      <c r="AO78" s="105" t="s">
        <v>2054</v>
      </c>
      <c r="AU78" s="105" t="s">
        <v>3812</v>
      </c>
      <c r="AV78" s="105" t="s">
        <v>2486</v>
      </c>
      <c r="AX78" t="s">
        <v>3278</v>
      </c>
      <c r="BA78"/>
    </row>
    <row r="79" spans="34:53" ht="25.5" x14ac:dyDescent="0.25">
      <c r="AH79" s="105" t="s">
        <v>926</v>
      </c>
      <c r="AI79" s="105" t="s">
        <v>1038</v>
      </c>
      <c r="AM79" s="105" t="s">
        <v>1338</v>
      </c>
      <c r="AN79" s="105" t="s">
        <v>1843</v>
      </c>
      <c r="AO79" s="105" t="s">
        <v>2055</v>
      </c>
      <c r="AU79" s="105" t="s">
        <v>3813</v>
      </c>
      <c r="AV79" s="105" t="s">
        <v>1621</v>
      </c>
      <c r="AX79" t="s">
        <v>3279</v>
      </c>
      <c r="BA79"/>
    </row>
    <row r="80" spans="34:53" ht="25.5" x14ac:dyDescent="0.25">
      <c r="AH80" s="105" t="s">
        <v>927</v>
      </c>
      <c r="AI80" s="105" t="s">
        <v>1039</v>
      </c>
      <c r="AM80" s="105" t="s">
        <v>1339</v>
      </c>
      <c r="AN80" s="105" t="s">
        <v>1844</v>
      </c>
      <c r="AO80" s="105" t="s">
        <v>2056</v>
      </c>
      <c r="AU80" s="105" t="s">
        <v>3814</v>
      </c>
      <c r="AV80" s="105" t="s">
        <v>2487</v>
      </c>
      <c r="AX80" t="s">
        <v>3280</v>
      </c>
      <c r="BA80"/>
    </row>
    <row r="81" spans="34:53" ht="25.5" x14ac:dyDescent="0.25">
      <c r="AH81" s="105" t="s">
        <v>928</v>
      </c>
      <c r="AI81" s="105" t="s">
        <v>1040</v>
      </c>
      <c r="AM81" s="105" t="s">
        <v>1424</v>
      </c>
      <c r="AN81" s="105" t="s">
        <v>1845</v>
      </c>
      <c r="AO81" s="105" t="s">
        <v>2057</v>
      </c>
      <c r="AU81" s="105" t="s">
        <v>3815</v>
      </c>
      <c r="AV81" s="105" t="s">
        <v>2565</v>
      </c>
      <c r="AX81" t="s">
        <v>3681</v>
      </c>
      <c r="BA81"/>
    </row>
    <row r="82" spans="34:53" ht="38.25" x14ac:dyDescent="0.25">
      <c r="AH82" s="105" t="s">
        <v>929</v>
      </c>
      <c r="AI82" s="105" t="s">
        <v>1041</v>
      </c>
      <c r="AM82" s="105" t="s">
        <v>1425</v>
      </c>
      <c r="AN82" s="105" t="s">
        <v>1846</v>
      </c>
      <c r="AO82" s="105" t="s">
        <v>2058</v>
      </c>
      <c r="AU82" s="105" t="s">
        <v>3816</v>
      </c>
      <c r="AV82" s="105" t="s">
        <v>1708</v>
      </c>
      <c r="AX82" t="s">
        <v>3682</v>
      </c>
      <c r="BA82"/>
    </row>
    <row r="83" spans="34:53" ht="51" x14ac:dyDescent="0.25">
      <c r="AH83" s="105" t="s">
        <v>930</v>
      </c>
      <c r="AI83" s="105" t="s">
        <v>1042</v>
      </c>
      <c r="AM83" s="105" t="s">
        <v>1340</v>
      </c>
      <c r="AN83" s="105" t="s">
        <v>1847</v>
      </c>
      <c r="AO83" s="105" t="s">
        <v>2059</v>
      </c>
      <c r="AU83" s="105" t="s">
        <v>3817</v>
      </c>
      <c r="AV83" s="105" t="s">
        <v>1623</v>
      </c>
      <c r="AX83" t="s">
        <v>3281</v>
      </c>
      <c r="BA83"/>
    </row>
    <row r="84" spans="34:53" ht="51" x14ac:dyDescent="0.25">
      <c r="AH84" s="105" t="s">
        <v>931</v>
      </c>
      <c r="AI84" s="105" t="s">
        <v>1043</v>
      </c>
      <c r="AM84" s="105" t="s">
        <v>1341</v>
      </c>
      <c r="AN84" s="105" t="s">
        <v>1848</v>
      </c>
      <c r="AO84" s="105" t="s">
        <v>2060</v>
      </c>
      <c r="AU84" s="105" t="s">
        <v>3818</v>
      </c>
      <c r="AV84" s="105" t="s">
        <v>2488</v>
      </c>
      <c r="AX84" t="s">
        <v>3282</v>
      </c>
      <c r="BA84"/>
    </row>
    <row r="85" spans="34:53" ht="51" x14ac:dyDescent="0.25">
      <c r="AH85" s="105" t="s">
        <v>932</v>
      </c>
      <c r="AI85" s="105" t="s">
        <v>1044</v>
      </c>
      <c r="AM85" s="105" t="s">
        <v>1342</v>
      </c>
      <c r="AN85" s="105" t="s">
        <v>1849</v>
      </c>
      <c r="AO85" s="105" t="s">
        <v>2061</v>
      </c>
      <c r="AU85" s="105" t="s">
        <v>3819</v>
      </c>
      <c r="AV85" s="105" t="s">
        <v>2489</v>
      </c>
      <c r="AX85" t="s">
        <v>3283</v>
      </c>
      <c r="BA85"/>
    </row>
    <row r="86" spans="34:53" ht="51" x14ac:dyDescent="0.25">
      <c r="AH86" s="105" t="s">
        <v>933</v>
      </c>
      <c r="AI86" s="105" t="s">
        <v>1045</v>
      </c>
      <c r="AM86" s="105" t="s">
        <v>1343</v>
      </c>
      <c r="AN86" s="105" t="s">
        <v>1850</v>
      </c>
      <c r="AO86" s="105" t="s">
        <v>2062</v>
      </c>
      <c r="AU86" s="105" t="s">
        <v>3820</v>
      </c>
      <c r="AV86" s="105" t="s">
        <v>2490</v>
      </c>
      <c r="AX86" t="s">
        <v>3284</v>
      </c>
      <c r="BA86"/>
    </row>
    <row r="87" spans="34:53" ht="25.5" x14ac:dyDescent="0.25">
      <c r="AH87" s="105" t="s">
        <v>934</v>
      </c>
      <c r="AI87" s="105" t="s">
        <v>1046</v>
      </c>
      <c r="AM87" s="105" t="s">
        <v>1344</v>
      </c>
      <c r="AN87" s="105" t="s">
        <v>1851</v>
      </c>
      <c r="AO87" s="105" t="s">
        <v>2063</v>
      </c>
      <c r="AU87" s="105" t="s">
        <v>3821</v>
      </c>
      <c r="AV87" s="105" t="s">
        <v>2491</v>
      </c>
      <c r="AX87" t="s">
        <v>3285</v>
      </c>
      <c r="BA87"/>
    </row>
    <row r="88" spans="34:53" ht="25.5" x14ac:dyDescent="0.25">
      <c r="AH88" s="105" t="s">
        <v>935</v>
      </c>
      <c r="AI88" s="105" t="s">
        <v>1047</v>
      </c>
      <c r="AM88" s="105" t="s">
        <v>1345</v>
      </c>
      <c r="AN88" s="105" t="s">
        <v>1852</v>
      </c>
      <c r="AO88" s="105" t="s">
        <v>2064</v>
      </c>
      <c r="AU88" s="105" t="s">
        <v>3822</v>
      </c>
      <c r="AV88" s="105" t="s">
        <v>2492</v>
      </c>
      <c r="AX88" t="s">
        <v>3286</v>
      </c>
      <c r="BA88"/>
    </row>
    <row r="89" spans="34:53" ht="25.5" x14ac:dyDescent="0.25">
      <c r="AH89" s="105" t="s">
        <v>936</v>
      </c>
      <c r="AI89" s="105" t="s">
        <v>1048</v>
      </c>
      <c r="AM89" s="105" t="s">
        <v>1346</v>
      </c>
      <c r="AN89" s="105" t="s">
        <v>1853</v>
      </c>
      <c r="AO89" s="105" t="s">
        <v>2065</v>
      </c>
      <c r="AU89" s="105" t="s">
        <v>3823</v>
      </c>
      <c r="AV89" s="105" t="s">
        <v>2493</v>
      </c>
      <c r="AX89" t="s">
        <v>3287</v>
      </c>
      <c r="BA89"/>
    </row>
    <row r="90" spans="34:53" ht="25.5" x14ac:dyDescent="0.25">
      <c r="AH90" s="105" t="s">
        <v>937</v>
      </c>
      <c r="AI90" s="105" t="s">
        <v>1049</v>
      </c>
      <c r="AM90" s="105" t="s">
        <v>1347</v>
      </c>
      <c r="AN90" s="105" t="s">
        <v>1854</v>
      </c>
      <c r="AO90" s="105" t="s">
        <v>2066</v>
      </c>
      <c r="AU90" s="105" t="s">
        <v>3824</v>
      </c>
      <c r="AV90" s="105" t="s">
        <v>2494</v>
      </c>
      <c r="AX90" t="s">
        <v>3288</v>
      </c>
      <c r="BA90"/>
    </row>
    <row r="91" spans="34:53" ht="25.5" x14ac:dyDescent="0.25">
      <c r="AH91" s="105" t="s">
        <v>938</v>
      </c>
      <c r="AI91" s="105" t="s">
        <v>1050</v>
      </c>
      <c r="AM91" s="105" t="s">
        <v>1348</v>
      </c>
      <c r="AN91" s="105" t="s">
        <v>1855</v>
      </c>
      <c r="AO91" s="105" t="s">
        <v>2067</v>
      </c>
      <c r="AU91" s="105" t="s">
        <v>3825</v>
      </c>
      <c r="AV91" s="105" t="s">
        <v>2495</v>
      </c>
      <c r="AX91" t="s">
        <v>3289</v>
      </c>
      <c r="BA91"/>
    </row>
    <row r="92" spans="34:53" ht="25.5" x14ac:dyDescent="0.25">
      <c r="AH92" s="105" t="s">
        <v>939</v>
      </c>
      <c r="AI92" s="105" t="s">
        <v>1051</v>
      </c>
      <c r="AM92" s="105" t="s">
        <v>1349</v>
      </c>
      <c r="AN92" s="105" t="s">
        <v>1856</v>
      </c>
      <c r="AO92" s="105" t="s">
        <v>2068</v>
      </c>
      <c r="AU92" s="105" t="s">
        <v>3826</v>
      </c>
      <c r="AV92" s="105" t="s">
        <v>2496</v>
      </c>
      <c r="AX92" t="s">
        <v>3290</v>
      </c>
      <c r="BA92"/>
    </row>
    <row r="93" spans="34:53" ht="25.5" x14ac:dyDescent="0.25">
      <c r="AH93" s="105" t="s">
        <v>940</v>
      </c>
      <c r="AI93" s="105" t="s">
        <v>1052</v>
      </c>
      <c r="AM93" s="105" t="s">
        <v>1350</v>
      </c>
      <c r="AN93" s="105" t="s">
        <v>1857</v>
      </c>
      <c r="AO93" s="105" t="s">
        <v>2069</v>
      </c>
      <c r="AU93" s="105" t="s">
        <v>3827</v>
      </c>
      <c r="AV93" s="105" t="s">
        <v>2497</v>
      </c>
      <c r="AX93" t="s">
        <v>3291</v>
      </c>
      <c r="BA93"/>
    </row>
    <row r="94" spans="34:53" ht="25.5" x14ac:dyDescent="0.25">
      <c r="AH94" s="105" t="s">
        <v>941</v>
      </c>
      <c r="AI94" s="105" t="s">
        <v>1053</v>
      </c>
      <c r="AM94" s="105" t="s">
        <v>1351</v>
      </c>
      <c r="AN94" s="105" t="s">
        <v>1858</v>
      </c>
      <c r="AO94" s="105" t="s">
        <v>2070</v>
      </c>
      <c r="AU94" s="105" t="s">
        <v>3828</v>
      </c>
      <c r="AV94" s="105" t="s">
        <v>2498</v>
      </c>
      <c r="AX94" t="s">
        <v>3292</v>
      </c>
      <c r="BA94"/>
    </row>
    <row r="95" spans="34:53" ht="25.5" x14ac:dyDescent="0.25">
      <c r="AH95" s="105" t="s">
        <v>942</v>
      </c>
      <c r="AI95" s="105" t="s">
        <v>1054</v>
      </c>
      <c r="AM95" s="105" t="s">
        <v>1352</v>
      </c>
      <c r="AN95" s="105" t="s">
        <v>1859</v>
      </c>
      <c r="AO95" s="105" t="s">
        <v>2071</v>
      </c>
      <c r="AU95" s="105" t="s">
        <v>3829</v>
      </c>
      <c r="AV95" s="105" t="s">
        <v>2499</v>
      </c>
      <c r="AX95" t="s">
        <v>3293</v>
      </c>
      <c r="BA95"/>
    </row>
    <row r="96" spans="34:53" ht="25.5" x14ac:dyDescent="0.25">
      <c r="AH96" s="105" t="s">
        <v>943</v>
      </c>
      <c r="AI96" s="105" t="s">
        <v>1055</v>
      </c>
      <c r="AM96" s="105" t="s">
        <v>1353</v>
      </c>
      <c r="AN96" s="105" t="s">
        <v>1860</v>
      </c>
      <c r="AO96" s="105" t="s">
        <v>2072</v>
      </c>
      <c r="AU96" s="105" t="s">
        <v>3830</v>
      </c>
      <c r="AV96" s="105" t="s">
        <v>1636</v>
      </c>
      <c r="AX96" t="s">
        <v>3294</v>
      </c>
      <c r="BA96"/>
    </row>
    <row r="97" spans="34:53" ht="25.5" x14ac:dyDescent="0.25">
      <c r="AH97" s="105" t="s">
        <v>944</v>
      </c>
      <c r="AI97" s="105" t="s">
        <v>1056</v>
      </c>
      <c r="AM97" s="105" t="s">
        <v>1354</v>
      </c>
      <c r="AN97" s="105" t="s">
        <v>1861</v>
      </c>
      <c r="AO97" s="105" t="s">
        <v>2073</v>
      </c>
      <c r="AU97" s="105" t="s">
        <v>3831</v>
      </c>
      <c r="AV97" s="105" t="s">
        <v>1637</v>
      </c>
      <c r="AX97" t="s">
        <v>3295</v>
      </c>
      <c r="BA97"/>
    </row>
    <row r="98" spans="34:53" ht="25.5" x14ac:dyDescent="0.25">
      <c r="AH98" s="105" t="s">
        <v>945</v>
      </c>
      <c r="AI98" s="105" t="s">
        <v>1057</v>
      </c>
      <c r="AM98" s="105" t="s">
        <v>1355</v>
      </c>
      <c r="AN98" s="105" t="s">
        <v>1862</v>
      </c>
      <c r="AO98" s="105" t="s">
        <v>2074</v>
      </c>
      <c r="AU98" s="105" t="s">
        <v>3832</v>
      </c>
      <c r="AV98" s="105" t="s">
        <v>2500</v>
      </c>
      <c r="AX98" t="s">
        <v>3296</v>
      </c>
      <c r="BA98"/>
    </row>
    <row r="99" spans="34:53" ht="25.5" x14ac:dyDescent="0.25">
      <c r="AH99" s="105" t="s">
        <v>946</v>
      </c>
      <c r="AI99" s="105" t="s">
        <v>1058</v>
      </c>
      <c r="AM99" s="105" t="s">
        <v>1356</v>
      </c>
      <c r="AN99" s="105" t="s">
        <v>1863</v>
      </c>
      <c r="AO99" s="105" t="s">
        <v>2075</v>
      </c>
      <c r="AU99" s="105" t="s">
        <v>3833</v>
      </c>
      <c r="AV99" s="105" t="s">
        <v>2501</v>
      </c>
      <c r="AX99" t="s">
        <v>3297</v>
      </c>
      <c r="BA99"/>
    </row>
    <row r="100" spans="34:53" ht="25.5" x14ac:dyDescent="0.25">
      <c r="AH100" s="105" t="s">
        <v>947</v>
      </c>
      <c r="AI100" s="105" t="s">
        <v>1059</v>
      </c>
      <c r="AM100" s="105" t="s">
        <v>1426</v>
      </c>
      <c r="AN100" s="105" t="s">
        <v>1864</v>
      </c>
      <c r="AO100" s="105" t="s">
        <v>2076</v>
      </c>
      <c r="AU100" s="105" t="s">
        <v>3834</v>
      </c>
      <c r="AV100" s="105" t="s">
        <v>2566</v>
      </c>
      <c r="AX100" t="s">
        <v>3683</v>
      </c>
      <c r="BA100"/>
    </row>
    <row r="101" spans="34:53" ht="38.25" x14ac:dyDescent="0.25">
      <c r="AH101" s="105" t="s">
        <v>948</v>
      </c>
      <c r="AI101" s="105" t="s">
        <v>1060</v>
      </c>
      <c r="AM101" s="105" t="s">
        <v>1419</v>
      </c>
      <c r="AN101" s="105" t="s">
        <v>1865</v>
      </c>
      <c r="AO101" s="105" t="s">
        <v>2077</v>
      </c>
      <c r="AU101" s="105" t="s">
        <v>3835</v>
      </c>
      <c r="AV101" s="105" t="s">
        <v>2561</v>
      </c>
      <c r="AX101" t="s">
        <v>3676</v>
      </c>
      <c r="BA101"/>
    </row>
    <row r="102" spans="34:53" ht="25.5" x14ac:dyDescent="0.25">
      <c r="AH102" s="105" t="s">
        <v>949</v>
      </c>
      <c r="AI102" s="105" t="s">
        <v>1061</v>
      </c>
      <c r="AM102" s="105" t="s">
        <v>1357</v>
      </c>
      <c r="AN102" s="105" t="s">
        <v>1866</v>
      </c>
      <c r="AO102" s="105" t="s">
        <v>2078</v>
      </c>
      <c r="AU102" s="105" t="s">
        <v>3836</v>
      </c>
      <c r="AV102" s="105" t="s">
        <v>2502</v>
      </c>
      <c r="AX102" t="s">
        <v>3298</v>
      </c>
      <c r="BA102"/>
    </row>
    <row r="103" spans="34:53" ht="38.25" x14ac:dyDescent="0.25">
      <c r="AH103" s="105" t="s">
        <v>950</v>
      </c>
      <c r="AI103" s="105" t="s">
        <v>1062</v>
      </c>
      <c r="AM103" s="105" t="s">
        <v>1358</v>
      </c>
      <c r="AN103" s="105" t="s">
        <v>1867</v>
      </c>
      <c r="AO103" s="105" t="s">
        <v>2079</v>
      </c>
      <c r="AU103" s="105" t="s">
        <v>3837</v>
      </c>
      <c r="AV103" s="105" t="s">
        <v>1641</v>
      </c>
      <c r="AX103" t="s">
        <v>3299</v>
      </c>
      <c r="BA103"/>
    </row>
    <row r="104" spans="34:53" ht="25.5" x14ac:dyDescent="0.25">
      <c r="AH104" s="105" t="s">
        <v>951</v>
      </c>
      <c r="AI104" s="105" t="s">
        <v>1063</v>
      </c>
      <c r="AM104" s="105" t="s">
        <v>1359</v>
      </c>
      <c r="AN104" s="105" t="s">
        <v>1868</v>
      </c>
      <c r="AO104" s="105" t="s">
        <v>2080</v>
      </c>
      <c r="AU104" s="105" t="s">
        <v>3838</v>
      </c>
      <c r="AV104" s="105" t="s">
        <v>2503</v>
      </c>
      <c r="AX104" t="s">
        <v>3300</v>
      </c>
      <c r="BA104"/>
    </row>
    <row r="105" spans="34:53" ht="38.25" x14ac:dyDescent="0.25">
      <c r="AH105" s="105" t="s">
        <v>952</v>
      </c>
      <c r="AI105" s="105" t="s">
        <v>1064</v>
      </c>
      <c r="AM105" s="105" t="s">
        <v>1360</v>
      </c>
      <c r="AN105" s="105" t="s">
        <v>1869</v>
      </c>
      <c r="AO105" s="105" t="s">
        <v>2081</v>
      </c>
      <c r="AU105" s="105" t="s">
        <v>3839</v>
      </c>
      <c r="AV105" s="105" t="s">
        <v>2504</v>
      </c>
      <c r="AX105" t="s">
        <v>3301</v>
      </c>
      <c r="BA105"/>
    </row>
    <row r="106" spans="34:53" ht="25.5" x14ac:dyDescent="0.25">
      <c r="AH106" s="105" t="s">
        <v>953</v>
      </c>
      <c r="AI106" s="105" t="s">
        <v>1065</v>
      </c>
      <c r="AM106" s="105" t="s">
        <v>1361</v>
      </c>
      <c r="AN106" s="105" t="s">
        <v>1870</v>
      </c>
      <c r="AO106" s="105" t="s">
        <v>2082</v>
      </c>
      <c r="AU106" s="105" t="s">
        <v>3840</v>
      </c>
      <c r="AV106" s="105" t="s">
        <v>2505</v>
      </c>
      <c r="AX106" t="s">
        <v>3302</v>
      </c>
      <c r="BA106"/>
    </row>
    <row r="107" spans="34:53" ht="25.5" x14ac:dyDescent="0.25">
      <c r="AH107" s="105" t="s">
        <v>954</v>
      </c>
      <c r="AI107" s="105" t="s">
        <v>1066</v>
      </c>
      <c r="AM107" s="105" t="s">
        <v>1362</v>
      </c>
      <c r="AN107" s="105" t="s">
        <v>1871</v>
      </c>
      <c r="AO107" s="105" t="s">
        <v>2083</v>
      </c>
      <c r="AU107" s="105" t="s">
        <v>3841</v>
      </c>
      <c r="AV107" s="105" t="s">
        <v>2506</v>
      </c>
      <c r="AX107" t="s">
        <v>3303</v>
      </c>
      <c r="BA107"/>
    </row>
    <row r="108" spans="34:53" ht="25.5" x14ac:dyDescent="0.25">
      <c r="AH108" s="105" t="s">
        <v>955</v>
      </c>
      <c r="AI108" s="105" t="s">
        <v>1067</v>
      </c>
      <c r="AM108" s="105" t="s">
        <v>1363</v>
      </c>
      <c r="AN108" s="105" t="s">
        <v>1872</v>
      </c>
      <c r="AO108" s="105" t="s">
        <v>2084</v>
      </c>
      <c r="AU108" s="105" t="s">
        <v>3842</v>
      </c>
      <c r="AV108" s="105" t="s">
        <v>2507</v>
      </c>
      <c r="AX108" t="s">
        <v>3304</v>
      </c>
      <c r="BA108"/>
    </row>
    <row r="109" spans="34:53" ht="25.5" x14ac:dyDescent="0.25">
      <c r="AH109" s="105" t="s">
        <v>956</v>
      </c>
      <c r="AI109" s="105" t="s">
        <v>1068</v>
      </c>
      <c r="AM109" s="105" t="s">
        <v>1364</v>
      </c>
      <c r="AN109" s="105" t="s">
        <v>1873</v>
      </c>
      <c r="AO109" s="105" t="s">
        <v>2085</v>
      </c>
      <c r="AU109" s="105" t="s">
        <v>3843</v>
      </c>
      <c r="AV109" s="105" t="s">
        <v>2508</v>
      </c>
      <c r="AX109" t="s">
        <v>3305</v>
      </c>
      <c r="BA109"/>
    </row>
    <row r="110" spans="34:53" ht="25.5" x14ac:dyDescent="0.25">
      <c r="AH110" s="105" t="s">
        <v>957</v>
      </c>
      <c r="AI110" s="105" t="s">
        <v>1069</v>
      </c>
      <c r="AM110" s="105" t="s">
        <v>1365</v>
      </c>
      <c r="AN110" s="105" t="s">
        <v>1874</v>
      </c>
      <c r="AO110" s="105" t="s">
        <v>2086</v>
      </c>
      <c r="AU110" s="105" t="s">
        <v>3844</v>
      </c>
      <c r="AV110" s="105" t="s">
        <v>2509</v>
      </c>
      <c r="AX110" t="s">
        <v>3306</v>
      </c>
      <c r="BA110"/>
    </row>
    <row r="111" spans="34:53" ht="25.5" x14ac:dyDescent="0.25">
      <c r="AH111" s="105" t="s">
        <v>958</v>
      </c>
      <c r="AI111" s="105" t="s">
        <v>1070</v>
      </c>
      <c r="AM111" s="105" t="s">
        <v>1366</v>
      </c>
      <c r="AN111" s="105" t="s">
        <v>1875</v>
      </c>
      <c r="AO111" s="105" t="s">
        <v>2087</v>
      </c>
      <c r="AU111" s="105" t="s">
        <v>3845</v>
      </c>
      <c r="AV111" s="105" t="s">
        <v>2510</v>
      </c>
      <c r="AX111" t="s">
        <v>3307</v>
      </c>
      <c r="BA111"/>
    </row>
    <row r="112" spans="34:53" ht="25.5" x14ac:dyDescent="0.25">
      <c r="AH112" s="105" t="s">
        <v>959</v>
      </c>
      <c r="AI112" s="105" t="s">
        <v>1071</v>
      </c>
      <c r="AM112" s="105" t="s">
        <v>1427</v>
      </c>
      <c r="AN112" s="105" t="s">
        <v>1876</v>
      </c>
      <c r="AO112" s="105" t="s">
        <v>2088</v>
      </c>
      <c r="AU112" s="105" t="s">
        <v>3846</v>
      </c>
      <c r="AV112" s="105" t="s">
        <v>2567</v>
      </c>
      <c r="AX112" t="s">
        <v>3684</v>
      </c>
      <c r="BA112"/>
    </row>
    <row r="113" spans="34:53" ht="25.5" x14ac:dyDescent="0.25">
      <c r="AH113" s="105" t="s">
        <v>960</v>
      </c>
      <c r="AI113" s="105" t="s">
        <v>1072</v>
      </c>
      <c r="AM113" s="105" t="s">
        <v>1367</v>
      </c>
      <c r="AN113" s="105" t="s">
        <v>1877</v>
      </c>
      <c r="AO113" s="105" t="s">
        <v>2089</v>
      </c>
      <c r="AU113" s="105" t="s">
        <v>3847</v>
      </c>
      <c r="AV113" s="105" t="s">
        <v>2511</v>
      </c>
      <c r="AX113" t="s">
        <v>3308</v>
      </c>
      <c r="BA113"/>
    </row>
    <row r="114" spans="34:53" ht="25.5" x14ac:dyDescent="0.25">
      <c r="AI114" s="105" t="s">
        <v>1073</v>
      </c>
      <c r="AM114" s="105" t="s">
        <v>1368</v>
      </c>
      <c r="AN114" s="105" t="s">
        <v>1878</v>
      </c>
      <c r="AO114" s="105" t="s">
        <v>2090</v>
      </c>
      <c r="AU114" s="105" t="s">
        <v>3848</v>
      </c>
      <c r="AV114" s="105" t="s">
        <v>2512</v>
      </c>
      <c r="AX114" t="s">
        <v>3309</v>
      </c>
      <c r="BA114"/>
    </row>
    <row r="115" spans="34:53" ht="25.5" x14ac:dyDescent="0.25">
      <c r="AI115" s="105" t="s">
        <v>1074</v>
      </c>
      <c r="AM115" s="105" t="s">
        <v>1369</v>
      </c>
      <c r="AN115" s="105" t="s">
        <v>1879</v>
      </c>
      <c r="AO115" s="105" t="s">
        <v>2091</v>
      </c>
      <c r="AU115" s="105" t="s">
        <v>3849</v>
      </c>
      <c r="AV115" s="105" t="s">
        <v>2513</v>
      </c>
      <c r="AX115" t="s">
        <v>3310</v>
      </c>
      <c r="BA115"/>
    </row>
    <row r="116" spans="34:53" ht="25.5" x14ac:dyDescent="0.25">
      <c r="AI116" s="105" t="s">
        <v>1075</v>
      </c>
      <c r="AM116" s="105" t="s">
        <v>1370</v>
      </c>
      <c r="AN116" s="105" t="s">
        <v>1880</v>
      </c>
      <c r="AO116" s="105" t="s">
        <v>2092</v>
      </c>
      <c r="AU116" s="105" t="s">
        <v>3850</v>
      </c>
      <c r="AV116" s="105" t="s">
        <v>2514</v>
      </c>
      <c r="AX116" t="s">
        <v>3311</v>
      </c>
      <c r="BA116"/>
    </row>
    <row r="117" spans="34:53" ht="25.5" x14ac:dyDescent="0.25">
      <c r="AI117" s="105" t="s">
        <v>1076</v>
      </c>
      <c r="AM117" s="105" t="s">
        <v>1371</v>
      </c>
      <c r="AN117" s="105" t="s">
        <v>1881</v>
      </c>
      <c r="AO117" s="105" t="s">
        <v>2093</v>
      </c>
      <c r="AU117" s="105" t="s">
        <v>3851</v>
      </c>
      <c r="AV117" s="105" t="s">
        <v>2515</v>
      </c>
      <c r="AX117" t="s">
        <v>3312</v>
      </c>
      <c r="BA117"/>
    </row>
    <row r="118" spans="34:53" ht="25.5" x14ac:dyDescent="0.25">
      <c r="AI118" s="105" t="s">
        <v>1077</v>
      </c>
      <c r="AM118" s="105" t="s">
        <v>1372</v>
      </c>
      <c r="AN118" s="105" t="s">
        <v>1882</v>
      </c>
      <c r="AO118" s="105" t="s">
        <v>2094</v>
      </c>
      <c r="AU118" s="105" t="s">
        <v>3852</v>
      </c>
      <c r="AV118" s="105" t="s">
        <v>2516</v>
      </c>
      <c r="AX118" t="s">
        <v>3313</v>
      </c>
      <c r="BA118"/>
    </row>
    <row r="119" spans="34:53" ht="25.5" x14ac:dyDescent="0.25">
      <c r="AI119" s="105" t="s">
        <v>1078</v>
      </c>
      <c r="AM119" s="105" t="s">
        <v>1373</v>
      </c>
      <c r="AN119" s="105" t="s">
        <v>1883</v>
      </c>
      <c r="AO119" s="105" t="s">
        <v>2095</v>
      </c>
      <c r="AU119" s="105" t="s">
        <v>3853</v>
      </c>
      <c r="AV119" s="105" t="s">
        <v>2517</v>
      </c>
      <c r="AX119" t="s">
        <v>3314</v>
      </c>
      <c r="BA119"/>
    </row>
    <row r="120" spans="34:53" ht="25.5" x14ac:dyDescent="0.25">
      <c r="AI120" s="105" t="s">
        <v>1079</v>
      </c>
      <c r="AM120" s="105" t="s">
        <v>1374</v>
      </c>
      <c r="AN120" s="105" t="s">
        <v>1884</v>
      </c>
      <c r="AO120" s="105" t="s">
        <v>2096</v>
      </c>
      <c r="AU120" s="105" t="s">
        <v>3854</v>
      </c>
      <c r="AV120" s="105" t="s">
        <v>2518</v>
      </c>
      <c r="AX120" t="s">
        <v>3315</v>
      </c>
      <c r="BA120"/>
    </row>
    <row r="121" spans="34:53" ht="25.5" x14ac:dyDescent="0.25">
      <c r="AI121" s="105" t="s">
        <v>1080</v>
      </c>
      <c r="AM121" s="105" t="s">
        <v>1375</v>
      </c>
      <c r="AN121" s="105" t="s">
        <v>1885</v>
      </c>
      <c r="AO121" s="105" t="s">
        <v>2097</v>
      </c>
      <c r="AU121" s="105" t="s">
        <v>3855</v>
      </c>
      <c r="AV121" s="105" t="s">
        <v>2519</v>
      </c>
      <c r="AX121" t="s">
        <v>3316</v>
      </c>
      <c r="BA121"/>
    </row>
    <row r="122" spans="34:53" ht="51" x14ac:dyDescent="0.25">
      <c r="AI122" s="105" t="s">
        <v>1081</v>
      </c>
      <c r="AM122" s="105" t="s">
        <v>1376</v>
      </c>
      <c r="AN122" s="105" t="s">
        <v>1886</v>
      </c>
      <c r="AO122" s="105" t="s">
        <v>2098</v>
      </c>
      <c r="AU122" s="105" t="s">
        <v>3856</v>
      </c>
      <c r="AV122" s="105" t="s">
        <v>2520</v>
      </c>
      <c r="AX122" t="s">
        <v>3317</v>
      </c>
      <c r="BA122"/>
    </row>
    <row r="123" spans="34:53" ht="38.25" x14ac:dyDescent="0.25">
      <c r="AI123" s="105" t="s">
        <v>1082</v>
      </c>
      <c r="AM123" s="105" t="s">
        <v>1377</v>
      </c>
      <c r="AN123" s="105" t="s">
        <v>1887</v>
      </c>
      <c r="AO123" s="105" t="s">
        <v>2099</v>
      </c>
      <c r="AU123" s="105" t="s">
        <v>3857</v>
      </c>
      <c r="AV123" s="105" t="s">
        <v>2521</v>
      </c>
      <c r="AX123" t="s">
        <v>3318</v>
      </c>
      <c r="BA123"/>
    </row>
    <row r="124" spans="34:53" ht="25.5" x14ac:dyDescent="0.25">
      <c r="AI124" s="105" t="s">
        <v>1083</v>
      </c>
      <c r="AM124" s="105" t="s">
        <v>1378</v>
      </c>
      <c r="AN124" s="105" t="s">
        <v>1888</v>
      </c>
      <c r="AO124" s="105" t="s">
        <v>2100</v>
      </c>
      <c r="AU124" s="105" t="s">
        <v>3858</v>
      </c>
      <c r="AV124" s="105" t="s">
        <v>2522</v>
      </c>
      <c r="AX124" t="s">
        <v>3319</v>
      </c>
      <c r="BA124"/>
    </row>
    <row r="125" spans="34:53" ht="25.5" x14ac:dyDescent="0.25">
      <c r="AI125" s="105" t="s">
        <v>1084</v>
      </c>
      <c r="AM125" s="105" t="s">
        <v>1379</v>
      </c>
      <c r="AN125" s="105" t="s">
        <v>1889</v>
      </c>
      <c r="AO125" s="105" t="s">
        <v>2101</v>
      </c>
      <c r="AU125" s="105" t="s">
        <v>3859</v>
      </c>
      <c r="AV125" s="105" t="s">
        <v>2523</v>
      </c>
      <c r="AX125" t="s">
        <v>3320</v>
      </c>
      <c r="BA125"/>
    </row>
    <row r="126" spans="34:53" ht="25.5" x14ac:dyDescent="0.25">
      <c r="AI126" s="105" t="s">
        <v>1085</v>
      </c>
      <c r="AM126" s="105" t="s">
        <v>1380</v>
      </c>
      <c r="AN126" s="105" t="s">
        <v>1890</v>
      </c>
      <c r="AO126" s="105" t="s">
        <v>2102</v>
      </c>
      <c r="AU126" s="105" t="s">
        <v>3860</v>
      </c>
      <c r="AV126" s="105" t="s">
        <v>2524</v>
      </c>
      <c r="AX126" t="s">
        <v>3321</v>
      </c>
      <c r="BA126"/>
    </row>
    <row r="127" spans="34:53" x14ac:dyDescent="0.25">
      <c r="AI127" s="105" t="s">
        <v>1086</v>
      </c>
      <c r="AM127" s="105" t="s">
        <v>1381</v>
      </c>
      <c r="AN127" s="105" t="s">
        <v>1891</v>
      </c>
      <c r="AO127" s="105" t="s">
        <v>2103</v>
      </c>
      <c r="AU127" s="105" t="s">
        <v>3861</v>
      </c>
      <c r="AV127" s="105" t="s">
        <v>2525</v>
      </c>
      <c r="AX127" t="s">
        <v>3322</v>
      </c>
      <c r="BA127"/>
    </row>
    <row r="128" spans="34:53" ht="25.5" x14ac:dyDescent="0.25">
      <c r="AI128" s="105" t="s">
        <v>1087</v>
      </c>
      <c r="AM128" s="105" t="s">
        <v>1382</v>
      </c>
      <c r="AN128" s="105" t="s">
        <v>1892</v>
      </c>
      <c r="AO128" s="105" t="s">
        <v>2104</v>
      </c>
      <c r="AU128" s="105" t="s">
        <v>3862</v>
      </c>
      <c r="AV128" s="105" t="s">
        <v>2526</v>
      </c>
      <c r="AX128" t="s">
        <v>3323</v>
      </c>
      <c r="BA128"/>
    </row>
    <row r="129" spans="35:53" ht="25.5" x14ac:dyDescent="0.25">
      <c r="AI129" s="105" t="s">
        <v>1088</v>
      </c>
      <c r="AM129" s="105" t="s">
        <v>1383</v>
      </c>
      <c r="AN129" s="105" t="s">
        <v>1893</v>
      </c>
      <c r="AO129" s="105" t="s">
        <v>2105</v>
      </c>
      <c r="AU129" s="105" t="s">
        <v>3863</v>
      </c>
      <c r="AV129" s="105" t="s">
        <v>2527</v>
      </c>
      <c r="AX129" t="s">
        <v>3324</v>
      </c>
      <c r="BA129"/>
    </row>
    <row r="130" spans="35:53" ht="25.5" x14ac:dyDescent="0.25">
      <c r="AI130" s="105" t="s">
        <v>1089</v>
      </c>
      <c r="AM130" s="105" t="s">
        <v>1384</v>
      </c>
      <c r="AN130" s="105" t="s">
        <v>1894</v>
      </c>
      <c r="AO130" s="105" t="s">
        <v>2106</v>
      </c>
      <c r="AU130" s="105" t="s">
        <v>3864</v>
      </c>
      <c r="AV130" s="105" t="s">
        <v>2528</v>
      </c>
      <c r="AX130" t="s">
        <v>3325</v>
      </c>
      <c r="BA130"/>
    </row>
    <row r="131" spans="35:53" ht="25.5" x14ac:dyDescent="0.25">
      <c r="AI131" s="105" t="s">
        <v>1090</v>
      </c>
      <c r="AM131" s="105" t="s">
        <v>1385</v>
      </c>
      <c r="AN131" s="105" t="s">
        <v>1895</v>
      </c>
      <c r="AO131" s="105" t="s">
        <v>2107</v>
      </c>
      <c r="AU131" s="105" t="s">
        <v>3865</v>
      </c>
      <c r="AV131" s="105" t="s">
        <v>2529</v>
      </c>
      <c r="AX131" t="s">
        <v>3326</v>
      </c>
      <c r="BA131"/>
    </row>
    <row r="132" spans="35:53" ht="25.5" x14ac:dyDescent="0.25">
      <c r="AI132" s="105" t="s">
        <v>1091</v>
      </c>
      <c r="AM132" s="105" t="s">
        <v>1386</v>
      </c>
      <c r="AN132" s="105" t="s">
        <v>1896</v>
      </c>
      <c r="AO132" s="105" t="s">
        <v>2108</v>
      </c>
      <c r="AU132" s="105" t="s">
        <v>3866</v>
      </c>
      <c r="AV132" s="105" t="s">
        <v>2530</v>
      </c>
      <c r="AX132" t="s">
        <v>3327</v>
      </c>
      <c r="BA132"/>
    </row>
    <row r="133" spans="35:53" ht="25.5" x14ac:dyDescent="0.25">
      <c r="AI133" s="105" t="s">
        <v>1092</v>
      </c>
      <c r="AM133" s="105" t="s">
        <v>1387</v>
      </c>
      <c r="AN133" s="105" t="s">
        <v>1897</v>
      </c>
      <c r="AO133" s="105" t="s">
        <v>2109</v>
      </c>
      <c r="AU133" s="105" t="s">
        <v>3867</v>
      </c>
      <c r="AV133" s="105" t="s">
        <v>2531</v>
      </c>
      <c r="AX133" t="s">
        <v>3328</v>
      </c>
      <c r="BA133"/>
    </row>
    <row r="134" spans="35:53" ht="25.5" x14ac:dyDescent="0.25">
      <c r="AI134" s="105" t="s">
        <v>1093</v>
      </c>
      <c r="AM134" s="105" t="s">
        <v>1388</v>
      </c>
      <c r="AN134" s="105" t="s">
        <v>1898</v>
      </c>
      <c r="AO134" s="105" t="s">
        <v>2110</v>
      </c>
      <c r="AU134" s="105" t="s">
        <v>3868</v>
      </c>
      <c r="AV134" s="105" t="s">
        <v>2532</v>
      </c>
      <c r="AX134" t="s">
        <v>3329</v>
      </c>
      <c r="BA134"/>
    </row>
    <row r="135" spans="35:53" ht="25.5" x14ac:dyDescent="0.25">
      <c r="AI135" s="105" t="s">
        <v>1094</v>
      </c>
      <c r="AM135" s="105" t="s">
        <v>1389</v>
      </c>
      <c r="AN135" s="105" t="s">
        <v>1899</v>
      </c>
      <c r="AO135" s="105" t="s">
        <v>2111</v>
      </c>
      <c r="AU135" s="105" t="s">
        <v>3869</v>
      </c>
      <c r="AV135" s="105" t="s">
        <v>1672</v>
      </c>
      <c r="AX135" t="s">
        <v>3330</v>
      </c>
      <c r="BA135"/>
    </row>
    <row r="136" spans="35:53" ht="25.5" x14ac:dyDescent="0.25">
      <c r="AI136" s="105" t="s">
        <v>1095</v>
      </c>
      <c r="AM136" s="105" t="s">
        <v>1390</v>
      </c>
      <c r="AN136" s="105" t="s">
        <v>1900</v>
      </c>
      <c r="AO136" s="105" t="s">
        <v>2112</v>
      </c>
      <c r="AU136" s="105" t="s">
        <v>3870</v>
      </c>
      <c r="AV136" s="105" t="s">
        <v>2533</v>
      </c>
      <c r="AX136" t="s">
        <v>3331</v>
      </c>
      <c r="BA136"/>
    </row>
    <row r="137" spans="35:53" ht="25.5" x14ac:dyDescent="0.25">
      <c r="AI137" s="105" t="s">
        <v>1096</v>
      </c>
      <c r="AM137" s="105" t="s">
        <v>1391</v>
      </c>
      <c r="AN137" s="105" t="s">
        <v>1901</v>
      </c>
      <c r="AO137" s="105" t="s">
        <v>2113</v>
      </c>
      <c r="AU137" s="105" t="s">
        <v>3871</v>
      </c>
      <c r="AV137" s="105" t="s">
        <v>1674</v>
      </c>
      <c r="AX137" t="s">
        <v>3332</v>
      </c>
      <c r="BA137"/>
    </row>
    <row r="138" spans="35:53" ht="25.5" x14ac:dyDescent="0.25">
      <c r="AI138" s="105" t="s">
        <v>1097</v>
      </c>
      <c r="AM138" s="105" t="s">
        <v>1392</v>
      </c>
      <c r="AN138" s="105" t="s">
        <v>1902</v>
      </c>
      <c r="AO138" s="105" t="s">
        <v>2114</v>
      </c>
      <c r="AU138" s="105" t="s">
        <v>3872</v>
      </c>
      <c r="AV138" s="105" t="s">
        <v>2534</v>
      </c>
      <c r="AX138" t="s">
        <v>3333</v>
      </c>
      <c r="BA138"/>
    </row>
    <row r="139" spans="35:53" ht="38.25" x14ac:dyDescent="0.25">
      <c r="AI139" s="105" t="s">
        <v>1098</v>
      </c>
      <c r="AM139" s="105" t="s">
        <v>1393</v>
      </c>
      <c r="AN139" s="105" t="s">
        <v>1903</v>
      </c>
      <c r="AO139" s="105" t="s">
        <v>2115</v>
      </c>
      <c r="AU139" s="105" t="s">
        <v>3873</v>
      </c>
      <c r="AV139" s="105" t="s">
        <v>2535</v>
      </c>
      <c r="AX139" t="s">
        <v>3334</v>
      </c>
      <c r="BA139"/>
    </row>
    <row r="140" spans="35:53" ht="25.5" x14ac:dyDescent="0.25">
      <c r="AI140" s="105" t="s">
        <v>1099</v>
      </c>
      <c r="AM140" s="105" t="s">
        <v>1394</v>
      </c>
      <c r="AN140" s="105" t="s">
        <v>1904</v>
      </c>
      <c r="AO140" s="105" t="s">
        <v>2116</v>
      </c>
      <c r="AU140" s="105" t="s">
        <v>3874</v>
      </c>
      <c r="AV140" s="105" t="s">
        <v>2536</v>
      </c>
      <c r="AX140" t="s">
        <v>3335</v>
      </c>
      <c r="BA140"/>
    </row>
    <row r="141" spans="35:53" ht="25.5" x14ac:dyDescent="0.25">
      <c r="AI141" s="105" t="s">
        <v>1100</v>
      </c>
      <c r="AM141" s="105" t="s">
        <v>1395</v>
      </c>
      <c r="AN141" s="105" t="s">
        <v>1905</v>
      </c>
      <c r="AO141" s="105" t="s">
        <v>2117</v>
      </c>
      <c r="AU141" s="105" t="s">
        <v>3875</v>
      </c>
      <c r="AV141" s="105" t="s">
        <v>2537</v>
      </c>
      <c r="AX141" t="s">
        <v>3336</v>
      </c>
      <c r="BA141"/>
    </row>
    <row r="142" spans="35:53" ht="25.5" x14ac:dyDescent="0.25">
      <c r="AI142" s="105" t="s">
        <v>1101</v>
      </c>
      <c r="AM142" s="105" t="s">
        <v>1396</v>
      </c>
      <c r="AN142" s="105" t="s">
        <v>1906</v>
      </c>
      <c r="AO142" s="105" t="s">
        <v>2118</v>
      </c>
      <c r="AU142" s="105" t="s">
        <v>3876</v>
      </c>
      <c r="AV142" s="105" t="s">
        <v>2538</v>
      </c>
      <c r="AX142" t="s">
        <v>3337</v>
      </c>
      <c r="BA142"/>
    </row>
    <row r="143" spans="35:53" ht="38.25" x14ac:dyDescent="0.25">
      <c r="AI143" s="105" t="s">
        <v>1102</v>
      </c>
      <c r="AM143" s="105" t="s">
        <v>1397</v>
      </c>
      <c r="AN143" s="105" t="s">
        <v>1907</v>
      </c>
      <c r="AO143" s="105" t="s">
        <v>2119</v>
      </c>
      <c r="AU143" s="105" t="s">
        <v>3877</v>
      </c>
      <c r="AV143" s="105" t="s">
        <v>2539</v>
      </c>
      <c r="AX143" t="s">
        <v>3338</v>
      </c>
      <c r="BA143"/>
    </row>
    <row r="144" spans="35:53" ht="25.5" x14ac:dyDescent="0.25">
      <c r="AI144" s="105" t="s">
        <v>1103</v>
      </c>
      <c r="AM144" s="105" t="s">
        <v>1398</v>
      </c>
      <c r="AN144" s="105" t="s">
        <v>1908</v>
      </c>
      <c r="AO144" s="105" t="s">
        <v>2120</v>
      </c>
      <c r="AU144" s="105" t="s">
        <v>3878</v>
      </c>
      <c r="AV144" s="105" t="s">
        <v>2540</v>
      </c>
      <c r="AX144" t="s">
        <v>3339</v>
      </c>
      <c r="BA144"/>
    </row>
    <row r="145" spans="35:53" ht="38.25" x14ac:dyDescent="0.25">
      <c r="AI145" s="105" t="s">
        <v>1104</v>
      </c>
      <c r="AM145" s="105" t="s">
        <v>1399</v>
      </c>
      <c r="AN145" s="105" t="s">
        <v>1909</v>
      </c>
      <c r="AO145" s="105" t="s">
        <v>2121</v>
      </c>
      <c r="AU145" s="105" t="s">
        <v>3879</v>
      </c>
      <c r="AV145" s="105" t="s">
        <v>2541</v>
      </c>
      <c r="AX145" t="s">
        <v>3340</v>
      </c>
      <c r="BA145"/>
    </row>
    <row r="146" spans="35:53" ht="25.5" x14ac:dyDescent="0.25">
      <c r="AI146" s="105" t="s">
        <v>1105</v>
      </c>
      <c r="AM146" s="105" t="s">
        <v>1400</v>
      </c>
      <c r="AN146" s="105" t="s">
        <v>1910</v>
      </c>
      <c r="AO146" s="105" t="s">
        <v>2122</v>
      </c>
      <c r="AU146" s="105" t="s">
        <v>3880</v>
      </c>
      <c r="AV146" s="105" t="s">
        <v>2542</v>
      </c>
      <c r="AX146" t="s">
        <v>3341</v>
      </c>
      <c r="BA146"/>
    </row>
    <row r="147" spans="35:53" ht="25.5" x14ac:dyDescent="0.25">
      <c r="AI147" s="105" t="s">
        <v>1106</v>
      </c>
      <c r="AM147" s="105" t="s">
        <v>1401</v>
      </c>
      <c r="AN147" s="105" t="s">
        <v>1911</v>
      </c>
      <c r="AO147" s="105" t="s">
        <v>2123</v>
      </c>
      <c r="AU147" s="105" t="s">
        <v>3881</v>
      </c>
      <c r="AV147" s="105" t="s">
        <v>2543</v>
      </c>
      <c r="AX147" t="s">
        <v>3342</v>
      </c>
      <c r="BA147"/>
    </row>
    <row r="148" spans="35:53" ht="38.25" x14ac:dyDescent="0.25">
      <c r="AI148" s="105" t="s">
        <v>1107</v>
      </c>
      <c r="AM148" s="105" t="s">
        <v>1402</v>
      </c>
      <c r="AN148" s="105" t="s">
        <v>1912</v>
      </c>
      <c r="AO148" s="105" t="s">
        <v>2124</v>
      </c>
      <c r="AU148" s="105" t="s">
        <v>3882</v>
      </c>
      <c r="AV148" s="105" t="s">
        <v>2544</v>
      </c>
      <c r="AX148" t="s">
        <v>3343</v>
      </c>
      <c r="BA148"/>
    </row>
    <row r="149" spans="35:53" ht="25.5" x14ac:dyDescent="0.25">
      <c r="AI149" s="105" t="s">
        <v>1108</v>
      </c>
      <c r="AM149" s="105" t="s">
        <v>1403</v>
      </c>
      <c r="AN149" s="105" t="s">
        <v>1913</v>
      </c>
      <c r="AO149" s="105" t="s">
        <v>2125</v>
      </c>
      <c r="AU149" s="105" t="s">
        <v>3883</v>
      </c>
      <c r="AV149" s="105" t="s">
        <v>2545</v>
      </c>
      <c r="AX149" t="s">
        <v>3344</v>
      </c>
      <c r="BA149"/>
    </row>
    <row r="150" spans="35:53" ht="38.25" x14ac:dyDescent="0.25">
      <c r="AI150" s="105" t="s">
        <v>1109</v>
      </c>
      <c r="AM150" s="105" t="s">
        <v>1404</v>
      </c>
      <c r="AN150" s="105" t="s">
        <v>1914</v>
      </c>
      <c r="AO150" s="105" t="s">
        <v>2126</v>
      </c>
      <c r="AU150" s="105" t="s">
        <v>3884</v>
      </c>
      <c r="AV150" s="105" t="s">
        <v>2546</v>
      </c>
      <c r="AX150" t="s">
        <v>3345</v>
      </c>
      <c r="BA150"/>
    </row>
    <row r="151" spans="35:53" ht="38.25" x14ac:dyDescent="0.25">
      <c r="AI151" s="105" t="s">
        <v>1110</v>
      </c>
      <c r="AM151" s="105" t="s">
        <v>1428</v>
      </c>
      <c r="AN151" s="105" t="s">
        <v>1915</v>
      </c>
      <c r="AO151" s="105" t="s">
        <v>2127</v>
      </c>
      <c r="AU151" s="105" t="s">
        <v>3885</v>
      </c>
      <c r="AV151" s="105" t="s">
        <v>2568</v>
      </c>
      <c r="AX151" t="s">
        <v>3685</v>
      </c>
      <c r="BA151"/>
    </row>
    <row r="152" spans="35:53" ht="25.5" x14ac:dyDescent="0.25">
      <c r="AI152" s="105" t="s">
        <v>1111</v>
      </c>
      <c r="AM152" s="105" t="s">
        <v>1405</v>
      </c>
      <c r="AN152" s="105" t="s">
        <v>1916</v>
      </c>
      <c r="AO152" s="105" t="s">
        <v>2128</v>
      </c>
      <c r="AU152" s="105" t="s">
        <v>3886</v>
      </c>
      <c r="AV152" s="105" t="s">
        <v>2547</v>
      </c>
      <c r="AX152" t="s">
        <v>3346</v>
      </c>
      <c r="BA152"/>
    </row>
    <row r="153" spans="35:53" ht="38.25" x14ac:dyDescent="0.25">
      <c r="AI153" s="105" t="s">
        <v>1112</v>
      </c>
      <c r="AM153" s="105" t="s">
        <v>1406</v>
      </c>
      <c r="AN153" s="105" t="s">
        <v>1917</v>
      </c>
      <c r="AO153" s="105" t="s">
        <v>2129</v>
      </c>
      <c r="AU153" s="105" t="s">
        <v>3887</v>
      </c>
      <c r="AV153" s="105" t="s">
        <v>2548</v>
      </c>
      <c r="AX153" t="s">
        <v>3347</v>
      </c>
      <c r="BA153"/>
    </row>
    <row r="154" spans="35:53" ht="25.5" x14ac:dyDescent="0.25">
      <c r="AI154" s="105" t="s">
        <v>1113</v>
      </c>
      <c r="AM154" s="105" t="s">
        <v>1407</v>
      </c>
      <c r="AN154" s="105" t="s">
        <v>1918</v>
      </c>
      <c r="AO154" s="105" t="s">
        <v>2130</v>
      </c>
      <c r="AU154" s="105" t="s">
        <v>3888</v>
      </c>
      <c r="AV154" s="105" t="s">
        <v>2549</v>
      </c>
      <c r="AX154" t="s">
        <v>3348</v>
      </c>
      <c r="BA154"/>
    </row>
    <row r="155" spans="35:53" ht="25.5" x14ac:dyDescent="0.25">
      <c r="AI155" s="105" t="s">
        <v>1114</v>
      </c>
      <c r="AM155" s="105" t="s">
        <v>1408</v>
      </c>
      <c r="AN155" s="105" t="s">
        <v>1919</v>
      </c>
      <c r="AO155" s="105" t="s">
        <v>2131</v>
      </c>
      <c r="AU155" s="105" t="s">
        <v>3889</v>
      </c>
      <c r="AV155" s="105" t="s">
        <v>2550</v>
      </c>
      <c r="AX155" t="s">
        <v>3349</v>
      </c>
      <c r="BA155"/>
    </row>
    <row r="156" spans="35:53" x14ac:dyDescent="0.25">
      <c r="AI156" s="105" t="s">
        <v>1115</v>
      </c>
      <c r="AM156" s="105" t="s">
        <v>1409</v>
      </c>
      <c r="AN156" s="105" t="s">
        <v>1920</v>
      </c>
      <c r="AO156" s="105" t="s">
        <v>2132</v>
      </c>
      <c r="AU156" s="105" t="s">
        <v>3890</v>
      </c>
      <c r="AV156" s="105" t="s">
        <v>2551</v>
      </c>
      <c r="AX156" t="s">
        <v>3350</v>
      </c>
      <c r="BA156"/>
    </row>
    <row r="157" spans="35:53" ht="25.5" x14ac:dyDescent="0.25">
      <c r="AI157" s="105" t="s">
        <v>1116</v>
      </c>
      <c r="AM157" s="105" t="s">
        <v>1410</v>
      </c>
      <c r="AN157" s="105" t="s">
        <v>1921</v>
      </c>
      <c r="AO157" s="105" t="s">
        <v>2133</v>
      </c>
      <c r="AU157" s="105" t="s">
        <v>3891</v>
      </c>
      <c r="AV157" s="105" t="s">
        <v>2552</v>
      </c>
      <c r="AX157" t="s">
        <v>3351</v>
      </c>
      <c r="BA157"/>
    </row>
    <row r="158" spans="35:53" ht="38.25" x14ac:dyDescent="0.25">
      <c r="AI158" s="105" t="s">
        <v>1117</v>
      </c>
      <c r="AM158" s="105" t="s">
        <v>1411</v>
      </c>
      <c r="AN158" s="105" t="s">
        <v>1922</v>
      </c>
      <c r="AO158" s="105" t="s">
        <v>2134</v>
      </c>
      <c r="AU158" s="105" t="s">
        <v>3892</v>
      </c>
      <c r="AV158" s="105" t="s">
        <v>2553</v>
      </c>
      <c r="AX158" t="s">
        <v>3352</v>
      </c>
      <c r="BA158"/>
    </row>
    <row r="159" spans="35:53" ht="25.5" x14ac:dyDescent="0.25">
      <c r="AI159" s="105" t="s">
        <v>1118</v>
      </c>
      <c r="AM159" s="105" t="s">
        <v>1412</v>
      </c>
      <c r="AN159" s="105" t="s">
        <v>1923</v>
      </c>
      <c r="AO159" s="105" t="s">
        <v>2135</v>
      </c>
      <c r="AU159" s="105" t="s">
        <v>3893</v>
      </c>
      <c r="AV159" s="105" t="s">
        <v>2554</v>
      </c>
      <c r="AX159" t="s">
        <v>3353</v>
      </c>
      <c r="BA159"/>
    </row>
    <row r="160" spans="35:53" ht="25.5" x14ac:dyDescent="0.25">
      <c r="AI160" s="105" t="s">
        <v>1119</v>
      </c>
      <c r="AM160" s="105" t="s">
        <v>1413</v>
      </c>
      <c r="AN160" s="105" t="s">
        <v>1924</v>
      </c>
      <c r="AO160" s="105" t="s">
        <v>2136</v>
      </c>
      <c r="AU160" s="105" t="s">
        <v>3894</v>
      </c>
      <c r="AV160" s="105" t="s">
        <v>2555</v>
      </c>
      <c r="AX160" t="s">
        <v>3354</v>
      </c>
      <c r="BA160"/>
    </row>
    <row r="161" spans="35:53" ht="38.25" x14ac:dyDescent="0.25">
      <c r="AI161" s="105" t="s">
        <v>1120</v>
      </c>
      <c r="AM161" s="105" t="s">
        <v>1414</v>
      </c>
      <c r="AN161" s="105" t="s">
        <v>1925</v>
      </c>
      <c r="AO161" s="105" t="s">
        <v>2137</v>
      </c>
      <c r="AU161" s="105" t="s">
        <v>3895</v>
      </c>
      <c r="AV161" s="105" t="s">
        <v>2556</v>
      </c>
      <c r="AX161" t="s">
        <v>3355</v>
      </c>
      <c r="BA161"/>
    </row>
    <row r="162" spans="35:53" ht="25.5" x14ac:dyDescent="0.25">
      <c r="AI162" s="105" t="s">
        <v>1121</v>
      </c>
      <c r="AM162" s="105" t="s">
        <v>1415</v>
      </c>
      <c r="AN162" s="105" t="s">
        <v>1926</v>
      </c>
      <c r="AO162" s="105" t="s">
        <v>2138</v>
      </c>
      <c r="AU162" s="105" t="s">
        <v>3896</v>
      </c>
      <c r="AV162" s="105" t="s">
        <v>2557</v>
      </c>
      <c r="AX162" t="s">
        <v>3356</v>
      </c>
      <c r="BA162"/>
    </row>
    <row r="163" spans="35:53" ht="25.5" x14ac:dyDescent="0.25">
      <c r="AI163" s="105" t="s">
        <v>1122</v>
      </c>
      <c r="AM163" s="105" t="s">
        <v>1416</v>
      </c>
      <c r="AN163" s="105" t="s">
        <v>1927</v>
      </c>
      <c r="AO163" s="105" t="s">
        <v>2139</v>
      </c>
      <c r="AU163" s="105" t="s">
        <v>3897</v>
      </c>
      <c r="AV163" s="105" t="s">
        <v>2558</v>
      </c>
      <c r="AX163" t="s">
        <v>3357</v>
      </c>
      <c r="BA163"/>
    </row>
    <row r="164" spans="35:53" ht="25.5" x14ac:dyDescent="0.25">
      <c r="AI164" s="105" t="s">
        <v>1123</v>
      </c>
      <c r="AM164" s="105" t="s">
        <v>1417</v>
      </c>
      <c r="AN164" s="105" t="s">
        <v>1928</v>
      </c>
      <c r="AO164" s="105" t="s">
        <v>2140</v>
      </c>
      <c r="AU164" s="105" t="s">
        <v>3898</v>
      </c>
      <c r="AV164" s="105" t="s">
        <v>2559</v>
      </c>
      <c r="AX164" t="s">
        <v>3358</v>
      </c>
      <c r="BA164"/>
    </row>
    <row r="165" spans="35:53" ht="25.5" x14ac:dyDescent="0.25">
      <c r="AI165" s="105" t="s">
        <v>1124</v>
      </c>
      <c r="AM165" s="105" t="s">
        <v>1418</v>
      </c>
      <c r="AN165" s="105" t="s">
        <v>1929</v>
      </c>
      <c r="AO165" s="105" t="s">
        <v>2141</v>
      </c>
      <c r="AU165" s="105" t="s">
        <v>3899</v>
      </c>
      <c r="AV165" s="105" t="s">
        <v>2560</v>
      </c>
      <c r="AX165" t="s">
        <v>3359</v>
      </c>
      <c r="BA165"/>
    </row>
    <row r="166" spans="35:53" ht="38.25" x14ac:dyDescent="0.25">
      <c r="AI166" s="105" t="s">
        <v>1125</v>
      </c>
      <c r="AM166" s="105" t="s">
        <v>1450</v>
      </c>
      <c r="AN166" s="105" t="s">
        <v>1930</v>
      </c>
      <c r="AO166" s="105" t="s">
        <v>2142</v>
      </c>
      <c r="AU166" s="105" t="s">
        <v>3900</v>
      </c>
      <c r="AV166" s="105" t="s">
        <v>2588</v>
      </c>
      <c r="AX166" t="s">
        <v>3360</v>
      </c>
      <c r="BA166"/>
    </row>
    <row r="167" spans="35:53" ht="25.5" x14ac:dyDescent="0.25">
      <c r="AI167" s="105" t="s">
        <v>1126</v>
      </c>
      <c r="AM167" s="105" t="s">
        <v>1451</v>
      </c>
      <c r="AN167" s="105" t="s">
        <v>1931</v>
      </c>
      <c r="AO167" s="105" t="s">
        <v>2143</v>
      </c>
      <c r="AU167" s="105" t="s">
        <v>3901</v>
      </c>
      <c r="AV167" s="105" t="s">
        <v>2589</v>
      </c>
      <c r="AX167" t="s">
        <v>3361</v>
      </c>
      <c r="BA167"/>
    </row>
    <row r="168" spans="35:53" ht="38.25" x14ac:dyDescent="0.25">
      <c r="AI168" s="105" t="s">
        <v>1127</v>
      </c>
      <c r="AM168" s="105" t="s">
        <v>1452</v>
      </c>
      <c r="AN168" s="105" t="s">
        <v>1932</v>
      </c>
      <c r="AO168" s="105" t="s">
        <v>2144</v>
      </c>
      <c r="AU168" s="105" t="s">
        <v>3902</v>
      </c>
      <c r="AV168" s="105" t="s">
        <v>2590</v>
      </c>
      <c r="AX168" t="s">
        <v>3362</v>
      </c>
      <c r="BA168"/>
    </row>
    <row r="169" spans="35:53" ht="25.5" x14ac:dyDescent="0.25">
      <c r="AI169" s="105" t="s">
        <v>1128</v>
      </c>
      <c r="AM169" s="105" t="s">
        <v>1453</v>
      </c>
      <c r="AN169" s="105" t="s">
        <v>1933</v>
      </c>
      <c r="AO169" s="105" t="s">
        <v>2145</v>
      </c>
      <c r="AU169" s="105" t="s">
        <v>3903</v>
      </c>
      <c r="AV169" s="105" t="s">
        <v>2591</v>
      </c>
      <c r="AX169" t="s">
        <v>3363</v>
      </c>
      <c r="BA169"/>
    </row>
    <row r="170" spans="35:53" ht="25.5" x14ac:dyDescent="0.25">
      <c r="AI170" s="105" t="s">
        <v>1129</v>
      </c>
      <c r="AM170" s="105" t="s">
        <v>1454</v>
      </c>
      <c r="AN170" s="105" t="s">
        <v>1934</v>
      </c>
      <c r="AO170" s="105" t="s">
        <v>2146</v>
      </c>
      <c r="AU170" s="105" t="s">
        <v>3904</v>
      </c>
      <c r="AV170" s="105" t="s">
        <v>2592</v>
      </c>
      <c r="AX170" t="s">
        <v>3364</v>
      </c>
      <c r="BA170"/>
    </row>
    <row r="171" spans="35:53" ht="38.25" x14ac:dyDescent="0.25">
      <c r="AI171" s="105" t="s">
        <v>1130</v>
      </c>
      <c r="AM171" s="105" t="s">
        <v>1455</v>
      </c>
      <c r="AN171" s="105" t="s">
        <v>1935</v>
      </c>
      <c r="AO171" s="105" t="s">
        <v>2147</v>
      </c>
      <c r="AU171" s="105" t="s">
        <v>3905</v>
      </c>
      <c r="AV171" s="105" t="s">
        <v>2593</v>
      </c>
      <c r="AX171" t="s">
        <v>3365</v>
      </c>
      <c r="BA171"/>
    </row>
    <row r="172" spans="35:53" ht="38.25" x14ac:dyDescent="0.25">
      <c r="AI172" s="105" t="s">
        <v>1131</v>
      </c>
      <c r="AM172" s="105" t="s">
        <v>1456</v>
      </c>
      <c r="AN172" s="105" t="s">
        <v>1936</v>
      </c>
      <c r="AO172" s="105" t="s">
        <v>2148</v>
      </c>
      <c r="AU172" s="105" t="s">
        <v>3906</v>
      </c>
      <c r="AV172" s="105" t="s">
        <v>2594</v>
      </c>
      <c r="AX172" t="s">
        <v>3366</v>
      </c>
      <c r="BA172"/>
    </row>
    <row r="173" spans="35:53" ht="25.5" x14ac:dyDescent="0.25">
      <c r="AI173" s="105" t="s">
        <v>1132</v>
      </c>
      <c r="AM173" s="105" t="s">
        <v>1457</v>
      </c>
      <c r="AN173" s="105" t="s">
        <v>1937</v>
      </c>
      <c r="AO173" s="105" t="s">
        <v>2149</v>
      </c>
      <c r="AU173" s="105" t="s">
        <v>3907</v>
      </c>
      <c r="AV173" s="105" t="s">
        <v>1532</v>
      </c>
      <c r="AX173" t="s">
        <v>3367</v>
      </c>
      <c r="BA173"/>
    </row>
    <row r="174" spans="35:53" ht="38.25" x14ac:dyDescent="0.25">
      <c r="AI174" s="105" t="s">
        <v>1133</v>
      </c>
      <c r="AM174" s="105" t="s">
        <v>1458</v>
      </c>
      <c r="AN174" s="105" t="s">
        <v>1938</v>
      </c>
      <c r="AO174" s="105" t="s">
        <v>2150</v>
      </c>
      <c r="AU174" s="105" t="s">
        <v>3908</v>
      </c>
      <c r="AV174" s="105" t="s">
        <v>1533</v>
      </c>
      <c r="AX174" t="s">
        <v>3368</v>
      </c>
      <c r="BA174"/>
    </row>
    <row r="175" spans="35:53" ht="25.5" x14ac:dyDescent="0.25">
      <c r="AI175" s="105" t="s">
        <v>1134</v>
      </c>
      <c r="AM175" s="105" t="s">
        <v>1459</v>
      </c>
      <c r="AN175" s="105" t="s">
        <v>1939</v>
      </c>
      <c r="AO175" s="105" t="s">
        <v>2151</v>
      </c>
      <c r="AU175" s="105" t="s">
        <v>3909</v>
      </c>
      <c r="AV175" s="105" t="s">
        <v>1534</v>
      </c>
      <c r="AX175" t="s">
        <v>3369</v>
      </c>
      <c r="BA175"/>
    </row>
    <row r="176" spans="35:53" ht="38.25" x14ac:dyDescent="0.25">
      <c r="AI176" s="105" t="s">
        <v>1135</v>
      </c>
      <c r="AM176" s="105" t="s">
        <v>1460</v>
      </c>
      <c r="AN176" s="105" t="s">
        <v>1940</v>
      </c>
      <c r="AO176" s="105" t="s">
        <v>2152</v>
      </c>
      <c r="AU176" s="105" t="s">
        <v>3910</v>
      </c>
      <c r="AV176" s="105" t="s">
        <v>2595</v>
      </c>
      <c r="AX176" t="s">
        <v>3370</v>
      </c>
      <c r="BA176"/>
    </row>
    <row r="177" spans="35:53" ht="38.25" x14ac:dyDescent="0.25">
      <c r="AI177" s="105" t="s">
        <v>1136</v>
      </c>
      <c r="AM177" s="105" t="s">
        <v>1461</v>
      </c>
      <c r="AN177" s="105" t="s">
        <v>1941</v>
      </c>
      <c r="AO177" s="105" t="s">
        <v>2153</v>
      </c>
      <c r="AU177" s="105" t="s">
        <v>3911</v>
      </c>
      <c r="AV177" s="105" t="s">
        <v>2596</v>
      </c>
      <c r="AX177" t="s">
        <v>3371</v>
      </c>
      <c r="BA177"/>
    </row>
    <row r="178" spans="35:53" ht="25.5" x14ac:dyDescent="0.25">
      <c r="AI178" s="105" t="s">
        <v>1137</v>
      </c>
      <c r="AM178" s="105" t="s">
        <v>1462</v>
      </c>
      <c r="AN178" s="105" t="s">
        <v>1942</v>
      </c>
      <c r="AO178" s="105" t="s">
        <v>2154</v>
      </c>
      <c r="AU178" s="105" t="s">
        <v>3912</v>
      </c>
      <c r="AV178" s="105" t="s">
        <v>2597</v>
      </c>
      <c r="AX178" t="s">
        <v>3372</v>
      </c>
      <c r="BA178"/>
    </row>
    <row r="179" spans="35:53" ht="38.25" x14ac:dyDescent="0.25">
      <c r="AI179" s="105" t="s">
        <v>1138</v>
      </c>
      <c r="AM179" s="105" t="s">
        <v>1463</v>
      </c>
      <c r="AN179" s="105" t="s">
        <v>1943</v>
      </c>
      <c r="AO179" s="105" t="s">
        <v>2155</v>
      </c>
      <c r="AU179" s="105" t="s">
        <v>3913</v>
      </c>
      <c r="AV179" s="105" t="s">
        <v>2598</v>
      </c>
      <c r="AX179" t="s">
        <v>3373</v>
      </c>
      <c r="BA179"/>
    </row>
    <row r="180" spans="35:53" ht="38.25" x14ac:dyDescent="0.25">
      <c r="AI180" s="105" t="s">
        <v>1139</v>
      </c>
      <c r="AM180" s="105" t="s">
        <v>1464</v>
      </c>
      <c r="AN180" s="105" t="s">
        <v>1944</v>
      </c>
      <c r="AO180" s="105" t="s">
        <v>2156</v>
      </c>
      <c r="AU180" s="105" t="s">
        <v>3914</v>
      </c>
      <c r="AV180" s="105" t="s">
        <v>2599</v>
      </c>
      <c r="AX180" t="s">
        <v>3374</v>
      </c>
      <c r="BA180"/>
    </row>
    <row r="181" spans="35:53" ht="38.25" x14ac:dyDescent="0.25">
      <c r="AI181" s="105" t="s">
        <v>1140</v>
      </c>
      <c r="AM181" s="105" t="s">
        <v>1465</v>
      </c>
      <c r="AN181" s="105" t="s">
        <v>1945</v>
      </c>
      <c r="AO181" s="105" t="s">
        <v>2157</v>
      </c>
      <c r="AU181" s="105" t="s">
        <v>3915</v>
      </c>
      <c r="AV181" s="105" t="s">
        <v>2600</v>
      </c>
      <c r="AX181" t="s">
        <v>3375</v>
      </c>
      <c r="BA181"/>
    </row>
    <row r="182" spans="35:53" ht="38.25" x14ac:dyDescent="0.25">
      <c r="AI182" s="105" t="s">
        <v>1141</v>
      </c>
      <c r="AM182" s="105" t="s">
        <v>1466</v>
      </c>
      <c r="AN182" s="105" t="s">
        <v>1946</v>
      </c>
      <c r="AO182" s="105" t="s">
        <v>2158</v>
      </c>
      <c r="AU182" s="105" t="s">
        <v>3916</v>
      </c>
      <c r="AV182" s="105" t="s">
        <v>2601</v>
      </c>
      <c r="AX182" t="s">
        <v>3376</v>
      </c>
      <c r="BA182"/>
    </row>
    <row r="183" spans="35:53" ht="38.25" x14ac:dyDescent="0.25">
      <c r="AI183" s="105" t="s">
        <v>1142</v>
      </c>
      <c r="AM183" s="105" t="s">
        <v>1467</v>
      </c>
      <c r="AN183" s="105" t="s">
        <v>1947</v>
      </c>
      <c r="AO183" s="105" t="s">
        <v>2159</v>
      </c>
      <c r="AU183" s="105" t="s">
        <v>3917</v>
      </c>
      <c r="AV183" s="105" t="s">
        <v>2602</v>
      </c>
      <c r="AX183" t="s">
        <v>3377</v>
      </c>
      <c r="BA183"/>
    </row>
    <row r="184" spans="35:53" ht="38.25" x14ac:dyDescent="0.25">
      <c r="AI184" s="105" t="s">
        <v>1143</v>
      </c>
      <c r="AM184" s="105" t="s">
        <v>1468</v>
      </c>
      <c r="AN184" s="105" t="s">
        <v>1948</v>
      </c>
      <c r="AO184" s="105" t="s">
        <v>2160</v>
      </c>
      <c r="AU184" s="105" t="s">
        <v>3918</v>
      </c>
      <c r="AV184" s="105" t="s">
        <v>2603</v>
      </c>
      <c r="AX184" t="s">
        <v>3378</v>
      </c>
      <c r="BA184"/>
    </row>
    <row r="185" spans="35:53" ht="38.25" x14ac:dyDescent="0.25">
      <c r="AI185" s="105" t="s">
        <v>1144</v>
      </c>
      <c r="AM185" s="105" t="s">
        <v>1469</v>
      </c>
      <c r="AN185" s="105" t="s">
        <v>1949</v>
      </c>
      <c r="AO185" s="105" t="s">
        <v>2161</v>
      </c>
      <c r="AU185" s="105" t="s">
        <v>3919</v>
      </c>
      <c r="AV185" s="105" t="s">
        <v>2604</v>
      </c>
      <c r="AX185" t="s">
        <v>3379</v>
      </c>
      <c r="BA185"/>
    </row>
    <row r="186" spans="35:53" ht="38.25" x14ac:dyDescent="0.25">
      <c r="AI186" s="105" t="s">
        <v>1145</v>
      </c>
      <c r="AM186" s="105" t="s">
        <v>1470</v>
      </c>
      <c r="AN186" s="105" t="s">
        <v>1950</v>
      </c>
      <c r="AO186" s="105" t="s">
        <v>2162</v>
      </c>
      <c r="AU186" s="105" t="s">
        <v>3920</v>
      </c>
      <c r="AV186" s="105" t="s">
        <v>2605</v>
      </c>
      <c r="AX186" t="s">
        <v>3380</v>
      </c>
      <c r="BA186"/>
    </row>
    <row r="187" spans="35:53" ht="38.25" x14ac:dyDescent="0.25">
      <c r="AI187" s="105" t="s">
        <v>1146</v>
      </c>
      <c r="AM187" s="105" t="s">
        <v>1429</v>
      </c>
      <c r="AN187" s="105" t="s">
        <v>1951</v>
      </c>
      <c r="AO187" s="105" t="s">
        <v>2163</v>
      </c>
      <c r="AU187" s="105" t="s">
        <v>3921</v>
      </c>
      <c r="AV187" s="105" t="s">
        <v>2569</v>
      </c>
      <c r="AX187" t="s">
        <v>3686</v>
      </c>
      <c r="BA187"/>
    </row>
    <row r="188" spans="35:53" ht="38.25" x14ac:dyDescent="0.25">
      <c r="AI188" s="105" t="s">
        <v>1147</v>
      </c>
      <c r="AM188" s="105" t="s">
        <v>1471</v>
      </c>
      <c r="AN188" s="105" t="s">
        <v>1952</v>
      </c>
      <c r="AO188" s="105" t="s">
        <v>2164</v>
      </c>
      <c r="AU188" s="105" t="s">
        <v>3922</v>
      </c>
      <c r="AV188" s="105" t="s">
        <v>2606</v>
      </c>
      <c r="AX188" t="s">
        <v>3381</v>
      </c>
      <c r="BA188"/>
    </row>
    <row r="189" spans="35:53" ht="38.25" x14ac:dyDescent="0.25">
      <c r="AI189" s="105" t="s">
        <v>1148</v>
      </c>
      <c r="AM189" s="105" t="s">
        <v>1472</v>
      </c>
      <c r="AN189" s="105" t="s">
        <v>1953</v>
      </c>
      <c r="AO189" s="105" t="s">
        <v>2165</v>
      </c>
      <c r="AU189" s="105" t="s">
        <v>3923</v>
      </c>
      <c r="AV189" s="105" t="s">
        <v>2607</v>
      </c>
      <c r="AX189" t="s">
        <v>3382</v>
      </c>
      <c r="BA189"/>
    </row>
    <row r="190" spans="35:53" ht="38.25" x14ac:dyDescent="0.25">
      <c r="AI190" s="105" t="s">
        <v>1149</v>
      </c>
      <c r="AM190" s="105" t="s">
        <v>1473</v>
      </c>
      <c r="AN190" s="105" t="s">
        <v>1954</v>
      </c>
      <c r="AO190" s="105" t="s">
        <v>2166</v>
      </c>
      <c r="AU190" s="105" t="s">
        <v>3924</v>
      </c>
      <c r="AV190" s="105" t="s">
        <v>2608</v>
      </c>
      <c r="AX190" t="s">
        <v>3383</v>
      </c>
      <c r="BA190"/>
    </row>
    <row r="191" spans="35:53" ht="38.25" x14ac:dyDescent="0.25">
      <c r="AI191" s="105" t="s">
        <v>1150</v>
      </c>
      <c r="AM191" s="105" t="s">
        <v>1474</v>
      </c>
      <c r="AN191" s="105" t="s">
        <v>1955</v>
      </c>
      <c r="AO191" s="105" t="s">
        <v>2167</v>
      </c>
      <c r="AU191" s="105" t="s">
        <v>3925</v>
      </c>
      <c r="AV191" s="105" t="s">
        <v>2609</v>
      </c>
      <c r="AX191" t="s">
        <v>3384</v>
      </c>
      <c r="BA191"/>
    </row>
    <row r="192" spans="35:53" ht="38.25" x14ac:dyDescent="0.25">
      <c r="AI192" s="105" t="s">
        <v>1151</v>
      </c>
      <c r="AM192" s="105" t="s">
        <v>1475</v>
      </c>
      <c r="AN192" s="105" t="s">
        <v>1956</v>
      </c>
      <c r="AO192" s="105" t="s">
        <v>2168</v>
      </c>
      <c r="AU192" s="105" t="s">
        <v>3926</v>
      </c>
      <c r="AV192" s="105" t="s">
        <v>2610</v>
      </c>
      <c r="AX192" t="s">
        <v>3385</v>
      </c>
      <c r="BA192"/>
    </row>
    <row r="193" spans="35:53" ht="51" x14ac:dyDescent="0.25">
      <c r="AI193" s="105" t="s">
        <v>1152</v>
      </c>
      <c r="AM193" s="105" t="s">
        <v>1476</v>
      </c>
      <c r="AN193" s="105" t="s">
        <v>1957</v>
      </c>
      <c r="AO193" s="105" t="s">
        <v>2169</v>
      </c>
      <c r="AU193" s="105" t="s">
        <v>3927</v>
      </c>
      <c r="AV193" s="105" t="s">
        <v>2611</v>
      </c>
      <c r="AX193" t="s">
        <v>3386</v>
      </c>
      <c r="BA193"/>
    </row>
    <row r="194" spans="35:53" ht="38.25" x14ac:dyDescent="0.25">
      <c r="AI194" s="105" t="s">
        <v>1153</v>
      </c>
      <c r="AM194" s="105" t="s">
        <v>1477</v>
      </c>
      <c r="AN194" s="105" t="s">
        <v>1958</v>
      </c>
      <c r="AO194" s="105" t="s">
        <v>2170</v>
      </c>
      <c r="AU194" s="105" t="s">
        <v>3928</v>
      </c>
      <c r="AV194" s="105" t="s">
        <v>2612</v>
      </c>
      <c r="AX194" t="s">
        <v>3387</v>
      </c>
      <c r="BA194"/>
    </row>
    <row r="195" spans="35:53" ht="38.25" x14ac:dyDescent="0.25">
      <c r="AI195" s="105" t="s">
        <v>1154</v>
      </c>
      <c r="AM195" s="105" t="s">
        <v>1478</v>
      </c>
      <c r="AN195" s="105" t="s">
        <v>1959</v>
      </c>
      <c r="AO195" s="105" t="s">
        <v>2171</v>
      </c>
      <c r="AU195" s="105" t="s">
        <v>3929</v>
      </c>
      <c r="AV195" s="105" t="s">
        <v>2613</v>
      </c>
      <c r="AX195" t="s">
        <v>3388</v>
      </c>
      <c r="BA195"/>
    </row>
    <row r="196" spans="35:53" ht="25.5" x14ac:dyDescent="0.25">
      <c r="AI196" s="105" t="s">
        <v>1155</v>
      </c>
      <c r="AM196" s="105" t="s">
        <v>1479</v>
      </c>
      <c r="AN196" s="105" t="s">
        <v>1960</v>
      </c>
      <c r="AO196" s="105" t="s">
        <v>2172</v>
      </c>
      <c r="AU196" s="105" t="s">
        <v>3930</v>
      </c>
      <c r="AV196" s="105" t="s">
        <v>2614</v>
      </c>
      <c r="AX196" t="s">
        <v>3389</v>
      </c>
      <c r="BA196"/>
    </row>
    <row r="197" spans="35:53" ht="25.5" x14ac:dyDescent="0.25">
      <c r="AI197" s="105" t="s">
        <v>1156</v>
      </c>
      <c r="AM197" s="105" t="s">
        <v>1480</v>
      </c>
      <c r="AN197" s="105" t="s">
        <v>1961</v>
      </c>
      <c r="AO197" s="105" t="s">
        <v>2173</v>
      </c>
      <c r="AU197" s="105" t="s">
        <v>3931</v>
      </c>
      <c r="AV197" s="105" t="s">
        <v>2615</v>
      </c>
      <c r="AX197" t="s">
        <v>3390</v>
      </c>
      <c r="BA197"/>
    </row>
    <row r="198" spans="35:53" ht="38.25" x14ac:dyDescent="0.25">
      <c r="AI198" s="105" t="s">
        <v>1157</v>
      </c>
      <c r="AM198" s="105" t="s">
        <v>1481</v>
      </c>
      <c r="AN198" s="105" t="s">
        <v>1962</v>
      </c>
      <c r="AO198" s="105" t="s">
        <v>2174</v>
      </c>
      <c r="AU198" s="105" t="s">
        <v>3932</v>
      </c>
      <c r="AV198" s="105" t="s">
        <v>2616</v>
      </c>
      <c r="AX198" t="s">
        <v>3391</v>
      </c>
      <c r="BA198"/>
    </row>
    <row r="199" spans="35:53" ht="25.5" x14ac:dyDescent="0.25">
      <c r="AI199" s="105" t="s">
        <v>1158</v>
      </c>
      <c r="AM199" s="105" t="s">
        <v>1482</v>
      </c>
      <c r="AN199" s="105" t="s">
        <v>1963</v>
      </c>
      <c r="AO199" s="105" t="s">
        <v>2175</v>
      </c>
      <c r="AU199" s="105" t="s">
        <v>3933</v>
      </c>
      <c r="AV199" s="105" t="s">
        <v>2617</v>
      </c>
      <c r="AX199" t="s">
        <v>3392</v>
      </c>
      <c r="BA199"/>
    </row>
    <row r="200" spans="35:53" ht="25.5" x14ac:dyDescent="0.25">
      <c r="AI200" s="105" t="s">
        <v>1159</v>
      </c>
      <c r="AM200" s="105" t="s">
        <v>1483</v>
      </c>
      <c r="AN200" s="105" t="s">
        <v>1964</v>
      </c>
      <c r="AO200" s="105" t="s">
        <v>2176</v>
      </c>
      <c r="AU200" s="105" t="s">
        <v>3934</v>
      </c>
      <c r="AV200" s="105" t="s">
        <v>2618</v>
      </c>
      <c r="AX200" t="s">
        <v>3393</v>
      </c>
      <c r="BA200"/>
    </row>
    <row r="201" spans="35:53" ht="51" x14ac:dyDescent="0.25">
      <c r="AI201" s="105" t="s">
        <v>1160</v>
      </c>
      <c r="AM201" s="105" t="s">
        <v>1484</v>
      </c>
      <c r="AN201" s="105" t="s">
        <v>1965</v>
      </c>
      <c r="AO201" s="105" t="s">
        <v>2177</v>
      </c>
      <c r="AU201" s="105" t="s">
        <v>3935</v>
      </c>
      <c r="AV201" s="105" t="s">
        <v>2619</v>
      </c>
      <c r="AX201" t="s">
        <v>3394</v>
      </c>
      <c r="BA201"/>
    </row>
    <row r="202" spans="35:53" ht="25.5" x14ac:dyDescent="0.25">
      <c r="AI202" s="105" t="s">
        <v>1161</v>
      </c>
      <c r="AM202" s="105" t="s">
        <v>1485</v>
      </c>
      <c r="AN202" s="105" t="s">
        <v>1966</v>
      </c>
      <c r="AO202" s="105" t="s">
        <v>2178</v>
      </c>
      <c r="AU202" s="105" t="s">
        <v>3936</v>
      </c>
      <c r="AV202" s="105" t="s">
        <v>2620</v>
      </c>
      <c r="AX202" t="s">
        <v>3395</v>
      </c>
      <c r="BA202"/>
    </row>
    <row r="203" spans="35:53" ht="25.5" x14ac:dyDescent="0.25">
      <c r="AI203" s="105" t="s">
        <v>1162</v>
      </c>
      <c r="AM203" s="105" t="s">
        <v>1486</v>
      </c>
      <c r="AN203" s="105" t="s">
        <v>1967</v>
      </c>
      <c r="AO203" s="105" t="s">
        <v>2179</v>
      </c>
      <c r="AU203" s="105" t="s">
        <v>3937</v>
      </c>
      <c r="AV203" s="105" t="s">
        <v>2621</v>
      </c>
      <c r="AX203" t="s">
        <v>3396</v>
      </c>
      <c r="BA203"/>
    </row>
    <row r="204" spans="35:53" ht="25.5" x14ac:dyDescent="0.25">
      <c r="AI204" s="105" t="s">
        <v>1163</v>
      </c>
      <c r="AM204" s="105" t="s">
        <v>1487</v>
      </c>
      <c r="AN204" s="105" t="s">
        <v>1968</v>
      </c>
      <c r="AO204" s="105" t="s">
        <v>2180</v>
      </c>
      <c r="AU204" s="105" t="s">
        <v>3938</v>
      </c>
      <c r="AV204" s="105" t="s">
        <v>2622</v>
      </c>
      <c r="AX204" t="s">
        <v>3397</v>
      </c>
      <c r="BA204"/>
    </row>
    <row r="205" spans="35:53" ht="25.5" x14ac:dyDescent="0.25">
      <c r="AI205" s="105" t="s">
        <v>1164</v>
      </c>
      <c r="AM205" s="105" t="s">
        <v>1488</v>
      </c>
      <c r="AN205" s="105" t="s">
        <v>1969</v>
      </c>
      <c r="AO205" s="105" t="s">
        <v>2181</v>
      </c>
      <c r="AU205" s="105" t="s">
        <v>3939</v>
      </c>
      <c r="AV205" s="105" t="s">
        <v>2623</v>
      </c>
      <c r="AX205" t="s">
        <v>3398</v>
      </c>
      <c r="BA205"/>
    </row>
    <row r="206" spans="35:53" ht="38.25" x14ac:dyDescent="0.25">
      <c r="AI206" s="105" t="s">
        <v>1165</v>
      </c>
      <c r="AM206" s="105" t="s">
        <v>1489</v>
      </c>
      <c r="AN206" s="105" t="s">
        <v>1970</v>
      </c>
      <c r="AO206" s="105" t="s">
        <v>2182</v>
      </c>
      <c r="AU206" s="105" t="s">
        <v>3940</v>
      </c>
      <c r="AV206" s="105" t="s">
        <v>2624</v>
      </c>
      <c r="AX206" t="s">
        <v>3399</v>
      </c>
      <c r="BA206"/>
    </row>
    <row r="207" spans="35:53" ht="25.5" x14ac:dyDescent="0.25">
      <c r="AI207" s="105" t="s">
        <v>1166</v>
      </c>
      <c r="AM207" s="105" t="s">
        <v>1490</v>
      </c>
      <c r="AN207" s="105" t="s">
        <v>1971</v>
      </c>
      <c r="AO207" s="105" t="s">
        <v>2183</v>
      </c>
      <c r="AU207" s="105" t="s">
        <v>3941</v>
      </c>
      <c r="AV207" s="105" t="s">
        <v>2625</v>
      </c>
      <c r="AX207" t="s">
        <v>3400</v>
      </c>
      <c r="BA207"/>
    </row>
    <row r="208" spans="35:53" ht="38.25" x14ac:dyDescent="0.25">
      <c r="AI208" s="105" t="s">
        <v>1167</v>
      </c>
      <c r="AM208" s="105" t="s">
        <v>1491</v>
      </c>
      <c r="AN208" s="105" t="s">
        <v>1972</v>
      </c>
      <c r="AO208" s="105" t="s">
        <v>2184</v>
      </c>
      <c r="AU208" s="105" t="s">
        <v>3942</v>
      </c>
      <c r="AV208" s="105" t="s">
        <v>2626</v>
      </c>
      <c r="AX208" t="s">
        <v>3401</v>
      </c>
      <c r="BA208"/>
    </row>
    <row r="209" spans="35:53" ht="38.25" x14ac:dyDescent="0.25">
      <c r="AI209" s="105" t="s">
        <v>1168</v>
      </c>
      <c r="AM209" s="105" t="s">
        <v>1492</v>
      </c>
      <c r="AN209" s="105" t="s">
        <v>1973</v>
      </c>
      <c r="AO209" s="105" t="s">
        <v>2185</v>
      </c>
      <c r="AU209" s="105" t="s">
        <v>3943</v>
      </c>
      <c r="AV209" s="105" t="s">
        <v>2627</v>
      </c>
      <c r="AX209" t="s">
        <v>3402</v>
      </c>
      <c r="BA209"/>
    </row>
    <row r="210" spans="35:53" ht="38.25" x14ac:dyDescent="0.25">
      <c r="AI210" s="105" t="s">
        <v>1169</v>
      </c>
      <c r="AM210" s="105" t="s">
        <v>1493</v>
      </c>
      <c r="AN210" s="105" t="s">
        <v>1974</v>
      </c>
      <c r="AO210" s="105" t="s">
        <v>2186</v>
      </c>
      <c r="AU210" s="105" t="s">
        <v>3944</v>
      </c>
      <c r="AV210" s="105" t="s">
        <v>2628</v>
      </c>
      <c r="AX210" t="s">
        <v>3403</v>
      </c>
      <c r="BA210"/>
    </row>
    <row r="211" spans="35:53" ht="25.5" x14ac:dyDescent="0.25">
      <c r="AI211" s="105" t="s">
        <v>1170</v>
      </c>
      <c r="AM211" s="105" t="s">
        <v>1494</v>
      </c>
      <c r="AN211" s="105" t="s">
        <v>1975</v>
      </c>
      <c r="AO211" s="105" t="s">
        <v>2187</v>
      </c>
      <c r="AU211" s="105" t="s">
        <v>3945</v>
      </c>
      <c r="AV211" s="105" t="s">
        <v>2629</v>
      </c>
      <c r="AX211" t="s">
        <v>3404</v>
      </c>
      <c r="BA211"/>
    </row>
    <row r="212" spans="35:53" ht="25.5" x14ac:dyDescent="0.25">
      <c r="AI212" s="105" t="s">
        <v>1171</v>
      </c>
      <c r="AM212" s="105" t="s">
        <v>1495</v>
      </c>
      <c r="AN212" s="105" t="s">
        <v>1976</v>
      </c>
      <c r="AO212" s="105" t="s">
        <v>2188</v>
      </c>
      <c r="AU212" s="105" t="s">
        <v>3946</v>
      </c>
      <c r="AV212" s="105" t="s">
        <v>2630</v>
      </c>
      <c r="AX212" t="s">
        <v>3405</v>
      </c>
      <c r="BA212"/>
    </row>
    <row r="213" spans="35:53" ht="25.5" x14ac:dyDescent="0.25">
      <c r="AI213" s="105" t="s">
        <v>1172</v>
      </c>
      <c r="AM213" s="105" t="s">
        <v>1496</v>
      </c>
      <c r="AO213" s="105" t="s">
        <v>2189</v>
      </c>
      <c r="AU213" s="105" t="s">
        <v>3947</v>
      </c>
      <c r="AV213" s="105" t="s">
        <v>2631</v>
      </c>
      <c r="AX213" t="s">
        <v>3406</v>
      </c>
      <c r="BA213"/>
    </row>
    <row r="214" spans="35:53" x14ac:dyDescent="0.25">
      <c r="AI214" s="105" t="s">
        <v>1173</v>
      </c>
      <c r="AM214" s="105" t="s">
        <v>1497</v>
      </c>
      <c r="AO214" s="105" t="s">
        <v>2190</v>
      </c>
      <c r="AU214" s="105" t="s">
        <v>3948</v>
      </c>
      <c r="AV214" s="105" t="s">
        <v>2632</v>
      </c>
      <c r="AX214" t="s">
        <v>3407</v>
      </c>
      <c r="BA214"/>
    </row>
    <row r="215" spans="35:53" ht="25.5" x14ac:dyDescent="0.25">
      <c r="AI215" s="105" t="s">
        <v>1174</v>
      </c>
      <c r="AM215" s="105" t="s">
        <v>1498</v>
      </c>
      <c r="AO215" s="105" t="s">
        <v>2191</v>
      </c>
      <c r="AU215" s="105" t="s">
        <v>3949</v>
      </c>
      <c r="AV215" s="105" t="s">
        <v>2633</v>
      </c>
      <c r="AX215" t="s">
        <v>3408</v>
      </c>
      <c r="BA215"/>
    </row>
    <row r="216" spans="35:53" x14ac:dyDescent="0.25">
      <c r="AI216" s="105" t="s">
        <v>1175</v>
      </c>
      <c r="AM216" s="105" t="s">
        <v>1499</v>
      </c>
      <c r="AO216" s="105" t="s">
        <v>2192</v>
      </c>
      <c r="AU216" s="105" t="s">
        <v>3950</v>
      </c>
      <c r="AV216" s="105" t="s">
        <v>2634</v>
      </c>
      <c r="AX216" t="s">
        <v>3409</v>
      </c>
      <c r="BA216"/>
    </row>
    <row r="217" spans="35:53" ht="38.25" x14ac:dyDescent="0.25">
      <c r="AI217" s="105" t="s">
        <v>1176</v>
      </c>
      <c r="AM217" s="105" t="s">
        <v>1500</v>
      </c>
      <c r="AO217" s="105" t="s">
        <v>2193</v>
      </c>
      <c r="AU217" s="105" t="s">
        <v>3951</v>
      </c>
      <c r="AV217" s="105" t="s">
        <v>2635</v>
      </c>
      <c r="AX217" t="s">
        <v>3410</v>
      </c>
      <c r="BA217"/>
    </row>
    <row r="218" spans="35:53" ht="38.25" x14ac:dyDescent="0.25">
      <c r="AI218" s="105" t="s">
        <v>1177</v>
      </c>
      <c r="AM218" s="105" t="s">
        <v>1501</v>
      </c>
      <c r="AO218" s="105" t="s">
        <v>2194</v>
      </c>
      <c r="AU218" s="105" t="s">
        <v>3952</v>
      </c>
      <c r="AV218" s="105" t="s">
        <v>2636</v>
      </c>
      <c r="AX218" t="s">
        <v>3411</v>
      </c>
      <c r="BA218"/>
    </row>
    <row r="219" spans="35:53" ht="38.25" x14ac:dyDescent="0.25">
      <c r="AI219" s="105" t="s">
        <v>1178</v>
      </c>
      <c r="AM219" s="105" t="s">
        <v>1502</v>
      </c>
      <c r="AO219" s="105" t="s">
        <v>2195</v>
      </c>
      <c r="AU219" s="105" t="s">
        <v>3953</v>
      </c>
      <c r="AV219" s="105" t="s">
        <v>2637</v>
      </c>
      <c r="AX219" t="s">
        <v>3412</v>
      </c>
      <c r="BA219"/>
    </row>
    <row r="220" spans="35:53" ht="25.5" x14ac:dyDescent="0.25">
      <c r="AI220" s="105" t="s">
        <v>1179</v>
      </c>
      <c r="AM220" s="105" t="s">
        <v>1430</v>
      </c>
      <c r="AO220" s="105" t="s">
        <v>2196</v>
      </c>
      <c r="AU220" s="105" t="s">
        <v>3954</v>
      </c>
      <c r="AV220" s="105" t="s">
        <v>2570</v>
      </c>
      <c r="AX220" t="s">
        <v>3687</v>
      </c>
      <c r="BA220"/>
    </row>
    <row r="221" spans="35:53" ht="25.5" x14ac:dyDescent="0.25">
      <c r="AI221" s="105" t="s">
        <v>1180</v>
      </c>
      <c r="AM221" s="105" t="s">
        <v>1431</v>
      </c>
      <c r="AO221" s="105" t="s">
        <v>2197</v>
      </c>
      <c r="AU221" s="105" t="s">
        <v>3955</v>
      </c>
      <c r="AV221" s="105" t="s">
        <v>2571</v>
      </c>
      <c r="AX221" t="s">
        <v>3688</v>
      </c>
      <c r="BA221"/>
    </row>
    <row r="222" spans="35:53" ht="25.5" x14ac:dyDescent="0.25">
      <c r="AI222" s="105" t="s">
        <v>1181</v>
      </c>
      <c r="AM222" s="105" t="s">
        <v>1503</v>
      </c>
      <c r="AO222" s="105" t="s">
        <v>2198</v>
      </c>
      <c r="AU222" s="105" t="s">
        <v>3956</v>
      </c>
      <c r="AV222" s="105" t="s">
        <v>2638</v>
      </c>
      <c r="AX222" t="s">
        <v>3413</v>
      </c>
      <c r="BA222"/>
    </row>
    <row r="223" spans="35:53" ht="25.5" x14ac:dyDescent="0.25">
      <c r="AI223" s="105" t="s">
        <v>1182</v>
      </c>
      <c r="AM223" s="105" t="s">
        <v>1504</v>
      </c>
      <c r="AO223" s="105" t="s">
        <v>2199</v>
      </c>
      <c r="AU223" s="105" t="s">
        <v>3957</v>
      </c>
      <c r="AV223" s="105" t="s">
        <v>2639</v>
      </c>
      <c r="AX223" t="s">
        <v>3414</v>
      </c>
      <c r="BA223"/>
    </row>
    <row r="224" spans="35:53" ht="25.5" x14ac:dyDescent="0.25">
      <c r="AI224" s="105" t="s">
        <v>1183</v>
      </c>
      <c r="AM224" s="105" t="s">
        <v>1505</v>
      </c>
      <c r="AO224" s="105" t="s">
        <v>2200</v>
      </c>
      <c r="AU224" s="105" t="s">
        <v>3958</v>
      </c>
      <c r="AV224" s="105" t="s">
        <v>2640</v>
      </c>
      <c r="AX224" t="s">
        <v>3415</v>
      </c>
      <c r="BA224"/>
    </row>
    <row r="225" spans="35:53" ht="25.5" x14ac:dyDescent="0.25">
      <c r="AI225" s="105" t="s">
        <v>1184</v>
      </c>
      <c r="AM225" s="105" t="s">
        <v>1506</v>
      </c>
      <c r="AO225" s="105" t="s">
        <v>2201</v>
      </c>
      <c r="AU225" s="105" t="s">
        <v>3959</v>
      </c>
      <c r="AV225" s="105" t="s">
        <v>2641</v>
      </c>
      <c r="AX225" t="s">
        <v>3416</v>
      </c>
      <c r="BA225"/>
    </row>
    <row r="226" spans="35:53" ht="38.25" x14ac:dyDescent="0.25">
      <c r="AI226" s="105" t="s">
        <v>1185</v>
      </c>
      <c r="AM226" s="105" t="s">
        <v>1507</v>
      </c>
      <c r="AO226" s="105" t="s">
        <v>2202</v>
      </c>
      <c r="AU226" s="105" t="s">
        <v>3960</v>
      </c>
      <c r="AV226" s="105" t="s">
        <v>2642</v>
      </c>
      <c r="AX226" t="s">
        <v>3417</v>
      </c>
      <c r="BA226"/>
    </row>
    <row r="227" spans="35:53" ht="38.25" x14ac:dyDescent="0.25">
      <c r="AI227" s="105" t="s">
        <v>1186</v>
      </c>
      <c r="AM227" s="105" t="s">
        <v>1508</v>
      </c>
      <c r="AO227" s="105" t="s">
        <v>2203</v>
      </c>
      <c r="AU227" s="105" t="s">
        <v>3961</v>
      </c>
      <c r="AV227" s="105" t="s">
        <v>2643</v>
      </c>
      <c r="AX227" t="s">
        <v>3418</v>
      </c>
      <c r="BA227"/>
    </row>
    <row r="228" spans="35:53" ht="38.25" x14ac:dyDescent="0.25">
      <c r="AI228" s="105" t="s">
        <v>1187</v>
      </c>
      <c r="AM228" s="105" t="s">
        <v>1509</v>
      </c>
      <c r="AO228" s="105" t="s">
        <v>2204</v>
      </c>
      <c r="AU228" s="105" t="s">
        <v>3962</v>
      </c>
      <c r="AV228" s="105" t="s">
        <v>2644</v>
      </c>
      <c r="AX228" t="s">
        <v>3419</v>
      </c>
      <c r="BA228"/>
    </row>
    <row r="229" spans="35:53" ht="38.25" x14ac:dyDescent="0.25">
      <c r="AI229" s="105" t="s">
        <v>1188</v>
      </c>
      <c r="AM229" s="105" t="s">
        <v>1510</v>
      </c>
      <c r="AO229" s="105" t="s">
        <v>2205</v>
      </c>
      <c r="AU229" s="105" t="s">
        <v>3963</v>
      </c>
      <c r="AV229" s="105" t="s">
        <v>2645</v>
      </c>
      <c r="AX229" t="s">
        <v>3420</v>
      </c>
      <c r="BA229"/>
    </row>
    <row r="230" spans="35:53" ht="38.25" x14ac:dyDescent="0.25">
      <c r="AI230" s="105" t="s">
        <v>1189</v>
      </c>
      <c r="AM230" s="105" t="s">
        <v>1511</v>
      </c>
      <c r="AO230" s="105" t="s">
        <v>2206</v>
      </c>
      <c r="AU230" s="105" t="s">
        <v>3964</v>
      </c>
      <c r="AV230" s="105" t="s">
        <v>2646</v>
      </c>
      <c r="AX230" t="s">
        <v>3421</v>
      </c>
      <c r="BA230"/>
    </row>
    <row r="231" spans="35:53" ht="25.5" x14ac:dyDescent="0.25">
      <c r="AI231" s="105" t="s">
        <v>1190</v>
      </c>
      <c r="AM231" s="105" t="s">
        <v>1512</v>
      </c>
      <c r="AO231" s="105" t="s">
        <v>2207</v>
      </c>
      <c r="AU231" s="105" t="s">
        <v>3965</v>
      </c>
      <c r="AV231" s="105" t="s">
        <v>2647</v>
      </c>
      <c r="AX231" t="s">
        <v>3422</v>
      </c>
      <c r="BA231"/>
    </row>
    <row r="232" spans="35:53" ht="25.5" x14ac:dyDescent="0.25">
      <c r="AI232" s="105" t="s">
        <v>1191</v>
      </c>
      <c r="AM232" s="105" t="s">
        <v>1513</v>
      </c>
      <c r="AO232" s="105" t="s">
        <v>2208</v>
      </c>
      <c r="AU232" s="105" t="s">
        <v>3966</v>
      </c>
      <c r="AV232" s="105" t="s">
        <v>2648</v>
      </c>
      <c r="AX232" t="s">
        <v>3423</v>
      </c>
      <c r="BA232"/>
    </row>
    <row r="233" spans="35:53" ht="38.25" x14ac:dyDescent="0.25">
      <c r="AI233" s="105" t="s">
        <v>1192</v>
      </c>
      <c r="AM233" s="105" t="s">
        <v>1514</v>
      </c>
      <c r="AO233" s="105" t="s">
        <v>2209</v>
      </c>
      <c r="AU233" s="105" t="s">
        <v>3967</v>
      </c>
      <c r="AV233" s="105" t="s">
        <v>2649</v>
      </c>
      <c r="AX233" t="s">
        <v>3424</v>
      </c>
      <c r="BA233"/>
    </row>
    <row r="234" spans="35:53" ht="38.25" x14ac:dyDescent="0.25">
      <c r="AI234" s="105" t="s">
        <v>1193</v>
      </c>
      <c r="AM234" s="105" t="s">
        <v>1515</v>
      </c>
      <c r="AO234" s="105" t="s">
        <v>2210</v>
      </c>
      <c r="AU234" s="105" t="s">
        <v>3968</v>
      </c>
      <c r="AV234" s="105" t="s">
        <v>2650</v>
      </c>
      <c r="AX234" t="s">
        <v>3425</v>
      </c>
      <c r="BA234"/>
    </row>
    <row r="235" spans="35:53" ht="38.25" x14ac:dyDescent="0.25">
      <c r="AI235" s="105" t="s">
        <v>1194</v>
      </c>
      <c r="AM235" s="105" t="s">
        <v>1516</v>
      </c>
      <c r="AO235" s="105" t="s">
        <v>2211</v>
      </c>
      <c r="AU235" s="105" t="s">
        <v>3969</v>
      </c>
      <c r="AV235" s="105" t="s">
        <v>2651</v>
      </c>
      <c r="AX235" t="s">
        <v>3426</v>
      </c>
      <c r="BA235"/>
    </row>
    <row r="236" spans="35:53" ht="38.25" x14ac:dyDescent="0.25">
      <c r="AI236" s="105" t="s">
        <v>1195</v>
      </c>
      <c r="AM236" s="105" t="s">
        <v>1517</v>
      </c>
      <c r="AO236" s="105" t="s">
        <v>2212</v>
      </c>
      <c r="AU236" s="105" t="s">
        <v>3970</v>
      </c>
      <c r="AV236" s="105" t="s">
        <v>2652</v>
      </c>
      <c r="AX236" t="s">
        <v>3427</v>
      </c>
      <c r="BA236"/>
    </row>
    <row r="237" spans="35:53" ht="25.5" x14ac:dyDescent="0.25">
      <c r="AI237" s="105" t="s">
        <v>1196</v>
      </c>
      <c r="AM237" s="105" t="s">
        <v>1518</v>
      </c>
      <c r="AO237" s="105" t="s">
        <v>2213</v>
      </c>
      <c r="AU237" s="105" t="s">
        <v>3971</v>
      </c>
      <c r="AV237" s="105" t="s">
        <v>2653</v>
      </c>
      <c r="AX237" t="s">
        <v>3428</v>
      </c>
      <c r="BA237"/>
    </row>
    <row r="238" spans="35:53" ht="38.25" x14ac:dyDescent="0.25">
      <c r="AI238" s="105" t="s">
        <v>1197</v>
      </c>
      <c r="AM238" s="105" t="s">
        <v>1519</v>
      </c>
      <c r="AO238" s="105" t="s">
        <v>2214</v>
      </c>
      <c r="AU238" s="105" t="s">
        <v>3972</v>
      </c>
      <c r="AV238" s="105" t="s">
        <v>2654</v>
      </c>
      <c r="AX238" t="s">
        <v>3429</v>
      </c>
      <c r="BA238"/>
    </row>
    <row r="239" spans="35:53" ht="25.5" x14ac:dyDescent="0.25">
      <c r="AM239" s="105" t="s">
        <v>1520</v>
      </c>
      <c r="AO239" s="105" t="s">
        <v>2215</v>
      </c>
      <c r="AU239" s="105" t="s">
        <v>3973</v>
      </c>
      <c r="AV239" s="105" t="s">
        <v>2655</v>
      </c>
      <c r="AX239" t="s">
        <v>3430</v>
      </c>
      <c r="BA239"/>
    </row>
    <row r="240" spans="35:53" ht="25.5" x14ac:dyDescent="0.25">
      <c r="AM240" s="105" t="s">
        <v>1521</v>
      </c>
      <c r="AO240" s="105" t="s">
        <v>2216</v>
      </c>
      <c r="AU240" s="105" t="s">
        <v>3974</v>
      </c>
      <c r="AV240" s="105" t="s">
        <v>1596</v>
      </c>
      <c r="AX240" t="s">
        <v>3431</v>
      </c>
      <c r="BA240"/>
    </row>
    <row r="241" spans="39:53" ht="38.25" x14ac:dyDescent="0.25">
      <c r="AM241" s="105" t="s">
        <v>1522</v>
      </c>
      <c r="AO241" s="105" t="s">
        <v>2217</v>
      </c>
      <c r="AU241" s="105" t="s">
        <v>3975</v>
      </c>
      <c r="AV241" s="105" t="s">
        <v>2656</v>
      </c>
      <c r="AX241" t="s">
        <v>3432</v>
      </c>
      <c r="BA241"/>
    </row>
    <row r="242" spans="39:53" ht="25.5" x14ac:dyDescent="0.25">
      <c r="AM242" s="105" t="s">
        <v>1523</v>
      </c>
      <c r="AO242" s="105" t="s">
        <v>2218</v>
      </c>
      <c r="AU242" s="105" t="s">
        <v>3976</v>
      </c>
      <c r="AV242" s="105" t="s">
        <v>2657</v>
      </c>
      <c r="AX242" t="s">
        <v>3433</v>
      </c>
      <c r="BA242"/>
    </row>
    <row r="243" spans="39:53" ht="76.5" x14ac:dyDescent="0.25">
      <c r="AM243" s="105" t="s">
        <v>1524</v>
      </c>
      <c r="AO243" s="105" t="s">
        <v>2219</v>
      </c>
      <c r="AU243" s="105" t="s">
        <v>3977</v>
      </c>
      <c r="AV243" s="105" t="s">
        <v>2658</v>
      </c>
      <c r="AX243" t="s">
        <v>3434</v>
      </c>
      <c r="BA243"/>
    </row>
    <row r="244" spans="39:53" ht="51" x14ac:dyDescent="0.25">
      <c r="AM244" s="105" t="s">
        <v>1525</v>
      </c>
      <c r="AO244" s="105" t="s">
        <v>2220</v>
      </c>
      <c r="AU244" s="105" t="s">
        <v>3978</v>
      </c>
      <c r="AV244" s="105" t="s">
        <v>2659</v>
      </c>
      <c r="AX244" t="s">
        <v>3435</v>
      </c>
      <c r="BA244"/>
    </row>
    <row r="245" spans="39:53" ht="63.75" x14ac:dyDescent="0.25">
      <c r="AM245" s="105" t="s">
        <v>1432</v>
      </c>
      <c r="AO245" s="105" t="s">
        <v>2221</v>
      </c>
      <c r="AU245" s="105" t="s">
        <v>3979</v>
      </c>
      <c r="AV245" s="105" t="s">
        <v>2572</v>
      </c>
      <c r="AX245" t="s">
        <v>3689</v>
      </c>
      <c r="BA245"/>
    </row>
    <row r="246" spans="39:53" ht="63.75" x14ac:dyDescent="0.25">
      <c r="AM246" s="105" t="s">
        <v>1526</v>
      </c>
      <c r="AO246" s="105" t="s">
        <v>2222</v>
      </c>
      <c r="AU246" s="105" t="s">
        <v>3980</v>
      </c>
      <c r="AV246" s="105" t="s">
        <v>1601</v>
      </c>
      <c r="AX246" t="s">
        <v>3436</v>
      </c>
      <c r="BA246"/>
    </row>
    <row r="247" spans="39:53" ht="51" x14ac:dyDescent="0.25">
      <c r="AM247" s="105" t="s">
        <v>1527</v>
      </c>
      <c r="AO247" s="105" t="s">
        <v>2223</v>
      </c>
      <c r="AU247" s="105" t="s">
        <v>3981</v>
      </c>
      <c r="AV247" s="105" t="s">
        <v>2660</v>
      </c>
      <c r="AX247" t="s">
        <v>3437</v>
      </c>
      <c r="BA247"/>
    </row>
    <row r="248" spans="39:53" ht="76.5" x14ac:dyDescent="0.25">
      <c r="AM248" s="105" t="s">
        <v>1433</v>
      </c>
      <c r="AO248" s="105" t="s">
        <v>2224</v>
      </c>
      <c r="AU248" s="105" t="s">
        <v>3982</v>
      </c>
      <c r="AV248" s="105" t="s">
        <v>2573</v>
      </c>
      <c r="AX248" t="s">
        <v>3690</v>
      </c>
      <c r="BA248"/>
    </row>
    <row r="249" spans="39:53" ht="51" x14ac:dyDescent="0.25">
      <c r="AM249" s="105" t="s">
        <v>1528</v>
      </c>
      <c r="AO249" s="105" t="s">
        <v>2225</v>
      </c>
      <c r="AU249" s="105" t="s">
        <v>3983</v>
      </c>
      <c r="AV249" s="105" t="s">
        <v>2661</v>
      </c>
      <c r="AX249" t="s">
        <v>3438</v>
      </c>
      <c r="BA249"/>
    </row>
    <row r="250" spans="39:53" ht="63.75" x14ac:dyDescent="0.25">
      <c r="AM250" s="105" t="s">
        <v>1529</v>
      </c>
      <c r="AO250" s="105" t="s">
        <v>2226</v>
      </c>
      <c r="AU250" s="105" t="s">
        <v>3984</v>
      </c>
      <c r="AV250" s="105" t="s">
        <v>2662</v>
      </c>
      <c r="AX250" t="s">
        <v>3439</v>
      </c>
      <c r="BA250"/>
    </row>
    <row r="251" spans="39:53" ht="51" x14ac:dyDescent="0.25">
      <c r="AM251" s="105" t="s">
        <v>1530</v>
      </c>
      <c r="AO251" s="105" t="s">
        <v>2227</v>
      </c>
      <c r="AU251" s="105" t="s">
        <v>3985</v>
      </c>
      <c r="AV251" s="105" t="s">
        <v>2663</v>
      </c>
      <c r="AX251" t="s">
        <v>3440</v>
      </c>
      <c r="BA251"/>
    </row>
    <row r="252" spans="39:53" ht="51" x14ac:dyDescent="0.25">
      <c r="AM252" s="105" t="s">
        <v>1531</v>
      </c>
      <c r="AO252" s="105" t="s">
        <v>2228</v>
      </c>
      <c r="AU252" s="105" t="s">
        <v>3986</v>
      </c>
      <c r="AV252" s="105" t="s">
        <v>2664</v>
      </c>
      <c r="AX252" t="s">
        <v>3441</v>
      </c>
      <c r="BA252"/>
    </row>
    <row r="253" spans="39:53" ht="63.75" x14ac:dyDescent="0.25">
      <c r="AM253" s="105" t="s">
        <v>1532</v>
      </c>
      <c r="AO253" s="105" t="s">
        <v>2229</v>
      </c>
      <c r="AU253" s="105" t="s">
        <v>3987</v>
      </c>
      <c r="AV253" s="105" t="s">
        <v>2665</v>
      </c>
      <c r="AX253" t="s">
        <v>3442</v>
      </c>
      <c r="BA253"/>
    </row>
    <row r="254" spans="39:53" ht="63.75" x14ac:dyDescent="0.25">
      <c r="AM254" s="105" t="s">
        <v>1533</v>
      </c>
      <c r="AO254" s="105" t="s">
        <v>2230</v>
      </c>
      <c r="AU254" s="105" t="s">
        <v>3988</v>
      </c>
      <c r="AV254" s="105" t="s">
        <v>2666</v>
      </c>
      <c r="AX254" t="s">
        <v>3443</v>
      </c>
      <c r="BA254"/>
    </row>
    <row r="255" spans="39:53" ht="76.5" x14ac:dyDescent="0.25">
      <c r="AM255" s="105" t="s">
        <v>1534</v>
      </c>
      <c r="AO255" s="105" t="s">
        <v>2231</v>
      </c>
      <c r="AU255" s="105" t="s">
        <v>3989</v>
      </c>
      <c r="AV255" s="105" t="s">
        <v>2667</v>
      </c>
      <c r="AX255" t="s">
        <v>3444</v>
      </c>
      <c r="BA255"/>
    </row>
    <row r="256" spans="39:53" ht="76.5" x14ac:dyDescent="0.25">
      <c r="AM256" s="105" t="s">
        <v>1535</v>
      </c>
      <c r="AO256" s="105" t="s">
        <v>2232</v>
      </c>
      <c r="AU256" s="105" t="s">
        <v>3990</v>
      </c>
      <c r="AV256" s="105" t="s">
        <v>2668</v>
      </c>
      <c r="AX256" t="s">
        <v>3445</v>
      </c>
      <c r="BA256"/>
    </row>
    <row r="257" spans="39:53" ht="51" x14ac:dyDescent="0.25">
      <c r="AM257" s="105" t="s">
        <v>1536</v>
      </c>
      <c r="AO257" s="105" t="s">
        <v>2233</v>
      </c>
      <c r="AU257" s="105" t="s">
        <v>3991</v>
      </c>
      <c r="AV257" s="105" t="s">
        <v>2669</v>
      </c>
      <c r="AX257" t="s">
        <v>3446</v>
      </c>
      <c r="BA257"/>
    </row>
    <row r="258" spans="39:53" ht="127.5" x14ac:dyDescent="0.25">
      <c r="AM258" s="105" t="s">
        <v>1537</v>
      </c>
      <c r="AO258" s="105" t="s">
        <v>2234</v>
      </c>
      <c r="AU258" s="105" t="s">
        <v>3992</v>
      </c>
      <c r="AV258" s="105" t="s">
        <v>2670</v>
      </c>
      <c r="AX258" t="s">
        <v>3447</v>
      </c>
      <c r="BA258"/>
    </row>
    <row r="259" spans="39:53" ht="127.5" x14ac:dyDescent="0.25">
      <c r="AM259" s="105" t="s">
        <v>1538</v>
      </c>
      <c r="AO259" s="105" t="s">
        <v>2235</v>
      </c>
      <c r="AU259" s="105" t="s">
        <v>3993</v>
      </c>
      <c r="AV259" s="105" t="s">
        <v>2671</v>
      </c>
      <c r="AX259" t="s">
        <v>3448</v>
      </c>
      <c r="BA259"/>
    </row>
    <row r="260" spans="39:53" ht="127.5" x14ac:dyDescent="0.25">
      <c r="AM260" s="105" t="s">
        <v>1539</v>
      </c>
      <c r="AO260" s="105" t="s">
        <v>2236</v>
      </c>
      <c r="AU260" s="105" t="s">
        <v>3994</v>
      </c>
      <c r="AV260" s="105" t="s">
        <v>2672</v>
      </c>
      <c r="AX260" t="s">
        <v>3449</v>
      </c>
      <c r="BA260"/>
    </row>
    <row r="261" spans="39:53" ht="140.25" x14ac:dyDescent="0.25">
      <c r="AM261" s="105" t="s">
        <v>1540</v>
      </c>
      <c r="AO261" s="105" t="s">
        <v>2237</v>
      </c>
      <c r="AU261" s="105" t="s">
        <v>3995</v>
      </c>
      <c r="AV261" s="105" t="s">
        <v>2673</v>
      </c>
      <c r="AX261" t="s">
        <v>3450</v>
      </c>
      <c r="BA261"/>
    </row>
    <row r="262" spans="39:53" ht="127.5" x14ac:dyDescent="0.25">
      <c r="AM262" s="105" t="s">
        <v>1434</v>
      </c>
      <c r="AO262" s="105" t="s">
        <v>2238</v>
      </c>
      <c r="AU262" s="105" t="s">
        <v>3996</v>
      </c>
      <c r="AV262" s="105" t="s">
        <v>2574</v>
      </c>
      <c r="AX262" t="s">
        <v>3691</v>
      </c>
      <c r="BA262"/>
    </row>
    <row r="263" spans="39:53" ht="127.5" x14ac:dyDescent="0.25">
      <c r="AM263" s="105" t="s">
        <v>1541</v>
      </c>
      <c r="AO263" s="105" t="s">
        <v>2239</v>
      </c>
      <c r="AU263" s="105" t="s">
        <v>3997</v>
      </c>
      <c r="AV263" s="105" t="s">
        <v>2674</v>
      </c>
      <c r="AX263" t="s">
        <v>3451</v>
      </c>
      <c r="BA263"/>
    </row>
    <row r="264" spans="39:53" ht="140.25" x14ac:dyDescent="0.25">
      <c r="AM264" s="105" t="s">
        <v>1542</v>
      </c>
      <c r="AO264" s="105" t="s">
        <v>2240</v>
      </c>
      <c r="AU264" s="105" t="s">
        <v>3998</v>
      </c>
      <c r="AV264" s="105" t="s">
        <v>1404</v>
      </c>
      <c r="AX264" t="s">
        <v>3452</v>
      </c>
      <c r="BA264"/>
    </row>
    <row r="265" spans="39:53" ht="127.5" x14ac:dyDescent="0.25">
      <c r="AM265" s="105" t="s">
        <v>1543</v>
      </c>
      <c r="AO265" s="105" t="s">
        <v>2241</v>
      </c>
      <c r="AU265" s="105" t="s">
        <v>3999</v>
      </c>
      <c r="AV265" s="105" t="s">
        <v>2675</v>
      </c>
      <c r="AX265" t="s">
        <v>3453</v>
      </c>
      <c r="BA265"/>
    </row>
    <row r="266" spans="39:53" ht="102" x14ac:dyDescent="0.25">
      <c r="AM266" s="105" t="s">
        <v>1544</v>
      </c>
      <c r="AO266" s="105" t="s">
        <v>2242</v>
      </c>
      <c r="AU266" s="105" t="s">
        <v>4000</v>
      </c>
      <c r="AV266" s="105" t="s">
        <v>2676</v>
      </c>
      <c r="AX266" t="s">
        <v>3454</v>
      </c>
      <c r="BA266"/>
    </row>
    <row r="267" spans="39:53" ht="114.75" x14ac:dyDescent="0.25">
      <c r="AM267" s="105" t="s">
        <v>1545</v>
      </c>
      <c r="AO267" s="105" t="s">
        <v>2243</v>
      </c>
      <c r="AU267" s="105" t="s">
        <v>4001</v>
      </c>
      <c r="AV267" s="105" t="s">
        <v>2677</v>
      </c>
      <c r="AX267" t="s">
        <v>3455</v>
      </c>
      <c r="BA267"/>
    </row>
    <row r="268" spans="39:53" ht="165.75" x14ac:dyDescent="0.25">
      <c r="AM268" s="105" t="s">
        <v>1546</v>
      </c>
      <c r="AO268" s="105" t="s">
        <v>2244</v>
      </c>
      <c r="AU268" s="105" t="s">
        <v>4002</v>
      </c>
      <c r="AV268" s="105" t="s">
        <v>2678</v>
      </c>
      <c r="AX268" t="s">
        <v>3456</v>
      </c>
      <c r="BA268"/>
    </row>
    <row r="269" spans="39:53" ht="165.75" x14ac:dyDescent="0.25">
      <c r="AM269" s="105" t="s">
        <v>1547</v>
      </c>
      <c r="AO269" s="105" t="s">
        <v>2245</v>
      </c>
      <c r="AU269" s="105" t="s">
        <v>4003</v>
      </c>
      <c r="AV269" s="105" t="s">
        <v>2679</v>
      </c>
      <c r="AX269" t="s">
        <v>3457</v>
      </c>
      <c r="BA269"/>
    </row>
    <row r="270" spans="39:53" ht="140.25" x14ac:dyDescent="0.25">
      <c r="AM270" s="105" t="s">
        <v>1548</v>
      </c>
      <c r="AO270" s="105" t="s">
        <v>2246</v>
      </c>
      <c r="AU270" s="105" t="s">
        <v>4004</v>
      </c>
      <c r="AV270" s="105" t="s">
        <v>2680</v>
      </c>
      <c r="AX270" t="s">
        <v>3458</v>
      </c>
      <c r="BA270"/>
    </row>
    <row r="271" spans="39:53" ht="127.5" x14ac:dyDescent="0.25">
      <c r="AM271" s="105" t="s">
        <v>1549</v>
      </c>
      <c r="AO271" s="105" t="s">
        <v>2247</v>
      </c>
      <c r="AU271" s="105" t="s">
        <v>4005</v>
      </c>
      <c r="AV271" s="105" t="s">
        <v>2681</v>
      </c>
      <c r="AX271" t="s">
        <v>3459</v>
      </c>
      <c r="BA271"/>
    </row>
    <row r="272" spans="39:53" ht="127.5" x14ac:dyDescent="0.25">
      <c r="AM272" s="105" t="s">
        <v>1550</v>
      </c>
      <c r="AO272" s="105" t="s">
        <v>2248</v>
      </c>
      <c r="AU272" s="105" t="s">
        <v>4006</v>
      </c>
      <c r="AV272" s="105" t="s">
        <v>2682</v>
      </c>
      <c r="AX272" t="s">
        <v>3460</v>
      </c>
      <c r="BA272"/>
    </row>
    <row r="273" spans="39:53" ht="127.5" x14ac:dyDescent="0.25">
      <c r="AM273" s="105" t="s">
        <v>1551</v>
      </c>
      <c r="AO273" s="105" t="s">
        <v>2249</v>
      </c>
      <c r="AU273" s="105" t="s">
        <v>4007</v>
      </c>
      <c r="AV273" s="105" t="s">
        <v>2683</v>
      </c>
      <c r="AX273" t="s">
        <v>3461</v>
      </c>
      <c r="BA273"/>
    </row>
    <row r="274" spans="39:53" ht="102" x14ac:dyDescent="0.25">
      <c r="AM274" s="105" t="s">
        <v>1552</v>
      </c>
      <c r="AO274" s="105" t="s">
        <v>2250</v>
      </c>
      <c r="AU274" s="105" t="s">
        <v>4008</v>
      </c>
      <c r="AV274" s="105" t="s">
        <v>2684</v>
      </c>
      <c r="AX274" t="s">
        <v>3462</v>
      </c>
      <c r="BA274"/>
    </row>
    <row r="275" spans="39:53" ht="102" x14ac:dyDescent="0.25">
      <c r="AM275" s="105" t="s">
        <v>1553</v>
      </c>
      <c r="AO275" s="105" t="s">
        <v>2251</v>
      </c>
      <c r="AU275" s="105" t="s">
        <v>4009</v>
      </c>
      <c r="AV275" s="105" t="s">
        <v>2685</v>
      </c>
      <c r="AX275" t="s">
        <v>3463</v>
      </c>
      <c r="BA275"/>
    </row>
    <row r="276" spans="39:53" ht="114.75" x14ac:dyDescent="0.25">
      <c r="AM276" s="105" t="s">
        <v>1554</v>
      </c>
      <c r="AO276" s="105" t="s">
        <v>2252</v>
      </c>
      <c r="AU276" s="105" t="s">
        <v>4010</v>
      </c>
      <c r="AV276" s="105" t="s">
        <v>2686</v>
      </c>
      <c r="AX276" t="s">
        <v>3464</v>
      </c>
      <c r="BA276"/>
    </row>
    <row r="277" spans="39:53" ht="102" x14ac:dyDescent="0.25">
      <c r="AM277" s="105" t="s">
        <v>1555</v>
      </c>
      <c r="AO277" s="105" t="s">
        <v>2253</v>
      </c>
      <c r="AU277" s="105" t="s">
        <v>4011</v>
      </c>
      <c r="AV277" s="105" t="s">
        <v>2687</v>
      </c>
      <c r="AX277" t="s">
        <v>3465</v>
      </c>
      <c r="BA277"/>
    </row>
    <row r="278" spans="39:53" ht="102" x14ac:dyDescent="0.25">
      <c r="AM278" s="105" t="s">
        <v>1556</v>
      </c>
      <c r="AO278" s="105" t="s">
        <v>2254</v>
      </c>
      <c r="AU278" s="105" t="s">
        <v>4012</v>
      </c>
      <c r="AV278" s="105" t="s">
        <v>2688</v>
      </c>
      <c r="AX278" t="s">
        <v>3466</v>
      </c>
      <c r="BA278"/>
    </row>
    <row r="279" spans="39:53" ht="114.75" x14ac:dyDescent="0.25">
      <c r="AM279" s="105" t="s">
        <v>1435</v>
      </c>
      <c r="AO279" s="105" t="s">
        <v>2255</v>
      </c>
      <c r="AU279" s="105" t="s">
        <v>4013</v>
      </c>
      <c r="AV279" s="105" t="s">
        <v>2575</v>
      </c>
      <c r="AX279" t="s">
        <v>3692</v>
      </c>
      <c r="BA279"/>
    </row>
    <row r="280" spans="39:53" ht="114.75" x14ac:dyDescent="0.25">
      <c r="AM280" s="105" t="s">
        <v>1557</v>
      </c>
      <c r="AO280" s="105" t="s">
        <v>2256</v>
      </c>
      <c r="AU280" s="105" t="s">
        <v>4014</v>
      </c>
      <c r="AV280" s="105" t="s">
        <v>2689</v>
      </c>
      <c r="AX280" t="s">
        <v>3467</v>
      </c>
      <c r="BA280"/>
    </row>
    <row r="281" spans="39:53" ht="127.5" x14ac:dyDescent="0.25">
      <c r="AM281" s="105" t="s">
        <v>1558</v>
      </c>
      <c r="AO281" s="105" t="s">
        <v>2257</v>
      </c>
      <c r="AU281" s="105" t="s">
        <v>4015</v>
      </c>
      <c r="AV281" s="105" t="s">
        <v>2690</v>
      </c>
      <c r="AX281" t="s">
        <v>3468</v>
      </c>
      <c r="BA281"/>
    </row>
    <row r="282" spans="39:53" ht="102" x14ac:dyDescent="0.25">
      <c r="AM282" s="105" t="s">
        <v>1559</v>
      </c>
      <c r="AO282" s="105" t="s">
        <v>2258</v>
      </c>
      <c r="AU282" s="105" t="s">
        <v>4016</v>
      </c>
      <c r="AV282" s="105" t="s">
        <v>1421</v>
      </c>
      <c r="AX282" t="s">
        <v>3469</v>
      </c>
      <c r="BA282"/>
    </row>
    <row r="283" spans="39:53" ht="102" x14ac:dyDescent="0.25">
      <c r="AM283" s="105" t="s">
        <v>1560</v>
      </c>
      <c r="AO283" s="105" t="s">
        <v>2259</v>
      </c>
      <c r="AU283" s="105" t="s">
        <v>4017</v>
      </c>
      <c r="AV283" s="105" t="s">
        <v>2691</v>
      </c>
      <c r="AX283" t="s">
        <v>3470</v>
      </c>
      <c r="BA283"/>
    </row>
    <row r="284" spans="39:53" ht="102" x14ac:dyDescent="0.25">
      <c r="AM284" s="105" t="s">
        <v>1561</v>
      </c>
      <c r="AO284" s="105" t="s">
        <v>2260</v>
      </c>
      <c r="AU284" s="105" t="s">
        <v>4018</v>
      </c>
      <c r="AV284" s="105" t="s">
        <v>2692</v>
      </c>
      <c r="AX284" t="s">
        <v>3471</v>
      </c>
      <c r="BA284"/>
    </row>
    <row r="285" spans="39:53" ht="114.75" x14ac:dyDescent="0.25">
      <c r="AM285" s="105" t="s">
        <v>1436</v>
      </c>
      <c r="AO285" s="105" t="s">
        <v>2261</v>
      </c>
      <c r="AU285" s="105" t="s">
        <v>4019</v>
      </c>
      <c r="AV285" s="105" t="s">
        <v>2576</v>
      </c>
      <c r="AX285" t="s">
        <v>3693</v>
      </c>
      <c r="BA285"/>
    </row>
    <row r="286" spans="39:53" ht="102" x14ac:dyDescent="0.25">
      <c r="AM286" s="105" t="s">
        <v>1562</v>
      </c>
      <c r="AO286" s="105" t="s">
        <v>2262</v>
      </c>
      <c r="AU286" s="105" t="s">
        <v>4020</v>
      </c>
      <c r="AV286" s="105" t="s">
        <v>2693</v>
      </c>
      <c r="AX286" t="s">
        <v>3472</v>
      </c>
      <c r="BA286"/>
    </row>
    <row r="287" spans="39:53" ht="102" x14ac:dyDescent="0.25">
      <c r="AM287" s="105" t="s">
        <v>1563</v>
      </c>
      <c r="AO287" s="105" t="s">
        <v>2263</v>
      </c>
      <c r="AU287" s="105" t="s">
        <v>4021</v>
      </c>
      <c r="AV287" s="105" t="s">
        <v>2694</v>
      </c>
      <c r="AX287" t="s">
        <v>3473</v>
      </c>
      <c r="BA287"/>
    </row>
    <row r="288" spans="39:53" ht="89.25" x14ac:dyDescent="0.25">
      <c r="AM288" s="105" t="s">
        <v>1564</v>
      </c>
      <c r="AO288" s="105" t="s">
        <v>2264</v>
      </c>
      <c r="AU288" s="105" t="s">
        <v>4022</v>
      </c>
      <c r="AV288" s="105" t="s">
        <v>2695</v>
      </c>
      <c r="AX288" t="s">
        <v>3474</v>
      </c>
      <c r="BA288"/>
    </row>
    <row r="289" spans="39:53" ht="89.25" x14ac:dyDescent="0.25">
      <c r="AM289" s="105" t="s">
        <v>1565</v>
      </c>
      <c r="AO289" s="105" t="s">
        <v>2265</v>
      </c>
      <c r="AU289" s="105" t="s">
        <v>4023</v>
      </c>
      <c r="AV289" s="105" t="s">
        <v>2696</v>
      </c>
      <c r="AX289" t="s">
        <v>3475</v>
      </c>
      <c r="BA289"/>
    </row>
    <row r="290" spans="39:53" ht="102" x14ac:dyDescent="0.25">
      <c r="AM290" s="105" t="s">
        <v>1566</v>
      </c>
      <c r="AO290" s="105" t="s">
        <v>2266</v>
      </c>
      <c r="AU290" s="105" t="s">
        <v>4024</v>
      </c>
      <c r="AV290" s="105" t="s">
        <v>2697</v>
      </c>
      <c r="AX290" t="s">
        <v>3476</v>
      </c>
      <c r="BA290"/>
    </row>
    <row r="291" spans="39:53" ht="89.25" x14ac:dyDescent="0.25">
      <c r="AM291" s="105" t="s">
        <v>1567</v>
      </c>
      <c r="AO291" s="105" t="s">
        <v>2267</v>
      </c>
      <c r="AU291" s="105" t="s">
        <v>4025</v>
      </c>
      <c r="AV291" s="105" t="s">
        <v>2698</v>
      </c>
      <c r="AX291" t="s">
        <v>3477</v>
      </c>
      <c r="BA291"/>
    </row>
    <row r="292" spans="39:53" ht="102" x14ac:dyDescent="0.25">
      <c r="AM292" s="105" t="s">
        <v>1568</v>
      </c>
      <c r="AO292" s="105" t="s">
        <v>2268</v>
      </c>
      <c r="AU292" s="105" t="s">
        <v>4026</v>
      </c>
      <c r="AV292" s="105" t="s">
        <v>2699</v>
      </c>
      <c r="AX292" t="s">
        <v>3478</v>
      </c>
      <c r="BA292"/>
    </row>
    <row r="293" spans="39:53" ht="114.75" x14ac:dyDescent="0.25">
      <c r="AM293" s="105" t="s">
        <v>1569</v>
      </c>
      <c r="AO293" s="105" t="s">
        <v>2269</v>
      </c>
      <c r="AU293" s="105" t="s">
        <v>4027</v>
      </c>
      <c r="AV293" s="105" t="s">
        <v>2700</v>
      </c>
      <c r="AX293" t="s">
        <v>3479</v>
      </c>
      <c r="BA293"/>
    </row>
    <row r="294" spans="39:53" ht="89.25" x14ac:dyDescent="0.25">
      <c r="AM294" s="105" t="s">
        <v>1570</v>
      </c>
      <c r="AO294" s="105" t="s">
        <v>2270</v>
      </c>
      <c r="AU294" s="105" t="s">
        <v>4028</v>
      </c>
      <c r="AV294" s="105" t="s">
        <v>2701</v>
      </c>
      <c r="AX294" t="s">
        <v>3480</v>
      </c>
      <c r="BA294"/>
    </row>
    <row r="295" spans="39:53" ht="114.75" x14ac:dyDescent="0.25">
      <c r="AM295" s="105" t="s">
        <v>1571</v>
      </c>
      <c r="AO295" s="105" t="s">
        <v>2271</v>
      </c>
      <c r="AU295" s="105" t="s">
        <v>4029</v>
      </c>
      <c r="AV295" s="105" t="s">
        <v>2702</v>
      </c>
      <c r="AX295" t="s">
        <v>3481</v>
      </c>
      <c r="BA295"/>
    </row>
    <row r="296" spans="39:53" ht="114.75" x14ac:dyDescent="0.25">
      <c r="AM296" s="105" t="s">
        <v>1572</v>
      </c>
      <c r="AO296" s="105" t="s">
        <v>2272</v>
      </c>
      <c r="AU296" s="105" t="s">
        <v>4030</v>
      </c>
      <c r="AV296" s="105" t="s">
        <v>2703</v>
      </c>
      <c r="AX296" t="s">
        <v>3482</v>
      </c>
      <c r="BA296"/>
    </row>
    <row r="297" spans="39:53" ht="89.25" x14ac:dyDescent="0.25">
      <c r="AM297" s="105" t="s">
        <v>1573</v>
      </c>
      <c r="AO297" s="105" t="s">
        <v>2273</v>
      </c>
      <c r="AU297" s="105" t="s">
        <v>4031</v>
      </c>
      <c r="AV297" s="105" t="s">
        <v>2704</v>
      </c>
      <c r="AX297" t="s">
        <v>3483</v>
      </c>
      <c r="BA297"/>
    </row>
    <row r="298" spans="39:53" ht="102" x14ac:dyDescent="0.25">
      <c r="AM298" s="105" t="s">
        <v>1574</v>
      </c>
      <c r="AO298" s="105" t="s">
        <v>2274</v>
      </c>
      <c r="AU298" s="105" t="s">
        <v>4032</v>
      </c>
      <c r="AV298" s="105" t="s">
        <v>2705</v>
      </c>
      <c r="AX298" t="s">
        <v>3484</v>
      </c>
      <c r="BA298"/>
    </row>
    <row r="299" spans="39:53" ht="153" x14ac:dyDescent="0.25">
      <c r="AM299" s="105" t="s">
        <v>1575</v>
      </c>
      <c r="AO299" s="105" t="s">
        <v>2275</v>
      </c>
      <c r="AU299" s="105" t="s">
        <v>4033</v>
      </c>
      <c r="AV299" s="105" t="s">
        <v>2706</v>
      </c>
      <c r="AX299" t="s">
        <v>3485</v>
      </c>
      <c r="BA299"/>
    </row>
    <row r="300" spans="39:53" ht="153" x14ac:dyDescent="0.25">
      <c r="AM300" s="105" t="s">
        <v>1576</v>
      </c>
      <c r="AO300" s="105" t="s">
        <v>2276</v>
      </c>
      <c r="AU300" s="105" t="s">
        <v>4034</v>
      </c>
      <c r="AV300" s="105" t="s">
        <v>2707</v>
      </c>
      <c r="AX300" t="s">
        <v>3486</v>
      </c>
      <c r="BA300"/>
    </row>
    <row r="301" spans="39:53" ht="127.5" x14ac:dyDescent="0.25">
      <c r="AM301" s="105" t="s">
        <v>1577</v>
      </c>
      <c r="AO301" s="105" t="s">
        <v>2277</v>
      </c>
      <c r="AU301" s="105" t="s">
        <v>4035</v>
      </c>
      <c r="AV301" s="105" t="s">
        <v>2708</v>
      </c>
      <c r="AX301" t="s">
        <v>3487</v>
      </c>
      <c r="BA301"/>
    </row>
    <row r="302" spans="39:53" ht="114.75" x14ac:dyDescent="0.25">
      <c r="AM302" s="105" t="s">
        <v>1578</v>
      </c>
      <c r="AO302" s="105" t="s">
        <v>2278</v>
      </c>
      <c r="AU302" s="105" t="s">
        <v>4036</v>
      </c>
      <c r="AV302" s="105" t="s">
        <v>2709</v>
      </c>
      <c r="AX302" t="s">
        <v>3488</v>
      </c>
      <c r="BA302"/>
    </row>
    <row r="303" spans="39:53" ht="114.75" x14ac:dyDescent="0.25">
      <c r="AM303" s="105" t="s">
        <v>1579</v>
      </c>
      <c r="AO303" s="105" t="s">
        <v>2279</v>
      </c>
      <c r="AU303" s="105" t="s">
        <v>4037</v>
      </c>
      <c r="AV303" s="105" t="s">
        <v>2710</v>
      </c>
      <c r="AX303" t="s">
        <v>3489</v>
      </c>
      <c r="BA303"/>
    </row>
    <row r="304" spans="39:53" ht="76.5" x14ac:dyDescent="0.25">
      <c r="AM304" s="105" t="s">
        <v>1580</v>
      </c>
      <c r="AO304" s="105" t="s">
        <v>2280</v>
      </c>
      <c r="AU304" s="105" t="s">
        <v>4038</v>
      </c>
      <c r="AV304" s="105" t="s">
        <v>2711</v>
      </c>
      <c r="AX304" t="s">
        <v>3490</v>
      </c>
      <c r="BA304"/>
    </row>
    <row r="305" spans="39:53" ht="102" x14ac:dyDescent="0.25">
      <c r="AM305" s="105" t="s">
        <v>1581</v>
      </c>
      <c r="AO305" s="105" t="s">
        <v>2281</v>
      </c>
      <c r="AU305" s="105" t="s">
        <v>4039</v>
      </c>
      <c r="AV305" s="105" t="s">
        <v>2712</v>
      </c>
      <c r="AX305" t="s">
        <v>3491</v>
      </c>
      <c r="BA305"/>
    </row>
    <row r="306" spans="39:53" ht="102" x14ac:dyDescent="0.25">
      <c r="AM306" s="105" t="s">
        <v>1582</v>
      </c>
      <c r="AO306" s="105" t="s">
        <v>2282</v>
      </c>
      <c r="AU306" s="105" t="s">
        <v>4040</v>
      </c>
      <c r="AV306" s="105" t="s">
        <v>2713</v>
      </c>
      <c r="AX306" t="s">
        <v>3492</v>
      </c>
      <c r="BA306"/>
    </row>
    <row r="307" spans="39:53" ht="76.5" x14ac:dyDescent="0.25">
      <c r="AM307" s="105" t="s">
        <v>1583</v>
      </c>
      <c r="AO307" s="105" t="s">
        <v>2283</v>
      </c>
      <c r="AU307" s="105" t="s">
        <v>4041</v>
      </c>
      <c r="AV307" s="105" t="s">
        <v>2714</v>
      </c>
      <c r="AX307" t="s">
        <v>3493</v>
      </c>
      <c r="BA307"/>
    </row>
    <row r="308" spans="39:53" ht="102" x14ac:dyDescent="0.25">
      <c r="AM308" s="105" t="s">
        <v>1584</v>
      </c>
      <c r="AO308" s="105" t="s">
        <v>2284</v>
      </c>
      <c r="AU308" s="105" t="s">
        <v>4042</v>
      </c>
      <c r="AV308" s="105" t="s">
        <v>2715</v>
      </c>
      <c r="AX308" t="s">
        <v>3494</v>
      </c>
      <c r="BA308"/>
    </row>
    <row r="309" spans="39:53" ht="102" x14ac:dyDescent="0.25">
      <c r="AM309" s="105" t="s">
        <v>1437</v>
      </c>
      <c r="AO309" s="105" t="s">
        <v>2285</v>
      </c>
      <c r="AU309" s="105" t="s">
        <v>4043</v>
      </c>
      <c r="AV309" s="105" t="s">
        <v>2577</v>
      </c>
      <c r="AX309" t="s">
        <v>3694</v>
      </c>
      <c r="BA309"/>
    </row>
    <row r="310" spans="39:53" ht="76.5" x14ac:dyDescent="0.25">
      <c r="AM310" s="105" t="s">
        <v>1585</v>
      </c>
      <c r="AO310" s="105" t="s">
        <v>2286</v>
      </c>
      <c r="AU310" s="105" t="s">
        <v>4044</v>
      </c>
      <c r="AV310" s="105" t="s">
        <v>2716</v>
      </c>
      <c r="AX310" t="s">
        <v>3495</v>
      </c>
      <c r="BA310"/>
    </row>
    <row r="311" spans="39:53" ht="76.5" x14ac:dyDescent="0.25">
      <c r="AM311" s="105" t="s">
        <v>1438</v>
      </c>
      <c r="AO311" s="105" t="s">
        <v>2287</v>
      </c>
      <c r="AU311" s="105" t="s">
        <v>4045</v>
      </c>
      <c r="AV311" s="105" t="s">
        <v>2578</v>
      </c>
      <c r="AX311" t="s">
        <v>3695</v>
      </c>
      <c r="BA311"/>
    </row>
    <row r="312" spans="39:53" ht="140.25" x14ac:dyDescent="0.25">
      <c r="AM312" s="105" t="s">
        <v>1586</v>
      </c>
      <c r="AO312" s="105" t="s">
        <v>2288</v>
      </c>
      <c r="AU312" s="105" t="s">
        <v>4046</v>
      </c>
      <c r="AV312" s="105" t="s">
        <v>2717</v>
      </c>
      <c r="AX312" t="s">
        <v>3496</v>
      </c>
      <c r="BA312"/>
    </row>
    <row r="313" spans="39:53" ht="140.25" x14ac:dyDescent="0.25">
      <c r="AM313" s="105" t="s">
        <v>1587</v>
      </c>
      <c r="AO313" s="105" t="s">
        <v>2289</v>
      </c>
      <c r="AU313" s="105" t="s">
        <v>4047</v>
      </c>
      <c r="AV313" s="105" t="s">
        <v>2718</v>
      </c>
      <c r="AX313" t="s">
        <v>3497</v>
      </c>
      <c r="BA313"/>
    </row>
    <row r="314" spans="39:53" ht="114.75" x14ac:dyDescent="0.25">
      <c r="AM314" s="105" t="s">
        <v>1588</v>
      </c>
      <c r="AO314" s="105" t="s">
        <v>2290</v>
      </c>
      <c r="AU314" s="105" t="s">
        <v>4048</v>
      </c>
      <c r="AV314" s="105" t="s">
        <v>2719</v>
      </c>
      <c r="AX314" t="s">
        <v>3498</v>
      </c>
      <c r="BA314"/>
    </row>
    <row r="315" spans="39:53" ht="102" x14ac:dyDescent="0.25">
      <c r="AM315" s="105" t="s">
        <v>1589</v>
      </c>
      <c r="AO315" s="105" t="s">
        <v>2291</v>
      </c>
      <c r="AU315" s="105" t="s">
        <v>4049</v>
      </c>
      <c r="AV315" s="105" t="s">
        <v>2720</v>
      </c>
      <c r="AX315" t="s">
        <v>3499</v>
      </c>
      <c r="BA315"/>
    </row>
    <row r="316" spans="39:53" ht="89.25" x14ac:dyDescent="0.25">
      <c r="AM316" s="105" t="s">
        <v>1590</v>
      </c>
      <c r="AO316" s="105" t="s">
        <v>2292</v>
      </c>
      <c r="AU316" s="105" t="s">
        <v>4050</v>
      </c>
      <c r="AV316" s="105" t="s">
        <v>1452</v>
      </c>
      <c r="AX316" t="s">
        <v>3500</v>
      </c>
      <c r="BA316"/>
    </row>
    <row r="317" spans="39:53" ht="102" x14ac:dyDescent="0.25">
      <c r="AM317" s="105" t="s">
        <v>1591</v>
      </c>
      <c r="AO317" s="105" t="s">
        <v>2293</v>
      </c>
      <c r="AU317" s="105" t="s">
        <v>4051</v>
      </c>
      <c r="AV317" s="105" t="s">
        <v>1453</v>
      </c>
      <c r="AX317" t="s">
        <v>3501</v>
      </c>
      <c r="BA317"/>
    </row>
    <row r="318" spans="39:53" ht="114.75" x14ac:dyDescent="0.25">
      <c r="AM318" s="105" t="s">
        <v>1592</v>
      </c>
      <c r="AO318" s="105" t="s">
        <v>2294</v>
      </c>
      <c r="AU318" s="105" t="s">
        <v>4052</v>
      </c>
      <c r="AV318" s="105" t="s">
        <v>2721</v>
      </c>
      <c r="AX318" t="s">
        <v>3502</v>
      </c>
      <c r="BA318"/>
    </row>
    <row r="319" spans="39:53" ht="114.75" x14ac:dyDescent="0.25">
      <c r="AM319" s="105" t="s">
        <v>1593</v>
      </c>
      <c r="AO319" s="105" t="s">
        <v>2295</v>
      </c>
      <c r="AU319" s="105" t="s">
        <v>4053</v>
      </c>
      <c r="AV319" s="105" t="s">
        <v>2722</v>
      </c>
      <c r="AX319" t="s">
        <v>3503</v>
      </c>
      <c r="BA319"/>
    </row>
    <row r="320" spans="39:53" ht="89.25" x14ac:dyDescent="0.25">
      <c r="AM320" s="105" t="s">
        <v>1594</v>
      </c>
      <c r="AO320" s="105" t="s">
        <v>2296</v>
      </c>
      <c r="AU320" s="105" t="s">
        <v>4054</v>
      </c>
      <c r="AV320" s="105" t="s">
        <v>2723</v>
      </c>
      <c r="AX320" t="s">
        <v>3504</v>
      </c>
      <c r="BA320"/>
    </row>
    <row r="321" spans="39:53" ht="89.25" x14ac:dyDescent="0.25">
      <c r="AM321" s="105" t="s">
        <v>1595</v>
      </c>
      <c r="AO321" s="105" t="s">
        <v>2297</v>
      </c>
      <c r="AU321" s="105" t="s">
        <v>4055</v>
      </c>
      <c r="AV321" s="105" t="s">
        <v>2724</v>
      </c>
      <c r="AX321" t="s">
        <v>3505</v>
      </c>
      <c r="BA321"/>
    </row>
    <row r="322" spans="39:53" ht="89.25" x14ac:dyDescent="0.25">
      <c r="AM322" s="105" t="s">
        <v>1596</v>
      </c>
      <c r="AO322" s="105" t="s">
        <v>2298</v>
      </c>
      <c r="AU322" s="105" t="s">
        <v>4056</v>
      </c>
      <c r="AV322" s="105" t="s">
        <v>2725</v>
      </c>
      <c r="AX322" t="s">
        <v>3506</v>
      </c>
      <c r="BA322"/>
    </row>
    <row r="323" spans="39:53" ht="63.75" x14ac:dyDescent="0.25">
      <c r="AM323" s="105" t="s">
        <v>1597</v>
      </c>
      <c r="AO323" s="105" t="s">
        <v>2299</v>
      </c>
      <c r="AU323" s="105" t="s">
        <v>4057</v>
      </c>
      <c r="AV323" s="105" t="s">
        <v>2726</v>
      </c>
      <c r="AX323" t="s">
        <v>3507</v>
      </c>
      <c r="BA323"/>
    </row>
    <row r="324" spans="39:53" ht="76.5" x14ac:dyDescent="0.25">
      <c r="AM324" s="105" t="s">
        <v>1598</v>
      </c>
      <c r="AO324" s="105" t="s">
        <v>2300</v>
      </c>
      <c r="AU324" s="105" t="s">
        <v>4058</v>
      </c>
      <c r="AV324" s="105" t="s">
        <v>1460</v>
      </c>
      <c r="AX324" t="s">
        <v>3508</v>
      </c>
      <c r="BA324"/>
    </row>
    <row r="325" spans="39:53" ht="127.5" x14ac:dyDescent="0.25">
      <c r="AM325" s="105" t="s">
        <v>1599</v>
      </c>
      <c r="AO325" s="105" t="s">
        <v>2301</v>
      </c>
      <c r="AU325" s="105" t="s">
        <v>4059</v>
      </c>
      <c r="AV325" s="105" t="s">
        <v>2727</v>
      </c>
      <c r="AX325" t="s">
        <v>3509</v>
      </c>
      <c r="BA325"/>
    </row>
    <row r="326" spans="39:53" ht="127.5" x14ac:dyDescent="0.25">
      <c r="AM326" s="105" t="s">
        <v>1600</v>
      </c>
      <c r="AO326" s="105" t="s">
        <v>2302</v>
      </c>
      <c r="AU326" s="105" t="s">
        <v>4060</v>
      </c>
      <c r="AV326" s="105" t="s">
        <v>2728</v>
      </c>
      <c r="AX326" t="s">
        <v>3510</v>
      </c>
      <c r="BA326"/>
    </row>
    <row r="327" spans="39:53" ht="102" x14ac:dyDescent="0.25">
      <c r="AM327" s="105" t="s">
        <v>1601</v>
      </c>
      <c r="AO327" s="105" t="s">
        <v>2303</v>
      </c>
      <c r="AU327" s="105" t="s">
        <v>4061</v>
      </c>
      <c r="AV327" s="105" t="s">
        <v>2729</v>
      </c>
      <c r="AX327" t="s">
        <v>3511</v>
      </c>
      <c r="BA327"/>
    </row>
    <row r="328" spans="39:53" ht="89.25" x14ac:dyDescent="0.25">
      <c r="AM328" s="105" t="s">
        <v>1602</v>
      </c>
      <c r="AO328" s="105" t="s">
        <v>2304</v>
      </c>
      <c r="AU328" s="105" t="s">
        <v>4062</v>
      </c>
      <c r="AV328" s="105" t="s">
        <v>2730</v>
      </c>
      <c r="AX328" t="s">
        <v>3512</v>
      </c>
      <c r="BA328"/>
    </row>
    <row r="329" spans="39:53" ht="89.25" x14ac:dyDescent="0.25">
      <c r="AM329" s="105" t="s">
        <v>1603</v>
      </c>
      <c r="AO329" s="105" t="s">
        <v>2305</v>
      </c>
      <c r="AU329" s="105" t="s">
        <v>4063</v>
      </c>
      <c r="AV329" s="105" t="s">
        <v>2731</v>
      </c>
      <c r="AX329" t="s">
        <v>3513</v>
      </c>
      <c r="BA329"/>
    </row>
    <row r="330" spans="39:53" ht="102" x14ac:dyDescent="0.25">
      <c r="AM330" s="105" t="s">
        <v>1604</v>
      </c>
      <c r="AO330" s="105" t="s">
        <v>2306</v>
      </c>
      <c r="AU330" s="105" t="s">
        <v>4064</v>
      </c>
      <c r="AV330" s="105" t="s">
        <v>2732</v>
      </c>
      <c r="AX330" t="s">
        <v>3514</v>
      </c>
      <c r="BA330"/>
    </row>
    <row r="331" spans="39:53" ht="114.75" x14ac:dyDescent="0.25">
      <c r="AM331" s="105" t="s">
        <v>1605</v>
      </c>
      <c r="AO331" s="105" t="s">
        <v>2307</v>
      </c>
      <c r="AU331" s="105" t="s">
        <v>4065</v>
      </c>
      <c r="AV331" s="105" t="s">
        <v>2733</v>
      </c>
      <c r="AX331" t="s">
        <v>3515</v>
      </c>
      <c r="BA331"/>
    </row>
    <row r="332" spans="39:53" ht="89.25" x14ac:dyDescent="0.25">
      <c r="AM332" s="105" t="s">
        <v>1606</v>
      </c>
      <c r="AO332" s="105" t="s">
        <v>2308</v>
      </c>
      <c r="AU332" s="105" t="s">
        <v>4066</v>
      </c>
      <c r="AV332" s="105" t="s">
        <v>2734</v>
      </c>
      <c r="AX332" t="s">
        <v>3516</v>
      </c>
      <c r="BA332"/>
    </row>
    <row r="333" spans="39:53" ht="89.25" x14ac:dyDescent="0.25">
      <c r="AM333" s="105" t="s">
        <v>1607</v>
      </c>
      <c r="AO333" s="105" t="s">
        <v>2309</v>
      </c>
      <c r="AU333" s="105" t="s">
        <v>4067</v>
      </c>
      <c r="AV333" s="105" t="s">
        <v>2735</v>
      </c>
      <c r="AX333" t="s">
        <v>3517</v>
      </c>
      <c r="BA333"/>
    </row>
    <row r="334" spans="39:53" ht="89.25" x14ac:dyDescent="0.25">
      <c r="AM334" s="105" t="s">
        <v>1608</v>
      </c>
      <c r="AO334" s="105" t="s">
        <v>2310</v>
      </c>
      <c r="AU334" s="105" t="s">
        <v>4068</v>
      </c>
      <c r="AV334" s="105" t="s">
        <v>2736</v>
      </c>
      <c r="AX334" t="s">
        <v>3518</v>
      </c>
      <c r="BA334"/>
    </row>
    <row r="335" spans="39:53" ht="63.75" x14ac:dyDescent="0.25">
      <c r="AM335" s="105" t="s">
        <v>1609</v>
      </c>
      <c r="AO335" s="105" t="s">
        <v>2311</v>
      </c>
      <c r="AU335" s="105" t="s">
        <v>4069</v>
      </c>
      <c r="AV335" s="105" t="s">
        <v>2737</v>
      </c>
      <c r="AX335" t="s">
        <v>3519</v>
      </c>
      <c r="BA335"/>
    </row>
    <row r="336" spans="39:53" ht="76.5" x14ac:dyDescent="0.25">
      <c r="AM336" s="105" t="s">
        <v>1610</v>
      </c>
      <c r="AO336" s="105" t="s">
        <v>2312</v>
      </c>
      <c r="AU336" s="105" t="s">
        <v>4070</v>
      </c>
      <c r="AV336" s="105" t="s">
        <v>2738</v>
      </c>
      <c r="AX336" t="s">
        <v>3520</v>
      </c>
      <c r="BA336"/>
    </row>
    <row r="337" spans="39:53" ht="127.5" x14ac:dyDescent="0.25">
      <c r="AM337" s="105" t="s">
        <v>1611</v>
      </c>
      <c r="AO337" s="105" t="s">
        <v>2313</v>
      </c>
      <c r="AU337" s="105" t="s">
        <v>4071</v>
      </c>
      <c r="AV337" s="105" t="s">
        <v>2739</v>
      </c>
      <c r="AX337" t="s">
        <v>3521</v>
      </c>
      <c r="BA337"/>
    </row>
    <row r="338" spans="39:53" ht="127.5" x14ac:dyDescent="0.25">
      <c r="AM338" s="105" t="s">
        <v>1612</v>
      </c>
      <c r="AO338" s="105" t="s">
        <v>2314</v>
      </c>
      <c r="AU338" s="105" t="s">
        <v>4072</v>
      </c>
      <c r="AV338" s="105" t="s">
        <v>2740</v>
      </c>
      <c r="AX338" t="s">
        <v>3522</v>
      </c>
      <c r="BA338"/>
    </row>
    <row r="339" spans="39:53" ht="102" x14ac:dyDescent="0.25">
      <c r="AM339" s="105" t="s">
        <v>1613</v>
      </c>
      <c r="AO339" s="105" t="s">
        <v>2315</v>
      </c>
      <c r="AU339" s="105" t="s">
        <v>4073</v>
      </c>
      <c r="AV339" s="105" t="s">
        <v>2741</v>
      </c>
      <c r="AX339" t="s">
        <v>3523</v>
      </c>
      <c r="BA339"/>
    </row>
    <row r="340" spans="39:53" ht="89.25" x14ac:dyDescent="0.25">
      <c r="AM340" s="105" t="s">
        <v>1614</v>
      </c>
      <c r="AO340" s="105" t="s">
        <v>2316</v>
      </c>
      <c r="AU340" s="105" t="s">
        <v>4074</v>
      </c>
      <c r="AV340" s="105" t="s">
        <v>2742</v>
      </c>
      <c r="AX340" t="s">
        <v>3524</v>
      </c>
      <c r="BA340"/>
    </row>
    <row r="341" spans="39:53" ht="89.25" x14ac:dyDescent="0.25">
      <c r="AM341" s="105" t="s">
        <v>1615</v>
      </c>
      <c r="AO341" s="105" t="s">
        <v>2317</v>
      </c>
      <c r="AU341" s="105" t="s">
        <v>4075</v>
      </c>
      <c r="AV341" s="105" t="s">
        <v>2743</v>
      </c>
      <c r="AX341" t="s">
        <v>3525</v>
      </c>
      <c r="BA341"/>
    </row>
    <row r="342" spans="39:53" ht="102" x14ac:dyDescent="0.25">
      <c r="AM342" s="105" t="s">
        <v>1616</v>
      </c>
      <c r="AO342" s="105" t="s">
        <v>2318</v>
      </c>
      <c r="AU342" s="105" t="s">
        <v>4076</v>
      </c>
      <c r="AV342" s="105" t="s">
        <v>2744</v>
      </c>
      <c r="AX342" t="s">
        <v>3526</v>
      </c>
      <c r="BA342"/>
    </row>
    <row r="343" spans="39:53" ht="114.75" x14ac:dyDescent="0.25">
      <c r="AM343" s="105" t="s">
        <v>1617</v>
      </c>
      <c r="AO343" s="105" t="s">
        <v>2319</v>
      </c>
      <c r="AU343" s="105" t="s">
        <v>4077</v>
      </c>
      <c r="AV343" s="105" t="s">
        <v>2745</v>
      </c>
      <c r="AX343" t="s">
        <v>3527</v>
      </c>
      <c r="BA343"/>
    </row>
    <row r="344" spans="39:53" ht="89.25" x14ac:dyDescent="0.25">
      <c r="AM344" s="105" t="s">
        <v>1618</v>
      </c>
      <c r="AO344" s="105" t="s">
        <v>2320</v>
      </c>
      <c r="AU344" s="105" t="s">
        <v>4078</v>
      </c>
      <c r="AV344" s="105" t="s">
        <v>2746</v>
      </c>
      <c r="AX344" t="s">
        <v>3528</v>
      </c>
      <c r="BA344"/>
    </row>
    <row r="345" spans="39:53" ht="76.5" x14ac:dyDescent="0.25">
      <c r="AM345" s="105" t="s">
        <v>1619</v>
      </c>
      <c r="AO345" s="105" t="s">
        <v>2321</v>
      </c>
      <c r="AU345" s="105" t="s">
        <v>4079</v>
      </c>
      <c r="AV345" s="105" t="s">
        <v>2747</v>
      </c>
      <c r="AX345" t="s">
        <v>3529</v>
      </c>
      <c r="BA345"/>
    </row>
    <row r="346" spans="39:53" ht="89.25" x14ac:dyDescent="0.25">
      <c r="AM346" s="105" t="s">
        <v>1620</v>
      </c>
      <c r="AO346" s="105" t="s">
        <v>2322</v>
      </c>
      <c r="AU346" s="105" t="s">
        <v>4080</v>
      </c>
      <c r="AV346" s="105" t="s">
        <v>2748</v>
      </c>
      <c r="AX346" t="s">
        <v>3530</v>
      </c>
      <c r="BA346"/>
    </row>
    <row r="347" spans="39:53" ht="76.5" x14ac:dyDescent="0.25">
      <c r="AM347" s="105" t="s">
        <v>1621</v>
      </c>
      <c r="AO347" s="105" t="s">
        <v>2323</v>
      </c>
      <c r="AU347" s="105" t="s">
        <v>4081</v>
      </c>
      <c r="AV347" s="105" t="s">
        <v>2749</v>
      </c>
      <c r="AX347" t="s">
        <v>3531</v>
      </c>
      <c r="BA347"/>
    </row>
    <row r="348" spans="39:53" ht="89.25" x14ac:dyDescent="0.25">
      <c r="AM348" s="105" t="s">
        <v>1622</v>
      </c>
      <c r="AO348" s="105" t="s">
        <v>2324</v>
      </c>
      <c r="AU348" s="105" t="s">
        <v>4082</v>
      </c>
      <c r="AV348" s="105" t="s">
        <v>2750</v>
      </c>
      <c r="AX348" t="s">
        <v>3532</v>
      </c>
      <c r="BA348"/>
    </row>
    <row r="349" spans="39:53" ht="89.25" x14ac:dyDescent="0.25">
      <c r="AM349" s="105" t="s">
        <v>1623</v>
      </c>
      <c r="AO349" s="105" t="s">
        <v>2325</v>
      </c>
      <c r="AU349" s="105" t="s">
        <v>4083</v>
      </c>
      <c r="AV349" s="105" t="s">
        <v>2751</v>
      </c>
      <c r="AX349" t="s">
        <v>3533</v>
      </c>
      <c r="BA349"/>
    </row>
    <row r="350" spans="39:53" ht="89.25" x14ac:dyDescent="0.25">
      <c r="AM350" s="105" t="s">
        <v>1624</v>
      </c>
      <c r="AO350" s="105" t="s">
        <v>2326</v>
      </c>
      <c r="AU350" s="105" t="s">
        <v>4084</v>
      </c>
      <c r="AV350" s="105" t="s">
        <v>2752</v>
      </c>
      <c r="AX350" t="s">
        <v>3534</v>
      </c>
      <c r="BA350"/>
    </row>
    <row r="351" spans="39:53" ht="89.25" x14ac:dyDescent="0.25">
      <c r="AM351" s="105" t="s">
        <v>1625</v>
      </c>
      <c r="AO351" s="105" t="s">
        <v>2327</v>
      </c>
      <c r="AU351" s="105" t="s">
        <v>4085</v>
      </c>
      <c r="AV351" s="105" t="s">
        <v>2753</v>
      </c>
      <c r="AX351" t="s">
        <v>3535</v>
      </c>
      <c r="BA351"/>
    </row>
    <row r="352" spans="39:53" ht="89.25" x14ac:dyDescent="0.25">
      <c r="AM352" s="105" t="s">
        <v>1626</v>
      </c>
      <c r="AO352" s="105" t="s">
        <v>2328</v>
      </c>
      <c r="AU352" s="105" t="s">
        <v>4086</v>
      </c>
      <c r="AV352" s="105" t="s">
        <v>2754</v>
      </c>
      <c r="AX352" t="s">
        <v>3536</v>
      </c>
      <c r="BA352"/>
    </row>
    <row r="353" spans="39:53" ht="76.5" x14ac:dyDescent="0.25">
      <c r="AM353" s="105" t="s">
        <v>1627</v>
      </c>
      <c r="AO353" s="105" t="s">
        <v>2329</v>
      </c>
      <c r="AU353" s="105" t="s">
        <v>4087</v>
      </c>
      <c r="AV353" s="105" t="s">
        <v>2755</v>
      </c>
      <c r="AX353" t="s">
        <v>3537</v>
      </c>
      <c r="BA353"/>
    </row>
    <row r="354" spans="39:53" ht="89.25" x14ac:dyDescent="0.25">
      <c r="AM354" s="105" t="s">
        <v>1628</v>
      </c>
      <c r="AO354" s="105" t="s">
        <v>2330</v>
      </c>
      <c r="AU354" s="105" t="s">
        <v>4088</v>
      </c>
      <c r="AV354" s="105" t="s">
        <v>1490</v>
      </c>
      <c r="AX354" t="s">
        <v>3538</v>
      </c>
      <c r="BA354"/>
    </row>
    <row r="355" spans="39:53" ht="89.25" x14ac:dyDescent="0.25">
      <c r="AM355" s="105" t="s">
        <v>1629</v>
      </c>
      <c r="AO355" s="105" t="s">
        <v>2331</v>
      </c>
      <c r="AU355" s="105" t="s">
        <v>4089</v>
      </c>
      <c r="AV355" s="105" t="s">
        <v>2756</v>
      </c>
      <c r="AX355" t="s">
        <v>3539</v>
      </c>
      <c r="BA355"/>
    </row>
    <row r="356" spans="39:53" ht="127.5" x14ac:dyDescent="0.25">
      <c r="AM356" s="105" t="s">
        <v>1630</v>
      </c>
      <c r="AO356" s="105" t="s">
        <v>2332</v>
      </c>
      <c r="AU356" s="105" t="s">
        <v>4090</v>
      </c>
      <c r="AV356" s="105" t="s">
        <v>2757</v>
      </c>
      <c r="AX356" t="s">
        <v>3540</v>
      </c>
      <c r="BA356"/>
    </row>
    <row r="357" spans="39:53" ht="102" x14ac:dyDescent="0.25">
      <c r="AM357" s="105" t="s">
        <v>1631</v>
      </c>
      <c r="AO357" s="105" t="s">
        <v>2333</v>
      </c>
      <c r="AU357" s="105" t="s">
        <v>4091</v>
      </c>
      <c r="AV357" s="105" t="s">
        <v>2758</v>
      </c>
      <c r="AX357" t="s">
        <v>3541</v>
      </c>
      <c r="BA357"/>
    </row>
    <row r="358" spans="39:53" ht="102" x14ac:dyDescent="0.25">
      <c r="AM358" s="105" t="s">
        <v>1632</v>
      </c>
      <c r="AO358" s="105" t="s">
        <v>2334</v>
      </c>
      <c r="AU358" s="105" t="s">
        <v>4092</v>
      </c>
      <c r="AV358" s="105" t="s">
        <v>2759</v>
      </c>
      <c r="AX358" t="s">
        <v>3542</v>
      </c>
      <c r="BA358"/>
    </row>
    <row r="359" spans="39:53" ht="76.5" x14ac:dyDescent="0.25">
      <c r="AM359" s="105" t="s">
        <v>1633</v>
      </c>
      <c r="AO359" s="105" t="s">
        <v>2335</v>
      </c>
      <c r="AU359" s="105" t="s">
        <v>4093</v>
      </c>
      <c r="AV359" s="105" t="s">
        <v>2760</v>
      </c>
      <c r="AX359" t="s">
        <v>3543</v>
      </c>
      <c r="BA359"/>
    </row>
    <row r="360" spans="39:53" ht="89.25" x14ac:dyDescent="0.25">
      <c r="AM360" s="105" t="s">
        <v>1634</v>
      </c>
      <c r="AO360" s="105" t="s">
        <v>2336</v>
      </c>
      <c r="AU360" s="105" t="s">
        <v>4094</v>
      </c>
      <c r="AV360" s="105" t="s">
        <v>2761</v>
      </c>
      <c r="AX360" t="s">
        <v>3544</v>
      </c>
      <c r="BA360"/>
    </row>
    <row r="361" spans="39:53" ht="76.5" x14ac:dyDescent="0.25">
      <c r="AM361" s="105" t="s">
        <v>1635</v>
      </c>
      <c r="AO361" s="105" t="s">
        <v>2337</v>
      </c>
      <c r="AU361" s="105" t="s">
        <v>4095</v>
      </c>
      <c r="AV361" s="105" t="s">
        <v>2762</v>
      </c>
      <c r="AX361" t="s">
        <v>3545</v>
      </c>
      <c r="BA361"/>
    </row>
    <row r="362" spans="39:53" ht="89.25" x14ac:dyDescent="0.25">
      <c r="AM362" s="105" t="s">
        <v>1636</v>
      </c>
      <c r="AO362" s="105" t="s">
        <v>2338</v>
      </c>
      <c r="AU362" s="105" t="s">
        <v>4096</v>
      </c>
      <c r="AV362" s="105" t="s">
        <v>2763</v>
      </c>
      <c r="AX362" t="s">
        <v>3546</v>
      </c>
      <c r="BA362"/>
    </row>
    <row r="363" spans="39:53" ht="89.25" x14ac:dyDescent="0.25">
      <c r="AM363" s="105" t="s">
        <v>1637</v>
      </c>
      <c r="AO363" s="105" t="s">
        <v>2339</v>
      </c>
      <c r="AU363" s="105" t="s">
        <v>4097</v>
      </c>
      <c r="AV363" s="105" t="s">
        <v>2764</v>
      </c>
      <c r="AX363" t="s">
        <v>3547</v>
      </c>
      <c r="BA363"/>
    </row>
    <row r="364" spans="39:53" ht="89.25" x14ac:dyDescent="0.25">
      <c r="AM364" s="105" t="s">
        <v>1638</v>
      </c>
      <c r="AO364" s="105" t="s">
        <v>2340</v>
      </c>
      <c r="AU364" s="105" t="s">
        <v>4098</v>
      </c>
      <c r="AV364" s="105" t="s">
        <v>2765</v>
      </c>
      <c r="AX364" t="s">
        <v>3548</v>
      </c>
      <c r="BA364"/>
    </row>
    <row r="365" spans="39:53" ht="89.25" x14ac:dyDescent="0.25">
      <c r="AM365" s="105" t="s">
        <v>1639</v>
      </c>
      <c r="AO365" s="105" t="s">
        <v>2341</v>
      </c>
      <c r="AU365" s="105" t="s">
        <v>4099</v>
      </c>
      <c r="AV365" s="105" t="s">
        <v>2766</v>
      </c>
      <c r="AX365" t="s">
        <v>3549</v>
      </c>
      <c r="BA365"/>
    </row>
    <row r="366" spans="39:53" ht="89.25" x14ac:dyDescent="0.25">
      <c r="AM366" s="105" t="s">
        <v>1640</v>
      </c>
      <c r="AO366" s="105" t="s">
        <v>2342</v>
      </c>
      <c r="AU366" s="105" t="s">
        <v>4100</v>
      </c>
      <c r="AV366" s="105" t="s">
        <v>2767</v>
      </c>
      <c r="AX366" t="s">
        <v>3550</v>
      </c>
      <c r="BA366"/>
    </row>
    <row r="367" spans="39:53" ht="76.5" x14ac:dyDescent="0.25">
      <c r="AM367" s="105" t="s">
        <v>1641</v>
      </c>
      <c r="AO367" s="105" t="s">
        <v>2343</v>
      </c>
      <c r="AU367" s="105" t="s">
        <v>4101</v>
      </c>
      <c r="AV367" s="105" t="s">
        <v>2768</v>
      </c>
      <c r="AX367" t="s">
        <v>3551</v>
      </c>
      <c r="BA367"/>
    </row>
    <row r="368" spans="39:53" ht="127.5" x14ac:dyDescent="0.25">
      <c r="AM368" s="105" t="s">
        <v>1439</v>
      </c>
      <c r="AO368" s="105" t="s">
        <v>2344</v>
      </c>
      <c r="AU368" s="105" t="s">
        <v>4102</v>
      </c>
      <c r="AV368" s="105" t="s">
        <v>1514</v>
      </c>
      <c r="AX368" t="s">
        <v>3696</v>
      </c>
      <c r="BA368"/>
    </row>
    <row r="369" spans="39:53" ht="102" x14ac:dyDescent="0.25">
      <c r="AM369" s="105" t="s">
        <v>1642</v>
      </c>
      <c r="AO369" s="105" t="s">
        <v>2345</v>
      </c>
      <c r="AU369" s="105" t="s">
        <v>4103</v>
      </c>
      <c r="AV369" s="105" t="s">
        <v>2769</v>
      </c>
      <c r="AX369" t="s">
        <v>3552</v>
      </c>
      <c r="BA369"/>
    </row>
    <row r="370" spans="39:53" ht="102" x14ac:dyDescent="0.25">
      <c r="AM370" s="105" t="s">
        <v>1643</v>
      </c>
      <c r="AO370" s="105" t="s">
        <v>2346</v>
      </c>
      <c r="AU370" s="105" t="s">
        <v>4104</v>
      </c>
      <c r="AV370" s="105" t="s">
        <v>2770</v>
      </c>
      <c r="AX370" t="s">
        <v>3553</v>
      </c>
      <c r="BA370"/>
    </row>
    <row r="371" spans="39:53" ht="89.25" x14ac:dyDescent="0.25">
      <c r="AM371" s="105" t="s">
        <v>1644</v>
      </c>
      <c r="AO371" s="105" t="s">
        <v>2347</v>
      </c>
      <c r="AU371" s="105" t="s">
        <v>4105</v>
      </c>
      <c r="AV371" s="105" t="s">
        <v>2771</v>
      </c>
      <c r="AX371" t="s">
        <v>3554</v>
      </c>
      <c r="BA371"/>
    </row>
    <row r="372" spans="39:53" ht="76.5" x14ac:dyDescent="0.25">
      <c r="AM372" s="105" t="s">
        <v>1440</v>
      </c>
      <c r="AO372" s="105" t="s">
        <v>2348</v>
      </c>
      <c r="AU372" s="105" t="s">
        <v>4106</v>
      </c>
      <c r="AV372" s="105" t="s">
        <v>2579</v>
      </c>
      <c r="AX372" t="s">
        <v>3697</v>
      </c>
      <c r="BA372"/>
    </row>
    <row r="373" spans="39:53" ht="76.5" x14ac:dyDescent="0.25">
      <c r="AM373" s="105" t="s">
        <v>1645</v>
      </c>
      <c r="AO373" s="105" t="s">
        <v>2349</v>
      </c>
      <c r="AU373" s="105" t="s">
        <v>4107</v>
      </c>
      <c r="AV373" s="105" t="s">
        <v>2772</v>
      </c>
      <c r="AX373" t="s">
        <v>3555</v>
      </c>
      <c r="BA373"/>
    </row>
    <row r="374" spans="39:53" ht="76.5" x14ac:dyDescent="0.25">
      <c r="AM374" s="105" t="s">
        <v>1646</v>
      </c>
      <c r="AO374" s="105" t="s">
        <v>2350</v>
      </c>
      <c r="AU374" s="105" t="s">
        <v>4108</v>
      </c>
      <c r="AV374" s="105" t="s">
        <v>2773</v>
      </c>
      <c r="AX374" t="s">
        <v>3556</v>
      </c>
      <c r="BA374"/>
    </row>
    <row r="375" spans="39:53" ht="76.5" x14ac:dyDescent="0.25">
      <c r="AM375" s="105" t="s">
        <v>1647</v>
      </c>
      <c r="AO375" s="105" t="s">
        <v>2351</v>
      </c>
      <c r="AU375" s="105" t="s">
        <v>4109</v>
      </c>
      <c r="AV375" s="105" t="s">
        <v>2774</v>
      </c>
      <c r="AX375" t="s">
        <v>3557</v>
      </c>
      <c r="BA375"/>
    </row>
    <row r="376" spans="39:53" ht="76.5" x14ac:dyDescent="0.25">
      <c r="AM376" s="105" t="s">
        <v>1648</v>
      </c>
      <c r="AO376" s="105" t="s">
        <v>2352</v>
      </c>
      <c r="AU376" s="105" t="s">
        <v>4110</v>
      </c>
      <c r="AV376" s="105" t="s">
        <v>2775</v>
      </c>
      <c r="AX376" t="s">
        <v>3558</v>
      </c>
      <c r="BA376"/>
    </row>
    <row r="377" spans="39:53" ht="76.5" x14ac:dyDescent="0.25">
      <c r="AM377" s="105" t="s">
        <v>1649</v>
      </c>
      <c r="AO377" s="105" t="s">
        <v>2353</v>
      </c>
      <c r="AU377" s="105" t="s">
        <v>4111</v>
      </c>
      <c r="AV377" s="105" t="s">
        <v>2776</v>
      </c>
      <c r="AX377" t="s">
        <v>3559</v>
      </c>
      <c r="BA377"/>
    </row>
    <row r="378" spans="39:53" ht="76.5" x14ac:dyDescent="0.25">
      <c r="AM378" s="105" t="s">
        <v>1650</v>
      </c>
      <c r="AO378" s="105" t="s">
        <v>2354</v>
      </c>
      <c r="AU378" s="105" t="s">
        <v>4112</v>
      </c>
      <c r="AV378" s="105" t="s">
        <v>2777</v>
      </c>
      <c r="AX378" t="s">
        <v>3560</v>
      </c>
      <c r="BA378"/>
    </row>
    <row r="379" spans="39:53" ht="76.5" x14ac:dyDescent="0.25">
      <c r="AM379" s="105" t="s">
        <v>1651</v>
      </c>
      <c r="AO379" s="105" t="s">
        <v>2355</v>
      </c>
      <c r="AU379" s="105" t="s">
        <v>4113</v>
      </c>
      <c r="AV379" s="105" t="s">
        <v>2778</v>
      </c>
      <c r="AX379" t="s">
        <v>3561</v>
      </c>
      <c r="BA379"/>
    </row>
    <row r="380" spans="39:53" ht="76.5" x14ac:dyDescent="0.25">
      <c r="AM380" s="105" t="s">
        <v>1652</v>
      </c>
      <c r="AO380" s="105" t="s">
        <v>2356</v>
      </c>
      <c r="AU380" s="105" t="s">
        <v>4114</v>
      </c>
      <c r="AV380" s="105" t="s">
        <v>2779</v>
      </c>
      <c r="AX380" t="s">
        <v>3562</v>
      </c>
      <c r="BA380"/>
    </row>
    <row r="381" spans="39:53" ht="127.5" x14ac:dyDescent="0.25">
      <c r="AM381" s="105" t="s">
        <v>1653</v>
      </c>
      <c r="AO381" s="105" t="s">
        <v>2357</v>
      </c>
      <c r="AU381" s="105" t="s">
        <v>4115</v>
      </c>
      <c r="AV381" s="105" t="s">
        <v>2780</v>
      </c>
      <c r="AX381" t="s">
        <v>3563</v>
      </c>
      <c r="BA381"/>
    </row>
    <row r="382" spans="39:53" ht="102" x14ac:dyDescent="0.25">
      <c r="AM382" s="105" t="s">
        <v>1654</v>
      </c>
      <c r="AO382" s="105" t="s">
        <v>2358</v>
      </c>
      <c r="AU382" s="105" t="s">
        <v>4116</v>
      </c>
      <c r="AV382" s="105" t="s">
        <v>2781</v>
      </c>
      <c r="AX382" t="s">
        <v>3564</v>
      </c>
      <c r="BA382"/>
    </row>
    <row r="383" spans="39:53" ht="102" x14ac:dyDescent="0.25">
      <c r="AM383" s="105" t="s">
        <v>1655</v>
      </c>
      <c r="AO383" s="105" t="s">
        <v>2359</v>
      </c>
      <c r="AU383" s="105" t="s">
        <v>4117</v>
      </c>
      <c r="AV383" s="105" t="s">
        <v>2782</v>
      </c>
      <c r="AX383" t="s">
        <v>3565</v>
      </c>
      <c r="BA383"/>
    </row>
    <row r="384" spans="39:53" ht="89.25" x14ac:dyDescent="0.25">
      <c r="AM384" s="105" t="s">
        <v>1656</v>
      </c>
      <c r="AO384" s="105" t="s">
        <v>2360</v>
      </c>
      <c r="AU384" s="105" t="s">
        <v>4118</v>
      </c>
      <c r="AV384" s="105" t="s">
        <v>2783</v>
      </c>
      <c r="AX384" t="s">
        <v>3566</v>
      </c>
      <c r="BA384"/>
    </row>
    <row r="385" spans="39:53" ht="51" x14ac:dyDescent="0.25">
      <c r="AM385" s="105" t="s">
        <v>1441</v>
      </c>
      <c r="AO385" s="105" t="s">
        <v>2361</v>
      </c>
      <c r="AU385" s="105" t="s">
        <v>4119</v>
      </c>
      <c r="AV385" s="105" t="s">
        <v>2580</v>
      </c>
      <c r="AX385" t="s">
        <v>3698</v>
      </c>
      <c r="BA385"/>
    </row>
    <row r="386" spans="39:53" ht="38.25" x14ac:dyDescent="0.25">
      <c r="AM386" s="105" t="s">
        <v>1657</v>
      </c>
      <c r="AO386" s="105" t="s">
        <v>2362</v>
      </c>
      <c r="AU386" s="105" t="s">
        <v>4120</v>
      </c>
      <c r="AV386" s="105" t="s">
        <v>2784</v>
      </c>
      <c r="AX386" t="s">
        <v>3567</v>
      </c>
      <c r="BA386"/>
    </row>
    <row r="387" spans="39:53" ht="51" x14ac:dyDescent="0.25">
      <c r="AM387" s="105" t="s">
        <v>1658</v>
      </c>
      <c r="AO387" s="105" t="s">
        <v>2363</v>
      </c>
      <c r="AU387" s="105" t="s">
        <v>4121</v>
      </c>
      <c r="AV387" s="105" t="s">
        <v>2785</v>
      </c>
      <c r="AX387" t="s">
        <v>3568</v>
      </c>
      <c r="BA387"/>
    </row>
    <row r="388" spans="39:53" ht="38.25" x14ac:dyDescent="0.25">
      <c r="AM388" s="105" t="s">
        <v>1659</v>
      </c>
      <c r="AO388" s="105" t="s">
        <v>2364</v>
      </c>
      <c r="AU388" s="105" t="s">
        <v>4122</v>
      </c>
      <c r="AV388" s="105" t="s">
        <v>2786</v>
      </c>
      <c r="AX388" t="s">
        <v>3569</v>
      </c>
      <c r="BA388"/>
    </row>
    <row r="389" spans="39:53" ht="76.5" x14ac:dyDescent="0.25">
      <c r="AM389" s="105" t="s">
        <v>1660</v>
      </c>
      <c r="AO389" s="105" t="s">
        <v>2365</v>
      </c>
      <c r="AU389" s="105" t="s">
        <v>4123</v>
      </c>
      <c r="AV389" s="105" t="s">
        <v>2787</v>
      </c>
      <c r="AX389" t="s">
        <v>3570</v>
      </c>
      <c r="BA389"/>
    </row>
    <row r="390" spans="39:53" ht="63.75" x14ac:dyDescent="0.25">
      <c r="AM390" s="105" t="s">
        <v>1661</v>
      </c>
      <c r="AO390" s="105" t="s">
        <v>2366</v>
      </c>
      <c r="AU390" s="105" t="s">
        <v>4124</v>
      </c>
      <c r="AV390" s="105" t="s">
        <v>2788</v>
      </c>
      <c r="AX390" t="s">
        <v>3571</v>
      </c>
      <c r="BA390"/>
    </row>
    <row r="391" spans="39:53" ht="51" x14ac:dyDescent="0.25">
      <c r="AM391" s="105" t="s">
        <v>1662</v>
      </c>
      <c r="AO391" s="105" t="s">
        <v>2367</v>
      </c>
      <c r="AU391" s="105" t="s">
        <v>4125</v>
      </c>
      <c r="AV391" s="105" t="s">
        <v>2789</v>
      </c>
      <c r="AX391" t="s">
        <v>3572</v>
      </c>
      <c r="BA391"/>
    </row>
    <row r="392" spans="39:53" ht="38.25" x14ac:dyDescent="0.25">
      <c r="AM392" s="105" t="s">
        <v>1663</v>
      </c>
      <c r="AO392" s="105" t="s">
        <v>2368</v>
      </c>
      <c r="AU392" s="105" t="s">
        <v>4126</v>
      </c>
      <c r="AV392" s="105" t="s">
        <v>2790</v>
      </c>
      <c r="AX392" t="s">
        <v>3573</v>
      </c>
      <c r="BA392"/>
    </row>
    <row r="393" spans="39:53" ht="89.25" x14ac:dyDescent="0.25">
      <c r="AM393" s="105" t="s">
        <v>1664</v>
      </c>
      <c r="AO393" s="105" t="s">
        <v>2369</v>
      </c>
      <c r="AU393" s="105" t="s">
        <v>4127</v>
      </c>
      <c r="AV393" s="105" t="s">
        <v>2791</v>
      </c>
      <c r="AX393" t="s">
        <v>3574</v>
      </c>
      <c r="BA393"/>
    </row>
    <row r="394" spans="39:53" ht="89.25" x14ac:dyDescent="0.25">
      <c r="AM394" s="105" t="s">
        <v>1665</v>
      </c>
      <c r="AO394" s="105" t="s">
        <v>2370</v>
      </c>
      <c r="AU394" s="105" t="s">
        <v>4128</v>
      </c>
      <c r="AV394" s="105" t="s">
        <v>2792</v>
      </c>
      <c r="AX394" t="s">
        <v>3575</v>
      </c>
      <c r="BA394"/>
    </row>
    <row r="395" spans="39:53" ht="76.5" x14ac:dyDescent="0.25">
      <c r="AM395" s="105" t="s">
        <v>1666</v>
      </c>
      <c r="AO395" s="105" t="s">
        <v>2371</v>
      </c>
      <c r="AU395" s="105" t="s">
        <v>4129</v>
      </c>
      <c r="AV395" s="105" t="s">
        <v>2793</v>
      </c>
      <c r="AX395" t="s">
        <v>3576</v>
      </c>
      <c r="BA395"/>
    </row>
    <row r="396" spans="39:53" ht="63.75" x14ac:dyDescent="0.25">
      <c r="AM396" s="105" t="s">
        <v>1667</v>
      </c>
      <c r="AO396" s="105" t="s">
        <v>2372</v>
      </c>
      <c r="AU396" s="105" t="s">
        <v>4130</v>
      </c>
      <c r="AV396" s="105" t="s">
        <v>2794</v>
      </c>
      <c r="AX396" t="s">
        <v>3577</v>
      </c>
      <c r="BA396"/>
    </row>
    <row r="397" spans="39:53" ht="51" x14ac:dyDescent="0.25">
      <c r="AM397" s="105" t="s">
        <v>1668</v>
      </c>
      <c r="AO397" s="105" t="s">
        <v>2373</v>
      </c>
      <c r="AU397" s="105" t="s">
        <v>4131</v>
      </c>
      <c r="AV397" s="105" t="s">
        <v>2795</v>
      </c>
      <c r="AX397" t="s">
        <v>3578</v>
      </c>
      <c r="BA397"/>
    </row>
    <row r="398" spans="39:53" ht="38.25" x14ac:dyDescent="0.25">
      <c r="AM398" s="105" t="s">
        <v>1669</v>
      </c>
      <c r="AO398" s="105" t="s">
        <v>2374</v>
      </c>
      <c r="AU398" s="105" t="s">
        <v>4132</v>
      </c>
      <c r="AV398" s="105" t="s">
        <v>2796</v>
      </c>
      <c r="AX398" t="s">
        <v>3579</v>
      </c>
      <c r="BA398"/>
    </row>
    <row r="399" spans="39:53" ht="25.5" x14ac:dyDescent="0.25">
      <c r="AM399" s="105" t="s">
        <v>1670</v>
      </c>
      <c r="AO399" s="105" t="s">
        <v>2375</v>
      </c>
      <c r="AU399" s="105" t="s">
        <v>4133</v>
      </c>
      <c r="AV399" s="105" t="s">
        <v>2797</v>
      </c>
      <c r="AX399" t="s">
        <v>3580</v>
      </c>
      <c r="BA399"/>
    </row>
    <row r="400" spans="39:53" x14ac:dyDescent="0.25">
      <c r="AM400" s="105" t="s">
        <v>1671</v>
      </c>
      <c r="AU400" s="105" t="s">
        <v>4134</v>
      </c>
      <c r="AV400" s="105" t="s">
        <v>2798</v>
      </c>
      <c r="AX400" t="s">
        <v>3581</v>
      </c>
      <c r="BA400"/>
    </row>
    <row r="401" spans="39:53" x14ac:dyDescent="0.25">
      <c r="AM401" s="105" t="s">
        <v>1672</v>
      </c>
      <c r="AU401" s="105" t="s">
        <v>4135</v>
      </c>
      <c r="AV401" s="105" t="s">
        <v>1299</v>
      </c>
      <c r="AX401" t="s">
        <v>3582</v>
      </c>
      <c r="BA401"/>
    </row>
    <row r="402" spans="39:53" x14ac:dyDescent="0.25">
      <c r="AM402" s="105" t="s">
        <v>1673</v>
      </c>
      <c r="AU402" s="105" t="s">
        <v>4136</v>
      </c>
      <c r="AV402" s="105" t="s">
        <v>2799</v>
      </c>
      <c r="AX402" t="s">
        <v>3583</v>
      </c>
      <c r="BA402"/>
    </row>
    <row r="403" spans="39:53" x14ac:dyDescent="0.25">
      <c r="AM403" s="105" t="s">
        <v>1674</v>
      </c>
      <c r="AU403" s="105" t="s">
        <v>4137</v>
      </c>
      <c r="AV403" s="105" t="s">
        <v>2800</v>
      </c>
      <c r="AX403" t="s">
        <v>3584</v>
      </c>
      <c r="BA403"/>
    </row>
    <row r="404" spans="39:53" ht="25.5" x14ac:dyDescent="0.25">
      <c r="AM404" s="105" t="s">
        <v>1675</v>
      </c>
      <c r="AU404" s="105" t="s">
        <v>4138</v>
      </c>
      <c r="AV404" s="105" t="s">
        <v>2801</v>
      </c>
      <c r="AX404" t="s">
        <v>3585</v>
      </c>
      <c r="BA404"/>
    </row>
    <row r="405" spans="39:53" ht="25.5" x14ac:dyDescent="0.25">
      <c r="AM405" s="105" t="s">
        <v>1676</v>
      </c>
      <c r="AU405" s="105" t="s">
        <v>4139</v>
      </c>
      <c r="AV405" s="105" t="s">
        <v>2802</v>
      </c>
      <c r="AX405" t="s">
        <v>3586</v>
      </c>
      <c r="BA405"/>
    </row>
    <row r="406" spans="39:53" x14ac:dyDescent="0.25">
      <c r="AM406" s="105" t="s">
        <v>1677</v>
      </c>
      <c r="AU406" s="105" t="s">
        <v>4140</v>
      </c>
      <c r="AV406" s="105" t="s">
        <v>2803</v>
      </c>
      <c r="AX406" t="s">
        <v>3587</v>
      </c>
      <c r="BA406"/>
    </row>
    <row r="407" spans="39:53" ht="38.25" x14ac:dyDescent="0.25">
      <c r="AM407" s="105" t="s">
        <v>1678</v>
      </c>
      <c r="AU407" s="105" t="s">
        <v>4141</v>
      </c>
      <c r="AV407" s="105" t="s">
        <v>2804</v>
      </c>
      <c r="AX407" t="s">
        <v>3588</v>
      </c>
      <c r="BA407"/>
    </row>
    <row r="408" spans="39:53" ht="25.5" x14ac:dyDescent="0.25">
      <c r="AM408" s="105" t="s">
        <v>1679</v>
      </c>
      <c r="AU408" s="105" t="s">
        <v>4142</v>
      </c>
      <c r="AV408" s="105" t="s">
        <v>2805</v>
      </c>
      <c r="AX408" t="s">
        <v>3589</v>
      </c>
      <c r="BA408"/>
    </row>
    <row r="409" spans="39:53" ht="25.5" x14ac:dyDescent="0.25">
      <c r="AM409" s="105" t="s">
        <v>1680</v>
      </c>
      <c r="AU409" s="105" t="s">
        <v>4143</v>
      </c>
      <c r="AV409" s="105" t="s">
        <v>2806</v>
      </c>
      <c r="AX409" t="s">
        <v>3590</v>
      </c>
      <c r="BA409"/>
    </row>
    <row r="410" spans="39:53" ht="25.5" x14ac:dyDescent="0.25">
      <c r="AM410" s="105" t="s">
        <v>1681</v>
      </c>
      <c r="AU410" s="105" t="s">
        <v>4144</v>
      </c>
      <c r="AV410" s="105" t="s">
        <v>2807</v>
      </c>
      <c r="AX410" t="s">
        <v>3591</v>
      </c>
      <c r="BA410"/>
    </row>
    <row r="411" spans="39:53" ht="25.5" x14ac:dyDescent="0.25">
      <c r="AM411" s="105" t="s">
        <v>1442</v>
      </c>
      <c r="AU411" s="105" t="s">
        <v>4145</v>
      </c>
      <c r="AV411" s="105" t="s">
        <v>2581</v>
      </c>
      <c r="AX411" t="s">
        <v>3699</v>
      </c>
      <c r="BA411"/>
    </row>
    <row r="412" spans="39:53" ht="25.5" x14ac:dyDescent="0.25">
      <c r="AM412" s="105" t="s">
        <v>1443</v>
      </c>
      <c r="AU412" s="105" t="s">
        <v>4146</v>
      </c>
      <c r="AV412" s="105" t="s">
        <v>2582</v>
      </c>
      <c r="AX412" t="s">
        <v>3700</v>
      </c>
      <c r="BA412"/>
    </row>
    <row r="413" spans="39:53" ht="25.5" x14ac:dyDescent="0.25">
      <c r="AM413" s="105" t="s">
        <v>1682</v>
      </c>
      <c r="AU413" s="105" t="s">
        <v>4147</v>
      </c>
      <c r="AV413" s="105" t="s">
        <v>2808</v>
      </c>
      <c r="AX413" t="s">
        <v>3592</v>
      </c>
      <c r="BA413"/>
    </row>
    <row r="414" spans="39:53" ht="25.5" x14ac:dyDescent="0.25">
      <c r="AM414" s="105" t="s">
        <v>1683</v>
      </c>
      <c r="AU414" s="105" t="s">
        <v>4148</v>
      </c>
      <c r="AV414" s="105" t="s">
        <v>2809</v>
      </c>
      <c r="AX414" t="s">
        <v>3593</v>
      </c>
      <c r="BA414"/>
    </row>
    <row r="415" spans="39:53" ht="25.5" x14ac:dyDescent="0.25">
      <c r="AM415" s="105" t="s">
        <v>1444</v>
      </c>
      <c r="AU415" s="105" t="s">
        <v>4149</v>
      </c>
      <c r="AV415" s="105" t="s">
        <v>2583</v>
      </c>
      <c r="AX415" t="s">
        <v>3701</v>
      </c>
      <c r="BA415"/>
    </row>
    <row r="416" spans="39:53" ht="25.5" x14ac:dyDescent="0.25">
      <c r="AM416" s="105" t="s">
        <v>1684</v>
      </c>
      <c r="AU416" s="105" t="s">
        <v>4150</v>
      </c>
      <c r="AV416" s="105" t="s">
        <v>2810</v>
      </c>
      <c r="AX416" t="s">
        <v>3594</v>
      </c>
      <c r="BA416"/>
    </row>
    <row r="417" spans="39:53" x14ac:dyDescent="0.25">
      <c r="AM417" s="105" t="s">
        <v>1685</v>
      </c>
      <c r="AU417" s="105" t="s">
        <v>4151</v>
      </c>
      <c r="AV417" s="105" t="s">
        <v>2811</v>
      </c>
      <c r="AX417" t="s">
        <v>3595</v>
      </c>
      <c r="BA417"/>
    </row>
    <row r="418" spans="39:53" ht="25.5" x14ac:dyDescent="0.25">
      <c r="AM418" s="105" t="s">
        <v>1686</v>
      </c>
      <c r="AU418" s="105" t="s">
        <v>4152</v>
      </c>
      <c r="AV418" s="105" t="s">
        <v>2812</v>
      </c>
      <c r="AX418" t="s">
        <v>3596</v>
      </c>
      <c r="BA418"/>
    </row>
    <row r="419" spans="39:53" ht="38.25" x14ac:dyDescent="0.25">
      <c r="AM419" s="105" t="s">
        <v>1687</v>
      </c>
      <c r="AU419" s="105" t="s">
        <v>4153</v>
      </c>
      <c r="AV419" s="105" t="s">
        <v>2813</v>
      </c>
      <c r="AX419" t="s">
        <v>3597</v>
      </c>
      <c r="BA419"/>
    </row>
    <row r="420" spans="39:53" x14ac:dyDescent="0.25">
      <c r="AM420" s="105" t="s">
        <v>1688</v>
      </c>
      <c r="AU420" s="105" t="s">
        <v>4154</v>
      </c>
      <c r="AV420" s="105" t="s">
        <v>2814</v>
      </c>
      <c r="AX420" t="s">
        <v>3598</v>
      </c>
      <c r="BA420"/>
    </row>
    <row r="421" spans="39:53" x14ac:dyDescent="0.25">
      <c r="AM421" s="105" t="s">
        <v>1689</v>
      </c>
      <c r="AU421" s="105" t="s">
        <v>4155</v>
      </c>
      <c r="AV421" s="105" t="s">
        <v>2815</v>
      </c>
      <c r="AX421" t="s">
        <v>3599</v>
      </c>
      <c r="BA421"/>
    </row>
    <row r="422" spans="39:53" x14ac:dyDescent="0.25">
      <c r="AM422" s="105" t="s">
        <v>1690</v>
      </c>
      <c r="AU422" s="105" t="s">
        <v>4156</v>
      </c>
      <c r="AV422" s="105" t="s">
        <v>2816</v>
      </c>
      <c r="AX422" t="s">
        <v>3600</v>
      </c>
      <c r="BA422"/>
    </row>
    <row r="423" spans="39:53" ht="25.5" x14ac:dyDescent="0.25">
      <c r="AM423" s="105" t="s">
        <v>1691</v>
      </c>
      <c r="AU423" s="105" t="s">
        <v>4157</v>
      </c>
      <c r="AV423" s="105" t="s">
        <v>2817</v>
      </c>
      <c r="AX423" t="s">
        <v>3601</v>
      </c>
      <c r="BA423"/>
    </row>
    <row r="424" spans="39:53" ht="25.5" x14ac:dyDescent="0.25">
      <c r="AM424" s="105" t="s">
        <v>1445</v>
      </c>
      <c r="AU424" s="105" t="s">
        <v>4158</v>
      </c>
      <c r="AV424" s="105" t="s">
        <v>1520</v>
      </c>
      <c r="AX424" t="s">
        <v>3702</v>
      </c>
      <c r="BA424"/>
    </row>
    <row r="425" spans="39:53" ht="25.5" x14ac:dyDescent="0.25">
      <c r="AM425" s="105" t="s">
        <v>1692</v>
      </c>
      <c r="AU425" s="105" t="s">
        <v>4159</v>
      </c>
      <c r="AV425" s="105" t="s">
        <v>2818</v>
      </c>
      <c r="AX425" t="s">
        <v>3602</v>
      </c>
      <c r="BA425"/>
    </row>
    <row r="426" spans="39:53" ht="38.25" x14ac:dyDescent="0.25">
      <c r="AM426" s="105" t="s">
        <v>1693</v>
      </c>
      <c r="AU426" s="105" t="s">
        <v>4160</v>
      </c>
      <c r="AV426" s="105" t="s">
        <v>2819</v>
      </c>
      <c r="AX426" t="s">
        <v>3603</v>
      </c>
      <c r="BA426"/>
    </row>
    <row r="427" spans="39:53" ht="38.25" x14ac:dyDescent="0.25">
      <c r="AM427" s="105" t="s">
        <v>1694</v>
      </c>
      <c r="AU427" s="105" t="s">
        <v>4161</v>
      </c>
      <c r="AV427" s="105" t="s">
        <v>2820</v>
      </c>
      <c r="AX427" t="s">
        <v>3604</v>
      </c>
      <c r="BA427"/>
    </row>
    <row r="428" spans="39:53" ht="25.5" x14ac:dyDescent="0.25">
      <c r="AM428" s="105" t="s">
        <v>1695</v>
      </c>
      <c r="AU428" s="105" t="s">
        <v>4162</v>
      </c>
      <c r="AV428" s="105" t="s">
        <v>2821</v>
      </c>
      <c r="AX428" t="s">
        <v>3605</v>
      </c>
      <c r="BA428"/>
    </row>
    <row r="429" spans="39:53" ht="25.5" x14ac:dyDescent="0.25">
      <c r="AM429" s="105" t="s">
        <v>1696</v>
      </c>
      <c r="AU429" s="105" t="s">
        <v>4163</v>
      </c>
      <c r="AV429" s="105" t="s">
        <v>2822</v>
      </c>
      <c r="AX429" t="s">
        <v>3606</v>
      </c>
      <c r="BA429"/>
    </row>
    <row r="430" spans="39:53" x14ac:dyDescent="0.25">
      <c r="AM430" s="105" t="s">
        <v>1697</v>
      </c>
      <c r="AU430" s="105" t="s">
        <v>4164</v>
      </c>
      <c r="AV430" s="105" t="s">
        <v>2823</v>
      </c>
      <c r="AX430" t="s">
        <v>3607</v>
      </c>
      <c r="BA430"/>
    </row>
    <row r="431" spans="39:53" x14ac:dyDescent="0.25">
      <c r="AM431" s="105" t="s">
        <v>1698</v>
      </c>
      <c r="AU431" s="105" t="s">
        <v>4165</v>
      </c>
      <c r="AV431" s="105" t="s">
        <v>2824</v>
      </c>
      <c r="AX431" t="s">
        <v>3608</v>
      </c>
      <c r="BA431"/>
    </row>
    <row r="432" spans="39:53" ht="25.5" x14ac:dyDescent="0.25">
      <c r="AM432" s="105" t="s">
        <v>1699</v>
      </c>
      <c r="AU432" s="105" t="s">
        <v>4166</v>
      </c>
      <c r="AV432" s="105" t="s">
        <v>2825</v>
      </c>
      <c r="AX432" t="s">
        <v>3609</v>
      </c>
      <c r="BA432"/>
    </row>
    <row r="433" spans="39:53" ht="25.5" x14ac:dyDescent="0.25">
      <c r="AM433" s="105" t="s">
        <v>1700</v>
      </c>
      <c r="AU433" s="105" t="s">
        <v>4167</v>
      </c>
      <c r="AV433" s="105" t="s">
        <v>2826</v>
      </c>
      <c r="AX433" t="s">
        <v>3610</v>
      </c>
      <c r="BA433"/>
    </row>
    <row r="434" spans="39:53" ht="25.5" x14ac:dyDescent="0.25">
      <c r="AM434" s="105" t="s">
        <v>1701</v>
      </c>
      <c r="AU434" s="105" t="s">
        <v>4168</v>
      </c>
      <c r="AV434" s="105" t="s">
        <v>2827</v>
      </c>
      <c r="AX434" t="s">
        <v>3611</v>
      </c>
      <c r="BA434"/>
    </row>
    <row r="435" spans="39:53" ht="25.5" x14ac:dyDescent="0.25">
      <c r="AM435" s="105" t="s">
        <v>1702</v>
      </c>
      <c r="AU435" s="105" t="s">
        <v>4169</v>
      </c>
      <c r="AV435" s="105" t="s">
        <v>2828</v>
      </c>
      <c r="AX435" t="s">
        <v>3612</v>
      </c>
      <c r="BA435"/>
    </row>
    <row r="436" spans="39:53" ht="51" x14ac:dyDescent="0.25">
      <c r="AM436" s="105" t="s">
        <v>1703</v>
      </c>
      <c r="AU436" s="105" t="s">
        <v>4170</v>
      </c>
      <c r="AV436" s="105" t="s">
        <v>2829</v>
      </c>
      <c r="AX436" t="s">
        <v>3613</v>
      </c>
      <c r="BA436"/>
    </row>
    <row r="437" spans="39:53" ht="38.25" x14ac:dyDescent="0.25">
      <c r="AM437" s="105" t="s">
        <v>1704</v>
      </c>
      <c r="AU437" s="105" t="s">
        <v>4171</v>
      </c>
      <c r="AV437" s="105" t="s">
        <v>2830</v>
      </c>
      <c r="AX437" t="s">
        <v>3614</v>
      </c>
      <c r="BA437"/>
    </row>
    <row r="438" spans="39:53" x14ac:dyDescent="0.25">
      <c r="AM438" s="105" t="s">
        <v>1705</v>
      </c>
      <c r="AU438" s="105" t="s">
        <v>4172</v>
      </c>
      <c r="AV438" s="105" t="s">
        <v>2831</v>
      </c>
      <c r="AX438" t="s">
        <v>3615</v>
      </c>
      <c r="BA438"/>
    </row>
    <row r="439" spans="39:53" x14ac:dyDescent="0.25">
      <c r="AM439" s="105" t="s">
        <v>1706</v>
      </c>
      <c r="AU439" s="105" t="s">
        <v>4173</v>
      </c>
      <c r="AV439" s="105" t="s">
        <v>2832</v>
      </c>
      <c r="AX439" t="s">
        <v>3616</v>
      </c>
      <c r="BA439"/>
    </row>
    <row r="440" spans="39:53" x14ac:dyDescent="0.25">
      <c r="AM440" s="105" t="s">
        <v>1707</v>
      </c>
      <c r="AU440" s="105" t="s">
        <v>4174</v>
      </c>
      <c r="AV440" s="105" t="s">
        <v>2833</v>
      </c>
      <c r="AX440" t="s">
        <v>3617</v>
      </c>
      <c r="BA440"/>
    </row>
    <row r="441" spans="39:53" ht="25.5" x14ac:dyDescent="0.25">
      <c r="AM441" s="105" t="s">
        <v>1708</v>
      </c>
      <c r="AU441" s="105" t="s">
        <v>4175</v>
      </c>
      <c r="AV441" s="105" t="s">
        <v>2834</v>
      </c>
      <c r="AX441" t="s">
        <v>3618</v>
      </c>
      <c r="BA441"/>
    </row>
    <row r="442" spans="39:53" ht="25.5" x14ac:dyDescent="0.25">
      <c r="AM442" s="105" t="s">
        <v>1709</v>
      </c>
      <c r="AU442" s="105" t="s">
        <v>4176</v>
      </c>
      <c r="AV442" s="105" t="s">
        <v>2835</v>
      </c>
      <c r="AX442" t="s">
        <v>3619</v>
      </c>
      <c r="BA442"/>
    </row>
    <row r="443" spans="39:53" x14ac:dyDescent="0.25">
      <c r="AM443" s="105" t="s">
        <v>1710</v>
      </c>
      <c r="AU443" s="105" t="s">
        <v>4177</v>
      </c>
      <c r="AV443" s="105" t="s">
        <v>2836</v>
      </c>
      <c r="AX443" t="s">
        <v>3620</v>
      </c>
      <c r="BA443"/>
    </row>
    <row r="444" spans="39:53" x14ac:dyDescent="0.25">
      <c r="AM444" s="105" t="s">
        <v>1711</v>
      </c>
      <c r="AU444" s="105" t="s">
        <v>4178</v>
      </c>
      <c r="AV444" s="105" t="s">
        <v>2837</v>
      </c>
      <c r="AX444" t="s">
        <v>3621</v>
      </c>
      <c r="BA444"/>
    </row>
    <row r="445" spans="39:53" x14ac:dyDescent="0.25">
      <c r="AM445" s="105" t="s">
        <v>1712</v>
      </c>
      <c r="AU445" s="105" t="s">
        <v>4179</v>
      </c>
      <c r="AV445" s="105" t="s">
        <v>2838</v>
      </c>
      <c r="AX445" t="s">
        <v>3622</v>
      </c>
      <c r="BA445"/>
    </row>
    <row r="446" spans="39:53" x14ac:dyDescent="0.25">
      <c r="AM446" s="105" t="s">
        <v>1713</v>
      </c>
      <c r="AU446" s="105" t="s">
        <v>4180</v>
      </c>
      <c r="AV446" s="105" t="s">
        <v>2839</v>
      </c>
      <c r="AX446" t="s">
        <v>3623</v>
      </c>
      <c r="BA446"/>
    </row>
    <row r="447" spans="39:53" x14ac:dyDescent="0.25">
      <c r="AM447" s="105" t="s">
        <v>1714</v>
      </c>
      <c r="AU447" s="105" t="s">
        <v>4181</v>
      </c>
      <c r="AV447" s="105" t="s">
        <v>2840</v>
      </c>
      <c r="AX447" t="s">
        <v>3624</v>
      </c>
      <c r="BA447"/>
    </row>
    <row r="448" spans="39:53" ht="25.5" x14ac:dyDescent="0.25">
      <c r="AM448" s="105" t="s">
        <v>1715</v>
      </c>
      <c r="AU448" s="105" t="s">
        <v>4182</v>
      </c>
      <c r="AV448" s="105" t="s">
        <v>2841</v>
      </c>
      <c r="AX448" t="s">
        <v>3625</v>
      </c>
      <c r="BA448"/>
    </row>
    <row r="449" spans="39:53" ht="25.5" x14ac:dyDescent="0.25">
      <c r="AM449" s="105" t="s">
        <v>1716</v>
      </c>
      <c r="AU449" s="105" t="s">
        <v>4183</v>
      </c>
      <c r="AV449" s="105" t="s">
        <v>2842</v>
      </c>
      <c r="AX449" t="s">
        <v>3626</v>
      </c>
      <c r="BA449"/>
    </row>
    <row r="450" spans="39:53" ht="25.5" x14ac:dyDescent="0.25">
      <c r="AM450" s="105" t="s">
        <v>1717</v>
      </c>
      <c r="AU450" s="105" t="s">
        <v>4184</v>
      </c>
      <c r="AV450" s="105" t="s">
        <v>2843</v>
      </c>
      <c r="AX450" t="s">
        <v>3627</v>
      </c>
      <c r="BA450"/>
    </row>
    <row r="451" spans="39:53" ht="25.5" x14ac:dyDescent="0.25">
      <c r="AM451" s="105" t="s">
        <v>1718</v>
      </c>
      <c r="AU451" s="105" t="s">
        <v>4185</v>
      </c>
      <c r="AV451" s="105" t="s">
        <v>2844</v>
      </c>
      <c r="AX451" t="s">
        <v>3628</v>
      </c>
      <c r="BA451"/>
    </row>
    <row r="452" spans="39:53" x14ac:dyDescent="0.25">
      <c r="AM452" s="105" t="s">
        <v>1719</v>
      </c>
      <c r="AU452" s="105" t="s">
        <v>4186</v>
      </c>
      <c r="AV452" s="105" t="s">
        <v>2845</v>
      </c>
      <c r="AX452" t="s">
        <v>3629</v>
      </c>
      <c r="BA452"/>
    </row>
    <row r="453" spans="39:53" x14ac:dyDescent="0.25">
      <c r="AM453" s="105" t="s">
        <v>1720</v>
      </c>
      <c r="AU453" s="105" t="s">
        <v>4187</v>
      </c>
      <c r="AV453" s="105" t="s">
        <v>2846</v>
      </c>
      <c r="AX453" t="s">
        <v>3630</v>
      </c>
      <c r="BA453"/>
    </row>
    <row r="454" spans="39:53" x14ac:dyDescent="0.25">
      <c r="AM454" s="105" t="s">
        <v>1721</v>
      </c>
      <c r="AU454" s="105" t="s">
        <v>4188</v>
      </c>
      <c r="AV454" s="105" t="s">
        <v>2847</v>
      </c>
      <c r="AX454" t="s">
        <v>3631</v>
      </c>
      <c r="BA454"/>
    </row>
    <row r="455" spans="39:53" ht="25.5" x14ac:dyDescent="0.25">
      <c r="AM455" s="105" t="s">
        <v>1722</v>
      </c>
      <c r="AU455" s="105" t="s">
        <v>4189</v>
      </c>
      <c r="AV455" s="105" t="s">
        <v>2848</v>
      </c>
      <c r="AX455" t="s">
        <v>3632</v>
      </c>
      <c r="BA455"/>
    </row>
    <row r="456" spans="39:53" x14ac:dyDescent="0.25">
      <c r="AM456" s="105" t="s">
        <v>1723</v>
      </c>
      <c r="AU456" s="105" t="s">
        <v>4190</v>
      </c>
      <c r="AV456" s="105" t="s">
        <v>2849</v>
      </c>
      <c r="AX456" t="s">
        <v>3633</v>
      </c>
      <c r="BA456"/>
    </row>
    <row r="457" spans="39:53" x14ac:dyDescent="0.25">
      <c r="AM457" s="105" t="s">
        <v>1724</v>
      </c>
      <c r="AU457" s="105" t="s">
        <v>4191</v>
      </c>
      <c r="AV457" s="105" t="s">
        <v>2850</v>
      </c>
      <c r="AX457" t="s">
        <v>3634</v>
      </c>
      <c r="BA457"/>
    </row>
    <row r="458" spans="39:53" ht="25.5" x14ac:dyDescent="0.25">
      <c r="AM458" s="105" t="s">
        <v>1725</v>
      </c>
      <c r="AU458" s="105" t="s">
        <v>4192</v>
      </c>
      <c r="AV458" s="105" t="s">
        <v>2851</v>
      </c>
      <c r="AX458" t="s">
        <v>3635</v>
      </c>
      <c r="BA458"/>
    </row>
    <row r="459" spans="39:53" x14ac:dyDescent="0.25">
      <c r="AM459" s="105" t="s">
        <v>1726</v>
      </c>
      <c r="AU459" s="105" t="s">
        <v>4193</v>
      </c>
      <c r="AV459" s="105" t="s">
        <v>2852</v>
      </c>
      <c r="AX459" t="s">
        <v>3636</v>
      </c>
      <c r="BA459"/>
    </row>
    <row r="460" spans="39:53" ht="25.5" x14ac:dyDescent="0.25">
      <c r="AM460" s="105" t="s">
        <v>1727</v>
      </c>
      <c r="AU460" s="105" t="s">
        <v>4194</v>
      </c>
      <c r="AV460" s="105" t="s">
        <v>2853</v>
      </c>
      <c r="AX460" t="s">
        <v>3637</v>
      </c>
      <c r="BA460"/>
    </row>
    <row r="461" spans="39:53" x14ac:dyDescent="0.25">
      <c r="AM461" s="105" t="s">
        <v>1728</v>
      </c>
      <c r="AU461" s="105" t="s">
        <v>4195</v>
      </c>
      <c r="AV461" s="105" t="s">
        <v>2854</v>
      </c>
      <c r="AX461" t="s">
        <v>3638</v>
      </c>
      <c r="BA461"/>
    </row>
    <row r="462" spans="39:53" ht="25.5" x14ac:dyDescent="0.25">
      <c r="AM462" s="105" t="s">
        <v>1729</v>
      </c>
      <c r="AU462" s="105" t="s">
        <v>4196</v>
      </c>
      <c r="AV462" s="105" t="s">
        <v>2855</v>
      </c>
      <c r="AX462" t="s">
        <v>3639</v>
      </c>
      <c r="BA462"/>
    </row>
    <row r="463" spans="39:53" ht="25.5" x14ac:dyDescent="0.25">
      <c r="AM463" s="105" t="s">
        <v>1730</v>
      </c>
      <c r="AU463" s="105" t="s">
        <v>4197</v>
      </c>
      <c r="AV463" s="105" t="s">
        <v>2856</v>
      </c>
      <c r="AX463" t="s">
        <v>3640</v>
      </c>
      <c r="BA463"/>
    </row>
    <row r="464" spans="39:53" x14ac:dyDescent="0.25">
      <c r="AM464" s="105" t="s">
        <v>1731</v>
      </c>
      <c r="AV464" s="105" t="s">
        <v>2857</v>
      </c>
      <c r="AX464" t="s">
        <v>3641</v>
      </c>
      <c r="BA464"/>
    </row>
    <row r="465" spans="39:53" x14ac:dyDescent="0.25">
      <c r="AM465" s="105" t="s">
        <v>1732</v>
      </c>
      <c r="AV465" s="105" t="s">
        <v>2858</v>
      </c>
      <c r="AX465" t="s">
        <v>3642</v>
      </c>
      <c r="BA465"/>
    </row>
    <row r="466" spans="39:53" x14ac:dyDescent="0.25">
      <c r="AM466" s="105" t="s">
        <v>1733</v>
      </c>
      <c r="AV466" s="105" t="s">
        <v>2859</v>
      </c>
      <c r="AX466" t="s">
        <v>3643</v>
      </c>
      <c r="BA466"/>
    </row>
    <row r="467" spans="39:53" x14ac:dyDescent="0.25">
      <c r="AM467" s="105" t="s">
        <v>1734</v>
      </c>
      <c r="AV467" s="105" t="s">
        <v>2860</v>
      </c>
      <c r="AX467" t="s">
        <v>3644</v>
      </c>
      <c r="BA467"/>
    </row>
    <row r="468" spans="39:53" x14ac:dyDescent="0.25">
      <c r="AM468" s="105" t="s">
        <v>1735</v>
      </c>
      <c r="AV468" s="105" t="s">
        <v>2861</v>
      </c>
      <c r="AX468" t="s">
        <v>3645</v>
      </c>
      <c r="BA468"/>
    </row>
    <row r="469" spans="39:53" x14ac:dyDescent="0.25">
      <c r="AM469" s="105" t="s">
        <v>1736</v>
      </c>
      <c r="AV469" s="105" t="s">
        <v>2862</v>
      </c>
      <c r="AX469" t="s">
        <v>3646</v>
      </c>
      <c r="BA469"/>
    </row>
    <row r="470" spans="39:53" x14ac:dyDescent="0.25">
      <c r="AM470" s="105" t="s">
        <v>1737</v>
      </c>
      <c r="AV470" s="105" t="s">
        <v>2863</v>
      </c>
      <c r="AX470" t="s">
        <v>3647</v>
      </c>
      <c r="BA470"/>
    </row>
    <row r="471" spans="39:53" x14ac:dyDescent="0.25">
      <c r="AM471" s="105" t="s">
        <v>1738</v>
      </c>
      <c r="AV471" s="105" t="s">
        <v>2864</v>
      </c>
      <c r="AX471" t="s">
        <v>3648</v>
      </c>
      <c r="BA471"/>
    </row>
    <row r="472" spans="39:53" x14ac:dyDescent="0.25">
      <c r="AM472" s="105" t="s">
        <v>1739</v>
      </c>
      <c r="AV472" s="105" t="s">
        <v>2865</v>
      </c>
      <c r="AX472" t="s">
        <v>3649</v>
      </c>
      <c r="BA472"/>
    </row>
    <row r="473" spans="39:53" x14ac:dyDescent="0.25">
      <c r="AM473" s="105" t="s">
        <v>1740</v>
      </c>
      <c r="AV473" s="105" t="s">
        <v>2866</v>
      </c>
      <c r="AX473" t="s">
        <v>3650</v>
      </c>
      <c r="BA473"/>
    </row>
    <row r="474" spans="39:53" x14ac:dyDescent="0.25">
      <c r="AM474" s="105" t="s">
        <v>1741</v>
      </c>
      <c r="AV474" s="105" t="s">
        <v>2867</v>
      </c>
      <c r="AX474" t="s">
        <v>3651</v>
      </c>
      <c r="BA474"/>
    </row>
    <row r="475" spans="39:53" x14ac:dyDescent="0.25">
      <c r="AM475" s="105" t="s">
        <v>1446</v>
      </c>
      <c r="AV475" s="105" t="s">
        <v>2584</v>
      </c>
      <c r="AX475" t="s">
        <v>3703</v>
      </c>
      <c r="BA475"/>
    </row>
    <row r="476" spans="39:53" x14ac:dyDescent="0.25">
      <c r="AM476" s="105" t="s">
        <v>1742</v>
      </c>
      <c r="AV476" s="105" t="s">
        <v>2868</v>
      </c>
      <c r="AX476" t="s">
        <v>3652</v>
      </c>
      <c r="BA476"/>
    </row>
    <row r="477" spans="39:53" x14ac:dyDescent="0.25">
      <c r="AM477" s="105" t="s">
        <v>1743</v>
      </c>
      <c r="AV477" s="105" t="s">
        <v>2869</v>
      </c>
      <c r="AX477" t="s">
        <v>3653</v>
      </c>
      <c r="BA477"/>
    </row>
    <row r="478" spans="39:53" x14ac:dyDescent="0.25">
      <c r="AM478" s="105" t="s">
        <v>1744</v>
      </c>
      <c r="AV478" s="105" t="s">
        <v>2870</v>
      </c>
      <c r="AX478" t="s">
        <v>3654</v>
      </c>
      <c r="BA478"/>
    </row>
    <row r="479" spans="39:53" x14ac:dyDescent="0.25">
      <c r="AM479" s="105" t="s">
        <v>1745</v>
      </c>
      <c r="AV479" s="105" t="s">
        <v>2871</v>
      </c>
      <c r="AX479" t="s">
        <v>3655</v>
      </c>
      <c r="BA479"/>
    </row>
    <row r="480" spans="39:53" x14ac:dyDescent="0.25">
      <c r="AM480" s="105" t="s">
        <v>1746</v>
      </c>
      <c r="AV480" s="105" t="s">
        <v>2872</v>
      </c>
      <c r="AX480" t="s">
        <v>3656</v>
      </c>
      <c r="BA480"/>
    </row>
    <row r="481" spans="39:53" x14ac:dyDescent="0.25">
      <c r="AM481" s="105" t="s">
        <v>1747</v>
      </c>
      <c r="AV481" s="105" t="s">
        <v>2873</v>
      </c>
      <c r="AX481" t="s">
        <v>3657</v>
      </c>
      <c r="BA481"/>
    </row>
    <row r="482" spans="39:53" x14ac:dyDescent="0.25">
      <c r="AM482" s="105" t="s">
        <v>1748</v>
      </c>
      <c r="AV482" s="105" t="s">
        <v>2874</v>
      </c>
      <c r="AX482" t="s">
        <v>3658</v>
      </c>
      <c r="BA482"/>
    </row>
    <row r="483" spans="39:53" x14ac:dyDescent="0.25">
      <c r="AM483" s="105" t="s">
        <v>1749</v>
      </c>
      <c r="AV483" s="105" t="s">
        <v>2875</v>
      </c>
      <c r="AX483" t="s">
        <v>3659</v>
      </c>
      <c r="BA483"/>
    </row>
    <row r="484" spans="39:53" x14ac:dyDescent="0.25">
      <c r="AM484" s="105" t="s">
        <v>1447</v>
      </c>
      <c r="AV484" s="105" t="s">
        <v>2585</v>
      </c>
      <c r="AX484" t="s">
        <v>3704</v>
      </c>
      <c r="BA484"/>
    </row>
    <row r="485" spans="39:53" x14ac:dyDescent="0.25">
      <c r="AM485" s="105" t="s">
        <v>1750</v>
      </c>
      <c r="AV485" s="105" t="s">
        <v>2876</v>
      </c>
      <c r="AX485" t="s">
        <v>3660</v>
      </c>
      <c r="BA485"/>
    </row>
    <row r="486" spans="39:53" x14ac:dyDescent="0.25">
      <c r="AM486" s="105" t="s">
        <v>1751</v>
      </c>
      <c r="AV486" s="105" t="s">
        <v>2877</v>
      </c>
      <c r="AX486" t="s">
        <v>3661</v>
      </c>
      <c r="BA486"/>
    </row>
    <row r="487" spans="39:53" x14ac:dyDescent="0.25">
      <c r="AM487" s="105" t="s">
        <v>1752</v>
      </c>
      <c r="AV487" s="105" t="s">
        <v>2878</v>
      </c>
      <c r="AX487" t="s">
        <v>3662</v>
      </c>
      <c r="BA487"/>
    </row>
    <row r="488" spans="39:53" x14ac:dyDescent="0.25">
      <c r="AM488" s="105" t="s">
        <v>1448</v>
      </c>
      <c r="AV488" s="105" t="s">
        <v>2586</v>
      </c>
      <c r="AX488" t="s">
        <v>3705</v>
      </c>
      <c r="BA488"/>
    </row>
    <row r="489" spans="39:53" x14ac:dyDescent="0.25">
      <c r="AM489" s="105" t="s">
        <v>1753</v>
      </c>
      <c r="AV489" s="105" t="s">
        <v>2879</v>
      </c>
      <c r="AX489" t="s">
        <v>3663</v>
      </c>
      <c r="BA489"/>
    </row>
    <row r="490" spans="39:53" x14ac:dyDescent="0.25">
      <c r="AM490" s="105" t="s">
        <v>1754</v>
      </c>
      <c r="AV490" s="105" t="s">
        <v>2880</v>
      </c>
      <c r="AX490" t="s">
        <v>3664</v>
      </c>
      <c r="BA490"/>
    </row>
    <row r="491" spans="39:53" x14ac:dyDescent="0.25">
      <c r="AM491" s="105" t="s">
        <v>1755</v>
      </c>
      <c r="AV491" s="105" t="s">
        <v>2881</v>
      </c>
      <c r="AX491" t="s">
        <v>3665</v>
      </c>
      <c r="BA491"/>
    </row>
    <row r="492" spans="39:53" x14ac:dyDescent="0.25">
      <c r="AM492" s="105" t="s">
        <v>1756</v>
      </c>
      <c r="AV492" s="105" t="s">
        <v>2882</v>
      </c>
      <c r="AX492" t="s">
        <v>3666</v>
      </c>
      <c r="BA492"/>
    </row>
    <row r="493" spans="39:53" x14ac:dyDescent="0.25">
      <c r="AM493" s="105" t="s">
        <v>1757</v>
      </c>
      <c r="AV493" s="105" t="s">
        <v>2883</v>
      </c>
      <c r="AX493" t="s">
        <v>3667</v>
      </c>
      <c r="BA493"/>
    </row>
    <row r="494" spans="39:53" x14ac:dyDescent="0.25">
      <c r="AM494" s="105" t="s">
        <v>1758</v>
      </c>
      <c r="AV494" s="105" t="s">
        <v>2884</v>
      </c>
      <c r="AX494" t="s">
        <v>3668</v>
      </c>
      <c r="BA494"/>
    </row>
    <row r="495" spans="39:53" x14ac:dyDescent="0.25">
      <c r="AM495" s="105" t="s">
        <v>1759</v>
      </c>
      <c r="AV495" s="105" t="s">
        <v>2885</v>
      </c>
      <c r="AX495" t="s">
        <v>3669</v>
      </c>
      <c r="BA495"/>
    </row>
    <row r="496" spans="39:53" x14ac:dyDescent="0.25">
      <c r="AM496" s="105" t="s">
        <v>1760</v>
      </c>
      <c r="AV496" s="105" t="s">
        <v>2886</v>
      </c>
      <c r="AX496" t="s">
        <v>3670</v>
      </c>
      <c r="BA496"/>
    </row>
    <row r="497" spans="39:53" x14ac:dyDescent="0.25">
      <c r="AM497" s="105" t="s">
        <v>1761</v>
      </c>
      <c r="AV497" s="105" t="s">
        <v>2887</v>
      </c>
      <c r="AX497" t="s">
        <v>3671</v>
      </c>
      <c r="BA497"/>
    </row>
    <row r="498" spans="39:53" x14ac:dyDescent="0.25">
      <c r="AM498" s="105" t="s">
        <v>1762</v>
      </c>
      <c r="AV498" s="105" t="s">
        <v>2888</v>
      </c>
      <c r="AX498" t="s">
        <v>3672</v>
      </c>
      <c r="BA498"/>
    </row>
    <row r="499" spans="39:53" x14ac:dyDescent="0.25">
      <c r="AM499" s="105" t="s">
        <v>1763</v>
      </c>
      <c r="AV499" s="105" t="s">
        <v>2889</v>
      </c>
      <c r="AX499" t="s">
        <v>3673</v>
      </c>
      <c r="BA499"/>
    </row>
    <row r="500" spans="39:53" x14ac:dyDescent="0.25">
      <c r="AM500" s="105" t="s">
        <v>1764</v>
      </c>
      <c r="AV500" s="105" t="s">
        <v>2890</v>
      </c>
      <c r="AX500" t="s">
        <v>3674</v>
      </c>
      <c r="BA500"/>
    </row>
    <row r="501" spans="39:53" x14ac:dyDescent="0.25">
      <c r="AM501" s="105" t="s">
        <v>1765</v>
      </c>
      <c r="BA501"/>
    </row>
  </sheetData>
  <mergeCells count="1">
    <mergeCell ref="AG1:AN1"/>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Q105"/>
  <sheetViews>
    <sheetView topLeftCell="A66" workbookViewId="0">
      <selection activeCell="D2" sqref="D2:D71"/>
    </sheetView>
  </sheetViews>
  <sheetFormatPr defaultRowHeight="15" x14ac:dyDescent="0.25"/>
  <cols>
    <col min="1" max="1" width="18" style="431" customWidth="1"/>
    <col min="2" max="2" width="10.5703125" style="36" customWidth="1"/>
    <col min="3" max="3" width="8.5703125" style="36" customWidth="1"/>
    <col min="4" max="4" width="23.5703125" style="36" customWidth="1"/>
    <col min="5" max="5" width="19.85546875" style="36" customWidth="1"/>
    <col min="6" max="6" width="52.28515625" style="429" customWidth="1"/>
    <col min="9" max="9" width="18" style="431" customWidth="1"/>
    <col min="16" max="16" width="20.7109375" customWidth="1"/>
  </cols>
  <sheetData>
    <row r="1" spans="1:17" x14ac:dyDescent="0.25">
      <c r="A1" s="666" t="s">
        <v>7289</v>
      </c>
      <c r="B1" s="667" t="s">
        <v>7209</v>
      </c>
      <c r="C1" s="668" t="s">
        <v>7210</v>
      </c>
      <c r="D1" s="668" t="s">
        <v>7211</v>
      </c>
      <c r="E1" s="668" t="s">
        <v>7212</v>
      </c>
      <c r="F1" s="669" t="s">
        <v>1</v>
      </c>
      <c r="I1" s="432" t="s">
        <v>7289</v>
      </c>
      <c r="J1" t="s">
        <v>7365</v>
      </c>
      <c r="K1" t="s">
        <v>7318</v>
      </c>
      <c r="P1" s="433"/>
      <c r="Q1" s="433" t="s">
        <v>7318</v>
      </c>
    </row>
    <row r="2" spans="1:17" ht="30" x14ac:dyDescent="0.25">
      <c r="A2" s="670" t="s">
        <v>7290</v>
      </c>
      <c r="B2" s="671" t="s">
        <v>7213</v>
      </c>
      <c r="C2" s="672" t="s">
        <v>328</v>
      </c>
      <c r="D2" s="673" t="s">
        <v>4282</v>
      </c>
      <c r="E2" s="673" t="s">
        <v>7214</v>
      </c>
      <c r="F2" s="674" t="s">
        <v>7215</v>
      </c>
      <c r="G2" t="s">
        <v>7472</v>
      </c>
      <c r="H2" t="s">
        <v>7413</v>
      </c>
      <c r="I2" s="440" t="s">
        <v>7482</v>
      </c>
      <c r="J2" t="s">
        <v>7378</v>
      </c>
      <c r="K2" t="e">
        <f t="shared" ref="K2:K9" si="0">VLOOKUP(I2,$P$2:$Q$40,2,0)</f>
        <v>#N/A</v>
      </c>
      <c r="P2" t="s">
        <v>7293</v>
      </c>
      <c r="Q2" t="s">
        <v>7320</v>
      </c>
    </row>
    <row r="3" spans="1:17" ht="45" x14ac:dyDescent="0.25">
      <c r="A3" s="670" t="s">
        <v>7290</v>
      </c>
      <c r="B3" s="671" t="s">
        <v>7213</v>
      </c>
      <c r="C3" s="672" t="s">
        <v>328</v>
      </c>
      <c r="D3" s="673" t="s">
        <v>4285</v>
      </c>
      <c r="E3" s="673" t="s">
        <v>7216</v>
      </c>
      <c r="F3" s="674" t="s">
        <v>7217</v>
      </c>
      <c r="G3" t="s">
        <v>7472</v>
      </c>
      <c r="H3" t="s">
        <v>7414</v>
      </c>
      <c r="I3" s="440" t="s">
        <v>7483</v>
      </c>
      <c r="J3" t="s">
        <v>7378</v>
      </c>
      <c r="K3" t="e">
        <f t="shared" si="0"/>
        <v>#N/A</v>
      </c>
      <c r="P3" t="s">
        <v>4301</v>
      </c>
      <c r="Q3" t="s">
        <v>7321</v>
      </c>
    </row>
    <row r="4" spans="1:17" x14ac:dyDescent="0.25">
      <c r="A4" s="670" t="s">
        <v>7290</v>
      </c>
      <c r="B4" s="671" t="s">
        <v>7213</v>
      </c>
      <c r="C4" s="672" t="s">
        <v>328</v>
      </c>
      <c r="D4" s="673" t="s">
        <v>4286</v>
      </c>
      <c r="E4" s="673" t="s">
        <v>7216</v>
      </c>
      <c r="F4" s="674" t="s">
        <v>7218</v>
      </c>
      <c r="G4" t="s">
        <v>7472</v>
      </c>
      <c r="H4" t="s">
        <v>7415</v>
      </c>
      <c r="I4" s="440" t="s">
        <v>7484</v>
      </c>
      <c r="J4" t="s">
        <v>7378</v>
      </c>
      <c r="K4" t="e">
        <f t="shared" si="0"/>
        <v>#N/A</v>
      </c>
      <c r="P4" t="s">
        <v>7295</v>
      </c>
      <c r="Q4" t="s">
        <v>7322</v>
      </c>
    </row>
    <row r="5" spans="1:17" x14ac:dyDescent="0.25">
      <c r="A5" s="670" t="s">
        <v>7291</v>
      </c>
      <c r="B5" s="671" t="s">
        <v>7213</v>
      </c>
      <c r="C5" s="672" t="s">
        <v>328</v>
      </c>
      <c r="D5" s="673" t="s">
        <v>4316</v>
      </c>
      <c r="E5" s="675" t="s">
        <v>7219</v>
      </c>
      <c r="F5" s="674" t="s">
        <v>7220</v>
      </c>
      <c r="G5" t="s">
        <v>7472</v>
      </c>
      <c r="H5" t="s">
        <v>7416</v>
      </c>
      <c r="I5" s="440" t="s">
        <v>7485</v>
      </c>
      <c r="J5" t="s">
        <v>7378</v>
      </c>
      <c r="K5" t="e">
        <f t="shared" si="0"/>
        <v>#N/A</v>
      </c>
      <c r="P5" t="s">
        <v>7296</v>
      </c>
      <c r="Q5" t="s">
        <v>7296</v>
      </c>
    </row>
    <row r="6" spans="1:17" x14ac:dyDescent="0.25">
      <c r="A6" s="670" t="s">
        <v>7292</v>
      </c>
      <c r="B6" s="671" t="s">
        <v>7213</v>
      </c>
      <c r="C6" s="676" t="s">
        <v>329</v>
      </c>
      <c r="D6" s="673" t="s">
        <v>4279</v>
      </c>
      <c r="E6" s="675" t="s">
        <v>7219</v>
      </c>
      <c r="F6" s="677" t="s">
        <v>7221</v>
      </c>
      <c r="G6" t="s">
        <v>7472</v>
      </c>
      <c r="H6" t="s">
        <v>7417</v>
      </c>
      <c r="I6" s="440" t="s">
        <v>7486</v>
      </c>
      <c r="J6" t="s">
        <v>7378</v>
      </c>
      <c r="K6" t="e">
        <f t="shared" si="0"/>
        <v>#N/A</v>
      </c>
      <c r="P6" t="s">
        <v>7297</v>
      </c>
      <c r="Q6" t="s">
        <v>7323</v>
      </c>
    </row>
    <row r="7" spans="1:17" ht="30" x14ac:dyDescent="0.25">
      <c r="A7" s="670" t="s">
        <v>7290</v>
      </c>
      <c r="B7" s="671" t="s">
        <v>7213</v>
      </c>
      <c r="C7" s="672" t="s">
        <v>328</v>
      </c>
      <c r="D7" s="673" t="s">
        <v>4283</v>
      </c>
      <c r="E7" s="673" t="s">
        <v>7216</v>
      </c>
      <c r="F7" s="678" t="s">
        <v>7222</v>
      </c>
      <c r="G7" t="s">
        <v>7472</v>
      </c>
      <c r="H7" t="s">
        <v>7467</v>
      </c>
      <c r="I7" s="440" t="s">
        <v>7577</v>
      </c>
      <c r="J7" t="s">
        <v>7378</v>
      </c>
      <c r="K7" t="e">
        <f t="shared" si="0"/>
        <v>#N/A</v>
      </c>
      <c r="P7" t="s">
        <v>7324</v>
      </c>
      <c r="Q7" t="s">
        <v>7324</v>
      </c>
    </row>
    <row r="8" spans="1:17" ht="30" x14ac:dyDescent="0.25">
      <c r="A8" s="670" t="s">
        <v>7290</v>
      </c>
      <c r="B8" s="671" t="s">
        <v>7213</v>
      </c>
      <c r="C8" s="672" t="s">
        <v>328</v>
      </c>
      <c r="D8" s="673" t="s">
        <v>4287</v>
      </c>
      <c r="E8" s="673" t="s">
        <v>7216</v>
      </c>
      <c r="F8" s="674" t="s">
        <v>7223</v>
      </c>
      <c r="G8" t="s">
        <v>7472</v>
      </c>
      <c r="H8" t="s">
        <v>7468</v>
      </c>
      <c r="I8" s="440" t="s">
        <v>7578</v>
      </c>
      <c r="J8" t="s">
        <v>7378</v>
      </c>
      <c r="K8" t="e">
        <f t="shared" si="0"/>
        <v>#N/A</v>
      </c>
      <c r="P8" t="s">
        <v>7325</v>
      </c>
      <c r="Q8" t="s">
        <v>7298</v>
      </c>
    </row>
    <row r="9" spans="1:17" ht="30" x14ac:dyDescent="0.25">
      <c r="A9" s="679" t="s">
        <v>7290</v>
      </c>
      <c r="B9" s="680" t="s">
        <v>7213</v>
      </c>
      <c r="C9" s="672" t="s">
        <v>328</v>
      </c>
      <c r="D9" s="681" t="s">
        <v>4284</v>
      </c>
      <c r="E9" s="673" t="s">
        <v>7216</v>
      </c>
      <c r="F9" s="682" t="s">
        <v>7224</v>
      </c>
      <c r="G9" t="s">
        <v>7472</v>
      </c>
      <c r="H9" t="s">
        <v>7376</v>
      </c>
      <c r="I9" s="440" t="s">
        <v>7487</v>
      </c>
      <c r="J9" t="s">
        <v>7378</v>
      </c>
      <c r="K9" t="e">
        <f t="shared" si="0"/>
        <v>#N/A</v>
      </c>
      <c r="P9" t="s">
        <v>7327</v>
      </c>
      <c r="Q9" t="s">
        <v>7326</v>
      </c>
    </row>
    <row r="10" spans="1:17" ht="30" x14ac:dyDescent="0.25">
      <c r="A10" s="670" t="s">
        <v>4323</v>
      </c>
      <c r="B10" s="671" t="s">
        <v>7213</v>
      </c>
      <c r="C10" s="672" t="s">
        <v>328</v>
      </c>
      <c r="D10" s="683" t="s">
        <v>7225</v>
      </c>
      <c r="E10" s="673" t="s">
        <v>7216</v>
      </c>
      <c r="F10" s="684" t="s">
        <v>7226</v>
      </c>
      <c r="G10" t="s">
        <v>7472</v>
      </c>
      <c r="H10" t="s">
        <v>7469</v>
      </c>
      <c r="I10" s="440" t="s">
        <v>7579</v>
      </c>
      <c r="J10" t="s">
        <v>7378</v>
      </c>
      <c r="P10" t="s">
        <v>7329</v>
      </c>
      <c r="Q10" t="s">
        <v>7328</v>
      </c>
    </row>
    <row r="11" spans="1:17" ht="30" x14ac:dyDescent="0.25">
      <c r="A11" s="670" t="s">
        <v>7290</v>
      </c>
      <c r="B11" s="671" t="s">
        <v>7213</v>
      </c>
      <c r="C11" s="672" t="s">
        <v>328</v>
      </c>
      <c r="D11" s="685" t="s">
        <v>4324</v>
      </c>
      <c r="E11" s="674" t="s">
        <v>7216</v>
      </c>
      <c r="F11" s="684" t="s">
        <v>7227</v>
      </c>
      <c r="G11" t="s">
        <v>7472</v>
      </c>
      <c r="H11" t="s">
        <v>7375</v>
      </c>
      <c r="I11" s="440" t="s">
        <v>7481</v>
      </c>
      <c r="J11" t="s">
        <v>7378</v>
      </c>
      <c r="P11" s="434"/>
      <c r="Q11" s="434" t="s">
        <v>7330</v>
      </c>
    </row>
    <row r="12" spans="1:17" ht="30" x14ac:dyDescent="0.25">
      <c r="A12" s="670" t="s">
        <v>7290</v>
      </c>
      <c r="B12" s="671" t="s">
        <v>7213</v>
      </c>
      <c r="C12" s="672" t="s">
        <v>328</v>
      </c>
      <c r="D12" s="685" t="s">
        <v>4325</v>
      </c>
      <c r="E12" s="674" t="s">
        <v>7216</v>
      </c>
      <c r="F12" s="684" t="s">
        <v>7228</v>
      </c>
      <c r="G12" t="s">
        <v>7472</v>
      </c>
      <c r="H12" t="s">
        <v>7418</v>
      </c>
      <c r="I12" s="440" t="s">
        <v>7480</v>
      </c>
      <c r="J12" t="s">
        <v>7378</v>
      </c>
      <c r="P12" t="s">
        <v>7290</v>
      </c>
      <c r="Q12" t="s">
        <v>7290</v>
      </c>
    </row>
    <row r="13" spans="1:17" ht="30" x14ac:dyDescent="0.25">
      <c r="A13" s="670" t="s">
        <v>7290</v>
      </c>
      <c r="B13" s="671" t="s">
        <v>7213</v>
      </c>
      <c r="C13" s="672" t="s">
        <v>328</v>
      </c>
      <c r="D13" s="686" t="s">
        <v>7229</v>
      </c>
      <c r="E13" s="674" t="s">
        <v>7216</v>
      </c>
      <c r="F13" s="684" t="s">
        <v>7230</v>
      </c>
      <c r="G13" t="s">
        <v>7471</v>
      </c>
      <c r="H13" t="s">
        <v>7398</v>
      </c>
      <c r="I13" s="440" t="s">
        <v>7488</v>
      </c>
      <c r="J13" t="s">
        <v>7377</v>
      </c>
      <c r="K13" t="e">
        <f t="shared" ref="K13:K35" si="1">VLOOKUP(I13,$P$2:$Q$40,2,0)</f>
        <v>#N/A</v>
      </c>
      <c r="P13" t="s">
        <v>7331</v>
      </c>
      <c r="Q13" t="s">
        <v>7331</v>
      </c>
    </row>
    <row r="14" spans="1:17" x14ac:dyDescent="0.25">
      <c r="A14" s="670" t="s">
        <v>7290</v>
      </c>
      <c r="B14" s="671" t="s">
        <v>7213</v>
      </c>
      <c r="C14" s="672" t="s">
        <v>328</v>
      </c>
      <c r="D14" s="686" t="s">
        <v>7231</v>
      </c>
      <c r="E14" s="674" t="s">
        <v>7216</v>
      </c>
      <c r="F14" s="674" t="s">
        <v>7232</v>
      </c>
      <c r="G14" t="s">
        <v>7471</v>
      </c>
      <c r="H14" t="s">
        <v>7399</v>
      </c>
      <c r="I14" s="440" t="s">
        <v>7489</v>
      </c>
      <c r="J14" t="s">
        <v>7377</v>
      </c>
      <c r="K14" t="e">
        <f t="shared" si="1"/>
        <v>#N/A</v>
      </c>
      <c r="P14" t="s">
        <v>7299</v>
      </c>
      <c r="Q14" t="s">
        <v>7319</v>
      </c>
    </row>
    <row r="15" spans="1:17" x14ac:dyDescent="0.25">
      <c r="A15" s="670" t="s">
        <v>7290</v>
      </c>
      <c r="B15" s="671" t="s">
        <v>7213</v>
      </c>
      <c r="C15" s="676" t="s">
        <v>328</v>
      </c>
      <c r="D15" s="683" t="s">
        <v>7233</v>
      </c>
      <c r="E15" s="683" t="s">
        <v>7216</v>
      </c>
      <c r="F15" s="684" t="s">
        <v>7234</v>
      </c>
      <c r="G15" t="s">
        <v>7471</v>
      </c>
      <c r="H15" t="s">
        <v>7293</v>
      </c>
      <c r="I15" s="440" t="s">
        <v>7490</v>
      </c>
      <c r="J15" t="s">
        <v>7378</v>
      </c>
      <c r="K15" t="e">
        <f t="shared" si="1"/>
        <v>#N/A</v>
      </c>
      <c r="P15" t="s">
        <v>7301</v>
      </c>
      <c r="Q15" t="s">
        <v>7332</v>
      </c>
    </row>
    <row r="16" spans="1:17" x14ac:dyDescent="0.25">
      <c r="A16" s="670" t="s">
        <v>7293</v>
      </c>
      <c r="B16" s="671" t="s">
        <v>7235</v>
      </c>
      <c r="C16" s="672" t="s">
        <v>328</v>
      </c>
      <c r="D16" s="673" t="s">
        <v>4299</v>
      </c>
      <c r="E16" s="675" t="s">
        <v>7219</v>
      </c>
      <c r="F16" s="687" t="s">
        <v>7236</v>
      </c>
      <c r="G16" t="s">
        <v>7471</v>
      </c>
      <c r="H16" t="s">
        <v>7400</v>
      </c>
      <c r="I16" s="440" t="s">
        <v>7491</v>
      </c>
      <c r="J16" t="s">
        <v>7378</v>
      </c>
      <c r="K16" t="e">
        <f t="shared" si="1"/>
        <v>#N/A</v>
      </c>
      <c r="P16" t="s">
        <v>7306</v>
      </c>
      <c r="Q16" t="s">
        <v>7333</v>
      </c>
    </row>
    <row r="17" spans="1:17" x14ac:dyDescent="0.25">
      <c r="A17" s="670" t="s">
        <v>7293</v>
      </c>
      <c r="B17" s="671" t="s">
        <v>7235</v>
      </c>
      <c r="C17" s="676" t="s">
        <v>328</v>
      </c>
      <c r="D17" s="673" t="s">
        <v>4300</v>
      </c>
      <c r="E17" s="675" t="s">
        <v>7219</v>
      </c>
      <c r="F17" s="687" t="s">
        <v>7236</v>
      </c>
      <c r="G17" t="s">
        <v>7471</v>
      </c>
      <c r="H17" t="s">
        <v>7294</v>
      </c>
      <c r="I17" s="440" t="s">
        <v>7492</v>
      </c>
      <c r="J17" t="s">
        <v>7378</v>
      </c>
      <c r="K17" t="e">
        <f t="shared" si="1"/>
        <v>#N/A</v>
      </c>
      <c r="P17" t="s">
        <v>7335</v>
      </c>
      <c r="Q17" t="s">
        <v>7334</v>
      </c>
    </row>
    <row r="18" spans="1:17" x14ac:dyDescent="0.25">
      <c r="A18" s="670" t="s">
        <v>7293</v>
      </c>
      <c r="B18" s="671" t="s">
        <v>7235</v>
      </c>
      <c r="C18" s="672" t="s">
        <v>328</v>
      </c>
      <c r="D18" s="673" t="s">
        <v>4298</v>
      </c>
      <c r="E18" s="683" t="s">
        <v>7216</v>
      </c>
      <c r="F18" s="674" t="s">
        <v>7237</v>
      </c>
      <c r="G18" t="s">
        <v>7471</v>
      </c>
      <c r="H18" t="s">
        <v>7401</v>
      </c>
      <c r="I18" s="440" t="s">
        <v>7493</v>
      </c>
      <c r="J18" t="s">
        <v>7377</v>
      </c>
      <c r="K18" t="e">
        <f t="shared" si="1"/>
        <v>#N/A</v>
      </c>
      <c r="P18" s="434"/>
      <c r="Q18" s="434" t="s">
        <v>7336</v>
      </c>
    </row>
    <row r="19" spans="1:17" x14ac:dyDescent="0.25">
      <c r="A19" s="670" t="s">
        <v>7293</v>
      </c>
      <c r="B19" s="671" t="s">
        <v>7235</v>
      </c>
      <c r="C19" s="672" t="s">
        <v>328</v>
      </c>
      <c r="D19" s="683" t="s">
        <v>7238</v>
      </c>
      <c r="E19" s="683" t="s">
        <v>7216</v>
      </c>
      <c r="F19" s="684" t="s">
        <v>7239</v>
      </c>
      <c r="G19" t="s">
        <v>7471</v>
      </c>
      <c r="H19" t="s">
        <v>7402</v>
      </c>
      <c r="I19" s="440" t="s">
        <v>7554</v>
      </c>
      <c r="J19" t="s">
        <v>7377</v>
      </c>
      <c r="K19" t="e">
        <f t="shared" si="1"/>
        <v>#N/A</v>
      </c>
      <c r="P19" t="s">
        <v>7310</v>
      </c>
      <c r="Q19" t="s">
        <v>7337</v>
      </c>
    </row>
    <row r="20" spans="1:17" x14ac:dyDescent="0.25">
      <c r="A20" s="670" t="s">
        <v>7293</v>
      </c>
      <c r="B20" s="671" t="s">
        <v>7235</v>
      </c>
      <c r="C20" s="672" t="s">
        <v>328</v>
      </c>
      <c r="D20" s="683" t="s">
        <v>7240</v>
      </c>
      <c r="E20" s="683" t="s">
        <v>7216</v>
      </c>
      <c r="F20" s="684" t="s">
        <v>7239</v>
      </c>
      <c r="G20" t="s">
        <v>7471</v>
      </c>
      <c r="H20" t="s">
        <v>4301</v>
      </c>
      <c r="I20" s="440" t="s">
        <v>7494</v>
      </c>
      <c r="J20" t="s">
        <v>7378</v>
      </c>
      <c r="K20" t="e">
        <f t="shared" si="1"/>
        <v>#N/A</v>
      </c>
      <c r="P20" t="s">
        <v>7339</v>
      </c>
      <c r="Q20" t="s">
        <v>7338</v>
      </c>
    </row>
    <row r="21" spans="1:17" x14ac:dyDescent="0.25">
      <c r="A21" s="670" t="s">
        <v>7294</v>
      </c>
      <c r="B21" s="671" t="s">
        <v>7235</v>
      </c>
      <c r="C21" s="676" t="s">
        <v>330</v>
      </c>
      <c r="D21" s="673" t="s">
        <v>4305</v>
      </c>
      <c r="E21" s="673" t="s">
        <v>7214</v>
      </c>
      <c r="F21" s="674" t="s">
        <v>7241</v>
      </c>
      <c r="G21" t="s">
        <v>7471</v>
      </c>
      <c r="H21" t="s">
        <v>7403</v>
      </c>
      <c r="I21" s="440" t="s">
        <v>7495</v>
      </c>
      <c r="J21" t="s">
        <v>7377</v>
      </c>
      <c r="K21" t="e">
        <f t="shared" si="1"/>
        <v>#N/A</v>
      </c>
      <c r="P21" t="s">
        <v>4297</v>
      </c>
      <c r="Q21" t="s">
        <v>7340</v>
      </c>
    </row>
    <row r="22" spans="1:17" x14ac:dyDescent="0.25">
      <c r="A22" s="670" t="s">
        <v>7295</v>
      </c>
      <c r="B22" s="671" t="s">
        <v>7235</v>
      </c>
      <c r="C22" s="672" t="s">
        <v>328</v>
      </c>
      <c r="D22" s="673" t="s">
        <v>7242</v>
      </c>
      <c r="E22" s="683" t="s">
        <v>7216</v>
      </c>
      <c r="F22" s="674" t="s">
        <v>7243</v>
      </c>
      <c r="G22" t="s">
        <v>7471</v>
      </c>
      <c r="H22" t="s">
        <v>7295</v>
      </c>
      <c r="I22" s="440" t="s">
        <v>7496</v>
      </c>
      <c r="J22" t="s">
        <v>7378</v>
      </c>
      <c r="K22" t="e">
        <f t="shared" si="1"/>
        <v>#N/A</v>
      </c>
      <c r="P22" s="434"/>
      <c r="Q22" s="434" t="s">
        <v>7341</v>
      </c>
    </row>
    <row r="23" spans="1:17" x14ac:dyDescent="0.25">
      <c r="A23" s="670" t="s">
        <v>7295</v>
      </c>
      <c r="B23" s="671" t="s">
        <v>7235</v>
      </c>
      <c r="C23" s="672" t="s">
        <v>328</v>
      </c>
      <c r="D23" s="673" t="s">
        <v>7244</v>
      </c>
      <c r="E23" s="683" t="s">
        <v>7216</v>
      </c>
      <c r="F23" s="674" t="s">
        <v>7243</v>
      </c>
      <c r="G23" t="s">
        <v>7471</v>
      </c>
      <c r="H23" t="s">
        <v>7404</v>
      </c>
      <c r="I23" s="440" t="s">
        <v>7497</v>
      </c>
      <c r="J23" t="s">
        <v>7377</v>
      </c>
      <c r="K23" t="e">
        <f t="shared" si="1"/>
        <v>#N/A</v>
      </c>
      <c r="P23" t="s">
        <v>4326</v>
      </c>
      <c r="Q23" t="s">
        <v>7342</v>
      </c>
    </row>
    <row r="24" spans="1:17" ht="30" x14ac:dyDescent="0.25">
      <c r="A24" s="670" t="s">
        <v>7296</v>
      </c>
      <c r="B24" s="671" t="s">
        <v>7245</v>
      </c>
      <c r="C24" s="676" t="s">
        <v>329</v>
      </c>
      <c r="D24" s="673" t="s">
        <v>4288</v>
      </c>
      <c r="E24" s="673" t="s">
        <v>7246</v>
      </c>
      <c r="F24" s="674" t="s">
        <v>7247</v>
      </c>
      <c r="G24" t="s">
        <v>7471</v>
      </c>
      <c r="H24" t="s">
        <v>7392</v>
      </c>
      <c r="I24" s="440" t="s">
        <v>7498</v>
      </c>
      <c r="J24" t="s">
        <v>7377</v>
      </c>
      <c r="K24" t="e">
        <f t="shared" si="1"/>
        <v>#N/A</v>
      </c>
      <c r="P24" t="s">
        <v>7344</v>
      </c>
      <c r="Q24" t="s">
        <v>7343</v>
      </c>
    </row>
    <row r="25" spans="1:17" x14ac:dyDescent="0.25">
      <c r="A25" s="670" t="s">
        <v>7297</v>
      </c>
      <c r="B25" s="671" t="s">
        <v>7245</v>
      </c>
      <c r="C25" s="672" t="s">
        <v>328</v>
      </c>
      <c r="D25" s="673" t="s">
        <v>4302</v>
      </c>
      <c r="E25" s="673" t="s">
        <v>7216</v>
      </c>
      <c r="F25" s="674" t="s">
        <v>7248</v>
      </c>
      <c r="G25" t="s">
        <v>7471</v>
      </c>
      <c r="H25" t="s">
        <v>7406</v>
      </c>
      <c r="I25" s="440" t="s">
        <v>7499</v>
      </c>
      <c r="J25" t="s">
        <v>7377</v>
      </c>
      <c r="K25" t="e">
        <f t="shared" si="1"/>
        <v>#N/A</v>
      </c>
      <c r="P25" t="s">
        <v>7313</v>
      </c>
      <c r="Q25" t="s">
        <v>7345</v>
      </c>
    </row>
    <row r="26" spans="1:17" x14ac:dyDescent="0.25">
      <c r="A26" s="670" t="s">
        <v>7297</v>
      </c>
      <c r="B26" s="671" t="s">
        <v>7245</v>
      </c>
      <c r="C26" s="672" t="s">
        <v>328</v>
      </c>
      <c r="D26" s="673" t="s">
        <v>4303</v>
      </c>
      <c r="E26" s="673" t="s">
        <v>7214</v>
      </c>
      <c r="F26" s="675" t="s">
        <v>7249</v>
      </c>
      <c r="G26" t="s">
        <v>7471</v>
      </c>
      <c r="H26" t="s">
        <v>7407</v>
      </c>
      <c r="I26" s="440" t="s">
        <v>7500</v>
      </c>
      <c r="J26" t="s">
        <v>7377</v>
      </c>
      <c r="K26" t="e">
        <f t="shared" si="1"/>
        <v>#N/A</v>
      </c>
      <c r="P26" t="s">
        <v>7312</v>
      </c>
      <c r="Q26" t="s">
        <v>7346</v>
      </c>
    </row>
    <row r="27" spans="1:17" x14ac:dyDescent="0.25">
      <c r="A27" s="670" t="s">
        <v>7298</v>
      </c>
      <c r="B27" s="671" t="s">
        <v>7245</v>
      </c>
      <c r="C27" s="676" t="s">
        <v>328</v>
      </c>
      <c r="D27" s="673" t="s">
        <v>4291</v>
      </c>
      <c r="E27" s="673" t="s">
        <v>7214</v>
      </c>
      <c r="F27" s="677" t="s">
        <v>7250</v>
      </c>
      <c r="G27" t="s">
        <v>7473</v>
      </c>
      <c r="H27" t="s">
        <v>7296</v>
      </c>
      <c r="I27" s="440" t="s">
        <v>7501</v>
      </c>
      <c r="J27" t="s">
        <v>7378</v>
      </c>
      <c r="K27" t="e">
        <f t="shared" si="1"/>
        <v>#N/A</v>
      </c>
      <c r="P27" t="s">
        <v>7348</v>
      </c>
      <c r="Q27" t="s">
        <v>7347</v>
      </c>
    </row>
    <row r="28" spans="1:17" x14ac:dyDescent="0.25">
      <c r="A28" s="670" t="s">
        <v>7299</v>
      </c>
      <c r="B28" s="671" t="s">
        <v>7251</v>
      </c>
      <c r="C28" s="672" t="s">
        <v>328</v>
      </c>
      <c r="D28" s="673" t="s">
        <v>4276</v>
      </c>
      <c r="E28" s="673" t="s">
        <v>7214</v>
      </c>
      <c r="F28" s="674" t="s">
        <v>7252</v>
      </c>
      <c r="G28" t="s">
        <v>7473</v>
      </c>
      <c r="H28" t="s">
        <v>7405</v>
      </c>
      <c r="I28" s="440" t="s">
        <v>7502</v>
      </c>
      <c r="J28" t="s">
        <v>7378</v>
      </c>
      <c r="K28" t="e">
        <f t="shared" si="1"/>
        <v>#N/A</v>
      </c>
      <c r="P28" s="434"/>
      <c r="Q28" s="434" t="s">
        <v>7349</v>
      </c>
    </row>
    <row r="29" spans="1:17" x14ac:dyDescent="0.25">
      <c r="A29" s="670" t="s">
        <v>7299</v>
      </c>
      <c r="B29" s="671" t="s">
        <v>7251</v>
      </c>
      <c r="C29" s="676" t="s">
        <v>329</v>
      </c>
      <c r="D29" s="684" t="s">
        <v>4277</v>
      </c>
      <c r="E29" s="673" t="s">
        <v>7214</v>
      </c>
      <c r="F29" s="674" t="s">
        <v>7252</v>
      </c>
      <c r="G29" t="s">
        <v>7473</v>
      </c>
      <c r="H29" t="s">
        <v>7297</v>
      </c>
      <c r="I29" s="440" t="s">
        <v>7503</v>
      </c>
      <c r="J29" t="s">
        <v>7378</v>
      </c>
      <c r="K29" t="e">
        <f t="shared" si="1"/>
        <v>#N/A</v>
      </c>
      <c r="P29" t="s">
        <v>7317</v>
      </c>
      <c r="Q29" t="s">
        <v>7350</v>
      </c>
    </row>
    <row r="30" spans="1:17" x14ac:dyDescent="0.25">
      <c r="A30" s="670" t="s">
        <v>7300</v>
      </c>
      <c r="B30" s="671" t="s">
        <v>7251</v>
      </c>
      <c r="C30" s="676" t="s">
        <v>330</v>
      </c>
      <c r="D30" s="675" t="s">
        <v>4280</v>
      </c>
      <c r="E30" s="675" t="s">
        <v>7219</v>
      </c>
      <c r="F30" s="674" t="s">
        <v>7253</v>
      </c>
      <c r="G30" t="s">
        <v>7473</v>
      </c>
      <c r="H30" t="s">
        <v>7408</v>
      </c>
      <c r="I30" s="440" t="s">
        <v>7504</v>
      </c>
      <c r="J30" t="s">
        <v>7377</v>
      </c>
      <c r="K30" t="e">
        <f t="shared" si="1"/>
        <v>#N/A</v>
      </c>
      <c r="P30" t="s">
        <v>7315</v>
      </c>
      <c r="Q30" t="s">
        <v>7351</v>
      </c>
    </row>
    <row r="31" spans="1:17" x14ac:dyDescent="0.25">
      <c r="A31" s="670" t="s">
        <v>7700</v>
      </c>
      <c r="B31" s="671" t="s">
        <v>7251</v>
      </c>
      <c r="C31" s="672" t="s">
        <v>328</v>
      </c>
      <c r="D31" s="675" t="s">
        <v>7254</v>
      </c>
      <c r="E31" s="683" t="s">
        <v>7216</v>
      </c>
      <c r="F31" s="674" t="s">
        <v>7255</v>
      </c>
      <c r="G31" t="s">
        <v>7473</v>
      </c>
      <c r="H31" t="s">
        <v>7409</v>
      </c>
      <c r="I31" s="440" t="s">
        <v>7505</v>
      </c>
      <c r="J31" t="s">
        <v>7377</v>
      </c>
      <c r="K31" t="e">
        <f t="shared" si="1"/>
        <v>#N/A</v>
      </c>
      <c r="P31" t="s">
        <v>7314</v>
      </c>
      <c r="Q31" t="s">
        <v>7352</v>
      </c>
    </row>
    <row r="32" spans="1:17" x14ac:dyDescent="0.25">
      <c r="A32" s="670" t="s">
        <v>7301</v>
      </c>
      <c r="B32" s="671" t="s">
        <v>7256</v>
      </c>
      <c r="C32" s="672" t="s">
        <v>328</v>
      </c>
      <c r="D32" s="673" t="s">
        <v>4309</v>
      </c>
      <c r="E32" s="673" t="s">
        <v>7214</v>
      </c>
      <c r="F32" s="687" t="s">
        <v>7257</v>
      </c>
      <c r="G32" t="s">
        <v>7473</v>
      </c>
      <c r="H32" t="s">
        <v>7410</v>
      </c>
      <c r="I32" s="440" t="s">
        <v>7506</v>
      </c>
      <c r="J32" t="s">
        <v>7377</v>
      </c>
      <c r="K32" t="e">
        <f t="shared" si="1"/>
        <v>#N/A</v>
      </c>
      <c r="P32" t="s">
        <v>7316</v>
      </c>
      <c r="Q32" t="s">
        <v>7353</v>
      </c>
    </row>
    <row r="33" spans="1:17" x14ac:dyDescent="0.25">
      <c r="A33" s="670" t="s">
        <v>7301</v>
      </c>
      <c r="B33" s="671" t="s">
        <v>7256</v>
      </c>
      <c r="C33" s="676" t="s">
        <v>328</v>
      </c>
      <c r="D33" s="684" t="s">
        <v>4310</v>
      </c>
      <c r="E33" s="673" t="s">
        <v>7214</v>
      </c>
      <c r="F33" s="687" t="s">
        <v>7257</v>
      </c>
      <c r="G33" t="s">
        <v>7473</v>
      </c>
      <c r="H33" t="s">
        <v>7324</v>
      </c>
      <c r="I33" s="440" t="s">
        <v>7507</v>
      </c>
      <c r="J33" t="s">
        <v>7378</v>
      </c>
      <c r="K33" t="e">
        <f t="shared" si="1"/>
        <v>#N/A</v>
      </c>
      <c r="P33" t="s">
        <v>7355</v>
      </c>
      <c r="Q33" t="s">
        <v>7354</v>
      </c>
    </row>
    <row r="34" spans="1:17" x14ac:dyDescent="0.25">
      <c r="A34" s="670" t="s">
        <v>7302</v>
      </c>
      <c r="B34" s="671" t="s">
        <v>7256</v>
      </c>
      <c r="C34" s="676" t="s">
        <v>329</v>
      </c>
      <c r="D34" s="675" t="s">
        <v>4290</v>
      </c>
      <c r="E34" s="675" t="s">
        <v>7219</v>
      </c>
      <c r="F34" s="677" t="s">
        <v>7258</v>
      </c>
      <c r="G34" t="s">
        <v>7473</v>
      </c>
      <c r="H34" t="s">
        <v>7411</v>
      </c>
      <c r="I34" s="440" t="s">
        <v>7508</v>
      </c>
      <c r="J34" t="s">
        <v>7378</v>
      </c>
      <c r="K34" t="e">
        <f t="shared" si="1"/>
        <v>#N/A</v>
      </c>
      <c r="P34" t="s">
        <v>7356</v>
      </c>
      <c r="Q34" t="s">
        <v>7356</v>
      </c>
    </row>
    <row r="35" spans="1:17" ht="30" x14ac:dyDescent="0.25">
      <c r="A35" s="670" t="s">
        <v>7303</v>
      </c>
      <c r="B35" s="671" t="s">
        <v>7256</v>
      </c>
      <c r="C35" s="676" t="s">
        <v>329</v>
      </c>
      <c r="D35" s="673" t="s">
        <v>4306</v>
      </c>
      <c r="E35" s="673" t="s">
        <v>7246</v>
      </c>
      <c r="F35" s="688" t="s">
        <v>7259</v>
      </c>
      <c r="G35" t="s">
        <v>7473</v>
      </c>
      <c r="H35" t="s">
        <v>7412</v>
      </c>
      <c r="I35" s="440" t="s">
        <v>7509</v>
      </c>
      <c r="J35" t="s">
        <v>7378</v>
      </c>
      <c r="K35" t="e">
        <f t="shared" si="1"/>
        <v>#N/A</v>
      </c>
      <c r="P35" s="434"/>
      <c r="Q35" s="434" t="s">
        <v>7357</v>
      </c>
    </row>
    <row r="36" spans="1:17" x14ac:dyDescent="0.25">
      <c r="A36" s="670" t="s">
        <v>7304</v>
      </c>
      <c r="B36" s="671" t="s">
        <v>7256</v>
      </c>
      <c r="C36" s="672" t="s">
        <v>328</v>
      </c>
      <c r="D36" s="673" t="s">
        <v>4311</v>
      </c>
      <c r="E36" s="675" t="s">
        <v>7219</v>
      </c>
      <c r="F36" s="687" t="s">
        <v>7260</v>
      </c>
      <c r="G36" t="s">
        <v>7474</v>
      </c>
      <c r="H36" t="s">
        <v>7419</v>
      </c>
      <c r="I36" s="440" t="s">
        <v>7580</v>
      </c>
      <c r="J36" t="s">
        <v>7378</v>
      </c>
      <c r="P36" t="s">
        <v>7358</v>
      </c>
      <c r="Q36" t="s">
        <v>7357</v>
      </c>
    </row>
    <row r="37" spans="1:17" x14ac:dyDescent="0.25">
      <c r="A37" s="670" t="s">
        <v>7305</v>
      </c>
      <c r="B37" s="671" t="s">
        <v>7256</v>
      </c>
      <c r="C37" s="676" t="s">
        <v>329</v>
      </c>
      <c r="D37" s="673" t="s">
        <v>4317</v>
      </c>
      <c r="E37" s="675" t="s">
        <v>7219</v>
      </c>
      <c r="F37" s="677" t="s">
        <v>7261</v>
      </c>
      <c r="G37" t="s">
        <v>7474</v>
      </c>
      <c r="H37" t="s">
        <v>7300</v>
      </c>
      <c r="I37" s="440" t="s">
        <v>7510</v>
      </c>
      <c r="J37" t="s">
        <v>7378</v>
      </c>
      <c r="P37" t="s">
        <v>7360</v>
      </c>
      <c r="Q37" t="s">
        <v>7359</v>
      </c>
    </row>
    <row r="38" spans="1:17" x14ac:dyDescent="0.25">
      <c r="A38" s="689" t="s">
        <v>7306</v>
      </c>
      <c r="B38" s="671" t="s">
        <v>7262</v>
      </c>
      <c r="C38" s="672" t="s">
        <v>328</v>
      </c>
      <c r="D38" s="673" t="s">
        <v>4313</v>
      </c>
      <c r="E38" s="673" t="s">
        <v>7214</v>
      </c>
      <c r="F38" s="674" t="s">
        <v>7263</v>
      </c>
      <c r="G38" t="s">
        <v>7474</v>
      </c>
      <c r="H38" t="s">
        <v>7420</v>
      </c>
      <c r="I38" s="440" t="s">
        <v>7511</v>
      </c>
      <c r="J38" t="s">
        <v>7378</v>
      </c>
      <c r="Q38" t="s">
        <v>7361</v>
      </c>
    </row>
    <row r="39" spans="1:17" x14ac:dyDescent="0.25">
      <c r="A39" s="670" t="s">
        <v>7306</v>
      </c>
      <c r="B39" s="671" t="s">
        <v>7262</v>
      </c>
      <c r="C39" s="672" t="s">
        <v>328</v>
      </c>
      <c r="D39" s="673" t="s">
        <v>4314</v>
      </c>
      <c r="E39" s="675" t="s">
        <v>7219</v>
      </c>
      <c r="F39" s="674" t="s">
        <v>7264</v>
      </c>
      <c r="G39" t="s">
        <v>7474</v>
      </c>
      <c r="H39" t="s">
        <v>7421</v>
      </c>
      <c r="I39" s="440" t="s">
        <v>7512</v>
      </c>
      <c r="J39" t="s">
        <v>7378</v>
      </c>
      <c r="P39" t="s">
        <v>7362</v>
      </c>
      <c r="Q39" t="s">
        <v>7361</v>
      </c>
    </row>
    <row r="40" spans="1:17" x14ac:dyDescent="0.25">
      <c r="A40" s="670" t="s">
        <v>7307</v>
      </c>
      <c r="B40" s="671" t="s">
        <v>7262</v>
      </c>
      <c r="C40" s="676" t="s">
        <v>330</v>
      </c>
      <c r="D40" s="684" t="s">
        <v>4292</v>
      </c>
      <c r="E40" s="675" t="s">
        <v>7219</v>
      </c>
      <c r="F40" s="677" t="s">
        <v>7265</v>
      </c>
      <c r="G40" t="s">
        <v>7474</v>
      </c>
      <c r="H40" t="s">
        <v>7422</v>
      </c>
      <c r="I40" s="440" t="s">
        <v>7513</v>
      </c>
      <c r="J40" t="s">
        <v>7377</v>
      </c>
      <c r="P40" t="s">
        <v>7364</v>
      </c>
      <c r="Q40" t="s">
        <v>7363</v>
      </c>
    </row>
    <row r="41" spans="1:17" x14ac:dyDescent="0.25">
      <c r="A41" s="670" t="s">
        <v>7308</v>
      </c>
      <c r="B41" s="671" t="s">
        <v>7262</v>
      </c>
      <c r="C41" s="676" t="s">
        <v>329</v>
      </c>
      <c r="D41" s="684" t="s">
        <v>4289</v>
      </c>
      <c r="E41" s="675" t="s">
        <v>7219</v>
      </c>
      <c r="F41" s="674" t="s">
        <v>7266</v>
      </c>
      <c r="G41" t="s">
        <v>7474</v>
      </c>
      <c r="H41" t="s">
        <v>7423</v>
      </c>
      <c r="I41" s="440" t="s">
        <v>7514</v>
      </c>
      <c r="J41" t="s">
        <v>7377</v>
      </c>
    </row>
    <row r="42" spans="1:17" ht="30" x14ac:dyDescent="0.25">
      <c r="A42" s="689" t="s">
        <v>7306</v>
      </c>
      <c r="B42" s="671" t="s">
        <v>7262</v>
      </c>
      <c r="C42" s="672" t="s">
        <v>328</v>
      </c>
      <c r="D42" s="673" t="s">
        <v>4315</v>
      </c>
      <c r="E42" s="673" t="s">
        <v>7267</v>
      </c>
      <c r="F42" s="684" t="s">
        <v>7268</v>
      </c>
      <c r="G42" t="s">
        <v>7474</v>
      </c>
      <c r="H42" t="s">
        <v>7424</v>
      </c>
      <c r="I42" s="440" t="s">
        <v>7515</v>
      </c>
      <c r="J42" t="s">
        <v>7377</v>
      </c>
    </row>
    <row r="43" spans="1:17" x14ac:dyDescent="0.25">
      <c r="A43" s="689" t="s">
        <v>7309</v>
      </c>
      <c r="B43" s="671" t="s">
        <v>7262</v>
      </c>
      <c r="C43" s="676" t="s">
        <v>329</v>
      </c>
      <c r="D43" s="673" t="s">
        <v>4295</v>
      </c>
      <c r="E43" s="673" t="s">
        <v>7267</v>
      </c>
      <c r="F43" s="684" t="s">
        <v>7269</v>
      </c>
      <c r="G43" t="s">
        <v>7474</v>
      </c>
      <c r="H43" t="s">
        <v>7425</v>
      </c>
      <c r="I43" s="440" t="s">
        <v>7516</v>
      </c>
      <c r="J43" t="s">
        <v>7377</v>
      </c>
    </row>
    <row r="44" spans="1:17" x14ac:dyDescent="0.25">
      <c r="A44" s="689" t="s">
        <v>7310</v>
      </c>
      <c r="B44" s="671" t="s">
        <v>7262</v>
      </c>
      <c r="C44" s="676" t="s">
        <v>329</v>
      </c>
      <c r="D44" s="673" t="s">
        <v>4281</v>
      </c>
      <c r="E44" s="673" t="s">
        <v>7216</v>
      </c>
      <c r="F44" s="674" t="s">
        <v>7270</v>
      </c>
      <c r="G44" t="s">
        <v>7475</v>
      </c>
      <c r="H44" t="s">
        <v>7301</v>
      </c>
      <c r="I44" s="440" t="s">
        <v>7517</v>
      </c>
      <c r="J44" t="s">
        <v>7378</v>
      </c>
    </row>
    <row r="45" spans="1:17" x14ac:dyDescent="0.25">
      <c r="A45" s="689" t="s">
        <v>4297</v>
      </c>
      <c r="B45" s="671" t="s">
        <v>7262</v>
      </c>
      <c r="C45" s="676" t="s">
        <v>329</v>
      </c>
      <c r="D45" s="673" t="s">
        <v>4297</v>
      </c>
      <c r="E45" s="673" t="s">
        <v>7267</v>
      </c>
      <c r="F45" s="684" t="s">
        <v>7271</v>
      </c>
      <c r="G45" t="s">
        <v>7475</v>
      </c>
      <c r="H45" t="s">
        <v>7304</v>
      </c>
      <c r="I45" s="440" t="s">
        <v>7518</v>
      </c>
      <c r="J45" t="s">
        <v>7378</v>
      </c>
    </row>
    <row r="46" spans="1:17" ht="30" x14ac:dyDescent="0.25">
      <c r="A46" s="689" t="s">
        <v>7306</v>
      </c>
      <c r="B46" s="671" t="s">
        <v>7262</v>
      </c>
      <c r="C46" s="672" t="s">
        <v>328</v>
      </c>
      <c r="D46" s="673" t="s">
        <v>4312</v>
      </c>
      <c r="E46" s="673" t="s">
        <v>7216</v>
      </c>
      <c r="F46" s="684" t="s">
        <v>7272</v>
      </c>
      <c r="G46" t="s">
        <v>7475</v>
      </c>
      <c r="H46" t="s">
        <v>7426</v>
      </c>
      <c r="I46" s="440" t="s">
        <v>7519</v>
      </c>
      <c r="J46" t="s">
        <v>7378</v>
      </c>
    </row>
    <row r="47" spans="1:17" x14ac:dyDescent="0.25">
      <c r="A47" s="689" t="s">
        <v>7306</v>
      </c>
      <c r="B47" s="671" t="s">
        <v>7262</v>
      </c>
      <c r="C47" s="672" t="s">
        <v>328</v>
      </c>
      <c r="D47" s="673" t="s">
        <v>4327</v>
      </c>
      <c r="E47" s="673" t="s">
        <v>7216</v>
      </c>
      <c r="F47" s="684" t="s">
        <v>7273</v>
      </c>
      <c r="G47" t="s">
        <v>7475</v>
      </c>
      <c r="H47" t="s">
        <v>7303</v>
      </c>
      <c r="I47" s="440" t="s">
        <v>7520</v>
      </c>
      <c r="J47" t="s">
        <v>7378</v>
      </c>
    </row>
    <row r="48" spans="1:17" ht="30" x14ac:dyDescent="0.25">
      <c r="A48" s="670" t="s">
        <v>7311</v>
      </c>
      <c r="B48" s="671" t="s">
        <v>7274</v>
      </c>
      <c r="C48" s="676" t="s">
        <v>329</v>
      </c>
      <c r="D48" s="673" t="s">
        <v>4275</v>
      </c>
      <c r="E48" s="675" t="s">
        <v>7219</v>
      </c>
      <c r="F48" s="674" t="s">
        <v>7275</v>
      </c>
      <c r="G48" t="s">
        <v>7475</v>
      </c>
      <c r="H48" t="s">
        <v>7427</v>
      </c>
      <c r="I48" s="440" t="s">
        <v>7555</v>
      </c>
      <c r="J48" t="s">
        <v>7378</v>
      </c>
    </row>
    <row r="49" spans="1:10" ht="30" x14ac:dyDescent="0.25">
      <c r="A49" s="679" t="s">
        <v>7312</v>
      </c>
      <c r="B49" s="680" t="s">
        <v>7274</v>
      </c>
      <c r="C49" s="672" t="s">
        <v>329</v>
      </c>
      <c r="D49" s="681" t="s">
        <v>4307</v>
      </c>
      <c r="E49" s="681" t="s">
        <v>7246</v>
      </c>
      <c r="F49" s="690" t="s">
        <v>7276</v>
      </c>
      <c r="G49" t="s">
        <v>7475</v>
      </c>
      <c r="H49" t="s">
        <v>7428</v>
      </c>
      <c r="I49" s="440" t="s">
        <v>7521</v>
      </c>
      <c r="J49" t="s">
        <v>7377</v>
      </c>
    </row>
    <row r="50" spans="1:10" ht="30" x14ac:dyDescent="0.25">
      <c r="A50" s="679" t="s">
        <v>7312</v>
      </c>
      <c r="B50" s="680" t="s">
        <v>7274</v>
      </c>
      <c r="C50" s="672" t="s">
        <v>329</v>
      </c>
      <c r="D50" s="681" t="s">
        <v>4308</v>
      </c>
      <c r="E50" s="681" t="s">
        <v>7246</v>
      </c>
      <c r="F50" s="690" t="s">
        <v>7276</v>
      </c>
      <c r="G50" t="s">
        <v>7475</v>
      </c>
      <c r="H50" t="s">
        <v>7470</v>
      </c>
      <c r="I50" s="440" t="s">
        <v>7581</v>
      </c>
      <c r="J50" t="s">
        <v>7377</v>
      </c>
    </row>
    <row r="51" spans="1:10" x14ac:dyDescent="0.25">
      <c r="A51" s="689" t="s">
        <v>7313</v>
      </c>
      <c r="B51" s="671" t="s">
        <v>7274</v>
      </c>
      <c r="C51" s="676" t="s">
        <v>329</v>
      </c>
      <c r="D51" s="673" t="s">
        <v>4278</v>
      </c>
      <c r="E51" s="675" t="s">
        <v>7219</v>
      </c>
      <c r="F51" s="677" t="s">
        <v>7277</v>
      </c>
      <c r="G51" t="s">
        <v>7475</v>
      </c>
      <c r="H51" t="s">
        <v>7429</v>
      </c>
      <c r="I51" s="440" t="s">
        <v>7522</v>
      </c>
      <c r="J51" t="s">
        <v>7377</v>
      </c>
    </row>
    <row r="52" spans="1:10" ht="30" x14ac:dyDescent="0.25">
      <c r="A52" s="670" t="s">
        <v>4326</v>
      </c>
      <c r="B52" s="671" t="s">
        <v>7274</v>
      </c>
      <c r="C52" s="676" t="s">
        <v>329</v>
      </c>
      <c r="D52" s="673" t="s">
        <v>7278</v>
      </c>
      <c r="E52" s="673" t="s">
        <v>7246</v>
      </c>
      <c r="F52" s="678" t="s">
        <v>7279</v>
      </c>
      <c r="G52" t="s">
        <v>7475</v>
      </c>
      <c r="H52" t="s">
        <v>7430</v>
      </c>
      <c r="I52" s="440" t="s">
        <v>7556</v>
      </c>
      <c r="J52" t="s">
        <v>7377</v>
      </c>
    </row>
    <row r="53" spans="1:10" x14ac:dyDescent="0.25">
      <c r="A53" s="689" t="s">
        <v>7314</v>
      </c>
      <c r="B53" s="671" t="s">
        <v>7280</v>
      </c>
      <c r="C53" s="672" t="s">
        <v>328</v>
      </c>
      <c r="D53" s="673" t="s">
        <v>4294</v>
      </c>
      <c r="E53" s="673" t="s">
        <v>7214</v>
      </c>
      <c r="F53" s="691" t="s">
        <v>7281</v>
      </c>
      <c r="G53" t="s">
        <v>7475</v>
      </c>
      <c r="H53" t="s">
        <v>7431</v>
      </c>
      <c r="I53" s="440" t="s">
        <v>7557</v>
      </c>
      <c r="J53" t="s">
        <v>7377</v>
      </c>
    </row>
    <row r="54" spans="1:10" x14ac:dyDescent="0.25">
      <c r="A54" s="670" t="s">
        <v>7315</v>
      </c>
      <c r="B54" s="671" t="s">
        <v>7280</v>
      </c>
      <c r="C54" s="676" t="s">
        <v>329</v>
      </c>
      <c r="D54" s="673" t="s">
        <v>4304</v>
      </c>
      <c r="E54" s="673" t="s">
        <v>7246</v>
      </c>
      <c r="F54" s="692" t="s">
        <v>7282</v>
      </c>
      <c r="G54" t="s">
        <v>7475</v>
      </c>
      <c r="H54" t="s">
        <v>7432</v>
      </c>
      <c r="I54" s="440" t="s">
        <v>7558</v>
      </c>
      <c r="J54" t="s">
        <v>7377</v>
      </c>
    </row>
    <row r="55" spans="1:10" x14ac:dyDescent="0.25">
      <c r="A55" s="670" t="s">
        <v>7316</v>
      </c>
      <c r="B55" s="671" t="s">
        <v>7280</v>
      </c>
      <c r="C55" s="676" t="s">
        <v>329</v>
      </c>
      <c r="D55" s="673" t="s">
        <v>7283</v>
      </c>
      <c r="E55" s="673" t="s">
        <v>7246</v>
      </c>
      <c r="F55" s="693" t="s">
        <v>7284</v>
      </c>
      <c r="G55" t="s">
        <v>7475</v>
      </c>
      <c r="H55" t="s">
        <v>7433</v>
      </c>
      <c r="I55" s="440" t="s">
        <v>7559</v>
      </c>
      <c r="J55" t="s">
        <v>7377</v>
      </c>
    </row>
    <row r="56" spans="1:10" ht="30" x14ac:dyDescent="0.25">
      <c r="A56" s="670" t="s">
        <v>7314</v>
      </c>
      <c r="B56" s="671" t="s">
        <v>7280</v>
      </c>
      <c r="C56" s="672" t="s">
        <v>328</v>
      </c>
      <c r="D56" s="673" t="s">
        <v>4293</v>
      </c>
      <c r="E56" s="673" t="s">
        <v>7267</v>
      </c>
      <c r="F56" s="684" t="s">
        <v>7285</v>
      </c>
      <c r="G56" t="s">
        <v>7475</v>
      </c>
      <c r="H56" t="s">
        <v>7434</v>
      </c>
      <c r="I56" s="440" t="s">
        <v>7560</v>
      </c>
      <c r="J56" t="s">
        <v>7377</v>
      </c>
    </row>
    <row r="57" spans="1:10" x14ac:dyDescent="0.25">
      <c r="A57" s="670" t="s">
        <v>7317</v>
      </c>
      <c r="B57" s="671" t="s">
        <v>7280</v>
      </c>
      <c r="C57" s="676" t="s">
        <v>329</v>
      </c>
      <c r="D57" s="673" t="s">
        <v>4296</v>
      </c>
      <c r="E57" s="675" t="s">
        <v>7219</v>
      </c>
      <c r="F57" s="675" t="s">
        <v>7286</v>
      </c>
      <c r="G57" t="s">
        <v>7475</v>
      </c>
      <c r="H57" t="s">
        <v>7435</v>
      </c>
      <c r="I57" s="440" t="s">
        <v>7561</v>
      </c>
      <c r="J57" t="s">
        <v>7377</v>
      </c>
    </row>
    <row r="58" spans="1:10" ht="30" x14ac:dyDescent="0.25">
      <c r="A58" s="670" t="s">
        <v>7314</v>
      </c>
      <c r="B58" s="671" t="s">
        <v>7280</v>
      </c>
      <c r="C58" s="672" t="s">
        <v>328</v>
      </c>
      <c r="D58" s="675" t="s">
        <v>7287</v>
      </c>
      <c r="E58" s="675" t="s">
        <v>7267</v>
      </c>
      <c r="F58" s="674" t="s">
        <v>7288</v>
      </c>
      <c r="G58" t="s">
        <v>7475</v>
      </c>
      <c r="H58" t="s">
        <v>7331</v>
      </c>
      <c r="I58" s="440" t="s">
        <v>7523</v>
      </c>
      <c r="J58" t="s">
        <v>7378</v>
      </c>
    </row>
    <row r="59" spans="1:10" ht="30" x14ac:dyDescent="0.25">
      <c r="A59" s="670" t="s">
        <v>7358</v>
      </c>
      <c r="B59" s="671" t="s">
        <v>7280</v>
      </c>
      <c r="C59" s="672" t="s">
        <v>329</v>
      </c>
      <c r="D59" s="675" t="s">
        <v>7701</v>
      </c>
      <c r="E59" s="675" t="s">
        <v>7246</v>
      </c>
      <c r="F59" s="674" t="s">
        <v>7702</v>
      </c>
      <c r="G59" t="s">
        <v>7475</v>
      </c>
      <c r="H59" t="s">
        <v>7436</v>
      </c>
      <c r="I59" s="440" t="s">
        <v>7562</v>
      </c>
      <c r="J59" t="s">
        <v>7378</v>
      </c>
    </row>
    <row r="60" spans="1:10" ht="30" x14ac:dyDescent="0.25">
      <c r="A60" s="670" t="s">
        <v>7421</v>
      </c>
      <c r="B60" s="671" t="s">
        <v>7251</v>
      </c>
      <c r="C60" s="672" t="s">
        <v>329</v>
      </c>
      <c r="D60" s="675" t="s">
        <v>7703</v>
      </c>
      <c r="E60" s="675" t="s">
        <v>7267</v>
      </c>
      <c r="F60" s="674" t="s">
        <v>7704</v>
      </c>
      <c r="G60" t="s">
        <v>7475</v>
      </c>
      <c r="H60" t="s">
        <v>7437</v>
      </c>
      <c r="I60" s="440" t="s">
        <v>7563</v>
      </c>
      <c r="J60" t="s">
        <v>7378</v>
      </c>
    </row>
    <row r="61" spans="1:10" x14ac:dyDescent="0.25">
      <c r="A61" s="670" t="s">
        <v>7426</v>
      </c>
      <c r="B61" s="671" t="s">
        <v>7256</v>
      </c>
      <c r="C61" s="672" t="s">
        <v>329</v>
      </c>
      <c r="D61" s="675" t="s">
        <v>7705</v>
      </c>
      <c r="E61" s="675" t="s">
        <v>7706</v>
      </c>
      <c r="F61" s="684" t="s">
        <v>7707</v>
      </c>
      <c r="G61" t="s">
        <v>7476</v>
      </c>
      <c r="H61" t="s">
        <v>7306</v>
      </c>
      <c r="I61" s="440" t="s">
        <v>7524</v>
      </c>
      <c r="J61" t="s">
        <v>7378</v>
      </c>
    </row>
    <row r="62" spans="1:10" x14ac:dyDescent="0.25">
      <c r="A62" s="670" t="s">
        <v>7708</v>
      </c>
      <c r="B62" s="671" t="s">
        <v>7251</v>
      </c>
      <c r="C62" s="672" t="s">
        <v>328</v>
      </c>
      <c r="D62" s="675" t="s">
        <v>7708</v>
      </c>
      <c r="E62" s="675" t="s">
        <v>7216</v>
      </c>
      <c r="F62" s="684" t="s">
        <v>7255</v>
      </c>
      <c r="G62" t="s">
        <v>7476</v>
      </c>
      <c r="H62" t="s">
        <v>7309</v>
      </c>
      <c r="I62" s="440" t="s">
        <v>7525</v>
      </c>
      <c r="J62" t="s">
        <v>7378</v>
      </c>
    </row>
    <row r="63" spans="1:10" ht="30" x14ac:dyDescent="0.25">
      <c r="A63" s="670" t="s">
        <v>7709</v>
      </c>
      <c r="B63" s="671" t="s">
        <v>7213</v>
      </c>
      <c r="C63" s="672" t="s">
        <v>328</v>
      </c>
      <c r="D63" s="675" t="s">
        <v>7710</v>
      </c>
      <c r="E63" s="675" t="s">
        <v>7216</v>
      </c>
      <c r="F63" s="684" t="s">
        <v>7711</v>
      </c>
      <c r="G63" t="s">
        <v>7476</v>
      </c>
      <c r="H63" t="s">
        <v>7438</v>
      </c>
      <c r="I63" s="440" t="s">
        <v>7564</v>
      </c>
      <c r="J63" t="s">
        <v>7378</v>
      </c>
    </row>
    <row r="64" spans="1:10" x14ac:dyDescent="0.25">
      <c r="A64" s="670" t="s">
        <v>7712</v>
      </c>
      <c r="B64" s="671" t="s">
        <v>7213</v>
      </c>
      <c r="C64" s="672" t="s">
        <v>328</v>
      </c>
      <c r="D64" s="675" t="s">
        <v>7713</v>
      </c>
      <c r="E64" s="675" t="s">
        <v>7216</v>
      </c>
      <c r="F64" s="684" t="s">
        <v>7714</v>
      </c>
      <c r="G64" t="s">
        <v>7476</v>
      </c>
      <c r="H64" t="s">
        <v>7439</v>
      </c>
      <c r="I64" s="440" t="s">
        <v>7565</v>
      </c>
      <c r="J64" t="s">
        <v>7378</v>
      </c>
    </row>
    <row r="65" spans="1:10" x14ac:dyDescent="0.25">
      <c r="A65" s="670" t="s">
        <v>7290</v>
      </c>
      <c r="B65" s="671" t="s">
        <v>7213</v>
      </c>
      <c r="C65" s="672" t="s">
        <v>328</v>
      </c>
      <c r="D65" s="675" t="s">
        <v>7715</v>
      </c>
      <c r="E65" s="675" t="s">
        <v>7216</v>
      </c>
      <c r="F65" s="684" t="s">
        <v>7716</v>
      </c>
      <c r="G65" t="s">
        <v>7476</v>
      </c>
      <c r="H65" t="s">
        <v>7440</v>
      </c>
      <c r="I65" s="440" t="s">
        <v>7582</v>
      </c>
      <c r="J65" t="s">
        <v>7377</v>
      </c>
    </row>
    <row r="66" spans="1:10" ht="45" x14ac:dyDescent="0.25">
      <c r="A66" s="670" t="s">
        <v>7290</v>
      </c>
      <c r="B66" s="671" t="s">
        <v>7213</v>
      </c>
      <c r="C66" s="672" t="s">
        <v>328</v>
      </c>
      <c r="D66" s="675" t="s">
        <v>7717</v>
      </c>
      <c r="E66" s="675" t="s">
        <v>7216</v>
      </c>
      <c r="F66" s="684" t="s">
        <v>7718</v>
      </c>
      <c r="G66" t="s">
        <v>7476</v>
      </c>
      <c r="H66" t="s">
        <v>7307</v>
      </c>
      <c r="I66" s="440" t="s">
        <v>7526</v>
      </c>
      <c r="J66" t="s">
        <v>7377</v>
      </c>
    </row>
    <row r="67" spans="1:10" ht="30" x14ac:dyDescent="0.25">
      <c r="A67" s="694" t="s">
        <v>7290</v>
      </c>
      <c r="B67" s="695" t="s">
        <v>7213</v>
      </c>
      <c r="C67" s="696" t="s">
        <v>328</v>
      </c>
      <c r="D67" s="675" t="s">
        <v>7719</v>
      </c>
      <c r="E67" s="695" t="s">
        <v>7216</v>
      </c>
      <c r="F67" s="684" t="s">
        <v>7223</v>
      </c>
      <c r="G67" t="s">
        <v>7476</v>
      </c>
      <c r="H67" t="s">
        <v>7441</v>
      </c>
      <c r="I67" s="440" t="s">
        <v>7527</v>
      </c>
      <c r="J67" t="s">
        <v>7377</v>
      </c>
    </row>
    <row r="68" spans="1:10" ht="45" x14ac:dyDescent="0.25">
      <c r="A68" s="694" t="s">
        <v>7720</v>
      </c>
      <c r="B68" s="695" t="s">
        <v>7213</v>
      </c>
      <c r="C68" s="696" t="s">
        <v>328</v>
      </c>
      <c r="D68" s="675" t="s">
        <v>7720</v>
      </c>
      <c r="E68" s="695" t="s">
        <v>7216</v>
      </c>
      <c r="F68" s="684" t="s">
        <v>7721</v>
      </c>
      <c r="G68" t="s">
        <v>7476</v>
      </c>
      <c r="H68" t="s">
        <v>7442</v>
      </c>
      <c r="I68" s="440" t="s">
        <v>7528</v>
      </c>
      <c r="J68" t="s">
        <v>7377</v>
      </c>
    </row>
    <row r="69" spans="1:10" ht="45" x14ac:dyDescent="0.25">
      <c r="A69" s="694" t="s">
        <v>7720</v>
      </c>
      <c r="B69" s="695" t="s">
        <v>7213</v>
      </c>
      <c r="C69" s="696" t="s">
        <v>328</v>
      </c>
      <c r="D69" s="675" t="s">
        <v>7720</v>
      </c>
      <c r="E69" s="695" t="s">
        <v>7216</v>
      </c>
      <c r="F69" s="684" t="s">
        <v>7721</v>
      </c>
      <c r="G69" t="s">
        <v>7476</v>
      </c>
      <c r="H69" t="s">
        <v>7310</v>
      </c>
      <c r="I69" s="440" t="s">
        <v>7529</v>
      </c>
      <c r="J69" t="s">
        <v>7378</v>
      </c>
    </row>
    <row r="70" spans="1:10" ht="30" x14ac:dyDescent="0.25">
      <c r="A70" s="694" t="s">
        <v>7722</v>
      </c>
      <c r="B70" s="695" t="s">
        <v>7256</v>
      </c>
      <c r="C70" s="696" t="s">
        <v>328</v>
      </c>
      <c r="D70" s="675" t="s">
        <v>7723</v>
      </c>
      <c r="E70" s="695" t="s">
        <v>7246</v>
      </c>
      <c r="F70" s="684" t="s">
        <v>7724</v>
      </c>
      <c r="G70" t="s">
        <v>7476</v>
      </c>
      <c r="H70" t="s">
        <v>7443</v>
      </c>
      <c r="I70" s="440" t="s">
        <v>7566</v>
      </c>
      <c r="J70" t="s">
        <v>7378</v>
      </c>
    </row>
    <row r="71" spans="1:10" ht="45" x14ac:dyDescent="0.25">
      <c r="A71" s="694" t="s">
        <v>7306</v>
      </c>
      <c r="B71" s="695" t="s">
        <v>7262</v>
      </c>
      <c r="C71" s="696" t="s">
        <v>328</v>
      </c>
      <c r="D71" s="675" t="s">
        <v>7725</v>
      </c>
      <c r="E71" s="695" t="s">
        <v>7216</v>
      </c>
      <c r="F71" s="684" t="s">
        <v>7726</v>
      </c>
      <c r="G71" t="s">
        <v>7476</v>
      </c>
      <c r="H71" t="s">
        <v>7444</v>
      </c>
      <c r="I71" s="440" t="s">
        <v>7567</v>
      </c>
      <c r="J71" t="s">
        <v>7378</v>
      </c>
    </row>
    <row r="72" spans="1:10" x14ac:dyDescent="0.25">
      <c r="G72" t="s">
        <v>7476</v>
      </c>
      <c r="H72" t="s">
        <v>4297</v>
      </c>
      <c r="I72" s="440" t="s">
        <v>7530</v>
      </c>
      <c r="J72" t="s">
        <v>7378</v>
      </c>
    </row>
    <row r="73" spans="1:10" x14ac:dyDescent="0.25">
      <c r="G73" t="s">
        <v>7476</v>
      </c>
      <c r="H73" t="s">
        <v>7445</v>
      </c>
      <c r="I73" s="440" t="s">
        <v>7568</v>
      </c>
      <c r="J73" t="s">
        <v>7377</v>
      </c>
    </row>
    <row r="74" spans="1:10" x14ac:dyDescent="0.25">
      <c r="G74" t="s">
        <v>7476</v>
      </c>
      <c r="H74" t="s">
        <v>7446</v>
      </c>
      <c r="I74" s="440" t="s">
        <v>7569</v>
      </c>
      <c r="J74" t="s">
        <v>7377</v>
      </c>
    </row>
    <row r="75" spans="1:10" x14ac:dyDescent="0.25">
      <c r="G75" t="s">
        <v>7476</v>
      </c>
      <c r="H75" t="s">
        <v>7447</v>
      </c>
      <c r="I75" s="440" t="s">
        <v>7570</v>
      </c>
      <c r="J75" t="s">
        <v>7377</v>
      </c>
    </row>
    <row r="76" spans="1:10" x14ac:dyDescent="0.25">
      <c r="G76" t="s">
        <v>7476</v>
      </c>
      <c r="H76" t="s">
        <v>7448</v>
      </c>
      <c r="I76" s="440" t="s">
        <v>7571</v>
      </c>
      <c r="J76" t="s">
        <v>7377</v>
      </c>
    </row>
    <row r="77" spans="1:10" x14ac:dyDescent="0.25">
      <c r="G77" t="s">
        <v>7476</v>
      </c>
      <c r="H77" t="s">
        <v>7339</v>
      </c>
      <c r="I77" s="440" t="s">
        <v>7531</v>
      </c>
      <c r="J77" t="s">
        <v>7377</v>
      </c>
    </row>
    <row r="78" spans="1:10" x14ac:dyDescent="0.25">
      <c r="G78" t="s">
        <v>7477</v>
      </c>
      <c r="H78" t="s">
        <v>4326</v>
      </c>
      <c r="I78" s="440" t="s">
        <v>7532</v>
      </c>
      <c r="J78" t="s">
        <v>7378</v>
      </c>
    </row>
    <row r="79" spans="1:10" x14ac:dyDescent="0.25">
      <c r="G79" t="s">
        <v>7477</v>
      </c>
      <c r="H79" t="s">
        <v>7449</v>
      </c>
      <c r="I79" s="440" t="s">
        <v>7533</v>
      </c>
      <c r="J79" t="s">
        <v>7377</v>
      </c>
    </row>
    <row r="80" spans="1:10" x14ac:dyDescent="0.25">
      <c r="G80" t="s">
        <v>7477</v>
      </c>
      <c r="H80" t="s">
        <v>7450</v>
      </c>
      <c r="I80" s="440" t="s">
        <v>7572</v>
      </c>
      <c r="J80" t="s">
        <v>7377</v>
      </c>
    </row>
    <row r="81" spans="7:10" x14ac:dyDescent="0.25">
      <c r="G81" t="s">
        <v>7477</v>
      </c>
      <c r="H81" t="s">
        <v>7451</v>
      </c>
      <c r="I81" s="440" t="s">
        <v>7534</v>
      </c>
      <c r="J81" t="s">
        <v>7377</v>
      </c>
    </row>
    <row r="82" spans="7:10" x14ac:dyDescent="0.25">
      <c r="G82" t="s">
        <v>7477</v>
      </c>
      <c r="H82" t="s">
        <v>7313</v>
      </c>
      <c r="I82" s="440" t="s">
        <v>7535</v>
      </c>
      <c r="J82" t="s">
        <v>7378</v>
      </c>
    </row>
    <row r="83" spans="7:10" x14ac:dyDescent="0.25">
      <c r="G83" t="s">
        <v>7477</v>
      </c>
      <c r="H83" t="s">
        <v>7452</v>
      </c>
      <c r="I83" s="440" t="s">
        <v>7536</v>
      </c>
      <c r="J83" t="s">
        <v>7378</v>
      </c>
    </row>
    <row r="84" spans="7:10" x14ac:dyDescent="0.25">
      <c r="G84" t="s">
        <v>7477</v>
      </c>
      <c r="H84" t="s">
        <v>7312</v>
      </c>
      <c r="I84" s="440" t="s">
        <v>7537</v>
      </c>
      <c r="J84" t="s">
        <v>7378</v>
      </c>
    </row>
    <row r="85" spans="7:10" x14ac:dyDescent="0.25">
      <c r="G85" t="s">
        <v>7477</v>
      </c>
      <c r="H85" t="s">
        <v>7311</v>
      </c>
      <c r="I85" s="440" t="s">
        <v>7538</v>
      </c>
      <c r="J85" t="s">
        <v>7378</v>
      </c>
    </row>
    <row r="86" spans="7:10" x14ac:dyDescent="0.25">
      <c r="G86" t="s">
        <v>7477</v>
      </c>
      <c r="H86" t="s">
        <v>7453</v>
      </c>
      <c r="I86" s="440" t="s">
        <v>7539</v>
      </c>
      <c r="J86" t="s">
        <v>7377</v>
      </c>
    </row>
    <row r="87" spans="7:10" x14ac:dyDescent="0.25">
      <c r="G87" t="s">
        <v>7478</v>
      </c>
      <c r="H87" t="s">
        <v>7317</v>
      </c>
      <c r="I87" s="440" t="s">
        <v>7540</v>
      </c>
      <c r="J87" t="s">
        <v>7378</v>
      </c>
    </row>
    <row r="88" spans="7:10" x14ac:dyDescent="0.25">
      <c r="G88" t="s">
        <v>7478</v>
      </c>
      <c r="H88" t="s">
        <v>7454</v>
      </c>
      <c r="I88" s="440" t="s">
        <v>7541</v>
      </c>
      <c r="J88" t="s">
        <v>7377</v>
      </c>
    </row>
    <row r="89" spans="7:10" x14ac:dyDescent="0.25">
      <c r="G89" t="s">
        <v>7478</v>
      </c>
      <c r="H89" t="s">
        <v>7455</v>
      </c>
      <c r="I89" s="440" t="s">
        <v>7542</v>
      </c>
      <c r="J89" t="s">
        <v>7377</v>
      </c>
    </row>
    <row r="90" spans="7:10" x14ac:dyDescent="0.25">
      <c r="G90" t="s">
        <v>7478</v>
      </c>
      <c r="H90" t="s">
        <v>7456</v>
      </c>
      <c r="I90" s="440" t="s">
        <v>7543</v>
      </c>
      <c r="J90" t="s">
        <v>7377</v>
      </c>
    </row>
    <row r="91" spans="7:10" x14ac:dyDescent="0.25">
      <c r="G91" t="s">
        <v>7478</v>
      </c>
      <c r="H91" t="s">
        <v>7315</v>
      </c>
      <c r="I91" s="440" t="s">
        <v>7544</v>
      </c>
      <c r="J91" t="s">
        <v>7378</v>
      </c>
    </row>
    <row r="92" spans="7:10" x14ac:dyDescent="0.25">
      <c r="G92" t="s">
        <v>7478</v>
      </c>
      <c r="H92" t="s">
        <v>7457</v>
      </c>
      <c r="I92" s="440" t="s">
        <v>7573</v>
      </c>
      <c r="J92" t="s">
        <v>7377</v>
      </c>
    </row>
    <row r="93" spans="7:10" x14ac:dyDescent="0.25">
      <c r="G93" t="s">
        <v>7478</v>
      </c>
      <c r="H93" t="s">
        <v>7458</v>
      </c>
      <c r="I93" s="440" t="s">
        <v>7545</v>
      </c>
      <c r="J93" t="s">
        <v>7378</v>
      </c>
    </row>
    <row r="94" spans="7:10" x14ac:dyDescent="0.25">
      <c r="G94" t="s">
        <v>7478</v>
      </c>
      <c r="H94" t="s">
        <v>7459</v>
      </c>
      <c r="I94" s="440" t="s">
        <v>7574</v>
      </c>
      <c r="J94" t="s">
        <v>7378</v>
      </c>
    </row>
    <row r="95" spans="7:10" x14ac:dyDescent="0.25">
      <c r="G95" t="s">
        <v>7478</v>
      </c>
      <c r="H95" t="s">
        <v>7460</v>
      </c>
      <c r="I95" s="440" t="s">
        <v>7546</v>
      </c>
      <c r="J95" t="s">
        <v>7377</v>
      </c>
    </row>
    <row r="96" spans="7:10" x14ac:dyDescent="0.25">
      <c r="G96" t="s">
        <v>7478</v>
      </c>
      <c r="H96" t="s">
        <v>7461</v>
      </c>
      <c r="I96" s="440" t="s">
        <v>7547</v>
      </c>
      <c r="J96" t="s">
        <v>7377</v>
      </c>
    </row>
    <row r="97" spans="7:10" x14ac:dyDescent="0.25">
      <c r="G97" t="s">
        <v>7478</v>
      </c>
      <c r="H97" t="s">
        <v>7462</v>
      </c>
      <c r="I97" s="440" t="s">
        <v>7575</v>
      </c>
      <c r="J97" t="s">
        <v>7377</v>
      </c>
    </row>
    <row r="98" spans="7:10" x14ac:dyDescent="0.25">
      <c r="G98" t="s">
        <v>7478</v>
      </c>
      <c r="H98" t="s">
        <v>7463</v>
      </c>
      <c r="I98" s="440" t="s">
        <v>7576</v>
      </c>
      <c r="J98" t="s">
        <v>7377</v>
      </c>
    </row>
    <row r="99" spans="7:10" x14ac:dyDescent="0.25">
      <c r="G99" t="s">
        <v>7478</v>
      </c>
      <c r="H99" t="s">
        <v>7316</v>
      </c>
      <c r="I99" s="440" t="s">
        <v>7548</v>
      </c>
      <c r="J99" t="s">
        <v>7378</v>
      </c>
    </row>
    <row r="100" spans="7:10" x14ac:dyDescent="0.25">
      <c r="G100" t="s">
        <v>7478</v>
      </c>
      <c r="H100" t="s">
        <v>7356</v>
      </c>
      <c r="I100" s="440" t="s">
        <v>7549</v>
      </c>
      <c r="J100" t="s">
        <v>7378</v>
      </c>
    </row>
    <row r="101" spans="7:10" x14ac:dyDescent="0.25">
      <c r="G101" t="s">
        <v>7478</v>
      </c>
      <c r="H101" t="s">
        <v>7358</v>
      </c>
      <c r="I101" s="440" t="s">
        <v>7550</v>
      </c>
      <c r="J101" t="s">
        <v>7378</v>
      </c>
    </row>
    <row r="102" spans="7:10" x14ac:dyDescent="0.25">
      <c r="G102" t="s">
        <v>7478</v>
      </c>
      <c r="H102" t="s">
        <v>7464</v>
      </c>
      <c r="I102" s="440" t="s">
        <v>7551</v>
      </c>
      <c r="J102" t="s">
        <v>7378</v>
      </c>
    </row>
    <row r="103" spans="7:10" x14ac:dyDescent="0.25">
      <c r="G103" t="s">
        <v>7478</v>
      </c>
      <c r="H103" t="s">
        <v>7362</v>
      </c>
      <c r="I103" s="440" t="s">
        <v>7552</v>
      </c>
      <c r="J103" t="s">
        <v>7378</v>
      </c>
    </row>
    <row r="104" spans="7:10" x14ac:dyDescent="0.25">
      <c r="G104" t="s">
        <v>7478</v>
      </c>
      <c r="H104" t="s">
        <v>7465</v>
      </c>
      <c r="I104" s="440" t="s">
        <v>7553</v>
      </c>
      <c r="J104" t="s">
        <v>7377</v>
      </c>
    </row>
    <row r="105" spans="7:10" x14ac:dyDescent="0.25">
      <c r="G105" t="s">
        <v>7478</v>
      </c>
      <c r="H105" t="s">
        <v>7466</v>
      </c>
      <c r="I105" s="440" t="s">
        <v>7479</v>
      </c>
      <c r="J105" t="s">
        <v>7377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IV346"/>
  <sheetViews>
    <sheetView showGridLines="0" showZeros="0" tabSelected="1" view="pageBreakPreview" zoomScale="90" zoomScaleNormal="80" zoomScaleSheetLayoutView="90" workbookViewId="0">
      <selection activeCell="C4" sqref="C4:E4"/>
    </sheetView>
  </sheetViews>
  <sheetFormatPr defaultRowHeight="12.75" x14ac:dyDescent="0.25"/>
  <cols>
    <col min="1" max="1" width="18.7109375" style="345" customWidth="1"/>
    <col min="2" max="2" width="13.7109375" style="345" customWidth="1"/>
    <col min="3" max="4" width="14.7109375" style="345" customWidth="1"/>
    <col min="5" max="5" width="12.7109375" style="345" customWidth="1"/>
    <col min="6" max="6" width="15.28515625" style="345" customWidth="1"/>
    <col min="7" max="7" width="14.5703125" style="345" customWidth="1"/>
    <col min="8" max="8" width="14.140625" style="345" customWidth="1"/>
    <col min="9" max="9" width="12.7109375" style="345" customWidth="1"/>
    <col min="10" max="11" width="13.7109375" style="345" customWidth="1"/>
    <col min="12" max="12" width="13.28515625" style="345" customWidth="1"/>
    <col min="13" max="14" width="12.7109375" style="345" customWidth="1"/>
    <col min="15" max="15" width="13.42578125" style="345" customWidth="1"/>
    <col min="16" max="16" width="13.85546875" style="345" customWidth="1"/>
    <col min="17" max="17" width="13.7109375" style="345" customWidth="1"/>
    <col min="18" max="18" width="16.7109375" style="345" hidden="1" customWidth="1"/>
    <col min="19" max="19" width="9.140625" style="345" hidden="1" customWidth="1"/>
    <col min="20" max="20" width="11.85546875" style="345" hidden="1" customWidth="1"/>
    <col min="21" max="23" width="9.140625" style="345" hidden="1" customWidth="1"/>
    <col min="24" max="24" width="15.140625" style="345" hidden="1" customWidth="1"/>
    <col min="25" max="25" width="15" style="345" hidden="1" customWidth="1"/>
    <col min="26" max="30" width="9.140625" style="345" hidden="1" customWidth="1"/>
    <col min="31" max="31" width="12" style="345" hidden="1" customWidth="1"/>
    <col min="32" max="32" width="12.140625" style="345" hidden="1" customWidth="1"/>
    <col min="33" max="38" width="9.140625" style="345" customWidth="1"/>
    <col min="39" max="16384" width="9.140625" style="345"/>
  </cols>
  <sheetData>
    <row r="1" spans="1:256" ht="80.099999999999994" customHeight="1" x14ac:dyDescent="0.25">
      <c r="A1" s="1321" t="s">
        <v>8037</v>
      </c>
      <c r="B1" s="1322"/>
      <c r="C1" s="1322"/>
      <c r="D1" s="1322"/>
      <c r="E1" s="1322"/>
      <c r="F1" s="1322"/>
      <c r="G1" s="1322"/>
      <c r="H1" s="1322"/>
      <c r="I1" s="1322"/>
      <c r="J1" s="1322"/>
      <c r="K1" s="1322"/>
      <c r="L1" s="1322"/>
      <c r="M1" s="1322"/>
      <c r="N1" s="1322"/>
      <c r="O1" s="1322"/>
      <c r="P1" s="1322"/>
      <c r="Q1" s="1322"/>
      <c r="IV1" s="345" t="s">
        <v>7178</v>
      </c>
    </row>
    <row r="2" spans="1:256" ht="35.25" customHeight="1" thickBot="1" x14ac:dyDescent="0.3">
      <c r="A2" s="1466" t="s">
        <v>0</v>
      </c>
      <c r="B2" s="1466"/>
      <c r="C2" s="1466"/>
      <c r="D2" s="1466"/>
      <c r="E2" s="1466"/>
      <c r="F2" s="1466"/>
      <c r="G2" s="1466"/>
      <c r="H2" s="1466"/>
      <c r="I2" s="1466"/>
      <c r="J2" s="1466"/>
      <c r="K2" s="1466"/>
      <c r="L2" s="1466"/>
      <c r="M2" s="1466"/>
      <c r="N2" s="1466"/>
      <c r="O2" s="1466"/>
      <c r="P2" s="1466"/>
      <c r="Q2" s="1466"/>
    </row>
    <row r="3" spans="1:256" ht="5.0999999999999996" customHeight="1" thickTop="1" x14ac:dyDescent="0.25">
      <c r="A3" s="977"/>
      <c r="B3" s="977"/>
      <c r="C3" s="977"/>
      <c r="D3" s="978"/>
      <c r="E3" s="978"/>
      <c r="F3" s="978"/>
      <c r="G3" s="978"/>
      <c r="H3" s="978"/>
      <c r="I3" s="978"/>
      <c r="J3" s="978"/>
      <c r="K3" s="978"/>
      <c r="L3" s="978"/>
      <c r="M3" s="913"/>
      <c r="N3" s="913"/>
      <c r="O3" s="913"/>
      <c r="P3" s="913"/>
      <c r="Q3" s="913"/>
    </row>
    <row r="4" spans="1:256" x14ac:dyDescent="0.25">
      <c r="A4" s="978" t="s">
        <v>46</v>
      </c>
      <c r="B4" s="978"/>
      <c r="C4" s="1408" t="s">
        <v>8047</v>
      </c>
      <c r="D4" s="1408"/>
      <c r="E4" s="1408"/>
      <c r="F4" s="913"/>
      <c r="G4" s="913" t="s">
        <v>535</v>
      </c>
      <c r="H4" s="977"/>
      <c r="I4" s="977"/>
      <c r="J4" s="1433">
        <v>43255</v>
      </c>
      <c r="K4" s="1433"/>
      <c r="L4" s="1433"/>
      <c r="M4" s="913"/>
      <c r="N4" s="913"/>
      <c r="O4" s="913"/>
      <c r="P4" s="913"/>
      <c r="Q4" s="913"/>
    </row>
    <row r="5" spans="1:256" x14ac:dyDescent="0.25">
      <c r="A5" s="978" t="s">
        <v>534</v>
      </c>
      <c r="B5" s="978"/>
      <c r="C5" s="1409" t="s">
        <v>8048</v>
      </c>
      <c r="D5" s="1409"/>
      <c r="E5" s="1409"/>
      <c r="F5" s="913"/>
      <c r="G5" s="913" t="s">
        <v>85</v>
      </c>
      <c r="H5" s="977"/>
      <c r="I5" s="977"/>
      <c r="J5" s="1429" t="s">
        <v>8075</v>
      </c>
      <c r="K5" s="1429"/>
      <c r="L5" s="1429"/>
      <c r="M5" s="913"/>
      <c r="N5" s="913"/>
      <c r="O5" s="913"/>
      <c r="P5" s="913"/>
      <c r="Q5" s="913"/>
    </row>
    <row r="6" spans="1:256" x14ac:dyDescent="0.25">
      <c r="A6" s="978" t="s">
        <v>536</v>
      </c>
      <c r="B6" s="978"/>
      <c r="C6" s="1409" t="s">
        <v>8049</v>
      </c>
      <c r="D6" s="1409"/>
      <c r="E6" s="1409"/>
      <c r="F6" s="913"/>
      <c r="G6" s="977" t="s">
        <v>270</v>
      </c>
      <c r="H6" s="977"/>
      <c r="I6" s="977"/>
      <c r="J6" s="1409"/>
      <c r="K6" s="1409"/>
      <c r="L6" s="1409"/>
      <c r="M6" s="913"/>
      <c r="N6" s="913"/>
      <c r="O6" s="913"/>
      <c r="P6" s="913"/>
      <c r="Q6" s="913"/>
    </row>
    <row r="7" spans="1:256" ht="12.75" customHeight="1" x14ac:dyDescent="0.25">
      <c r="A7" s="978" t="s">
        <v>813</v>
      </c>
      <c r="B7" s="978"/>
      <c r="C7" s="1409">
        <v>15049774</v>
      </c>
      <c r="D7" s="1409"/>
      <c r="E7" s="1409"/>
      <c r="F7" s="913"/>
      <c r="G7" s="977" t="s">
        <v>84</v>
      </c>
      <c r="H7" s="977"/>
      <c r="I7" s="977"/>
      <c r="J7" s="1430" t="s">
        <v>8076</v>
      </c>
      <c r="K7" s="1431"/>
      <c r="L7" s="1431"/>
      <c r="M7" s="913"/>
      <c r="N7" s="913"/>
      <c r="O7" s="913"/>
      <c r="P7" s="913"/>
      <c r="Q7" s="913"/>
    </row>
    <row r="8" spans="1:256" x14ac:dyDescent="0.25">
      <c r="A8" s="978" t="s">
        <v>7209</v>
      </c>
      <c r="B8" s="978"/>
      <c r="C8" s="1409" t="s">
        <v>8200</v>
      </c>
      <c r="D8" s="1409"/>
      <c r="E8" s="1409"/>
      <c r="F8" s="979" t="e">
        <f>VLOOKUP(C8,Value!$BA$1:$BB$9,2,FALSE)</f>
        <v>#N/A</v>
      </c>
      <c r="G8" s="1475" t="s">
        <v>222</v>
      </c>
      <c r="H8" s="1475"/>
      <c r="I8" s="1475"/>
      <c r="J8" s="1433"/>
      <c r="K8" s="1433"/>
      <c r="L8" s="1433"/>
      <c r="M8" s="913"/>
      <c r="N8" s="913"/>
      <c r="O8" s="913"/>
      <c r="P8" s="913"/>
      <c r="Q8" s="913"/>
    </row>
    <row r="9" spans="1:256" x14ac:dyDescent="0.25">
      <c r="A9" s="978" t="s">
        <v>3</v>
      </c>
      <c r="B9" s="978"/>
      <c r="C9" s="1409" t="s">
        <v>8201</v>
      </c>
      <c r="D9" s="1409"/>
      <c r="E9" s="1409"/>
      <c r="F9" s="913"/>
      <c r="G9" s="977" t="s">
        <v>7177</v>
      </c>
      <c r="H9" s="977"/>
      <c r="I9" s="977"/>
      <c r="J9" s="1433" t="s">
        <v>8202</v>
      </c>
      <c r="K9" s="1433"/>
      <c r="L9" s="1433"/>
      <c r="M9" s="913"/>
      <c r="N9" s="913"/>
      <c r="O9" s="913"/>
      <c r="P9" s="913"/>
      <c r="Q9" s="913"/>
    </row>
    <row r="10" spans="1:256" ht="5.0999999999999996" customHeight="1" x14ac:dyDescent="0.25">
      <c r="A10" s="977"/>
      <c r="B10" s="977"/>
      <c r="C10" s="977"/>
      <c r="D10" s="978"/>
      <c r="E10" s="978"/>
      <c r="F10" s="978"/>
      <c r="G10" s="978"/>
      <c r="H10" s="978"/>
      <c r="I10" s="978"/>
      <c r="J10" s="978"/>
      <c r="K10" s="978"/>
      <c r="L10" s="913"/>
      <c r="M10" s="913"/>
      <c r="N10" s="913"/>
      <c r="O10" s="913"/>
      <c r="P10" s="913"/>
      <c r="Q10" s="913"/>
    </row>
    <row r="11" spans="1:256" ht="30.75" customHeight="1" x14ac:dyDescent="0.25">
      <c r="A11" s="1476" t="s">
        <v>7638</v>
      </c>
      <c r="B11" s="1476"/>
      <c r="C11" s="1476"/>
      <c r="D11" s="1476"/>
      <c r="E11" s="1476"/>
      <c r="F11" s="1476"/>
      <c r="G11" s="1476"/>
      <c r="H11" s="1476"/>
      <c r="I11" s="1476"/>
      <c r="J11" s="1476"/>
      <c r="K11" s="1476"/>
      <c r="L11" s="1476"/>
      <c r="M11" s="1476"/>
      <c r="N11" s="1476"/>
      <c r="O11" s="1476"/>
      <c r="P11" s="1476"/>
      <c r="Q11" s="1476"/>
    </row>
    <row r="12" spans="1:256" ht="30" customHeight="1" x14ac:dyDescent="0.25">
      <c r="A12" s="1329" t="s">
        <v>8190</v>
      </c>
      <c r="B12" s="1329"/>
      <c r="C12" s="1329"/>
      <c r="D12" s="1329"/>
      <c r="E12" s="1329"/>
      <c r="F12" s="1329"/>
      <c r="G12" s="1329"/>
      <c r="H12" s="1329"/>
      <c r="I12" s="1329"/>
      <c r="J12" s="1329"/>
      <c r="K12" s="1329"/>
      <c r="L12" s="1329"/>
      <c r="M12" s="1329"/>
      <c r="N12" s="1329"/>
      <c r="O12" s="913"/>
      <c r="P12" s="913"/>
      <c r="Q12" s="913"/>
    </row>
    <row r="13" spans="1:256" ht="18" customHeight="1" x14ac:dyDescent="0.25">
      <c r="A13" s="1434" t="s">
        <v>8161</v>
      </c>
      <c r="B13" s="1331"/>
      <c r="C13" s="1331"/>
      <c r="D13" s="1331"/>
      <c r="E13" s="1331"/>
      <c r="F13" s="1331"/>
      <c r="G13" s="1331"/>
      <c r="H13" s="1331"/>
      <c r="I13" s="1331"/>
      <c r="J13" s="1331"/>
      <c r="K13" s="1331"/>
      <c r="L13" s="1331"/>
      <c r="M13" s="1331"/>
      <c r="N13" s="1331"/>
      <c r="O13" s="913"/>
      <c r="P13" s="913"/>
      <c r="Q13" s="913"/>
    </row>
    <row r="14" spans="1:256" ht="18" customHeight="1" x14ac:dyDescent="0.25">
      <c r="A14" s="1434" t="s">
        <v>8191</v>
      </c>
      <c r="B14" s="1331"/>
      <c r="C14" s="1331"/>
      <c r="D14" s="1331"/>
      <c r="E14" s="1331"/>
      <c r="F14" s="1331"/>
      <c r="G14" s="1331"/>
      <c r="H14" s="1331"/>
      <c r="I14" s="1331"/>
      <c r="J14" s="1331"/>
      <c r="K14" s="1331"/>
      <c r="L14" s="1331"/>
      <c r="M14" s="1331"/>
      <c r="N14" s="1331"/>
      <c r="O14" s="913"/>
      <c r="P14" s="913"/>
      <c r="Q14" s="913"/>
    </row>
    <row r="15" spans="1:256" x14ac:dyDescent="0.25">
      <c r="A15" s="1434"/>
      <c r="B15" s="1331"/>
      <c r="C15" s="1331"/>
      <c r="D15" s="1331"/>
      <c r="E15" s="1331"/>
      <c r="F15" s="1331"/>
      <c r="G15" s="1331"/>
      <c r="H15" s="1331"/>
      <c r="I15" s="1331"/>
      <c r="J15" s="1331"/>
      <c r="K15" s="1331"/>
      <c r="L15" s="1331"/>
      <c r="M15" s="1331"/>
      <c r="N15" s="1331"/>
      <c r="O15" s="913"/>
      <c r="P15" s="913"/>
      <c r="Q15" s="913"/>
    </row>
    <row r="16" spans="1:256" x14ac:dyDescent="0.25">
      <c r="A16" s="1333"/>
      <c r="B16" s="1333"/>
      <c r="C16" s="1333"/>
      <c r="D16" s="1333"/>
      <c r="E16" s="1333"/>
      <c r="F16" s="1333"/>
      <c r="G16" s="1333"/>
      <c r="H16" s="1333"/>
      <c r="I16" s="1333"/>
      <c r="J16" s="1333"/>
      <c r="K16" s="1333"/>
      <c r="L16" s="1333"/>
      <c r="M16" s="1333"/>
      <c r="N16" s="1333"/>
      <c r="O16" s="913"/>
      <c r="P16" s="913"/>
      <c r="Q16" s="913"/>
    </row>
    <row r="17" spans="1:17" ht="15" customHeight="1" x14ac:dyDescent="0.25">
      <c r="A17" s="980" t="s">
        <v>470</v>
      </c>
      <c r="B17" s="1359" t="s">
        <v>371</v>
      </c>
      <c r="C17" s="1359"/>
      <c r="D17" s="1359"/>
      <c r="E17" s="1359"/>
      <c r="F17" s="1359"/>
      <c r="G17" s="1359"/>
      <c r="H17" s="1359"/>
      <c r="I17" s="1359"/>
      <c r="J17" s="1359"/>
      <c r="K17" s="981"/>
      <c r="L17" s="912"/>
      <c r="M17" s="912"/>
      <c r="N17" s="912"/>
      <c r="O17" s="913"/>
      <c r="P17" s="913"/>
      <c r="Q17" s="913"/>
    </row>
    <row r="18" spans="1:17" ht="5.0999999999999996" customHeight="1" x14ac:dyDescent="0.25">
      <c r="A18" s="913"/>
      <c r="B18" s="913"/>
      <c r="C18" s="913"/>
      <c r="D18" s="913"/>
      <c r="E18" s="913"/>
      <c r="F18" s="913"/>
      <c r="G18" s="913"/>
      <c r="H18" s="913"/>
      <c r="I18" s="913"/>
      <c r="J18" s="913"/>
      <c r="K18" s="913"/>
      <c r="L18" s="913"/>
      <c r="M18" s="913"/>
      <c r="N18" s="913"/>
      <c r="O18" s="913"/>
      <c r="P18" s="913"/>
      <c r="Q18" s="913"/>
    </row>
    <row r="19" spans="1:17" ht="15.75" customHeight="1" x14ac:dyDescent="0.25">
      <c r="A19" s="1324" t="s">
        <v>228</v>
      </c>
      <c r="B19" s="1325"/>
      <c r="C19" s="1325"/>
      <c r="D19" s="1325"/>
      <c r="E19" s="1325"/>
      <c r="F19" s="1325"/>
      <c r="G19" s="1325"/>
      <c r="H19" s="1325"/>
      <c r="I19" s="1325"/>
      <c r="J19" s="1325"/>
      <c r="K19" s="1325"/>
      <c r="L19" s="1325"/>
      <c r="M19" s="1325"/>
      <c r="N19" s="1325"/>
      <c r="O19" s="1325"/>
      <c r="P19" s="1325"/>
      <c r="Q19" s="1326"/>
    </row>
    <row r="20" spans="1:17" x14ac:dyDescent="0.25">
      <c r="A20" s="1432" t="s">
        <v>13</v>
      </c>
      <c r="B20" s="1432"/>
      <c r="C20" s="1432"/>
      <c r="D20" s="1410" t="s">
        <v>8077</v>
      </c>
      <c r="E20" s="1410"/>
      <c r="F20" s="1410"/>
      <c r="G20" s="1410"/>
      <c r="H20" s="1410"/>
      <c r="I20" s="1410"/>
      <c r="J20" s="1410"/>
      <c r="K20" s="1410"/>
      <c r="L20" s="1410"/>
      <c r="M20" s="1410"/>
      <c r="N20" s="1410"/>
      <c r="O20" s="913"/>
      <c r="P20" s="913"/>
      <c r="Q20" s="913"/>
    </row>
    <row r="21" spans="1:17" x14ac:dyDescent="0.25">
      <c r="A21" s="980"/>
      <c r="B21" s="980"/>
      <c r="C21" s="980"/>
      <c r="D21" s="1411"/>
      <c r="E21" s="1411"/>
      <c r="F21" s="1411"/>
      <c r="G21" s="1411"/>
      <c r="H21" s="1411"/>
      <c r="I21" s="1411"/>
      <c r="J21" s="1411"/>
      <c r="K21" s="1411"/>
      <c r="L21" s="1411"/>
      <c r="M21" s="1411"/>
      <c r="N21" s="1411"/>
      <c r="O21" s="913"/>
      <c r="P21" s="913"/>
      <c r="Q21" s="913"/>
    </row>
    <row r="22" spans="1:17" x14ac:dyDescent="0.25">
      <c r="A22" s="1432" t="s">
        <v>225</v>
      </c>
      <c r="B22" s="1432"/>
      <c r="C22" s="1432"/>
      <c r="D22" s="1410" t="s">
        <v>7313</v>
      </c>
      <c r="E22" s="1410"/>
      <c r="F22" s="1410"/>
      <c r="G22" s="982"/>
      <c r="H22" s="982"/>
      <c r="I22" s="982"/>
      <c r="J22" s="982"/>
      <c r="K22" s="982"/>
      <c r="L22" s="983"/>
      <c r="M22" s="912"/>
      <c r="N22" s="912"/>
      <c r="O22" s="913"/>
      <c r="P22" s="913"/>
      <c r="Q22" s="913"/>
    </row>
    <row r="23" spans="1:17" x14ac:dyDescent="0.25">
      <c r="A23" s="1432" t="s">
        <v>226</v>
      </c>
      <c r="B23" s="1432"/>
      <c r="C23" s="1432"/>
      <c r="D23" s="1411" t="s">
        <v>7345</v>
      </c>
      <c r="E23" s="1411"/>
      <c r="F23" s="1411"/>
      <c r="G23" s="982"/>
      <c r="H23" s="982"/>
      <c r="I23" s="982"/>
      <c r="J23" s="982"/>
      <c r="K23" s="982"/>
      <c r="L23" s="983"/>
      <c r="M23" s="912"/>
      <c r="N23" s="912"/>
      <c r="O23" s="913"/>
      <c r="P23" s="913"/>
      <c r="Q23" s="913"/>
    </row>
    <row r="24" spans="1:17" x14ac:dyDescent="0.25">
      <c r="A24" s="1432" t="s">
        <v>227</v>
      </c>
      <c r="B24" s="1432"/>
      <c r="C24" s="1432"/>
      <c r="D24" s="1442"/>
      <c r="E24" s="1442"/>
      <c r="F24" s="1442"/>
      <c r="G24" s="982"/>
      <c r="H24" s="982"/>
      <c r="I24" s="982"/>
      <c r="J24" s="982"/>
      <c r="K24" s="982"/>
      <c r="L24" s="983"/>
      <c r="M24" s="912"/>
      <c r="N24" s="912"/>
      <c r="O24" s="913"/>
      <c r="P24" s="913"/>
      <c r="Q24" s="913"/>
    </row>
    <row r="25" spans="1:17" x14ac:dyDescent="0.25">
      <c r="A25" s="1432" t="s">
        <v>229</v>
      </c>
      <c r="B25" s="1432"/>
      <c r="C25" s="1432"/>
      <c r="D25" s="1427" t="s">
        <v>8078</v>
      </c>
      <c r="E25" s="1411"/>
      <c r="F25" s="1411"/>
      <c r="G25" s="982"/>
      <c r="H25" s="982"/>
      <c r="I25" s="982"/>
      <c r="J25" s="982"/>
      <c r="K25" s="982"/>
      <c r="L25" s="983"/>
      <c r="M25" s="912"/>
      <c r="N25" s="912"/>
      <c r="O25" s="913"/>
      <c r="P25" s="913"/>
      <c r="Q25" s="913"/>
    </row>
    <row r="26" spans="1:17" s="364" customFormat="1" ht="15" x14ac:dyDescent="0.25">
      <c r="A26" s="1441" t="s">
        <v>2902</v>
      </c>
      <c r="B26" s="1441"/>
      <c r="C26" s="1441"/>
      <c r="D26" s="1411" t="s">
        <v>8060</v>
      </c>
      <c r="E26" s="1411"/>
      <c r="F26" s="1411"/>
      <c r="G26" s="984"/>
      <c r="H26" s="984"/>
      <c r="I26" s="984"/>
      <c r="J26" s="984"/>
      <c r="K26" s="984"/>
      <c r="L26" s="984"/>
      <c r="M26" s="984"/>
      <c r="N26" s="984"/>
      <c r="O26" s="985"/>
      <c r="P26" s="985"/>
      <c r="Q26" s="985"/>
    </row>
    <row r="27" spans="1:17" s="364" customFormat="1" ht="15" x14ac:dyDescent="0.25">
      <c r="A27" s="1469" t="s">
        <v>3162</v>
      </c>
      <c r="B27" s="1469"/>
      <c r="C27" s="1469"/>
      <c r="D27" s="1410" t="s">
        <v>554</v>
      </c>
      <c r="E27" s="1410"/>
      <c r="F27" s="1410"/>
      <c r="G27" s="1410"/>
      <c r="H27" s="1410"/>
      <c r="I27" s="1410"/>
      <c r="J27" s="1410"/>
      <c r="K27" s="1410"/>
      <c r="L27" s="986"/>
      <c r="M27" s="986"/>
      <c r="N27" s="986"/>
      <c r="O27" s="985"/>
      <c r="P27" s="985"/>
      <c r="Q27" s="985"/>
    </row>
    <row r="28" spans="1:17" s="364" customFormat="1" ht="15" x14ac:dyDescent="0.25">
      <c r="A28" s="987"/>
      <c r="B28" s="987"/>
      <c r="C28" s="987"/>
      <c r="D28" s="988" t="str">
        <f>IF(D26="Debitur_Perusahaan","Jika milik sendiri, tempat usaha dibeli / dimiliki pada tanggal","Jika milik sendiri, rumah dibeli / dimiliki pada tanggal")</f>
        <v>Jika milik sendiri, rumah dibeli / dimiliki pada tanggal</v>
      </c>
      <c r="E28" s="988"/>
      <c r="F28" s="988"/>
      <c r="G28" s="988"/>
      <c r="H28" s="1436">
        <v>40651</v>
      </c>
      <c r="I28" s="1436"/>
      <c r="J28" s="989" t="s">
        <v>51</v>
      </c>
      <c r="K28" s="988"/>
      <c r="L28" s="988"/>
      <c r="M28" s="984"/>
      <c r="N28" s="984"/>
      <c r="O28" s="985"/>
      <c r="P28" s="985"/>
      <c r="Q28" s="985"/>
    </row>
    <row r="29" spans="1:17" s="364" customFormat="1" ht="15" x14ac:dyDescent="0.25">
      <c r="A29" s="987"/>
      <c r="B29" s="987"/>
      <c r="C29" s="987"/>
      <c r="D29" s="988" t="str">
        <f>IF(D26="Debitur_Perusahaan","Jika sewa, tempat usaha telah disewa sejak tanggal","Jika sewa, rumah telah disewa sejak tanggal")</f>
        <v>Jika sewa, rumah telah disewa sejak tanggal</v>
      </c>
      <c r="E29" s="988"/>
      <c r="F29" s="988"/>
      <c r="G29" s="988"/>
      <c r="H29" s="1437"/>
      <c r="I29" s="1437"/>
      <c r="J29" s="989" t="s">
        <v>51</v>
      </c>
      <c r="K29" s="988"/>
      <c r="L29" s="988"/>
      <c r="M29" s="984"/>
      <c r="N29" s="984"/>
      <c r="O29" s="985"/>
      <c r="P29" s="985"/>
      <c r="Q29" s="985"/>
    </row>
    <row r="30" spans="1:17" s="364" customFormat="1" ht="12.75" customHeight="1" x14ac:dyDescent="0.25">
      <c r="A30" s="1441" t="s">
        <v>523</v>
      </c>
      <c r="B30" s="1441"/>
      <c r="C30" s="1441"/>
      <c r="D30" s="1439">
        <v>2012</v>
      </c>
      <c r="E30" s="1439"/>
      <c r="F30" s="988"/>
      <c r="G30" s="988"/>
      <c r="H30" s="990"/>
      <c r="I30" s="990"/>
      <c r="J30" s="989"/>
      <c r="K30" s="988"/>
      <c r="L30" s="988"/>
      <c r="M30" s="984"/>
      <c r="N30" s="984"/>
      <c r="O30" s="985"/>
      <c r="P30" s="985"/>
      <c r="Q30" s="985"/>
    </row>
    <row r="31" spans="1:17" x14ac:dyDescent="0.25">
      <c r="A31" s="981" t="s">
        <v>238</v>
      </c>
      <c r="B31" s="981"/>
      <c r="C31" s="981"/>
      <c r="D31" s="1410" t="s">
        <v>6330</v>
      </c>
      <c r="E31" s="1410"/>
      <c r="F31" s="988"/>
      <c r="G31" s="991" t="str">
        <f>D32</f>
        <v>AUTOMOTIVE &amp; COMPONENT</v>
      </c>
      <c r="H31" s="988"/>
      <c r="I31" s="988"/>
      <c r="J31" s="981"/>
      <c r="K31" s="988"/>
      <c r="L31" s="983"/>
      <c r="M31" s="983"/>
      <c r="N31" s="983"/>
      <c r="O31" s="913"/>
      <c r="P31" s="913"/>
      <c r="Q31" s="913"/>
    </row>
    <row r="32" spans="1:17" ht="28.5" customHeight="1" x14ac:dyDescent="0.25">
      <c r="A32" s="988" t="s">
        <v>45</v>
      </c>
      <c r="B32" s="988"/>
      <c r="C32" s="991" t="str">
        <f>IF(D32="SPBU",D32,VLOOKUP(D32,'Tabel Map Industry'!C2:E464,3,0))</f>
        <v>AUTOMOTIVE</v>
      </c>
      <c r="D32" s="1333" t="s">
        <v>4391</v>
      </c>
      <c r="E32" s="1333"/>
      <c r="F32" s="981" t="s">
        <v>729</v>
      </c>
      <c r="G32" s="1473" t="s">
        <v>8204</v>
      </c>
      <c r="H32" s="1473"/>
      <c r="I32" s="1473"/>
      <c r="J32" s="1473"/>
      <c r="K32" s="1473"/>
      <c r="L32" s="1473"/>
      <c r="M32" s="1473"/>
      <c r="N32" s="1473"/>
      <c r="O32" s="978"/>
      <c r="P32" s="978"/>
      <c r="Q32" s="978"/>
    </row>
    <row r="33" spans="1:17" ht="105.75" customHeight="1" x14ac:dyDescent="0.25">
      <c r="A33" s="983" t="s">
        <v>239</v>
      </c>
      <c r="B33" s="983"/>
      <c r="C33" s="983"/>
      <c r="D33" s="1474">
        <v>14</v>
      </c>
      <c r="E33" s="1474"/>
      <c r="F33" s="912" t="s">
        <v>3204</v>
      </c>
      <c r="G33" s="1428" t="s">
        <v>3205</v>
      </c>
      <c r="H33" s="1428"/>
      <c r="I33" s="1428"/>
      <c r="J33" s="1440" t="s">
        <v>8199</v>
      </c>
      <c r="K33" s="1331"/>
      <c r="L33" s="1331"/>
      <c r="M33" s="1331"/>
      <c r="N33" s="1331"/>
      <c r="O33" s="973"/>
      <c r="P33" s="973"/>
      <c r="Q33" s="973"/>
    </row>
    <row r="34" spans="1:17" ht="48.75" customHeight="1" x14ac:dyDescent="0.25">
      <c r="A34" s="1468" t="s">
        <v>7601</v>
      </c>
      <c r="B34" s="1468"/>
      <c r="C34" s="1468"/>
      <c r="D34" s="1474" t="s">
        <v>7372</v>
      </c>
      <c r="E34" s="1474"/>
      <c r="F34" s="912" t="s">
        <v>3204</v>
      </c>
      <c r="G34" s="1469" t="s">
        <v>7602</v>
      </c>
      <c r="H34" s="1469"/>
      <c r="I34" s="1469"/>
      <c r="J34" s="1331" t="s">
        <v>8079</v>
      </c>
      <c r="K34" s="1331"/>
      <c r="L34" s="1331"/>
      <c r="M34" s="1331"/>
      <c r="N34" s="1331"/>
      <c r="O34" s="973"/>
      <c r="P34" s="973"/>
      <c r="Q34" s="973"/>
    </row>
    <row r="35" spans="1:17" x14ac:dyDescent="0.25">
      <c r="A35" s="988" t="s">
        <v>3194</v>
      </c>
      <c r="B35" s="988"/>
      <c r="C35" s="988"/>
      <c r="D35" s="1435">
        <v>40</v>
      </c>
      <c r="E35" s="1435"/>
      <c r="F35" s="981" t="s">
        <v>3195</v>
      </c>
      <c r="G35" s="1432"/>
      <c r="H35" s="1432"/>
      <c r="I35" s="1432"/>
      <c r="J35" s="1438"/>
      <c r="K35" s="1438"/>
      <c r="L35" s="1438"/>
      <c r="M35" s="1438"/>
      <c r="N35" s="1438"/>
      <c r="O35" s="913"/>
      <c r="P35" s="913"/>
      <c r="Q35" s="913"/>
    </row>
    <row r="36" spans="1:17" x14ac:dyDescent="0.25">
      <c r="A36" s="988" t="s">
        <v>4198</v>
      </c>
      <c r="B36" s="988"/>
      <c r="C36" s="988"/>
      <c r="D36" s="1443" t="s">
        <v>8080</v>
      </c>
      <c r="E36" s="1443"/>
      <c r="F36" s="981" t="s">
        <v>4199</v>
      </c>
      <c r="G36" s="980"/>
      <c r="H36" s="980"/>
      <c r="I36" s="980"/>
      <c r="J36" s="466"/>
      <c r="K36" s="466"/>
      <c r="L36" s="466"/>
      <c r="M36" s="466"/>
      <c r="N36" s="466"/>
      <c r="O36" s="913"/>
      <c r="P36" s="913"/>
      <c r="Q36" s="913"/>
    </row>
    <row r="37" spans="1:17" x14ac:dyDescent="0.25">
      <c r="A37" s="1454" t="s">
        <v>50</v>
      </c>
      <c r="B37" s="1454"/>
      <c r="C37" s="1454"/>
      <c r="D37" s="1428" t="s">
        <v>513</v>
      </c>
      <c r="E37" s="1428"/>
      <c r="F37" s="1360" t="s">
        <v>443</v>
      </c>
      <c r="G37" s="1360"/>
      <c r="H37" s="1360"/>
      <c r="I37" s="1360"/>
      <c r="J37" s="981"/>
      <c r="K37" s="981"/>
      <c r="L37" s="981"/>
      <c r="M37" s="981"/>
      <c r="N37" s="981"/>
      <c r="O37" s="913"/>
      <c r="P37" s="913"/>
      <c r="Q37" s="913"/>
    </row>
    <row r="38" spans="1:17" x14ac:dyDescent="0.25">
      <c r="A38" s="977"/>
      <c r="B38" s="977"/>
      <c r="C38" s="977"/>
      <c r="D38" s="1432" t="s">
        <v>514</v>
      </c>
      <c r="E38" s="1432"/>
      <c r="F38" s="1359"/>
      <c r="G38" s="1359"/>
      <c r="H38" s="1359"/>
      <c r="I38" s="1359"/>
      <c r="J38" s="981"/>
      <c r="K38" s="981"/>
      <c r="L38" s="981"/>
      <c r="M38" s="981"/>
      <c r="N38" s="981"/>
      <c r="O38" s="913"/>
      <c r="P38" s="913"/>
      <c r="Q38" s="913"/>
    </row>
    <row r="39" spans="1:17" x14ac:dyDescent="0.25">
      <c r="A39" s="981" t="s">
        <v>243</v>
      </c>
      <c r="B39" s="981"/>
      <c r="C39" s="981"/>
      <c r="D39" s="1379" t="s">
        <v>8050</v>
      </c>
      <c r="E39" s="1379"/>
      <c r="F39" s="981"/>
      <c r="G39" s="981"/>
      <c r="H39" s="981"/>
      <c r="I39" s="981"/>
      <c r="J39" s="981"/>
      <c r="K39" s="981"/>
      <c r="L39" s="981"/>
      <c r="M39" s="981"/>
      <c r="N39" s="981"/>
      <c r="O39" s="913"/>
      <c r="P39" s="913"/>
      <c r="Q39" s="913"/>
    </row>
    <row r="40" spans="1:17" x14ac:dyDescent="0.25">
      <c r="A40" s="981" t="s">
        <v>515</v>
      </c>
      <c r="B40" s="981"/>
      <c r="C40" s="981"/>
      <c r="D40" s="1333" t="s">
        <v>8051</v>
      </c>
      <c r="E40" s="1333"/>
      <c r="F40" s="981" t="s">
        <v>516</v>
      </c>
      <c r="G40" s="992"/>
      <c r="H40" s="981" t="s">
        <v>517</v>
      </c>
      <c r="I40" s="1457"/>
      <c r="J40" s="1457"/>
      <c r="K40" s="1457"/>
      <c r="L40" s="1457"/>
      <c r="M40" s="1457"/>
      <c r="N40" s="981"/>
      <c r="O40" s="913"/>
      <c r="P40" s="913"/>
      <c r="Q40" s="913"/>
    </row>
    <row r="41" spans="1:17" x14ac:dyDescent="0.25">
      <c r="A41" s="981" t="s">
        <v>244</v>
      </c>
      <c r="B41" s="981"/>
      <c r="C41" s="981"/>
      <c r="D41" s="1379">
        <v>10</v>
      </c>
      <c r="E41" s="1379"/>
      <c r="F41" s="981" t="s">
        <v>245</v>
      </c>
      <c r="G41" s="981"/>
      <c r="H41" s="981"/>
      <c r="I41" s="981"/>
      <c r="J41" s="981"/>
      <c r="K41" s="981"/>
      <c r="L41" s="981"/>
      <c r="M41" s="981"/>
      <c r="N41" s="981"/>
      <c r="O41" s="913"/>
      <c r="P41" s="913"/>
      <c r="Q41" s="913"/>
    </row>
    <row r="42" spans="1:17" ht="39.75" customHeight="1" x14ac:dyDescent="0.25">
      <c r="A42" s="1363" t="s">
        <v>472</v>
      </c>
      <c r="B42" s="1363"/>
      <c r="C42" s="1363"/>
      <c r="D42" s="1363"/>
      <c r="E42" s="1363"/>
      <c r="F42" s="1458" t="s">
        <v>384</v>
      </c>
      <c r="G42" s="1458"/>
      <c r="H42" s="1363" t="s">
        <v>473</v>
      </c>
      <c r="I42" s="1363"/>
      <c r="J42" s="1363"/>
      <c r="K42" s="1363"/>
      <c r="L42" s="981"/>
      <c r="M42" s="981"/>
      <c r="N42" s="981"/>
      <c r="O42" s="913"/>
      <c r="P42" s="913"/>
      <c r="Q42" s="913"/>
    </row>
    <row r="43" spans="1:17" x14ac:dyDescent="0.25">
      <c r="A43" s="169" t="s">
        <v>747</v>
      </c>
      <c r="B43" s="170"/>
      <c r="C43" s="170"/>
      <c r="D43" s="170"/>
      <c r="E43" s="170"/>
      <c r="F43" s="1470" t="s">
        <v>8052</v>
      </c>
      <c r="G43" s="1470"/>
      <c r="H43" s="170"/>
      <c r="I43" s="170"/>
      <c r="J43" s="170"/>
      <c r="K43" s="170"/>
      <c r="L43" s="912"/>
      <c r="M43" s="912"/>
      <c r="N43" s="912"/>
      <c r="O43" s="913"/>
      <c r="P43" s="913"/>
      <c r="Q43" s="913"/>
    </row>
    <row r="44" spans="1:17" s="914" customFormat="1" ht="5.0999999999999996" customHeight="1" x14ac:dyDescent="0.25">
      <c r="A44" s="169"/>
      <c r="B44" s="170"/>
      <c r="C44" s="170"/>
      <c r="D44" s="170"/>
      <c r="E44" s="170"/>
      <c r="F44" s="911"/>
      <c r="G44" s="911"/>
      <c r="H44" s="170"/>
      <c r="I44" s="170"/>
      <c r="J44" s="170"/>
      <c r="K44" s="170"/>
      <c r="L44" s="912"/>
      <c r="M44" s="912"/>
      <c r="N44" s="912"/>
      <c r="O44" s="913"/>
      <c r="P44" s="913"/>
      <c r="Q44" s="913"/>
    </row>
    <row r="45" spans="1:17" x14ac:dyDescent="0.25">
      <c r="A45" s="170"/>
      <c r="B45" s="912"/>
      <c r="C45" s="170"/>
      <c r="D45" s="170"/>
      <c r="E45" s="170" t="s">
        <v>748</v>
      </c>
      <c r="F45" s="1374" t="s">
        <v>45</v>
      </c>
      <c r="G45" s="1375"/>
      <c r="H45" s="1372" t="s">
        <v>749</v>
      </c>
      <c r="I45" s="1373"/>
      <c r="J45" s="170"/>
      <c r="K45" s="170"/>
      <c r="L45" s="912"/>
      <c r="M45" s="912"/>
      <c r="N45" s="912"/>
      <c r="O45" s="913"/>
      <c r="P45" s="913"/>
      <c r="Q45" s="913"/>
    </row>
    <row r="46" spans="1:17" x14ac:dyDescent="0.25">
      <c r="A46" s="170"/>
      <c r="B46" s="170"/>
      <c r="C46" s="170"/>
      <c r="D46" s="170"/>
      <c r="E46" s="170"/>
      <c r="F46" s="1361" t="s">
        <v>8081</v>
      </c>
      <c r="G46" s="1362"/>
      <c r="H46" s="1369">
        <v>0.25</v>
      </c>
      <c r="I46" s="1370"/>
      <c r="J46" s="170"/>
      <c r="K46" s="170"/>
      <c r="L46" s="912"/>
      <c r="M46" s="912"/>
      <c r="N46" s="912"/>
      <c r="O46" s="913"/>
      <c r="P46" s="913"/>
      <c r="Q46" s="913"/>
    </row>
    <row r="47" spans="1:17" x14ac:dyDescent="0.25">
      <c r="A47" s="170"/>
      <c r="B47" s="170"/>
      <c r="C47" s="170"/>
      <c r="D47" s="170"/>
      <c r="E47" s="170"/>
      <c r="F47" s="1364"/>
      <c r="G47" s="1365"/>
      <c r="H47" s="1367"/>
      <c r="I47" s="1368"/>
      <c r="J47" s="170"/>
      <c r="K47" s="170"/>
      <c r="L47" s="912"/>
      <c r="M47" s="912"/>
      <c r="N47" s="912"/>
      <c r="O47" s="913"/>
      <c r="P47" s="913"/>
      <c r="Q47" s="913"/>
    </row>
    <row r="48" spans="1:17" x14ac:dyDescent="0.25">
      <c r="A48" s="170"/>
      <c r="B48" s="170"/>
      <c r="C48" s="170"/>
      <c r="D48" s="170"/>
      <c r="E48" s="170"/>
      <c r="F48" s="1364"/>
      <c r="G48" s="1365"/>
      <c r="H48" s="1367"/>
      <c r="I48" s="1368"/>
      <c r="J48" s="170"/>
      <c r="K48" s="170"/>
      <c r="L48" s="912"/>
      <c r="M48" s="912"/>
      <c r="N48" s="912"/>
      <c r="O48" s="913"/>
      <c r="P48" s="913"/>
      <c r="Q48" s="913"/>
    </row>
    <row r="49" spans="1:17" x14ac:dyDescent="0.25">
      <c r="A49" s="170"/>
      <c r="B49" s="170"/>
      <c r="C49" s="170"/>
      <c r="D49" s="170"/>
      <c r="E49" s="170"/>
      <c r="F49" s="1364"/>
      <c r="G49" s="1365"/>
      <c r="H49" s="1367"/>
      <c r="I49" s="1368"/>
      <c r="J49" s="170"/>
      <c r="K49" s="170"/>
      <c r="L49" s="912"/>
      <c r="M49" s="912"/>
      <c r="N49" s="912"/>
      <c r="O49" s="913"/>
      <c r="P49" s="913"/>
      <c r="Q49" s="913"/>
    </row>
    <row r="50" spans="1:17" x14ac:dyDescent="0.25">
      <c r="A50" s="170"/>
      <c r="B50" s="170"/>
      <c r="C50" s="170"/>
      <c r="D50" s="170"/>
      <c r="E50" s="170"/>
      <c r="F50" s="1455"/>
      <c r="G50" s="1456"/>
      <c r="H50" s="1471"/>
      <c r="I50" s="1472"/>
      <c r="J50" s="170"/>
      <c r="K50" s="170"/>
      <c r="L50" s="912"/>
      <c r="M50" s="912"/>
      <c r="N50" s="912"/>
      <c r="O50" s="913"/>
      <c r="P50" s="913"/>
      <c r="Q50" s="913"/>
    </row>
    <row r="51" spans="1:17" x14ac:dyDescent="0.25">
      <c r="A51" s="1342" t="s">
        <v>521</v>
      </c>
      <c r="B51" s="1342"/>
      <c r="C51" s="1342"/>
      <c r="D51" s="1379" t="s">
        <v>8082</v>
      </c>
      <c r="E51" s="1379"/>
      <c r="F51" s="1379"/>
      <c r="G51" s="1379"/>
      <c r="H51" s="1379"/>
      <c r="I51" s="1379"/>
      <c r="J51" s="1379"/>
      <c r="K51" s="1379"/>
      <c r="L51" s="1379"/>
      <c r="M51" s="1379"/>
      <c r="N51" s="1379"/>
      <c r="O51" s="913"/>
      <c r="P51" s="913"/>
      <c r="Q51" s="913"/>
    </row>
    <row r="52" spans="1:17" x14ac:dyDescent="0.25">
      <c r="A52" s="1371" t="s">
        <v>529</v>
      </c>
      <c r="B52" s="1371"/>
      <c r="C52" s="1371"/>
      <c r="D52" s="1371"/>
      <c r="E52" s="1371"/>
      <c r="F52" s="1371"/>
      <c r="G52" s="1371"/>
      <c r="H52" s="1371"/>
      <c r="I52" s="1371"/>
      <c r="J52" s="1371"/>
      <c r="K52" s="1371"/>
      <c r="L52" s="1371"/>
      <c r="M52" s="1371"/>
      <c r="N52" s="1371"/>
      <c r="O52" s="913"/>
      <c r="P52" s="913"/>
      <c r="Q52" s="913"/>
    </row>
    <row r="53" spans="1:17" ht="118.5" customHeight="1" x14ac:dyDescent="0.25">
      <c r="A53" s="1366" t="s">
        <v>8167</v>
      </c>
      <c r="B53" s="1366"/>
      <c r="C53" s="1366"/>
      <c r="D53" s="1366"/>
      <c r="E53" s="1366"/>
      <c r="F53" s="1366"/>
      <c r="G53" s="1366"/>
      <c r="H53" s="1366"/>
      <c r="I53" s="1366"/>
      <c r="J53" s="1366"/>
      <c r="K53" s="1366"/>
      <c r="L53" s="1366"/>
      <c r="M53" s="1366"/>
      <c r="N53" s="1366"/>
      <c r="O53" s="913"/>
      <c r="P53" s="913"/>
      <c r="Q53" s="913"/>
    </row>
    <row r="54" spans="1:17" ht="58.5" customHeight="1" x14ac:dyDescent="0.25">
      <c r="A54" s="1331" t="s">
        <v>8160</v>
      </c>
      <c r="B54" s="1331"/>
      <c r="C54" s="1331"/>
      <c r="D54" s="1331"/>
      <c r="E54" s="1331"/>
      <c r="F54" s="1331"/>
      <c r="G54" s="1331"/>
      <c r="H54" s="1331"/>
      <c r="I54" s="1331"/>
      <c r="J54" s="1331"/>
      <c r="K54" s="1331"/>
      <c r="L54" s="1331"/>
      <c r="M54" s="1331"/>
      <c r="N54" s="1331"/>
      <c r="O54" s="913"/>
      <c r="P54" s="913"/>
      <c r="Q54" s="913"/>
    </row>
    <row r="55" spans="1:17" ht="42.75" customHeight="1" x14ac:dyDescent="0.25">
      <c r="A55" s="1331" t="s">
        <v>8168</v>
      </c>
      <c r="B55" s="1331"/>
      <c r="C55" s="1331"/>
      <c r="D55" s="1331"/>
      <c r="E55" s="1331"/>
      <c r="F55" s="1331"/>
      <c r="G55" s="1331"/>
      <c r="H55" s="1331"/>
      <c r="I55" s="1331"/>
      <c r="J55" s="1331"/>
      <c r="K55" s="1331"/>
      <c r="L55" s="1331"/>
      <c r="M55" s="1331"/>
      <c r="N55" s="1331"/>
      <c r="O55" s="913"/>
      <c r="P55" s="913"/>
      <c r="Q55" s="913"/>
    </row>
    <row r="56" spans="1:17" ht="18" customHeight="1" x14ac:dyDescent="0.25">
      <c r="A56" s="1331" t="s">
        <v>8083</v>
      </c>
      <c r="B56" s="1331"/>
      <c r="C56" s="1331"/>
      <c r="D56" s="1331"/>
      <c r="E56" s="1331"/>
      <c r="F56" s="1331"/>
      <c r="G56" s="1331"/>
      <c r="H56" s="1331"/>
      <c r="I56" s="1331"/>
      <c r="J56" s="1331"/>
      <c r="K56" s="1331"/>
      <c r="L56" s="1331"/>
      <c r="M56" s="1331"/>
      <c r="N56" s="1331"/>
      <c r="O56" s="913"/>
      <c r="P56" s="913"/>
      <c r="Q56" s="913"/>
    </row>
    <row r="57" spans="1:17" ht="21" customHeight="1" x14ac:dyDescent="0.25">
      <c r="A57" s="1371" t="s">
        <v>730</v>
      </c>
      <c r="B57" s="1371"/>
      <c r="C57" s="1371"/>
      <c r="D57" s="1371"/>
      <c r="E57" s="1371"/>
      <c r="F57" s="1371"/>
      <c r="G57" s="1371"/>
      <c r="H57" s="1371"/>
      <c r="I57" s="1371"/>
      <c r="J57" s="1371"/>
      <c r="K57" s="1371"/>
      <c r="L57" s="1371"/>
      <c r="M57" s="1371"/>
      <c r="N57" s="912"/>
      <c r="O57" s="913"/>
      <c r="P57" s="913"/>
      <c r="Q57" s="913"/>
    </row>
    <row r="58" spans="1:17" ht="93" customHeight="1" x14ac:dyDescent="0.25">
      <c r="A58" s="1366" t="s">
        <v>8169</v>
      </c>
      <c r="B58" s="1366"/>
      <c r="C58" s="1366"/>
      <c r="D58" s="1366"/>
      <c r="E58" s="1366"/>
      <c r="F58" s="1366"/>
      <c r="G58" s="1366"/>
      <c r="H58" s="1366"/>
      <c r="I58" s="1366"/>
      <c r="J58" s="1366"/>
      <c r="K58" s="1366"/>
      <c r="L58" s="1366"/>
      <c r="M58" s="1366"/>
      <c r="N58" s="1366"/>
      <c r="O58" s="913"/>
      <c r="P58" s="913"/>
      <c r="Q58" s="913"/>
    </row>
    <row r="59" spans="1:17" ht="42.75" customHeight="1" x14ac:dyDescent="0.25">
      <c r="A59" s="1331" t="s">
        <v>8170</v>
      </c>
      <c r="B59" s="1331"/>
      <c r="C59" s="1331"/>
      <c r="D59" s="1331"/>
      <c r="E59" s="1331"/>
      <c r="F59" s="1331"/>
      <c r="G59" s="1331"/>
      <c r="H59" s="1331"/>
      <c r="I59" s="1331"/>
      <c r="J59" s="1331"/>
      <c r="K59" s="1331"/>
      <c r="L59" s="1331"/>
      <c r="M59" s="1331"/>
      <c r="N59" s="1331"/>
      <c r="O59" s="913"/>
      <c r="P59" s="913"/>
      <c r="Q59" s="913"/>
    </row>
    <row r="60" spans="1:17" ht="51" customHeight="1" x14ac:dyDescent="0.25">
      <c r="A60" s="1331" t="s">
        <v>8198</v>
      </c>
      <c r="B60" s="1331"/>
      <c r="C60" s="1331"/>
      <c r="D60" s="1331"/>
      <c r="E60" s="1331"/>
      <c r="F60" s="1331"/>
      <c r="G60" s="1331"/>
      <c r="H60" s="1331"/>
      <c r="I60" s="1331"/>
      <c r="J60" s="1331"/>
      <c r="K60" s="1331"/>
      <c r="L60" s="1331"/>
      <c r="M60" s="1331"/>
      <c r="N60" s="1331"/>
      <c r="O60" s="913"/>
      <c r="P60" s="913"/>
      <c r="Q60" s="913"/>
    </row>
    <row r="61" spans="1:17" x14ac:dyDescent="0.25">
      <c r="A61" s="1379"/>
      <c r="B61" s="1379"/>
      <c r="C61" s="1379"/>
      <c r="D61" s="1379"/>
      <c r="E61" s="1379"/>
      <c r="F61" s="1379"/>
      <c r="G61" s="1379"/>
      <c r="H61" s="1379"/>
      <c r="I61" s="1379"/>
      <c r="J61" s="1379"/>
      <c r="K61" s="1379"/>
      <c r="L61" s="1379"/>
      <c r="M61" s="1379"/>
      <c r="N61" s="1379"/>
      <c r="O61" s="913"/>
      <c r="P61" s="913"/>
      <c r="Q61" s="913"/>
    </row>
    <row r="62" spans="1:17" x14ac:dyDescent="0.25">
      <c r="A62" s="980" t="s">
        <v>2923</v>
      </c>
      <c r="B62" s="993"/>
      <c r="C62" s="993"/>
      <c r="D62" s="993"/>
      <c r="E62" s="993"/>
      <c r="F62" s="993"/>
      <c r="G62" s="993"/>
      <c r="H62" s="993"/>
      <c r="I62" s="993"/>
      <c r="J62" s="993"/>
      <c r="K62" s="993"/>
      <c r="L62" s="993"/>
      <c r="M62" s="993"/>
      <c r="N62" s="912"/>
      <c r="O62" s="913"/>
      <c r="P62" s="913"/>
      <c r="Q62" s="913"/>
    </row>
    <row r="63" spans="1:17" ht="12.75" customHeight="1" x14ac:dyDescent="0.25">
      <c r="A63" s="1379" t="s">
        <v>8084</v>
      </c>
      <c r="B63" s="1379"/>
      <c r="C63" s="1379"/>
      <c r="D63" s="1379"/>
      <c r="E63" s="1379"/>
      <c r="F63" s="1379"/>
      <c r="G63" s="1379"/>
      <c r="H63" s="1379"/>
      <c r="I63" s="1379"/>
      <c r="J63" s="1379"/>
      <c r="K63" s="1379"/>
      <c r="L63" s="1379"/>
      <c r="M63" s="1379"/>
      <c r="N63" s="1379"/>
      <c r="O63" s="913"/>
      <c r="P63" s="913"/>
      <c r="Q63" s="913"/>
    </row>
    <row r="64" spans="1:17" x14ac:dyDescent="0.25">
      <c r="A64" s="1379"/>
      <c r="B64" s="1379"/>
      <c r="C64" s="1379"/>
      <c r="D64" s="1379"/>
      <c r="E64" s="1379"/>
      <c r="F64" s="1379"/>
      <c r="G64" s="1379"/>
      <c r="H64" s="1379"/>
      <c r="I64" s="1379"/>
      <c r="J64" s="1379"/>
      <c r="K64" s="1379"/>
      <c r="L64" s="1379"/>
      <c r="M64" s="1379"/>
      <c r="N64" s="1379"/>
      <c r="O64" s="913"/>
      <c r="P64" s="913"/>
      <c r="Q64" s="913"/>
    </row>
    <row r="65" spans="1:17" x14ac:dyDescent="0.25">
      <c r="A65" s="1379"/>
      <c r="B65" s="1379"/>
      <c r="C65" s="1379"/>
      <c r="D65" s="1379"/>
      <c r="E65" s="1379"/>
      <c r="F65" s="1379"/>
      <c r="G65" s="1379"/>
      <c r="H65" s="1379"/>
      <c r="I65" s="1379"/>
      <c r="J65" s="1379"/>
      <c r="K65" s="1379"/>
      <c r="L65" s="1379"/>
      <c r="M65" s="1379"/>
      <c r="N65" s="1379"/>
      <c r="O65" s="913"/>
      <c r="P65" s="913"/>
      <c r="Q65" s="913"/>
    </row>
    <row r="66" spans="1:17" x14ac:dyDescent="0.25">
      <c r="A66" s="1379"/>
      <c r="B66" s="1379"/>
      <c r="C66" s="1379"/>
      <c r="D66" s="1379"/>
      <c r="E66" s="1379"/>
      <c r="F66" s="1379"/>
      <c r="G66" s="1379"/>
      <c r="H66" s="1379"/>
      <c r="I66" s="1379"/>
      <c r="J66" s="1379"/>
      <c r="K66" s="1379"/>
      <c r="L66" s="1379"/>
      <c r="M66" s="1379"/>
      <c r="N66" s="1379"/>
      <c r="O66" s="913"/>
      <c r="P66" s="913"/>
      <c r="Q66" s="913"/>
    </row>
    <row r="67" spans="1:17" ht="5.0999999999999996" customHeight="1" x14ac:dyDescent="0.25">
      <c r="A67" s="912"/>
      <c r="B67" s="912"/>
      <c r="C67" s="912"/>
      <c r="D67" s="912"/>
      <c r="E67" s="912"/>
      <c r="F67" s="912"/>
      <c r="G67" s="912"/>
      <c r="H67" s="912"/>
      <c r="I67" s="912"/>
      <c r="J67" s="912"/>
      <c r="K67" s="912"/>
      <c r="L67" s="912"/>
      <c r="M67" s="912"/>
      <c r="N67" s="912"/>
      <c r="O67" s="913"/>
      <c r="P67" s="913"/>
      <c r="Q67" s="913"/>
    </row>
    <row r="68" spans="1:17" ht="15.75" x14ac:dyDescent="0.25">
      <c r="A68" s="1337" t="s">
        <v>525</v>
      </c>
      <c r="B68" s="1337"/>
      <c r="C68" s="1337"/>
      <c r="D68" s="1337"/>
      <c r="E68" s="1337"/>
      <c r="F68" s="1337"/>
      <c r="G68" s="1337"/>
      <c r="H68" s="1337"/>
      <c r="I68" s="1337"/>
      <c r="J68" s="1337"/>
      <c r="K68" s="1337"/>
      <c r="L68" s="1337"/>
      <c r="M68" s="1337"/>
      <c r="N68" s="1337"/>
      <c r="O68" s="1337"/>
      <c r="P68" s="1337"/>
      <c r="Q68" s="1337"/>
    </row>
    <row r="69" spans="1:17" ht="7.5" customHeight="1" x14ac:dyDescent="0.25">
      <c r="A69" s="912"/>
      <c r="B69" s="912"/>
      <c r="C69" s="912"/>
      <c r="D69" s="912"/>
      <c r="E69" s="912"/>
      <c r="F69" s="912"/>
      <c r="G69" s="912"/>
      <c r="H69" s="912"/>
      <c r="I69" s="912"/>
      <c r="J69" s="912"/>
      <c r="K69" s="912"/>
      <c r="L69" s="912"/>
      <c r="M69" s="912"/>
      <c r="N69" s="912"/>
      <c r="O69" s="913"/>
      <c r="P69" s="913"/>
      <c r="Q69" s="913"/>
    </row>
    <row r="70" spans="1:17" ht="12.75" customHeight="1" x14ac:dyDescent="0.25">
      <c r="A70" s="1386" t="s">
        <v>12</v>
      </c>
      <c r="B70" s="1386"/>
      <c r="C70" s="1386" t="s">
        <v>33</v>
      </c>
      <c r="D70" s="1386"/>
      <c r="E70" s="1386" t="s">
        <v>526</v>
      </c>
      <c r="F70" s="1386"/>
      <c r="G70" s="1386" t="s">
        <v>527</v>
      </c>
      <c r="H70" s="1386"/>
      <c r="I70" s="1386" t="s">
        <v>528</v>
      </c>
      <c r="J70" s="1386"/>
      <c r="K70" s="1386" t="s">
        <v>563</v>
      </c>
      <c r="L70" s="1386"/>
      <c r="M70" s="912"/>
      <c r="N70" s="912"/>
      <c r="O70" s="1103" t="str">
        <f>IF(SUM(O71:O75)=0,"",IF(MIN(O71:O75)=1,"Pria","Wanita"))</f>
        <v>Pria</v>
      </c>
      <c r="P70" s="913"/>
      <c r="Q70" s="913"/>
    </row>
    <row r="71" spans="1:17" x14ac:dyDescent="0.25">
      <c r="A71" s="1339" t="s">
        <v>8085</v>
      </c>
      <c r="B71" s="1341"/>
      <c r="C71" s="1387" t="s">
        <v>8087</v>
      </c>
      <c r="D71" s="1388"/>
      <c r="E71" s="1423" t="s">
        <v>8078</v>
      </c>
      <c r="F71" s="1388"/>
      <c r="G71" s="1423" t="s">
        <v>8089</v>
      </c>
      <c r="H71" s="1388"/>
      <c r="I71" s="1387" t="s">
        <v>8090</v>
      </c>
      <c r="J71" s="1388"/>
      <c r="K71" s="1420" t="s">
        <v>8054</v>
      </c>
      <c r="L71" s="1420"/>
      <c r="M71" s="912"/>
      <c r="N71" s="997"/>
      <c r="O71" s="1102">
        <f>IF(COUNTA(K71)&lt;&gt;0,IF(K71="Pria",1,2),"")</f>
        <v>1</v>
      </c>
      <c r="P71" s="913"/>
      <c r="Q71" s="913"/>
    </row>
    <row r="72" spans="1:17" x14ac:dyDescent="0.25">
      <c r="A72" s="1339" t="s">
        <v>8086</v>
      </c>
      <c r="B72" s="1341"/>
      <c r="C72" s="1387" t="s">
        <v>8088</v>
      </c>
      <c r="D72" s="1388"/>
      <c r="E72" s="1387"/>
      <c r="F72" s="1388"/>
      <c r="G72" s="1387"/>
      <c r="H72" s="1388"/>
      <c r="I72" s="1387"/>
      <c r="J72" s="1388"/>
      <c r="K72" s="1420" t="s">
        <v>8054</v>
      </c>
      <c r="L72" s="1420"/>
      <c r="M72" s="912"/>
      <c r="N72" s="997"/>
      <c r="O72" s="1102">
        <f>IF(COUNTA(K72)&lt;&gt;0,IF(K72="Pria",1,2),"")</f>
        <v>1</v>
      </c>
      <c r="P72" s="913"/>
      <c r="Q72" s="913"/>
    </row>
    <row r="73" spans="1:17" x14ac:dyDescent="0.25">
      <c r="A73" s="1339" t="s">
        <v>8080</v>
      </c>
      <c r="B73" s="1341"/>
      <c r="C73" s="1387" t="s">
        <v>8176</v>
      </c>
      <c r="D73" s="1388"/>
      <c r="E73" s="1387"/>
      <c r="F73" s="1388"/>
      <c r="G73" s="1387"/>
      <c r="H73" s="1388"/>
      <c r="I73" s="1387"/>
      <c r="J73" s="1388"/>
      <c r="K73" s="1420" t="s">
        <v>8177</v>
      </c>
      <c r="L73" s="1420"/>
      <c r="M73" s="912"/>
      <c r="N73" s="997"/>
      <c r="O73" s="1102">
        <f>IF(COUNTA(K73)&lt;&gt;0,IF(K73="Pria",1,2),"")</f>
        <v>2</v>
      </c>
      <c r="P73" s="913"/>
      <c r="Q73" s="913"/>
    </row>
    <row r="74" spans="1:17" x14ac:dyDescent="0.25">
      <c r="A74" s="1339"/>
      <c r="B74" s="1341"/>
      <c r="C74" s="1387"/>
      <c r="D74" s="1388"/>
      <c r="E74" s="1387"/>
      <c r="F74" s="1388"/>
      <c r="G74" s="1387"/>
      <c r="H74" s="1388"/>
      <c r="I74" s="1387"/>
      <c r="J74" s="1388"/>
      <c r="K74" s="1420"/>
      <c r="L74" s="1420"/>
      <c r="M74" s="912"/>
      <c r="N74" s="997"/>
      <c r="O74" s="1102" t="str">
        <f>IF(COUNTA(K74)&lt;&gt;0,IF(K74="Pria",1,2),"")</f>
        <v/>
      </c>
      <c r="P74" s="913"/>
      <c r="Q74" s="913"/>
    </row>
    <row r="75" spans="1:17" x14ac:dyDescent="0.25">
      <c r="A75" s="1339"/>
      <c r="B75" s="1341"/>
      <c r="C75" s="1387"/>
      <c r="D75" s="1388"/>
      <c r="E75" s="1387"/>
      <c r="F75" s="1388"/>
      <c r="G75" s="1387"/>
      <c r="H75" s="1388"/>
      <c r="I75" s="1387"/>
      <c r="J75" s="1388"/>
      <c r="K75" s="1420"/>
      <c r="L75" s="1420"/>
      <c r="M75" s="912"/>
      <c r="N75" s="997"/>
      <c r="O75" s="1102" t="str">
        <f>IF(COUNTA(K75)&lt;&gt;0,IF(K75="Pria",1,2),"")</f>
        <v/>
      </c>
      <c r="P75" s="913"/>
      <c r="Q75" s="913"/>
    </row>
    <row r="76" spans="1:17" ht="7.5" customHeight="1" x14ac:dyDescent="0.25">
      <c r="A76" s="912"/>
      <c r="B76" s="912"/>
      <c r="C76" s="912"/>
      <c r="D76" s="912"/>
      <c r="E76" s="912"/>
      <c r="F76" s="912"/>
      <c r="G76" s="912"/>
      <c r="H76" s="912"/>
      <c r="I76" s="912"/>
      <c r="J76" s="912"/>
      <c r="K76" s="912"/>
      <c r="L76" s="912"/>
      <c r="M76" s="912"/>
      <c r="N76" s="912"/>
      <c r="O76" s="913"/>
      <c r="P76" s="913"/>
      <c r="Q76" s="913"/>
    </row>
    <row r="77" spans="1:17" ht="15.75" x14ac:dyDescent="0.25">
      <c r="A77" s="995" t="s">
        <v>7181</v>
      </c>
      <c r="B77" s="996" t="s">
        <v>7</v>
      </c>
      <c r="C77" s="1424" t="s">
        <v>7190</v>
      </c>
      <c r="D77" s="1425"/>
      <c r="E77" s="1467"/>
      <c r="F77" s="1467"/>
      <c r="G77" s="1467"/>
      <c r="H77" s="1467"/>
      <c r="I77" s="1467"/>
      <c r="J77" s="1467"/>
      <c r="K77" s="1467"/>
      <c r="L77" s="1467"/>
      <c r="M77" s="1467"/>
      <c r="N77" s="1467"/>
      <c r="O77" s="1467"/>
      <c r="P77" s="1467"/>
      <c r="Q77" s="1467"/>
    </row>
    <row r="78" spans="1:17" ht="7.5" customHeight="1" x14ac:dyDescent="0.25">
      <c r="A78" s="983"/>
      <c r="B78" s="983"/>
      <c r="C78" s="983"/>
      <c r="D78" s="912"/>
      <c r="E78" s="997"/>
      <c r="F78" s="997"/>
      <c r="G78" s="912"/>
      <c r="H78" s="912"/>
      <c r="I78" s="912"/>
      <c r="J78" s="912"/>
      <c r="K78" s="912"/>
      <c r="L78" s="912"/>
      <c r="M78" s="912"/>
      <c r="N78" s="912"/>
      <c r="O78" s="913"/>
      <c r="P78" s="913"/>
      <c r="Q78" s="913"/>
    </row>
    <row r="79" spans="1:17" ht="7.5" customHeight="1" x14ac:dyDescent="0.25">
      <c r="A79" s="998"/>
      <c r="B79" s="999"/>
      <c r="C79" s="912"/>
      <c r="D79" s="912"/>
      <c r="E79" s="912"/>
      <c r="F79" s="912"/>
      <c r="G79" s="912"/>
      <c r="H79" s="912"/>
      <c r="I79" s="912"/>
      <c r="J79" s="912"/>
      <c r="K79" s="983"/>
      <c r="L79" s="983"/>
      <c r="M79" s="983"/>
      <c r="N79" s="983"/>
      <c r="O79" s="913"/>
      <c r="P79" s="913"/>
      <c r="Q79" s="913"/>
    </row>
    <row r="80" spans="1:17" ht="37.5" customHeight="1" x14ac:dyDescent="0.25">
      <c r="A80" s="1000" t="str">
        <f>C77</f>
        <v>Referral</v>
      </c>
      <c r="B80" s="1000" t="s">
        <v>7374</v>
      </c>
      <c r="C80" s="912"/>
      <c r="D80" s="912"/>
      <c r="E80" s="912"/>
      <c r="F80" s="912"/>
      <c r="G80" s="912"/>
      <c r="H80" s="912"/>
      <c r="I80" s="912"/>
      <c r="J80" s="912"/>
      <c r="K80" s="983"/>
      <c r="L80" s="983"/>
      <c r="M80" s="983"/>
      <c r="N80" s="983"/>
      <c r="O80" s="913"/>
      <c r="P80" s="913"/>
      <c r="Q80" s="913"/>
    </row>
    <row r="81" spans="1:18" x14ac:dyDescent="0.2">
      <c r="A81" s="953" t="s">
        <v>7193</v>
      </c>
      <c r="B81" s="976">
        <v>4</v>
      </c>
      <c r="C81" s="983"/>
      <c r="D81" s="912"/>
      <c r="E81" s="912"/>
      <c r="F81" s="912"/>
      <c r="G81" s="912"/>
      <c r="H81" s="912"/>
      <c r="I81" s="912"/>
      <c r="J81" s="912"/>
      <c r="K81" s="983"/>
      <c r="L81" s="983"/>
      <c r="M81" s="983"/>
      <c r="N81" s="983"/>
      <c r="O81" s="913"/>
      <c r="P81" s="913"/>
      <c r="Q81" s="913"/>
    </row>
    <row r="82" spans="1:18" x14ac:dyDescent="0.2">
      <c r="A82" s="953"/>
      <c r="B82" s="659"/>
      <c r="C82" s="912"/>
      <c r="D82" s="912"/>
      <c r="E82" s="912"/>
      <c r="F82" s="912"/>
      <c r="G82" s="912"/>
      <c r="H82" s="912"/>
      <c r="I82" s="912"/>
      <c r="J82" s="912"/>
      <c r="K82" s="983"/>
      <c r="L82" s="983"/>
      <c r="M82" s="983"/>
      <c r="N82" s="983"/>
      <c r="O82" s="913"/>
      <c r="P82" s="913"/>
      <c r="Q82" s="913"/>
    </row>
    <row r="83" spans="1:18" x14ac:dyDescent="0.2">
      <c r="A83" s="953"/>
      <c r="B83" s="659"/>
      <c r="C83" s="912"/>
      <c r="D83" s="912"/>
      <c r="E83" s="912"/>
      <c r="F83" s="912"/>
      <c r="G83" s="912"/>
      <c r="H83" s="912"/>
      <c r="I83" s="912"/>
      <c r="J83" s="912"/>
      <c r="K83" s="983"/>
      <c r="L83" s="983"/>
      <c r="M83" s="983"/>
      <c r="N83" s="983"/>
      <c r="O83" s="913"/>
      <c r="P83" s="913"/>
      <c r="Q83" s="913"/>
    </row>
    <row r="84" spans="1:18" x14ac:dyDescent="0.2">
      <c r="A84" s="953"/>
      <c r="B84" s="659"/>
      <c r="C84" s="912"/>
      <c r="D84" s="912"/>
      <c r="E84" s="912"/>
      <c r="F84" s="912"/>
      <c r="G84" s="912"/>
      <c r="H84" s="912"/>
      <c r="I84" s="912"/>
      <c r="J84" s="912"/>
      <c r="K84" s="983"/>
      <c r="L84" s="983"/>
      <c r="M84" s="983"/>
      <c r="N84" s="983"/>
      <c r="O84" s="913"/>
      <c r="P84" s="913"/>
      <c r="Q84" s="913"/>
    </row>
    <row r="85" spans="1:18" x14ac:dyDescent="0.2">
      <c r="A85" s="953"/>
      <c r="B85" s="659"/>
      <c r="C85" s="912"/>
      <c r="D85" s="912"/>
      <c r="E85" s="912"/>
      <c r="F85" s="912"/>
      <c r="G85" s="912"/>
      <c r="H85" s="912"/>
      <c r="I85" s="912"/>
      <c r="J85" s="912"/>
      <c r="K85" s="983"/>
      <c r="L85" s="983"/>
      <c r="M85" s="983"/>
      <c r="N85" s="983"/>
      <c r="O85" s="913"/>
      <c r="P85" s="913"/>
      <c r="Q85" s="913"/>
    </row>
    <row r="86" spans="1:18" ht="5.25" customHeight="1" x14ac:dyDescent="0.25">
      <c r="A86" s="997">
        <f>COUNTA(A81:A85)</f>
        <v>1</v>
      </c>
      <c r="B86" s="912"/>
      <c r="C86" s="912"/>
      <c r="D86" s="912"/>
      <c r="E86" s="912"/>
      <c r="F86" s="912"/>
      <c r="G86" s="912"/>
      <c r="H86" s="912"/>
      <c r="I86" s="912"/>
      <c r="J86" s="912"/>
      <c r="K86" s="912"/>
      <c r="L86" s="912"/>
      <c r="M86" s="912"/>
      <c r="N86" s="912"/>
      <c r="O86" s="913"/>
      <c r="P86" s="913"/>
      <c r="Q86" s="913"/>
    </row>
    <row r="87" spans="1:18" ht="15.75" x14ac:dyDescent="0.25">
      <c r="A87" s="1337" t="s">
        <v>234</v>
      </c>
      <c r="B87" s="1337"/>
      <c r="C87" s="1337"/>
      <c r="D87" s="1337"/>
      <c r="E87" s="1337"/>
      <c r="F87" s="1337"/>
      <c r="G87" s="1337"/>
      <c r="H87" s="1337"/>
      <c r="I87" s="1337"/>
      <c r="J87" s="1337"/>
      <c r="K87" s="1337"/>
      <c r="L87" s="1337"/>
      <c r="M87" s="1337"/>
      <c r="N87" s="1337"/>
      <c r="O87" s="1337"/>
      <c r="P87" s="1337"/>
      <c r="Q87" s="1337"/>
    </row>
    <row r="88" spans="1:18" ht="15" customHeight="1" x14ac:dyDescent="0.25">
      <c r="A88" s="1001" t="s">
        <v>502</v>
      </c>
      <c r="B88" s="1002"/>
      <c r="C88" s="1426" t="s">
        <v>7774</v>
      </c>
      <c r="D88" s="1426"/>
      <c r="E88" s="1426"/>
      <c r="F88" s="983"/>
      <c r="G88" s="983"/>
      <c r="H88" s="983"/>
      <c r="I88" s="983"/>
      <c r="J88" s="983"/>
      <c r="K88" s="983"/>
      <c r="L88" s="913"/>
      <c r="M88" s="913"/>
      <c r="N88" s="913"/>
      <c r="O88" s="913"/>
      <c r="P88" s="913"/>
      <c r="Q88" s="913"/>
      <c r="R88" s="915"/>
    </row>
    <row r="89" spans="1:18" x14ac:dyDescent="0.25">
      <c r="A89" s="912" t="s">
        <v>223</v>
      </c>
      <c r="B89" s="912"/>
      <c r="C89" s="1360">
        <v>74</v>
      </c>
      <c r="D89" s="1360"/>
      <c r="E89" s="1360"/>
      <c r="F89" s="912"/>
      <c r="G89" s="912"/>
      <c r="H89" s="912"/>
      <c r="I89" s="912"/>
      <c r="J89" s="912"/>
      <c r="K89" s="912"/>
      <c r="L89" s="913"/>
      <c r="M89" s="913"/>
      <c r="N89" s="913"/>
      <c r="O89" s="913"/>
      <c r="P89" s="913"/>
      <c r="Q89" s="913"/>
    </row>
    <row r="90" spans="1:18" x14ac:dyDescent="0.25">
      <c r="A90" s="912" t="s">
        <v>224</v>
      </c>
      <c r="B90" s="912"/>
      <c r="C90" s="1421">
        <v>42648</v>
      </c>
      <c r="D90" s="1421"/>
      <c r="E90" s="1421"/>
      <c r="F90" s="912"/>
      <c r="G90" s="169"/>
      <c r="H90" s="169"/>
      <c r="I90" s="169"/>
      <c r="J90" s="912"/>
      <c r="K90" s="912"/>
      <c r="L90" s="913"/>
      <c r="M90" s="979"/>
      <c r="N90" s="979"/>
      <c r="O90" s="979"/>
      <c r="P90" s="979"/>
      <c r="Q90" s="979"/>
    </row>
    <row r="91" spans="1:18" x14ac:dyDescent="0.25">
      <c r="A91" s="983" t="s">
        <v>4242</v>
      </c>
      <c r="B91" s="912"/>
      <c r="C91" s="1421">
        <v>40623</v>
      </c>
      <c r="D91" s="1421"/>
      <c r="E91" s="1421"/>
      <c r="F91" s="912"/>
      <c r="G91" s="169"/>
      <c r="H91" s="169"/>
      <c r="I91" s="169"/>
      <c r="J91" s="912"/>
      <c r="K91" s="912"/>
      <c r="L91" s="913"/>
      <c r="M91" s="979"/>
      <c r="N91" s="979"/>
      <c r="O91" s="1104">
        <f>IF(AND(C91&lt;&gt;"",J4&lt;&gt;""),YEAR(J4)-YEAR(C91),"")</f>
        <v>7</v>
      </c>
      <c r="P91" s="979"/>
      <c r="Q91" s="979"/>
    </row>
    <row r="92" spans="1:18" x14ac:dyDescent="0.25">
      <c r="A92" s="912" t="s">
        <v>220</v>
      </c>
      <c r="B92" s="912"/>
      <c r="C92" s="1419" t="s">
        <v>8091</v>
      </c>
      <c r="D92" s="1360"/>
      <c r="E92" s="1360"/>
      <c r="F92" s="912" t="s">
        <v>235</v>
      </c>
      <c r="G92" s="1360" t="s">
        <v>8093</v>
      </c>
      <c r="H92" s="1360"/>
      <c r="I92" s="1360"/>
      <c r="J92" s="912"/>
      <c r="K92" s="912"/>
      <c r="L92" s="913"/>
      <c r="M92" s="979"/>
      <c r="N92" s="979"/>
      <c r="O92" s="979"/>
      <c r="P92" s="979"/>
      <c r="Q92" s="979"/>
    </row>
    <row r="93" spans="1:18" x14ac:dyDescent="0.25">
      <c r="A93" s="912" t="s">
        <v>237</v>
      </c>
      <c r="B93" s="912"/>
      <c r="C93" s="1360" t="s">
        <v>8092</v>
      </c>
      <c r="D93" s="1360"/>
      <c r="E93" s="1360"/>
      <c r="F93" s="912" t="s">
        <v>235</v>
      </c>
      <c r="G93" s="1360" t="s">
        <v>8093</v>
      </c>
      <c r="H93" s="1360"/>
      <c r="I93" s="1360"/>
      <c r="J93" s="912" t="s">
        <v>279</v>
      </c>
      <c r="K93" s="1003">
        <v>2018</v>
      </c>
      <c r="L93" s="1422" t="s">
        <v>4238</v>
      </c>
      <c r="M93" s="1422"/>
      <c r="N93" s="1422"/>
      <c r="O93" s="1104">
        <f>IF(K93&lt;&gt;"",YEAR($J$4)-K93,"")</f>
        <v>0</v>
      </c>
      <c r="P93" s="913"/>
      <c r="Q93" s="913"/>
    </row>
    <row r="94" spans="1:18" x14ac:dyDescent="0.25">
      <c r="A94" s="912" t="s">
        <v>236</v>
      </c>
      <c r="B94" s="912"/>
      <c r="C94" s="1418">
        <v>160112900332</v>
      </c>
      <c r="D94" s="1418"/>
      <c r="E94" s="1418"/>
      <c r="F94" s="912" t="s">
        <v>235</v>
      </c>
      <c r="G94" s="1360" t="s">
        <v>8093</v>
      </c>
      <c r="H94" s="1360"/>
      <c r="I94" s="1360"/>
      <c r="J94" s="912" t="s">
        <v>279</v>
      </c>
      <c r="K94" s="1004">
        <v>2018</v>
      </c>
      <c r="L94" s="1422"/>
      <c r="M94" s="1422"/>
      <c r="N94" s="1422"/>
      <c r="O94" s="1104">
        <f>IF(K94&lt;&gt;"",YEAR($J$4)-K94,"")</f>
        <v>0</v>
      </c>
      <c r="P94" s="913"/>
      <c r="Q94" s="913"/>
    </row>
    <row r="95" spans="1:18" ht="5.0999999999999996" customHeight="1" x14ac:dyDescent="0.25">
      <c r="A95" s="912"/>
      <c r="B95" s="912"/>
      <c r="C95" s="912"/>
      <c r="D95" s="912"/>
      <c r="E95" s="912"/>
      <c r="F95" s="912"/>
      <c r="G95" s="912"/>
      <c r="H95" s="912"/>
      <c r="I95" s="912"/>
      <c r="J95" s="912"/>
      <c r="K95" s="912"/>
      <c r="L95" s="913"/>
      <c r="M95" s="913"/>
      <c r="N95" s="913"/>
      <c r="O95" s="913"/>
      <c r="P95" s="913"/>
      <c r="Q95" s="913"/>
    </row>
    <row r="96" spans="1:18" ht="15.75" x14ac:dyDescent="0.25">
      <c r="A96" s="1337" t="s">
        <v>4</v>
      </c>
      <c r="B96" s="1337"/>
      <c r="C96" s="1337"/>
      <c r="D96" s="1337"/>
      <c r="E96" s="1337"/>
      <c r="F96" s="1337"/>
      <c r="G96" s="1337"/>
      <c r="H96" s="1337"/>
      <c r="I96" s="1337"/>
      <c r="J96" s="1337"/>
      <c r="K96" s="1337"/>
      <c r="L96" s="1337"/>
      <c r="M96" s="1337"/>
      <c r="N96" s="1337"/>
      <c r="O96" s="1337"/>
      <c r="P96" s="1337"/>
      <c r="Q96" s="1337"/>
    </row>
    <row r="97" spans="1:32" ht="5.0999999999999996" customHeight="1" x14ac:dyDescent="0.25">
      <c r="A97" s="33"/>
      <c r="B97" s="33"/>
      <c r="C97" s="33"/>
      <c r="D97" s="33"/>
      <c r="E97" s="33"/>
      <c r="F97" s="33"/>
      <c r="G97" s="33"/>
      <c r="H97" s="33"/>
      <c r="I97" s="33"/>
      <c r="J97" s="33"/>
      <c r="K97" s="33"/>
      <c r="L97" s="33"/>
      <c r="M97" s="33"/>
      <c r="N97" s="33"/>
      <c r="O97" s="755"/>
      <c r="P97" s="755"/>
      <c r="Q97" s="755"/>
    </row>
    <row r="98" spans="1:32" x14ac:dyDescent="0.25">
      <c r="A98" s="33" t="s">
        <v>92</v>
      </c>
      <c r="B98" s="916">
        <v>1</v>
      </c>
      <c r="C98" s="917" t="s">
        <v>68</v>
      </c>
      <c r="D98" s="918">
        <v>1</v>
      </c>
      <c r="E98" s="919" t="s">
        <v>68</v>
      </c>
      <c r="F98" s="33"/>
      <c r="G98" s="33"/>
      <c r="H98" s="33"/>
      <c r="I98" s="33"/>
      <c r="J98" s="33"/>
      <c r="K98" s="889"/>
      <c r="L98" s="889"/>
      <c r="M98" s="889"/>
      <c r="N98" s="889" t="s">
        <v>93</v>
      </c>
      <c r="O98" s="920"/>
      <c r="P98" s="920"/>
      <c r="Q98" s="920"/>
    </row>
    <row r="99" spans="1:32" ht="27" customHeight="1" x14ac:dyDescent="0.25">
      <c r="A99" s="1405" t="s">
        <v>2402</v>
      </c>
      <c r="B99" s="1378" t="s">
        <v>231</v>
      </c>
      <c r="C99" s="1378" t="s">
        <v>87</v>
      </c>
      <c r="D99" s="1378"/>
      <c r="E99" s="1405"/>
      <c r="F99" s="1405"/>
      <c r="G99" s="1405" t="s">
        <v>552</v>
      </c>
      <c r="H99" s="1405" t="s">
        <v>553</v>
      </c>
      <c r="I99" s="1377" t="s">
        <v>779</v>
      </c>
      <c r="J99" s="1389" t="s">
        <v>778</v>
      </c>
      <c r="K99" s="1390"/>
      <c r="L99" s="1451" t="s">
        <v>91</v>
      </c>
      <c r="M99" s="1452"/>
      <c r="N99" s="1405" t="s">
        <v>7179</v>
      </c>
      <c r="O99" s="1405" t="s">
        <v>7973</v>
      </c>
      <c r="P99" s="822"/>
      <c r="Q99" s="822"/>
      <c r="U99" s="1376" t="s">
        <v>7773</v>
      </c>
    </row>
    <row r="100" spans="1:32" ht="54" customHeight="1" x14ac:dyDescent="0.25">
      <c r="A100" s="1405"/>
      <c r="B100" s="1405"/>
      <c r="C100" s="898" t="s">
        <v>90</v>
      </c>
      <c r="D100" s="1091" t="s">
        <v>124</v>
      </c>
      <c r="E100" s="898" t="s">
        <v>135</v>
      </c>
      <c r="F100" s="898" t="s">
        <v>230</v>
      </c>
      <c r="G100" s="1405"/>
      <c r="H100" s="1405"/>
      <c r="I100" s="1378"/>
      <c r="J100" s="898" t="s">
        <v>197</v>
      </c>
      <c r="K100" s="898" t="s">
        <v>198</v>
      </c>
      <c r="L100" s="898" t="s">
        <v>199</v>
      </c>
      <c r="M100" s="898" t="s">
        <v>103</v>
      </c>
      <c r="N100" s="1405"/>
      <c r="O100" s="1405"/>
      <c r="P100" s="822"/>
      <c r="Q100" s="822"/>
      <c r="R100" s="921" t="s">
        <v>545</v>
      </c>
      <c r="S100" s="921" t="s">
        <v>550</v>
      </c>
      <c r="T100" s="921" t="s">
        <v>546</v>
      </c>
      <c r="U100" s="1376"/>
      <c r="V100" s="384" t="s">
        <v>7951</v>
      </c>
      <c r="W100" s="384" t="s">
        <v>726</v>
      </c>
      <c r="X100" s="384" t="s">
        <v>727</v>
      </c>
      <c r="Y100" s="384" t="s">
        <v>3165</v>
      </c>
      <c r="Z100" s="384" t="s">
        <v>3166</v>
      </c>
      <c r="AA100" s="384" t="s">
        <v>3196</v>
      </c>
      <c r="AB100" s="384" t="s">
        <v>3197</v>
      </c>
      <c r="AC100" s="384" t="s">
        <v>3198</v>
      </c>
      <c r="AD100" s="384" t="s">
        <v>7584</v>
      </c>
      <c r="AE100" s="384" t="s">
        <v>7585</v>
      </c>
    </row>
    <row r="101" spans="1:32" x14ac:dyDescent="0.25">
      <c r="A101" s="1199" t="s">
        <v>106</v>
      </c>
      <c r="B101" s="1249" t="s">
        <v>232</v>
      </c>
      <c r="C101" s="900" t="s">
        <v>68</v>
      </c>
      <c r="D101" s="1200"/>
      <c r="E101" s="1200">
        <v>1400</v>
      </c>
      <c r="F101" s="922">
        <f t="shared" ref="F101:F107" si="0">IF(OR(D101&lt;&gt;"",E101&lt;&gt;""),SUM(D101:E101),0)</f>
        <v>1400</v>
      </c>
      <c r="G101" s="922">
        <f t="shared" ref="G101:G107" si="1">IF(C101=$C$98,F101*$D$98,F101)</f>
        <v>1400</v>
      </c>
      <c r="H101" s="1200"/>
      <c r="I101" s="1273">
        <v>1</v>
      </c>
      <c r="J101" s="1274"/>
      <c r="K101" s="1274"/>
      <c r="L101" s="1275">
        <v>0.12</v>
      </c>
      <c r="M101" s="1275">
        <v>5.0000000000000001E-3</v>
      </c>
      <c r="N101" s="925"/>
      <c r="O101" s="925"/>
      <c r="P101" s="822"/>
      <c r="Q101" s="822"/>
      <c r="R101" s="926">
        <f>IF(COUNTA(J101:K101)=2,(K101-J101)/365,0)</f>
        <v>0</v>
      </c>
      <c r="S101" s="927">
        <f>IF(C101&lt;&gt;"Rp",D101*$D$98,D101)</f>
        <v>0</v>
      </c>
      <c r="T101" s="926">
        <f t="shared" ref="T101:T107" si="2">IF(AND(B101="Modal Kerja",D101&gt;0),1,0)</f>
        <v>0</v>
      </c>
      <c r="U101" s="926">
        <f>IF(AND(OR(B101=$A$109,B101=$A$110),D101&gt;0),1,0)</f>
        <v>0</v>
      </c>
      <c r="V101" s="926">
        <f>IF(R101&lt;&gt;0,1,0)</f>
        <v>0</v>
      </c>
      <c r="W101" s="926" t="str">
        <f>IF(B101="Investasi",E101,"")</f>
        <v/>
      </c>
      <c r="X101" s="926" t="str">
        <f t="shared" ref="X101:X107" si="3">IF(ISERROR(W101/I101),"",W101/I101)</f>
        <v/>
      </c>
      <c r="Y101" s="926" t="str">
        <f>IF(LEFT(A101,3)="PAB",E101,"")</f>
        <v/>
      </c>
      <c r="Z101" s="926" t="str">
        <f t="shared" ref="Z101:Z107" si="4">IF(ISERROR(Y101/I101),"",Y101/I101)</f>
        <v/>
      </c>
      <c r="AA101" s="928">
        <f>IF(LEFT(A101,3)="PAB",H101,D101)</f>
        <v>0</v>
      </c>
      <c r="AB101" s="929">
        <f>E101</f>
        <v>1400</v>
      </c>
      <c r="AC101" s="928">
        <f>SUM(AA101:AB101)</f>
        <v>1400</v>
      </c>
      <c r="AD101" s="928">
        <f>IF(LEFT(A101,3)="PAB",E101,G101)</f>
        <v>1400</v>
      </c>
      <c r="AE101" s="930">
        <f>L101</f>
        <v>0.12</v>
      </c>
      <c r="AF101" s="931"/>
    </row>
    <row r="102" spans="1:32" x14ac:dyDescent="0.25">
      <c r="A102" s="1199"/>
      <c r="B102" s="1249"/>
      <c r="C102" s="900"/>
      <c r="D102" s="1200"/>
      <c r="E102" s="1200"/>
      <c r="F102" s="922">
        <f t="shared" si="0"/>
        <v>0</v>
      </c>
      <c r="G102" s="922">
        <f t="shared" si="1"/>
        <v>0</v>
      </c>
      <c r="H102" s="875"/>
      <c r="I102" s="1273"/>
      <c r="J102" s="1274"/>
      <c r="K102" s="1274"/>
      <c r="L102" s="1275"/>
      <c r="M102" s="1275"/>
      <c r="N102" s="925"/>
      <c r="O102" s="925"/>
      <c r="P102" s="822"/>
      <c r="Q102" s="822"/>
      <c r="R102" s="932">
        <f t="shared" ref="R102:R107" si="5">IF(COUNTA(J102:K102)=2,(K102-J102)/365,0)</f>
        <v>0</v>
      </c>
      <c r="S102" s="933">
        <f t="shared" ref="S102:S107" si="6">IF(C102&lt;&gt;"Rp",D102*$D$98,D102)</f>
        <v>0</v>
      </c>
      <c r="T102" s="932">
        <f t="shared" si="2"/>
        <v>0</v>
      </c>
      <c r="U102" s="932">
        <f t="shared" ref="U102:U107" si="7">IF(AND(OR(B102=$A$109,B102=$A$110),D102&gt;0),1,0)</f>
        <v>0</v>
      </c>
      <c r="V102" s="932">
        <f t="shared" ref="V102:V107" si="8">IF(R102&lt;&gt;0,1,0)</f>
        <v>0</v>
      </c>
      <c r="W102" s="932" t="str">
        <f t="shared" ref="W102:W107" si="9">IF(B102="Investasi",E102,"")</f>
        <v/>
      </c>
      <c r="X102" s="932" t="str">
        <f t="shared" si="3"/>
        <v/>
      </c>
      <c r="Y102" s="932" t="str">
        <f t="shared" ref="Y102:Y107" si="10">IF(LEFT(A102,3)="PAB",E102,"")</f>
        <v/>
      </c>
      <c r="Z102" s="932" t="str">
        <f t="shared" si="4"/>
        <v/>
      </c>
      <c r="AA102" s="891">
        <f t="shared" ref="AA102:AA107" si="11">IF(LEFT(A102,3)="PAB",H102,D102)</f>
        <v>0</v>
      </c>
      <c r="AB102" s="934">
        <f t="shared" ref="AB102:AB107" si="12">E102</f>
        <v>0</v>
      </c>
      <c r="AC102" s="891">
        <f t="shared" ref="AC102:AC107" si="13">SUM(AA102:AB102)</f>
        <v>0</v>
      </c>
      <c r="AD102" s="891">
        <f t="shared" ref="AD102:AD107" si="14">IF(LEFT(A102,3)="PAB",E102,G102)</f>
        <v>0</v>
      </c>
      <c r="AE102" s="935">
        <f t="shared" ref="AE102:AE107" si="15">L102</f>
        <v>0</v>
      </c>
    </row>
    <row r="103" spans="1:32" x14ac:dyDescent="0.25">
      <c r="A103" s="1199"/>
      <c r="B103" s="900"/>
      <c r="C103" s="900"/>
      <c r="D103" s="1200"/>
      <c r="E103" s="1200"/>
      <c r="F103" s="922">
        <f t="shared" si="0"/>
        <v>0</v>
      </c>
      <c r="G103" s="922">
        <f t="shared" si="1"/>
        <v>0</v>
      </c>
      <c r="H103" s="875"/>
      <c r="I103" s="1273"/>
      <c r="J103" s="923"/>
      <c r="K103" s="923"/>
      <c r="L103" s="1275"/>
      <c r="M103" s="1275"/>
      <c r="N103" s="925"/>
      <c r="O103" s="925"/>
      <c r="P103" s="822"/>
      <c r="Q103" s="822"/>
      <c r="R103" s="932">
        <f t="shared" si="5"/>
        <v>0</v>
      </c>
      <c r="S103" s="933">
        <f t="shared" si="6"/>
        <v>0</v>
      </c>
      <c r="T103" s="932">
        <f t="shared" si="2"/>
        <v>0</v>
      </c>
      <c r="U103" s="932">
        <f t="shared" si="7"/>
        <v>0</v>
      </c>
      <c r="V103" s="932">
        <f t="shared" si="8"/>
        <v>0</v>
      </c>
      <c r="W103" s="932" t="str">
        <f t="shared" si="9"/>
        <v/>
      </c>
      <c r="X103" s="932" t="str">
        <f t="shared" si="3"/>
        <v/>
      </c>
      <c r="Y103" s="932" t="str">
        <f t="shared" si="10"/>
        <v/>
      </c>
      <c r="Z103" s="932" t="str">
        <f t="shared" si="4"/>
        <v/>
      </c>
      <c r="AA103" s="891">
        <f t="shared" si="11"/>
        <v>0</v>
      </c>
      <c r="AB103" s="934">
        <f t="shared" si="12"/>
        <v>0</v>
      </c>
      <c r="AC103" s="891">
        <f t="shared" si="13"/>
        <v>0</v>
      </c>
      <c r="AD103" s="891">
        <f t="shared" si="14"/>
        <v>0</v>
      </c>
      <c r="AE103" s="935">
        <f t="shared" si="15"/>
        <v>0</v>
      </c>
    </row>
    <row r="104" spans="1:32" x14ac:dyDescent="0.25">
      <c r="A104" s="1199"/>
      <c r="B104" s="900"/>
      <c r="C104" s="900"/>
      <c r="D104" s="1200"/>
      <c r="E104" s="1200"/>
      <c r="F104" s="922">
        <f t="shared" si="0"/>
        <v>0</v>
      </c>
      <c r="G104" s="922">
        <f t="shared" si="1"/>
        <v>0</v>
      </c>
      <c r="H104" s="875"/>
      <c r="I104" s="899"/>
      <c r="J104" s="923"/>
      <c r="K104" s="923"/>
      <c r="L104" s="924"/>
      <c r="M104" s="924"/>
      <c r="N104" s="925"/>
      <c r="O104" s="925"/>
      <c r="P104" s="822"/>
      <c r="Q104" s="822"/>
      <c r="R104" s="932">
        <f t="shared" si="5"/>
        <v>0</v>
      </c>
      <c r="S104" s="933">
        <f t="shared" si="6"/>
        <v>0</v>
      </c>
      <c r="T104" s="932">
        <f t="shared" si="2"/>
        <v>0</v>
      </c>
      <c r="U104" s="932">
        <f t="shared" si="7"/>
        <v>0</v>
      </c>
      <c r="V104" s="932">
        <f t="shared" si="8"/>
        <v>0</v>
      </c>
      <c r="W104" s="932" t="str">
        <f t="shared" si="9"/>
        <v/>
      </c>
      <c r="X104" s="932" t="str">
        <f t="shared" si="3"/>
        <v/>
      </c>
      <c r="Y104" s="932" t="str">
        <f t="shared" si="10"/>
        <v/>
      </c>
      <c r="Z104" s="932" t="str">
        <f t="shared" si="4"/>
        <v/>
      </c>
      <c r="AA104" s="891">
        <f t="shared" si="11"/>
        <v>0</v>
      </c>
      <c r="AB104" s="934">
        <f t="shared" si="12"/>
        <v>0</v>
      </c>
      <c r="AC104" s="891">
        <f t="shared" si="13"/>
        <v>0</v>
      </c>
      <c r="AD104" s="891">
        <f t="shared" si="14"/>
        <v>0</v>
      </c>
      <c r="AE104" s="935">
        <f t="shared" si="15"/>
        <v>0</v>
      </c>
    </row>
    <row r="105" spans="1:32" x14ac:dyDescent="0.25">
      <c r="A105" s="1199"/>
      <c r="B105" s="900"/>
      <c r="C105" s="900"/>
      <c r="D105" s="1200"/>
      <c r="E105" s="1200"/>
      <c r="F105" s="922">
        <f t="shared" si="0"/>
        <v>0</v>
      </c>
      <c r="G105" s="922">
        <f t="shared" si="1"/>
        <v>0</v>
      </c>
      <c r="H105" s="875"/>
      <c r="I105" s="899"/>
      <c r="J105" s="923"/>
      <c r="K105" s="923"/>
      <c r="L105" s="924"/>
      <c r="M105" s="924"/>
      <c r="N105" s="925"/>
      <c r="O105" s="925"/>
      <c r="P105" s="822"/>
      <c r="Q105" s="822"/>
      <c r="R105" s="932">
        <f t="shared" si="5"/>
        <v>0</v>
      </c>
      <c r="S105" s="933">
        <f t="shared" si="6"/>
        <v>0</v>
      </c>
      <c r="T105" s="932">
        <f t="shared" si="2"/>
        <v>0</v>
      </c>
      <c r="U105" s="932">
        <f t="shared" si="7"/>
        <v>0</v>
      </c>
      <c r="V105" s="932">
        <f t="shared" si="8"/>
        <v>0</v>
      </c>
      <c r="W105" s="932" t="str">
        <f t="shared" si="9"/>
        <v/>
      </c>
      <c r="X105" s="932" t="str">
        <f t="shared" si="3"/>
        <v/>
      </c>
      <c r="Y105" s="932" t="str">
        <f t="shared" si="10"/>
        <v/>
      </c>
      <c r="Z105" s="932" t="str">
        <f t="shared" si="4"/>
        <v/>
      </c>
      <c r="AA105" s="891">
        <f t="shared" si="11"/>
        <v>0</v>
      </c>
      <c r="AB105" s="934">
        <f t="shared" si="12"/>
        <v>0</v>
      </c>
      <c r="AC105" s="891">
        <f t="shared" si="13"/>
        <v>0</v>
      </c>
      <c r="AD105" s="891">
        <f t="shared" si="14"/>
        <v>0</v>
      </c>
      <c r="AE105" s="935">
        <f t="shared" si="15"/>
        <v>0</v>
      </c>
    </row>
    <row r="106" spans="1:32" x14ac:dyDescent="0.25">
      <c r="A106" s="1199"/>
      <c r="B106" s="900"/>
      <c r="C106" s="900"/>
      <c r="D106" s="1200"/>
      <c r="E106" s="1200"/>
      <c r="F106" s="922">
        <f t="shared" si="0"/>
        <v>0</v>
      </c>
      <c r="G106" s="922">
        <f t="shared" si="1"/>
        <v>0</v>
      </c>
      <c r="H106" s="875"/>
      <c r="I106" s="899"/>
      <c r="J106" s="923"/>
      <c r="K106" s="923"/>
      <c r="L106" s="924"/>
      <c r="M106" s="924"/>
      <c r="N106" s="925"/>
      <c r="O106" s="925"/>
      <c r="P106" s="822"/>
      <c r="Q106" s="822"/>
      <c r="R106" s="932">
        <f t="shared" si="5"/>
        <v>0</v>
      </c>
      <c r="S106" s="933">
        <f t="shared" si="6"/>
        <v>0</v>
      </c>
      <c r="T106" s="932">
        <f t="shared" si="2"/>
        <v>0</v>
      </c>
      <c r="U106" s="932">
        <f t="shared" si="7"/>
        <v>0</v>
      </c>
      <c r="V106" s="932">
        <f t="shared" si="8"/>
        <v>0</v>
      </c>
      <c r="W106" s="932" t="str">
        <f t="shared" si="9"/>
        <v/>
      </c>
      <c r="X106" s="932" t="str">
        <f t="shared" si="3"/>
        <v/>
      </c>
      <c r="Y106" s="932" t="str">
        <f t="shared" si="10"/>
        <v/>
      </c>
      <c r="Z106" s="932" t="str">
        <f t="shared" si="4"/>
        <v/>
      </c>
      <c r="AA106" s="891">
        <f t="shared" si="11"/>
        <v>0</v>
      </c>
      <c r="AB106" s="934">
        <f t="shared" si="12"/>
        <v>0</v>
      </c>
      <c r="AC106" s="891">
        <f t="shared" si="13"/>
        <v>0</v>
      </c>
      <c r="AD106" s="891">
        <f t="shared" si="14"/>
        <v>0</v>
      </c>
      <c r="AE106" s="935">
        <f t="shared" si="15"/>
        <v>0</v>
      </c>
    </row>
    <row r="107" spans="1:32" x14ac:dyDescent="0.25">
      <c r="A107" s="1199"/>
      <c r="B107" s="900"/>
      <c r="C107" s="900"/>
      <c r="D107" s="1200"/>
      <c r="E107" s="1200"/>
      <c r="F107" s="922">
        <f t="shared" si="0"/>
        <v>0</v>
      </c>
      <c r="G107" s="922">
        <f t="shared" si="1"/>
        <v>0</v>
      </c>
      <c r="H107" s="875"/>
      <c r="I107" s="899"/>
      <c r="J107" s="923"/>
      <c r="K107" s="923"/>
      <c r="L107" s="924"/>
      <c r="M107" s="924"/>
      <c r="N107" s="925"/>
      <c r="O107" s="925"/>
      <c r="P107" s="822"/>
      <c r="Q107" s="822"/>
      <c r="R107" s="936">
        <f t="shared" si="5"/>
        <v>0</v>
      </c>
      <c r="S107" s="937">
        <f t="shared" si="6"/>
        <v>0</v>
      </c>
      <c r="T107" s="936">
        <f t="shared" si="2"/>
        <v>0</v>
      </c>
      <c r="U107" s="936">
        <f t="shared" si="7"/>
        <v>0</v>
      </c>
      <c r="V107" s="936">
        <f t="shared" si="8"/>
        <v>0</v>
      </c>
      <c r="W107" s="936" t="str">
        <f t="shared" si="9"/>
        <v/>
      </c>
      <c r="X107" s="936" t="str">
        <f t="shared" si="3"/>
        <v/>
      </c>
      <c r="Y107" s="936" t="str">
        <f t="shared" si="10"/>
        <v/>
      </c>
      <c r="Z107" s="936" t="str">
        <f t="shared" si="4"/>
        <v/>
      </c>
      <c r="AA107" s="938">
        <f t="shared" si="11"/>
        <v>0</v>
      </c>
      <c r="AB107" s="939">
        <f t="shared" si="12"/>
        <v>0</v>
      </c>
      <c r="AC107" s="938">
        <f t="shared" si="13"/>
        <v>0</v>
      </c>
      <c r="AD107" s="938">
        <f t="shared" si="14"/>
        <v>0</v>
      </c>
      <c r="AE107" s="940">
        <f t="shared" si="15"/>
        <v>0</v>
      </c>
    </row>
    <row r="108" spans="1:32" x14ac:dyDescent="0.25">
      <c r="A108" s="1465" t="s">
        <v>230</v>
      </c>
      <c r="B108" s="1465"/>
      <c r="C108" s="1465"/>
      <c r="D108" s="941">
        <f>SUM(D101:D107)</f>
        <v>0</v>
      </c>
      <c r="E108" s="941">
        <f>SUM(E101:E107)</f>
        <v>1400</v>
      </c>
      <c r="F108" s="941">
        <f>SUM(F101:F107)</f>
        <v>1400</v>
      </c>
      <c r="G108" s="941">
        <f>SUM(G101:G107)</f>
        <v>1400</v>
      </c>
      <c r="H108" s="941">
        <f>SUM(H101:H107)</f>
        <v>0</v>
      </c>
      <c r="I108" s="33"/>
      <c r="J108" s="33"/>
      <c r="K108" s="33"/>
      <c r="L108" s="33"/>
      <c r="M108" s="33"/>
      <c r="N108" s="33"/>
      <c r="O108" s="755"/>
      <c r="P108" s="755"/>
      <c r="Q108" s="755"/>
      <c r="R108" s="942">
        <f>SUM(R101:R107)</f>
        <v>0</v>
      </c>
      <c r="S108" s="942">
        <f>SUM(S101:S107)</f>
        <v>0</v>
      </c>
      <c r="T108" s="942">
        <f>SUM(T101:T107)</f>
        <v>0</v>
      </c>
      <c r="U108" s="942">
        <f>SUM(U101:U107)</f>
        <v>0</v>
      </c>
      <c r="V108" s="942">
        <f>SUM(V101:V107)</f>
        <v>0</v>
      </c>
      <c r="W108" s="942"/>
      <c r="X108" s="942" t="str">
        <f>IF(ISERROR(W108/I108),"",W108)</f>
        <v/>
      </c>
      <c r="Y108" s="942"/>
      <c r="Z108" s="943">
        <f>SUM(Z101:Z107)</f>
        <v>0</v>
      </c>
      <c r="AD108" s="944">
        <f>SUMPRODUCT(AD101:AD107,AE101:AE107)</f>
        <v>168</v>
      </c>
      <c r="AE108" s="945">
        <f>SUM(AE101:AE107)/COUNTIF(AE101:AE107,"&gt;0")</f>
        <v>0.12</v>
      </c>
    </row>
    <row r="109" spans="1:32" x14ac:dyDescent="0.25">
      <c r="A109" s="1465" t="s">
        <v>232</v>
      </c>
      <c r="B109" s="1465"/>
      <c r="C109" s="1465"/>
      <c r="D109" s="941">
        <f>SUMIF($B$101:$B$107,$A109,D101:D107)</f>
        <v>0</v>
      </c>
      <c r="E109" s="941">
        <f>SUMIF($B$101:$B$107,$A109,E101:E107)</f>
        <v>1400</v>
      </c>
      <c r="F109" s="941">
        <f>SUMIF($B$101:$B$107,$A109,F101:F107)</f>
        <v>1400</v>
      </c>
      <c r="G109" s="941">
        <f>SUMIF($B$101:$B$107,$A109,G101:G107)</f>
        <v>1400</v>
      </c>
      <c r="H109" s="941">
        <f>SUMIF($B$101:$B$107,$A109,H101:H107)</f>
        <v>0</v>
      </c>
      <c r="I109" s="33"/>
      <c r="J109" s="33"/>
      <c r="K109" s="33"/>
      <c r="L109" s="33"/>
      <c r="M109" s="33"/>
      <c r="N109" s="33"/>
      <c r="O109" s="755"/>
      <c r="P109" s="755"/>
      <c r="Q109" s="755"/>
      <c r="R109" s="942">
        <f>SUMIF(B101:B107,"Modal Kerja",R101:R107)</f>
        <v>0</v>
      </c>
      <c r="S109" s="946">
        <f>SUMIF(B101:B107,A109,S101:S107)</f>
        <v>0</v>
      </c>
    </row>
    <row r="110" spans="1:32" x14ac:dyDescent="0.25">
      <c r="A110" s="1465" t="s">
        <v>233</v>
      </c>
      <c r="B110" s="1465"/>
      <c r="C110" s="1465"/>
      <c r="D110" s="941">
        <f>SUMIF($B$101:$B$107,$A110,D101:D107)</f>
        <v>0</v>
      </c>
      <c r="E110" s="941">
        <f>SUMIF($B$101:$B$107,$A110,E101:E107)</f>
        <v>0</v>
      </c>
      <c r="F110" s="941">
        <f>SUMIF($B$101:$B$107,$A110,F101:F107)</f>
        <v>0</v>
      </c>
      <c r="G110" s="941">
        <f>SUMIF($B$101:$B$107,$A110,G101:G107)</f>
        <v>0</v>
      </c>
      <c r="H110" s="941">
        <f>SUMIF($B$101:$B$107,$A110,H101:H107)</f>
        <v>0</v>
      </c>
      <c r="I110" s="33"/>
      <c r="J110" s="33"/>
      <c r="K110" s="33"/>
      <c r="L110" s="33"/>
      <c r="M110" s="33"/>
      <c r="N110" s="33"/>
      <c r="O110" s="755"/>
      <c r="P110" s="755"/>
      <c r="Q110" s="755"/>
      <c r="R110" s="947">
        <f>SUM(SUMIF(B101:B107,A109,R101:R107),SUMIF(B101:B107,A110,R101:R107))</f>
        <v>0</v>
      </c>
      <c r="S110" s="942"/>
    </row>
    <row r="111" spans="1:32" x14ac:dyDescent="0.25">
      <c r="A111" s="1461" t="s">
        <v>136</v>
      </c>
      <c r="B111" s="1462"/>
      <c r="C111" s="1463"/>
      <c r="D111" s="941">
        <f>SUMIF($B$101:$B$107,$A111,D101:D107)</f>
        <v>0</v>
      </c>
      <c r="E111" s="941">
        <f>SUMIF($B$101:$B$107,$A111,E101:E107)</f>
        <v>0</v>
      </c>
      <c r="F111" s="941">
        <f>SUMIF($B$101:$B$107,$A111,F101:F107)</f>
        <v>0</v>
      </c>
      <c r="G111" s="941">
        <f>SUMIF($B$101:$B$107,$A111,G101:G107)</f>
        <v>0</v>
      </c>
      <c r="H111" s="941">
        <f>SUMIF($B$101:$B$107,$A111,H101:H107)</f>
        <v>0</v>
      </c>
      <c r="I111" s="33"/>
      <c r="J111" s="33"/>
      <c r="K111" s="33"/>
      <c r="L111" s="33"/>
      <c r="M111" s="33"/>
      <c r="N111" s="33"/>
      <c r="O111" s="755"/>
      <c r="P111" s="755"/>
      <c r="Q111" s="755"/>
      <c r="S111" s="942"/>
    </row>
    <row r="112" spans="1:32" ht="40.5" customHeight="1" x14ac:dyDescent="0.2">
      <c r="A112" s="1489" t="s">
        <v>7985</v>
      </c>
      <c r="B112" s="1489"/>
      <c r="C112" s="1489"/>
      <c r="D112" s="1489"/>
      <c r="E112" s="1489"/>
      <c r="F112" s="1489"/>
      <c r="G112" s="1489"/>
      <c r="H112" s="1489"/>
      <c r="I112" s="1489"/>
      <c r="J112" s="1489"/>
      <c r="K112" s="1489"/>
      <c r="L112" s="1489"/>
      <c r="M112" s="1489"/>
      <c r="N112" s="1489"/>
      <c r="O112" s="1489"/>
      <c r="P112" s="1489"/>
      <c r="Q112" s="1489"/>
    </row>
    <row r="113" spans="1:18" ht="19.5" customHeight="1" x14ac:dyDescent="0.25">
      <c r="A113" s="823" t="s">
        <v>7682</v>
      </c>
      <c r="B113" s="824" t="s">
        <v>7683</v>
      </c>
      <c r="C113" s="1478" t="str">
        <f>IFERROR(VLOOKUP(B113,Database!A176:B180,2,0),"")</f>
        <v>: Jika debitur memiliki potensi untuk ditingkatkan kreditnya karena pertumbuhan dan perkembangan bisnisnya, dengan didukung oleh ketersediaan jaminan</v>
      </c>
      <c r="D113" s="1479"/>
      <c r="E113" s="1479"/>
      <c r="F113" s="1479"/>
      <c r="G113" s="1479"/>
      <c r="H113" s="1479"/>
      <c r="I113" s="1479"/>
      <c r="J113" s="1479"/>
      <c r="K113" s="1479"/>
      <c r="L113" s="1479"/>
      <c r="M113" s="1479"/>
      <c r="N113" s="1479"/>
      <c r="O113" s="1479"/>
      <c r="P113" s="1479"/>
      <c r="Q113" s="1479"/>
    </row>
    <row r="114" spans="1:18" ht="15" x14ac:dyDescent="0.25">
      <c r="A114" s="1394" t="s">
        <v>8094</v>
      </c>
      <c r="B114" s="1464"/>
      <c r="C114" s="1464"/>
      <c r="D114" s="1464"/>
      <c r="E114" s="1464"/>
      <c r="F114" s="1464"/>
      <c r="G114" s="1464"/>
      <c r="H114" s="1464"/>
      <c r="I114" s="1464"/>
      <c r="J114" s="1464"/>
      <c r="K114" s="1464"/>
      <c r="L114" s="1464"/>
      <c r="M114" s="1464"/>
      <c r="N114" s="1464"/>
      <c r="O114" s="1464"/>
      <c r="P114" s="1464"/>
      <c r="Q114" s="305"/>
      <c r="R114" s="948"/>
    </row>
    <row r="115" spans="1:18" ht="15" x14ac:dyDescent="0.25">
      <c r="A115" s="1492"/>
      <c r="B115" s="1493"/>
      <c r="C115" s="1493"/>
      <c r="D115" s="1493"/>
      <c r="E115" s="1493"/>
      <c r="F115" s="1493"/>
      <c r="G115" s="1493"/>
      <c r="H115" s="1493"/>
      <c r="I115" s="1493"/>
      <c r="J115" s="1493"/>
      <c r="K115" s="1493"/>
      <c r="L115" s="1493"/>
      <c r="M115" s="1493"/>
      <c r="N115" s="1493"/>
      <c r="O115" s="1493"/>
      <c r="P115" s="1493"/>
      <c r="Q115" s="305"/>
      <c r="R115" s="949"/>
    </row>
    <row r="116" spans="1:18" ht="15" x14ac:dyDescent="0.25">
      <c r="A116" s="1485"/>
      <c r="B116" s="1486"/>
      <c r="C116" s="1486"/>
      <c r="D116" s="1486"/>
      <c r="E116" s="1486"/>
      <c r="F116" s="1486"/>
      <c r="G116" s="1486"/>
      <c r="H116" s="1486"/>
      <c r="I116" s="1486"/>
      <c r="J116" s="1486"/>
      <c r="K116" s="1486"/>
      <c r="L116" s="1486"/>
      <c r="M116" s="1486"/>
      <c r="N116" s="1486"/>
      <c r="O116" s="1486"/>
      <c r="P116" s="1486"/>
      <c r="Q116" s="305"/>
      <c r="R116" s="948"/>
    </row>
    <row r="117" spans="1:18" ht="15" x14ac:dyDescent="0.25">
      <c r="A117" s="1485"/>
      <c r="B117" s="1486"/>
      <c r="C117" s="1486"/>
      <c r="D117" s="1486"/>
      <c r="E117" s="1486"/>
      <c r="F117" s="1486"/>
      <c r="G117" s="1486"/>
      <c r="H117" s="1486"/>
      <c r="I117" s="1486"/>
      <c r="J117" s="1486"/>
      <c r="K117" s="1486"/>
      <c r="L117" s="1486"/>
      <c r="M117" s="1486"/>
      <c r="N117" s="1486"/>
      <c r="O117" s="1486"/>
      <c r="P117" s="1486"/>
      <c r="Q117" s="755"/>
    </row>
    <row r="118" spans="1:18" ht="5.0999999999999996" customHeight="1" x14ac:dyDescent="0.25">
      <c r="A118" s="33"/>
      <c r="B118" s="33"/>
      <c r="C118" s="33"/>
      <c r="D118" s="33"/>
      <c r="E118" s="33"/>
      <c r="F118" s="33"/>
      <c r="G118" s="33"/>
      <c r="H118" s="33"/>
      <c r="I118" s="33"/>
      <c r="J118" s="33"/>
      <c r="K118" s="33"/>
      <c r="L118" s="33"/>
      <c r="M118" s="33"/>
      <c r="N118" s="33"/>
      <c r="O118" s="755"/>
      <c r="P118" s="755"/>
      <c r="Q118" s="755"/>
    </row>
    <row r="119" spans="1:18" ht="15.75" x14ac:dyDescent="0.25">
      <c r="A119" s="1477" t="s">
        <v>217</v>
      </c>
      <c r="B119" s="1477"/>
      <c r="C119" s="1477"/>
      <c r="D119" s="1477"/>
      <c r="E119" s="1477"/>
      <c r="F119" s="1477"/>
      <c r="G119" s="1477"/>
      <c r="H119" s="1477"/>
      <c r="I119" s="1477"/>
      <c r="J119" s="1477"/>
      <c r="K119" s="1477"/>
      <c r="L119" s="1477"/>
      <c r="M119" s="1477"/>
      <c r="N119" s="1477"/>
      <c r="O119" s="1477"/>
      <c r="P119" s="1477"/>
      <c r="Q119" s="1477"/>
    </row>
    <row r="120" spans="1:18" ht="7.5" customHeight="1" x14ac:dyDescent="0.25">
      <c r="A120" s="912"/>
      <c r="B120" s="912"/>
      <c r="C120" s="912"/>
      <c r="D120" s="912"/>
      <c r="E120" s="912"/>
      <c r="F120" s="912"/>
      <c r="G120" s="912"/>
      <c r="H120" s="912"/>
      <c r="I120" s="912"/>
      <c r="J120" s="912"/>
      <c r="K120" s="912"/>
      <c r="L120" s="912"/>
      <c r="M120" s="912"/>
      <c r="N120" s="912"/>
      <c r="O120" s="913"/>
      <c r="P120" s="913"/>
      <c r="Q120" s="913"/>
    </row>
    <row r="121" spans="1:18" s="384" customFormat="1" ht="51" customHeight="1" x14ac:dyDescent="0.25">
      <c r="A121" s="903" t="s">
        <v>12</v>
      </c>
      <c r="B121" s="903" t="s">
        <v>255</v>
      </c>
      <c r="C121" s="1451" t="s">
        <v>218</v>
      </c>
      <c r="D121" s="1452"/>
      <c r="E121" s="903" t="s">
        <v>219</v>
      </c>
      <c r="F121" s="1451" t="s">
        <v>1</v>
      </c>
      <c r="G121" s="1452"/>
      <c r="H121" s="1451" t="s">
        <v>3675</v>
      </c>
      <c r="I121" s="1452"/>
      <c r="J121" s="903" t="s">
        <v>33</v>
      </c>
      <c r="K121" s="903" t="s">
        <v>220</v>
      </c>
      <c r="L121" s="903" t="s">
        <v>2919</v>
      </c>
      <c r="M121" s="903" t="s">
        <v>2920</v>
      </c>
      <c r="N121" s="903" t="s">
        <v>221</v>
      </c>
      <c r="O121" s="1005"/>
      <c r="P121" s="1005"/>
      <c r="Q121" s="1005"/>
    </row>
    <row r="122" spans="1:18" ht="41.25" customHeight="1" x14ac:dyDescent="0.25">
      <c r="A122" s="1261" t="s">
        <v>8085</v>
      </c>
      <c r="B122" s="1249" t="s">
        <v>8055</v>
      </c>
      <c r="C122" s="1459" t="s">
        <v>8097</v>
      </c>
      <c r="D122" s="1460"/>
      <c r="E122" s="1295">
        <v>0.5</v>
      </c>
      <c r="F122" s="1346" t="s">
        <v>8098</v>
      </c>
      <c r="G122" s="1348"/>
      <c r="H122" s="1346" t="s">
        <v>3240</v>
      </c>
      <c r="I122" s="1348"/>
      <c r="J122" s="904" t="s">
        <v>3709</v>
      </c>
      <c r="K122" s="1299" t="s">
        <v>8135</v>
      </c>
      <c r="L122" s="1272">
        <v>61</v>
      </c>
      <c r="M122" s="1272">
        <v>8</v>
      </c>
      <c r="N122" s="1272">
        <v>2010</v>
      </c>
      <c r="O122" s="913"/>
      <c r="P122" s="913"/>
      <c r="Q122" s="913"/>
    </row>
    <row r="123" spans="1:18" ht="25.5" x14ac:dyDescent="0.25">
      <c r="A123" s="1261" t="s">
        <v>8086</v>
      </c>
      <c r="B123" s="1260" t="s">
        <v>8055</v>
      </c>
      <c r="C123" s="1459" t="s">
        <v>8096</v>
      </c>
      <c r="D123" s="1460"/>
      <c r="E123" s="1295">
        <v>0.5</v>
      </c>
      <c r="F123" s="1346" t="s">
        <v>8095</v>
      </c>
      <c r="G123" s="1348"/>
      <c r="H123" s="1346" t="s">
        <v>3567</v>
      </c>
      <c r="I123" s="1348"/>
      <c r="J123" s="904" t="s">
        <v>3711</v>
      </c>
      <c r="K123" s="1254"/>
      <c r="L123" s="1272">
        <v>45</v>
      </c>
      <c r="M123" s="1272">
        <v>7</v>
      </c>
      <c r="N123" s="1272">
        <v>2011</v>
      </c>
      <c r="O123" s="913"/>
      <c r="P123" s="913"/>
      <c r="Q123" s="913"/>
    </row>
    <row r="124" spans="1:18" x14ac:dyDescent="0.25">
      <c r="A124" s="900"/>
      <c r="B124" s="900"/>
      <c r="C124" s="1487"/>
      <c r="D124" s="1488"/>
      <c r="E124" s="1211"/>
      <c r="F124" s="1346"/>
      <c r="G124" s="1348"/>
      <c r="H124" s="1346"/>
      <c r="I124" s="1348"/>
      <c r="J124" s="904"/>
      <c r="K124" s="900"/>
      <c r="L124" s="900"/>
      <c r="M124" s="904"/>
      <c r="N124" s="900"/>
      <c r="O124" s="913"/>
      <c r="P124" s="913"/>
      <c r="Q124" s="913"/>
    </row>
    <row r="125" spans="1:18" x14ac:dyDescent="0.25">
      <c r="A125" s="900"/>
      <c r="B125" s="900"/>
      <c r="C125" s="1380"/>
      <c r="D125" s="1380"/>
      <c r="E125" s="1211"/>
      <c r="F125" s="1346"/>
      <c r="G125" s="1348"/>
      <c r="H125" s="1346"/>
      <c r="I125" s="1348"/>
      <c r="J125" s="904"/>
      <c r="K125" s="900"/>
      <c r="L125" s="900"/>
      <c r="M125" s="904"/>
      <c r="N125" s="900"/>
      <c r="O125" s="913"/>
      <c r="P125" s="913"/>
      <c r="Q125" s="913"/>
    </row>
    <row r="126" spans="1:18" x14ac:dyDescent="0.25">
      <c r="A126" s="900"/>
      <c r="B126" s="900"/>
      <c r="C126" s="1380"/>
      <c r="D126" s="1380"/>
      <c r="E126" s="1211"/>
      <c r="F126" s="1346"/>
      <c r="G126" s="1348"/>
      <c r="H126" s="1346"/>
      <c r="I126" s="1348"/>
      <c r="J126" s="904"/>
      <c r="K126" s="900"/>
      <c r="L126" s="900"/>
      <c r="M126" s="904"/>
      <c r="N126" s="900"/>
      <c r="O126" s="913"/>
      <c r="P126" s="913"/>
      <c r="Q126" s="913"/>
    </row>
    <row r="127" spans="1:18" x14ac:dyDescent="0.25">
      <c r="A127" s="900"/>
      <c r="B127" s="900"/>
      <c r="C127" s="1380"/>
      <c r="D127" s="1380"/>
      <c r="E127" s="1211"/>
      <c r="F127" s="1346"/>
      <c r="G127" s="1348"/>
      <c r="H127" s="1346"/>
      <c r="I127" s="1348"/>
      <c r="J127" s="904"/>
      <c r="K127" s="900"/>
      <c r="L127" s="900"/>
      <c r="M127" s="904"/>
      <c r="N127" s="900"/>
      <c r="O127" s="913"/>
      <c r="P127" s="913"/>
      <c r="Q127" s="913"/>
    </row>
    <row r="128" spans="1:18" x14ac:dyDescent="0.25">
      <c r="A128" s="900"/>
      <c r="B128" s="900"/>
      <c r="C128" s="1380"/>
      <c r="D128" s="1380"/>
      <c r="E128" s="1211"/>
      <c r="F128" s="1346"/>
      <c r="G128" s="1348"/>
      <c r="H128" s="1346"/>
      <c r="I128" s="1348"/>
      <c r="J128" s="904"/>
      <c r="K128" s="900"/>
      <c r="L128" s="900"/>
      <c r="M128" s="904"/>
      <c r="N128" s="900"/>
      <c r="O128" s="913"/>
      <c r="P128" s="913"/>
      <c r="Q128" s="913"/>
    </row>
    <row r="129" spans="1:18" x14ac:dyDescent="0.25">
      <c r="A129" s="900"/>
      <c r="B129" s="900"/>
      <c r="C129" s="1380"/>
      <c r="D129" s="1380"/>
      <c r="E129" s="1211"/>
      <c r="F129" s="1346"/>
      <c r="G129" s="1348"/>
      <c r="H129" s="1346"/>
      <c r="I129" s="1348"/>
      <c r="J129" s="904"/>
      <c r="K129" s="900"/>
      <c r="L129" s="900"/>
      <c r="M129" s="904"/>
      <c r="N129" s="900"/>
      <c r="O129" s="913"/>
      <c r="P129" s="913"/>
      <c r="Q129" s="913"/>
    </row>
    <row r="130" spans="1:18" x14ac:dyDescent="0.25">
      <c r="A130" s="900"/>
      <c r="B130" s="900"/>
      <c r="C130" s="1380"/>
      <c r="D130" s="1380"/>
      <c r="E130" s="1211"/>
      <c r="F130" s="1346"/>
      <c r="G130" s="1348"/>
      <c r="H130" s="1346"/>
      <c r="I130" s="1348"/>
      <c r="J130" s="904"/>
      <c r="K130" s="900"/>
      <c r="L130" s="900"/>
      <c r="M130" s="904"/>
      <c r="N130" s="900"/>
      <c r="O130" s="913"/>
      <c r="P130" s="913"/>
      <c r="Q130" s="913"/>
    </row>
    <row r="131" spans="1:18" x14ac:dyDescent="0.25">
      <c r="A131" s="900"/>
      <c r="B131" s="900"/>
      <c r="C131" s="1380"/>
      <c r="D131" s="1380"/>
      <c r="E131" s="1211"/>
      <c r="F131" s="1346"/>
      <c r="G131" s="1348"/>
      <c r="H131" s="1346"/>
      <c r="I131" s="1348"/>
      <c r="J131" s="904"/>
      <c r="K131" s="900"/>
      <c r="L131" s="900"/>
      <c r="M131" s="904"/>
      <c r="N131" s="900"/>
      <c r="O131" s="913"/>
      <c r="P131" s="913"/>
      <c r="Q131" s="913"/>
    </row>
    <row r="132" spans="1:18" x14ac:dyDescent="0.25">
      <c r="A132" s="900"/>
      <c r="B132" s="900"/>
      <c r="C132" s="1380"/>
      <c r="D132" s="1380"/>
      <c r="E132" s="1211"/>
      <c r="F132" s="1346"/>
      <c r="G132" s="1348"/>
      <c r="H132" s="1346"/>
      <c r="I132" s="1348"/>
      <c r="J132" s="904"/>
      <c r="K132" s="900"/>
      <c r="L132" s="900"/>
      <c r="M132" s="904"/>
      <c r="N132" s="900"/>
      <c r="O132" s="913"/>
      <c r="P132" s="913"/>
      <c r="Q132" s="913"/>
    </row>
    <row r="133" spans="1:18" x14ac:dyDescent="0.25">
      <c r="A133" s="981" t="s">
        <v>242</v>
      </c>
      <c r="B133" s="912"/>
      <c r="C133" s="912"/>
      <c r="D133" s="912"/>
      <c r="E133" s="981"/>
      <c r="F133" s="981"/>
      <c r="G133" s="981"/>
      <c r="H133" s="981"/>
      <c r="I133" s="981"/>
      <c r="J133" s="981"/>
      <c r="K133" s="981"/>
      <c r="L133" s="912"/>
      <c r="M133" s="912"/>
      <c r="N133" s="912"/>
      <c r="O133" s="913"/>
      <c r="P133" s="913"/>
      <c r="Q133" s="913"/>
    </row>
    <row r="134" spans="1:18" x14ac:dyDescent="0.25">
      <c r="A134" s="1379" t="s">
        <v>8197</v>
      </c>
      <c r="B134" s="1379"/>
      <c r="C134" s="1379"/>
      <c r="D134" s="1379"/>
      <c r="E134" s="1379"/>
      <c r="F134" s="1379"/>
      <c r="G134" s="1379"/>
      <c r="H134" s="1379"/>
      <c r="I134" s="1379"/>
      <c r="J134" s="1379"/>
      <c r="K134" s="1379"/>
      <c r="L134" s="1379"/>
      <c r="M134" s="1379"/>
      <c r="N134" s="1379"/>
      <c r="O134" s="1379"/>
      <c r="P134" s="1379"/>
      <c r="Q134" s="993"/>
    </row>
    <row r="135" spans="1:18" x14ac:dyDescent="0.25">
      <c r="A135" s="1379"/>
      <c r="B135" s="1379"/>
      <c r="C135" s="1379"/>
      <c r="D135" s="1379"/>
      <c r="E135" s="1379"/>
      <c r="F135" s="1379"/>
      <c r="G135" s="1379"/>
      <c r="H135" s="1379"/>
      <c r="I135" s="1379"/>
      <c r="J135" s="1379"/>
      <c r="K135" s="1379"/>
      <c r="L135" s="1379"/>
      <c r="M135" s="1379"/>
      <c r="N135" s="1379"/>
      <c r="O135" s="1379"/>
      <c r="P135" s="1379"/>
      <c r="Q135" s="993"/>
    </row>
    <row r="136" spans="1:18" ht="5.0999999999999996" customHeight="1" x14ac:dyDescent="0.25">
      <c r="A136" s="33"/>
      <c r="B136" s="33"/>
      <c r="C136" s="33"/>
      <c r="D136" s="33"/>
      <c r="E136" s="33"/>
      <c r="F136" s="33"/>
      <c r="G136" s="33"/>
      <c r="H136" s="33"/>
      <c r="I136" s="33"/>
      <c r="J136" s="33"/>
      <c r="K136" s="33"/>
      <c r="L136" s="33"/>
      <c r="M136" s="33"/>
      <c r="N136" s="33"/>
      <c r="O136" s="910"/>
      <c r="P136" s="910"/>
      <c r="Q136" s="910"/>
    </row>
    <row r="137" spans="1:18" ht="15" customHeight="1" x14ac:dyDescent="0.25">
      <c r="A137" s="1477" t="s">
        <v>258</v>
      </c>
      <c r="B137" s="1477"/>
      <c r="C137" s="1477"/>
      <c r="D137" s="1477"/>
      <c r="E137" s="1477"/>
      <c r="F137" s="1477"/>
      <c r="G137" s="1477"/>
      <c r="H137" s="1477"/>
      <c r="I137" s="1477"/>
      <c r="J137" s="1477"/>
      <c r="K137" s="1477"/>
      <c r="L137" s="1477"/>
      <c r="M137" s="1477"/>
      <c r="N137" s="1477"/>
      <c r="O137" s="1477"/>
      <c r="P137" s="1477"/>
      <c r="Q137" s="1477"/>
    </row>
    <row r="138" spans="1:18" ht="15" customHeight="1" x14ac:dyDescent="0.25">
      <c r="A138" s="1491" t="s">
        <v>7917</v>
      </c>
      <c r="B138" s="1491"/>
      <c r="C138" s="1491"/>
      <c r="D138" s="1491"/>
      <c r="E138" s="1491"/>
      <c r="F138" s="1491"/>
      <c r="G138" s="1491"/>
      <c r="H138" s="1253" t="s">
        <v>8052</v>
      </c>
      <c r="I138" s="1006" t="s">
        <v>260</v>
      </c>
      <c r="J138" s="912"/>
      <c r="K138" s="912"/>
      <c r="L138" s="912"/>
      <c r="M138" s="912"/>
      <c r="N138" s="997"/>
      <c r="O138" s="1007"/>
      <c r="P138" s="913"/>
      <c r="Q138" s="913"/>
      <c r="R138" s="345">
        <f>IF(H138="Ya",1,0)</f>
        <v>1</v>
      </c>
    </row>
    <row r="139" spans="1:18" ht="15" customHeight="1" thickBot="1" x14ac:dyDescent="0.3">
      <c r="A139" s="1391" t="s">
        <v>7921</v>
      </c>
      <c r="B139" s="1391"/>
      <c r="C139" s="1391"/>
      <c r="D139" s="1391"/>
      <c r="E139" s="1391"/>
      <c r="F139" s="1391"/>
      <c r="G139" s="1391"/>
      <c r="H139" s="1253" t="s">
        <v>8052</v>
      </c>
      <c r="I139" s="912"/>
      <c r="J139" s="912"/>
      <c r="K139" s="912"/>
      <c r="L139" s="912"/>
      <c r="M139" s="912"/>
      <c r="N139" s="997"/>
      <c r="O139" s="1007"/>
      <c r="P139" s="913"/>
      <c r="Q139" s="913"/>
      <c r="R139" s="345">
        <f>IF(H139="Ya",1,0)</f>
        <v>1</v>
      </c>
    </row>
    <row r="140" spans="1:18" ht="27" customHeight="1" x14ac:dyDescent="0.25">
      <c r="A140" s="1494" t="s">
        <v>7918</v>
      </c>
      <c r="B140" s="1494"/>
      <c r="C140" s="1494"/>
      <c r="D140" s="1494"/>
      <c r="E140" s="1494"/>
      <c r="F140" s="1494"/>
      <c r="G140" s="1494"/>
      <c r="H140" s="1253" t="s">
        <v>8052</v>
      </c>
      <c r="I140" s="1006"/>
      <c r="J140" s="912"/>
      <c r="K140" s="912"/>
      <c r="L140" s="913"/>
      <c r="M140" s="913"/>
      <c r="N140" s="1496" t="str">
        <f>IF(COUNTA(H138:H142)=5,IF(SUM(R138:R142)=5,"Lanjutkan ke proses selanjutnya","Stop"),"")</f>
        <v>Lanjutkan ke proses selanjutnya</v>
      </c>
      <c r="O140" s="1497"/>
      <c r="P140" s="1498"/>
      <c r="Q140" s="913"/>
      <c r="R140" s="345">
        <f>IF(H140="Ya",1,0)</f>
        <v>1</v>
      </c>
    </row>
    <row r="141" spans="1:18" ht="15" customHeight="1" thickBot="1" x14ac:dyDescent="0.3">
      <c r="A141" s="1391" t="s">
        <v>259</v>
      </c>
      <c r="B141" s="1391"/>
      <c r="C141" s="1391"/>
      <c r="D141" s="1391"/>
      <c r="E141" s="1391"/>
      <c r="F141" s="1391"/>
      <c r="G141" s="1391"/>
      <c r="H141" s="1253" t="s">
        <v>8052</v>
      </c>
      <c r="I141" s="1006"/>
      <c r="J141" s="912"/>
      <c r="K141" s="912"/>
      <c r="L141" s="913"/>
      <c r="M141" s="913"/>
      <c r="N141" s="1499"/>
      <c r="O141" s="1500"/>
      <c r="P141" s="1501"/>
      <c r="Q141" s="913"/>
      <c r="R141" s="345">
        <f>IF(H141="Ya",1,0)</f>
        <v>1</v>
      </c>
    </row>
    <row r="142" spans="1:18" ht="15" customHeight="1" x14ac:dyDescent="0.25">
      <c r="A142" s="1392" t="s">
        <v>7922</v>
      </c>
      <c r="B142" s="1392"/>
      <c r="C142" s="1392"/>
      <c r="D142" s="1392"/>
      <c r="E142" s="1392"/>
      <c r="F142" s="1392"/>
      <c r="G142" s="1392"/>
      <c r="H142" s="1253" t="s">
        <v>8052</v>
      </c>
      <c r="I142" s="1006" t="s">
        <v>261</v>
      </c>
      <c r="J142" s="912"/>
      <c r="K142" s="912"/>
      <c r="L142" s="1008"/>
      <c r="M142" s="1008"/>
      <c r="N142" s="997"/>
      <c r="O142" s="1007"/>
      <c r="P142" s="913"/>
      <c r="Q142" s="913"/>
      <c r="R142" s="345">
        <f>IF(H142="Ya",1,0)</f>
        <v>1</v>
      </c>
    </row>
    <row r="143" spans="1:18" ht="12.75" customHeight="1" x14ac:dyDescent="0.25">
      <c r="A143" s="1088" t="s">
        <v>42</v>
      </c>
      <c r="B143" s="1009"/>
      <c r="C143" s="1009"/>
      <c r="D143" s="1009"/>
      <c r="E143" s="1009"/>
      <c r="F143" s="912"/>
      <c r="G143" s="912"/>
      <c r="H143" s="912"/>
      <c r="I143" s="912"/>
      <c r="J143" s="912"/>
      <c r="K143" s="912"/>
      <c r="L143" s="912"/>
      <c r="M143" s="912"/>
      <c r="N143" s="997"/>
      <c r="O143" s="1007"/>
      <c r="P143" s="913"/>
      <c r="Q143" s="913"/>
    </row>
    <row r="144" spans="1:18" x14ac:dyDescent="0.25">
      <c r="A144" s="1393" t="s">
        <v>7372</v>
      </c>
      <c r="B144" s="1393"/>
      <c r="C144" s="1393"/>
      <c r="D144" s="1393"/>
      <c r="E144" s="1393"/>
      <c r="F144" s="1393"/>
      <c r="G144" s="1393"/>
      <c r="H144" s="1393"/>
      <c r="I144" s="1393"/>
      <c r="J144" s="1393"/>
      <c r="K144" s="1393"/>
      <c r="L144" s="1393"/>
      <c r="M144" s="1393"/>
      <c r="N144" s="1393"/>
      <c r="O144" s="1393"/>
      <c r="P144" s="1393"/>
      <c r="Q144" s="1010"/>
    </row>
    <row r="145" spans="1:32" x14ac:dyDescent="0.25">
      <c r="A145" s="1394"/>
      <c r="B145" s="1394"/>
      <c r="C145" s="1394"/>
      <c r="D145" s="1394"/>
      <c r="E145" s="1394"/>
      <c r="F145" s="1394"/>
      <c r="G145" s="1394"/>
      <c r="H145" s="1394"/>
      <c r="I145" s="1394"/>
      <c r="J145" s="1394"/>
      <c r="K145" s="1394"/>
      <c r="L145" s="1394"/>
      <c r="M145" s="1394"/>
      <c r="N145" s="1394"/>
      <c r="O145" s="1394"/>
      <c r="P145" s="1394"/>
      <c r="Q145" s="1010"/>
    </row>
    <row r="146" spans="1:32" x14ac:dyDescent="0.25">
      <c r="A146" s="1394"/>
      <c r="B146" s="1394"/>
      <c r="C146" s="1394"/>
      <c r="D146" s="1394"/>
      <c r="E146" s="1394"/>
      <c r="F146" s="1394"/>
      <c r="G146" s="1394"/>
      <c r="H146" s="1394"/>
      <c r="I146" s="1394"/>
      <c r="J146" s="1394"/>
      <c r="K146" s="1394"/>
      <c r="L146" s="1394"/>
      <c r="M146" s="1394"/>
      <c r="N146" s="1394"/>
      <c r="O146" s="1394"/>
      <c r="P146" s="1394"/>
      <c r="Q146" s="1010"/>
    </row>
    <row r="147" spans="1:32" x14ac:dyDescent="0.25">
      <c r="A147" s="1394"/>
      <c r="B147" s="1394"/>
      <c r="C147" s="1394"/>
      <c r="D147" s="1394"/>
      <c r="E147" s="1394"/>
      <c r="F147" s="1394"/>
      <c r="G147" s="1394"/>
      <c r="H147" s="1394"/>
      <c r="I147" s="1394"/>
      <c r="J147" s="1394"/>
      <c r="K147" s="1394"/>
      <c r="L147" s="1394"/>
      <c r="M147" s="1394"/>
      <c r="N147" s="1394"/>
      <c r="O147" s="1394"/>
      <c r="P147" s="1394"/>
      <c r="Q147" s="1010"/>
    </row>
    <row r="148" spans="1:32" ht="5.0999999999999996" customHeight="1" x14ac:dyDescent="0.25">
      <c r="A148" s="912"/>
      <c r="B148" s="912"/>
      <c r="C148" s="912"/>
      <c r="D148" s="912"/>
      <c r="E148" s="912"/>
      <c r="F148" s="912"/>
      <c r="G148" s="912"/>
      <c r="H148" s="912"/>
      <c r="I148" s="912"/>
      <c r="J148" s="912"/>
      <c r="K148" s="912"/>
      <c r="L148" s="912"/>
      <c r="M148" s="912"/>
      <c r="N148" s="912"/>
      <c r="O148" s="913"/>
      <c r="P148" s="913"/>
      <c r="Q148" s="913"/>
    </row>
    <row r="149" spans="1:32" ht="15.75" x14ac:dyDescent="0.25">
      <c r="A149" s="1337" t="s">
        <v>241</v>
      </c>
      <c r="B149" s="1337"/>
      <c r="C149" s="1337"/>
      <c r="D149" s="1337"/>
      <c r="E149" s="1337"/>
      <c r="F149" s="1337"/>
      <c r="G149" s="1337"/>
      <c r="H149" s="1337"/>
      <c r="I149" s="1337"/>
      <c r="J149" s="1337"/>
      <c r="K149" s="1337"/>
      <c r="L149" s="1337"/>
      <c r="M149" s="1337"/>
      <c r="N149" s="1337"/>
      <c r="O149" s="1337"/>
      <c r="P149" s="1337"/>
      <c r="Q149" s="1337"/>
    </row>
    <row r="150" spans="1:32" ht="5.0999999999999996" customHeight="1" x14ac:dyDescent="0.25">
      <c r="A150" s="912"/>
      <c r="B150" s="912"/>
      <c r="C150" s="912"/>
      <c r="D150" s="912"/>
      <c r="E150" s="912"/>
      <c r="F150" s="912"/>
      <c r="G150" s="912"/>
      <c r="H150" s="912"/>
      <c r="I150" s="912"/>
      <c r="J150" s="912"/>
      <c r="K150" s="912"/>
      <c r="L150" s="912"/>
      <c r="M150" s="912"/>
      <c r="N150" s="912"/>
      <c r="O150" s="912"/>
      <c r="P150" s="912"/>
      <c r="Q150" s="912"/>
    </row>
    <row r="151" spans="1:32" ht="12" customHeight="1" x14ac:dyDescent="0.2">
      <c r="A151" s="912"/>
      <c r="B151" s="912"/>
      <c r="C151" s="912"/>
      <c r="D151" s="912"/>
      <c r="E151" s="912"/>
      <c r="F151" s="912"/>
      <c r="G151" s="912"/>
      <c r="H151" s="983"/>
      <c r="I151" s="983"/>
      <c r="J151" s="912"/>
      <c r="K151" s="912"/>
      <c r="L151" s="912"/>
      <c r="M151" s="912"/>
      <c r="N151" s="912"/>
      <c r="O151" s="912"/>
      <c r="P151" s="1011" t="s">
        <v>29</v>
      </c>
      <c r="Q151" s="1012"/>
      <c r="U151" s="1376" t="s">
        <v>7771</v>
      </c>
      <c r="Y151" s="1376" t="s">
        <v>3202</v>
      </c>
      <c r="Z151" s="1376" t="s">
        <v>3203</v>
      </c>
    </row>
    <row r="152" spans="1:32" ht="15" customHeight="1" x14ac:dyDescent="0.25">
      <c r="A152" s="1386" t="s">
        <v>240</v>
      </c>
      <c r="B152" s="1386"/>
      <c r="C152" s="1384" t="s">
        <v>2402</v>
      </c>
      <c r="D152" s="1344" t="s">
        <v>231</v>
      </c>
      <c r="E152" s="1344" t="s">
        <v>3191</v>
      </c>
      <c r="F152" s="1344" t="s">
        <v>5</v>
      </c>
      <c r="G152" s="1344" t="s">
        <v>6</v>
      </c>
      <c r="H152" s="1344" t="s">
        <v>4319</v>
      </c>
      <c r="I152" s="1344" t="s">
        <v>4318</v>
      </c>
      <c r="J152" s="1344" t="s">
        <v>35</v>
      </c>
      <c r="K152" s="1344" t="s">
        <v>254</v>
      </c>
      <c r="L152" s="1344" t="s">
        <v>490</v>
      </c>
      <c r="M152" s="1381" t="s">
        <v>246</v>
      </c>
      <c r="N152" s="1382"/>
      <c r="O152" s="1383"/>
      <c r="P152" s="1344" t="s">
        <v>4239</v>
      </c>
      <c r="Q152" s="1013"/>
      <c r="U152" s="1376"/>
      <c r="Y152" s="1376"/>
      <c r="Z152" s="1376"/>
    </row>
    <row r="153" spans="1:32" ht="65.25" customHeight="1" x14ac:dyDescent="0.25">
      <c r="A153" s="1386"/>
      <c r="B153" s="1386"/>
      <c r="C153" s="1385"/>
      <c r="D153" s="1344"/>
      <c r="E153" s="1344"/>
      <c r="F153" s="1344"/>
      <c r="G153" s="1344"/>
      <c r="H153" s="1344"/>
      <c r="I153" s="1344"/>
      <c r="J153" s="1344"/>
      <c r="K153" s="1344"/>
      <c r="L153" s="1344"/>
      <c r="M153" s="1014" t="s">
        <v>7944</v>
      </c>
      <c r="N153" s="1014" t="s">
        <v>7945</v>
      </c>
      <c r="O153" s="1014" t="s">
        <v>7971</v>
      </c>
      <c r="P153" s="1344"/>
      <c r="Q153" s="1013"/>
      <c r="R153" s="345" t="s">
        <v>547</v>
      </c>
      <c r="S153" s="921" t="s">
        <v>7770</v>
      </c>
      <c r="T153" s="345" t="s">
        <v>548</v>
      </c>
      <c r="U153" s="1376"/>
      <c r="W153" s="345" t="s">
        <v>2895</v>
      </c>
      <c r="X153" s="345" t="s">
        <v>7766</v>
      </c>
      <c r="Y153" s="1376"/>
      <c r="Z153" s="1376"/>
      <c r="AA153" s="384" t="s">
        <v>4240</v>
      </c>
      <c r="AB153" s="384" t="s">
        <v>8038</v>
      </c>
      <c r="AC153" s="384" t="s">
        <v>7824</v>
      </c>
      <c r="AD153" s="384" t="s">
        <v>8039</v>
      </c>
      <c r="AE153" s="384" t="s">
        <v>8040</v>
      </c>
      <c r="AF153" s="384" t="s">
        <v>8041</v>
      </c>
    </row>
    <row r="154" spans="1:32" ht="25.5" x14ac:dyDescent="0.25">
      <c r="A154" s="1201" t="s">
        <v>8099</v>
      </c>
      <c r="B154" s="1202"/>
      <c r="C154" s="1262" t="s">
        <v>8100</v>
      </c>
      <c r="D154" s="1264" t="s">
        <v>7964</v>
      </c>
      <c r="E154" s="1248" t="s">
        <v>8053</v>
      </c>
      <c r="F154" s="1036">
        <v>49.116999999999997</v>
      </c>
      <c r="G154" s="1036">
        <f>F154</f>
        <v>49.116999999999997</v>
      </c>
      <c r="H154" s="1035">
        <v>42965</v>
      </c>
      <c r="I154" s="1302" t="s">
        <v>8192</v>
      </c>
      <c r="J154" s="1276" t="s">
        <v>8101</v>
      </c>
      <c r="K154" s="1036">
        <v>136</v>
      </c>
      <c r="L154" s="950">
        <v>2</v>
      </c>
      <c r="M154" s="1203" t="s">
        <v>249</v>
      </c>
      <c r="N154" s="1203" t="s">
        <v>249</v>
      </c>
      <c r="O154" s="1203" t="s">
        <v>249</v>
      </c>
      <c r="P154" s="1037">
        <f t="shared" ref="P154:P168" si="16">IF(M154="1 - Lancar",0,"")</f>
        <v>0</v>
      </c>
      <c r="Q154" s="1089" t="str">
        <f>TRIM(A154&amp;F154)</f>
        <v>Permata49.117</v>
      </c>
      <c r="R154" s="942">
        <f>IF(D154="Modal Kerja",L154,0)</f>
        <v>0</v>
      </c>
      <c r="S154" s="946">
        <f>IF(OR(D154=$A$170,D154=$A$171),L154,0)</f>
        <v>0</v>
      </c>
      <c r="T154" s="942">
        <f>IF(R154&gt;0,1,0)</f>
        <v>0</v>
      </c>
      <c r="U154" s="345">
        <f>IF(S154&gt;0,1,0)</f>
        <v>0</v>
      </c>
      <c r="W154" s="951">
        <f t="shared" ref="W154:W159" si="17">L154</f>
        <v>2</v>
      </c>
      <c r="X154" s="952">
        <f>IF(SUM(W154)&lt;&gt;0,1,0)</f>
        <v>1</v>
      </c>
      <c r="Y154" s="952" t="str">
        <f>IF(E154="Ya",F154,"")</f>
        <v/>
      </c>
      <c r="Z154" s="952" t="str">
        <f t="shared" ref="Z154:Z168" si="18">IF(AND(E154="Ya",OR(D154="Investasi",C154="PAB",C154="KAB")),F154/L154,"")</f>
        <v/>
      </c>
      <c r="AA154" s="951" t="str">
        <f>IF(AND(E154="Tidak",D154=$A$170),F154,"")</f>
        <v/>
      </c>
      <c r="AB154" s="952">
        <f>IF(OR(D154="Konsumsi",D154="Kartu Kredit",D154="Lainnya"),F154,"")</f>
        <v>49.116999999999997</v>
      </c>
      <c r="AC154" s="1226">
        <f>IF(E154="Ya",1,0)</f>
        <v>0</v>
      </c>
      <c r="AD154" s="1221">
        <f>IF(OR(C154="KTA",D154="Kartu Kredit"),IF(RAC!$D$30&gt;=30%,P154,0),P154)</f>
        <v>0</v>
      </c>
      <c r="AE154" s="1224">
        <f>IF(OR(C154="KTA",D154="Kartu Kredit"),F154,0)</f>
        <v>0</v>
      </c>
      <c r="AF154" s="1224">
        <f>IF(OR(C154="KTA",D154="Kartu Kredit"),G154,0)</f>
        <v>0</v>
      </c>
    </row>
    <row r="155" spans="1:32" ht="25.5" x14ac:dyDescent="0.25">
      <c r="A155" s="1201" t="s">
        <v>8099</v>
      </c>
      <c r="B155" s="1202"/>
      <c r="C155" s="1262" t="s">
        <v>8100</v>
      </c>
      <c r="D155" s="1264" t="s">
        <v>7964</v>
      </c>
      <c r="E155" s="1248" t="s">
        <v>8053</v>
      </c>
      <c r="F155" s="1298">
        <v>94.872</v>
      </c>
      <c r="G155" s="1298">
        <f>F155</f>
        <v>94.872</v>
      </c>
      <c r="H155" s="1035">
        <v>42965</v>
      </c>
      <c r="I155" s="1302" t="s">
        <v>8192</v>
      </c>
      <c r="J155" s="1279" t="s">
        <v>8101</v>
      </c>
      <c r="K155" s="1298">
        <v>240</v>
      </c>
      <c r="L155" s="950">
        <v>2</v>
      </c>
      <c r="M155" s="1203" t="s">
        <v>249</v>
      </c>
      <c r="N155" s="1203" t="s">
        <v>249</v>
      </c>
      <c r="O155" s="1203" t="s">
        <v>249</v>
      </c>
      <c r="P155" s="1037">
        <f t="shared" si="16"/>
        <v>0</v>
      </c>
      <c r="Q155" s="1089" t="str">
        <f t="shared" ref="Q155:Q168" si="19">TRIM(A155&amp;F155)</f>
        <v>Permata94.872</v>
      </c>
      <c r="R155" s="942">
        <f t="shared" ref="R155:R168" si="20">IF(D155="Modal Kerja",L155,0)</f>
        <v>0</v>
      </c>
      <c r="S155" s="946">
        <f t="shared" ref="S155:S168" si="21">IF(OR(D155=$A$170,D155=$A$171),L155,0)</f>
        <v>0</v>
      </c>
      <c r="T155" s="942">
        <f t="shared" ref="T155:T168" si="22">IF(R155&gt;0,1,0)</f>
        <v>0</v>
      </c>
      <c r="U155" s="345">
        <f t="shared" ref="U155:U168" si="23">IF(S155&gt;0,1,0)</f>
        <v>0</v>
      </c>
      <c r="W155" s="954">
        <f t="shared" si="17"/>
        <v>2</v>
      </c>
      <c r="X155" s="955">
        <f t="shared" ref="X155:X168" si="24">IF(SUM(W155)&lt;&gt;0,1,0)</f>
        <v>1</v>
      </c>
      <c r="Y155" s="955" t="str">
        <f t="shared" ref="Y155:Y168" si="25">IF(E155="Ya",F155,"")</f>
        <v/>
      </c>
      <c r="Z155" s="955" t="str">
        <f t="shared" si="18"/>
        <v/>
      </c>
      <c r="AA155" s="954" t="str">
        <f t="shared" ref="AA155:AA167" si="26">IF(AND(E155="Tidak",D155=$A$170),F155,"")</f>
        <v/>
      </c>
      <c r="AB155" s="955">
        <f t="shared" ref="AB155:AB168" si="27">IF(OR(D155="Konsumsi",D155="Kartu Kredit",D155="Lainnya"),F155,"")</f>
        <v>94.872</v>
      </c>
      <c r="AC155" s="935">
        <f t="shared" ref="AC155:AC168" si="28">IF(E155="Ya",1,0)</f>
        <v>0</v>
      </c>
      <c r="AD155" s="1222">
        <f>IF(OR(C155="KTA",D155="Kartu Kredit"),IF(RAC!$D$30&gt;=30%,P155,0),P155)</f>
        <v>0</v>
      </c>
      <c r="AE155" s="1225">
        <f t="shared" ref="AE155:AE168" si="29">IF(OR(C155="KTA",D155="Kartu Kredit"),F155,0)</f>
        <v>0</v>
      </c>
      <c r="AF155" s="1225">
        <f t="shared" ref="AF155:AF168" si="30">IF(OR(C155="KTA",D155="Kartu Kredit"),G155,0)</f>
        <v>0</v>
      </c>
    </row>
    <row r="156" spans="1:32" ht="25.5" x14ac:dyDescent="0.25">
      <c r="A156" s="1201" t="s">
        <v>8116</v>
      </c>
      <c r="B156" s="1202"/>
      <c r="C156" s="1262" t="s">
        <v>8117</v>
      </c>
      <c r="D156" s="1248" t="s">
        <v>7964</v>
      </c>
      <c r="E156" s="1264" t="s">
        <v>8052</v>
      </c>
      <c r="F156" s="1036">
        <v>375.93599999999998</v>
      </c>
      <c r="G156" s="1036">
        <f>F156</f>
        <v>375.93599999999998</v>
      </c>
      <c r="H156" s="1035">
        <v>40651</v>
      </c>
      <c r="I156" s="1302" t="s">
        <v>8193</v>
      </c>
      <c r="J156" s="1276" t="s">
        <v>8136</v>
      </c>
      <c r="K156" s="1036">
        <v>1067.4000000000001</v>
      </c>
      <c r="L156" s="950">
        <v>10</v>
      </c>
      <c r="M156" s="1203" t="s">
        <v>249</v>
      </c>
      <c r="N156" s="1203" t="s">
        <v>249</v>
      </c>
      <c r="O156" s="1203" t="s">
        <v>249</v>
      </c>
      <c r="P156" s="1037">
        <f t="shared" si="16"/>
        <v>0</v>
      </c>
      <c r="Q156" s="1089" t="str">
        <f t="shared" si="19"/>
        <v>Panin375.936</v>
      </c>
      <c r="R156" s="942">
        <f t="shared" si="20"/>
        <v>0</v>
      </c>
      <c r="S156" s="946">
        <f t="shared" si="21"/>
        <v>0</v>
      </c>
      <c r="T156" s="942">
        <f t="shared" si="22"/>
        <v>0</v>
      </c>
      <c r="U156" s="345">
        <f t="shared" si="23"/>
        <v>0</v>
      </c>
      <c r="W156" s="954">
        <f t="shared" si="17"/>
        <v>10</v>
      </c>
      <c r="X156" s="955">
        <f t="shared" si="24"/>
        <v>1</v>
      </c>
      <c r="Y156" s="955">
        <f t="shared" si="25"/>
        <v>375.93599999999998</v>
      </c>
      <c r="Z156" s="955" t="str">
        <f t="shared" si="18"/>
        <v/>
      </c>
      <c r="AA156" s="954" t="str">
        <f t="shared" si="26"/>
        <v/>
      </c>
      <c r="AB156" s="955">
        <f t="shared" si="27"/>
        <v>375.93599999999998</v>
      </c>
      <c r="AC156" s="935">
        <f t="shared" si="28"/>
        <v>1</v>
      </c>
      <c r="AD156" s="1222">
        <f>IF(OR(C156="KTA",D156="Kartu Kredit"),IF(RAC!$D$30&gt;=30%,P156,0),P156)</f>
        <v>0</v>
      </c>
      <c r="AE156" s="1225">
        <f t="shared" si="29"/>
        <v>0</v>
      </c>
      <c r="AF156" s="1225">
        <f t="shared" si="30"/>
        <v>0</v>
      </c>
    </row>
    <row r="157" spans="1:32" ht="51" x14ac:dyDescent="0.25">
      <c r="A157" s="1201" t="s">
        <v>8061</v>
      </c>
      <c r="B157" s="1202"/>
      <c r="C157" s="1277" t="s">
        <v>8100</v>
      </c>
      <c r="D157" s="1276" t="s">
        <v>7964</v>
      </c>
      <c r="E157" s="1248" t="s">
        <v>8053</v>
      </c>
      <c r="F157" s="1036">
        <v>70.036000000000001</v>
      </c>
      <c r="G157" s="1036">
        <f>F157</f>
        <v>70.036000000000001</v>
      </c>
      <c r="H157" s="1035">
        <v>42949</v>
      </c>
      <c r="I157" s="1302" t="s">
        <v>8194</v>
      </c>
      <c r="J157" s="1276" t="s">
        <v>8101</v>
      </c>
      <c r="K157" s="1036">
        <v>0</v>
      </c>
      <c r="L157" s="950">
        <v>2</v>
      </c>
      <c r="M157" s="1203" t="s">
        <v>249</v>
      </c>
      <c r="N157" s="1203" t="s">
        <v>249</v>
      </c>
      <c r="O157" s="1203" t="s">
        <v>249</v>
      </c>
      <c r="P157" s="1037">
        <f t="shared" si="16"/>
        <v>0</v>
      </c>
      <c r="Q157" s="1089" t="str">
        <f t="shared" si="19"/>
        <v>Danamon70.036</v>
      </c>
      <c r="R157" s="942">
        <f t="shared" si="20"/>
        <v>0</v>
      </c>
      <c r="S157" s="946">
        <f t="shared" si="21"/>
        <v>0</v>
      </c>
      <c r="T157" s="942">
        <f t="shared" si="22"/>
        <v>0</v>
      </c>
      <c r="U157" s="345">
        <f t="shared" si="23"/>
        <v>0</v>
      </c>
      <c r="W157" s="954">
        <f t="shared" si="17"/>
        <v>2</v>
      </c>
      <c r="X157" s="955">
        <f t="shared" si="24"/>
        <v>1</v>
      </c>
      <c r="Y157" s="955" t="str">
        <f t="shared" si="25"/>
        <v/>
      </c>
      <c r="Z157" s="955" t="str">
        <f t="shared" si="18"/>
        <v/>
      </c>
      <c r="AA157" s="954" t="str">
        <f t="shared" si="26"/>
        <v/>
      </c>
      <c r="AB157" s="955">
        <f t="shared" si="27"/>
        <v>70.036000000000001</v>
      </c>
      <c r="AC157" s="935">
        <f t="shared" si="28"/>
        <v>0</v>
      </c>
      <c r="AD157" s="1222">
        <f>IF(OR(C157="KTA",D157="Kartu Kredit"),IF(RAC!$D$30&gt;=30%,P157,0),P157)</f>
        <v>0</v>
      </c>
      <c r="AE157" s="1225">
        <f t="shared" si="29"/>
        <v>0</v>
      </c>
      <c r="AF157" s="1225">
        <f t="shared" si="30"/>
        <v>0</v>
      </c>
    </row>
    <row r="158" spans="1:32" ht="51" x14ac:dyDescent="0.25">
      <c r="A158" s="1201" t="s">
        <v>8061</v>
      </c>
      <c r="B158" s="1202"/>
      <c r="C158" s="1278" t="s">
        <v>8100</v>
      </c>
      <c r="D158" s="1276" t="s">
        <v>7964</v>
      </c>
      <c r="E158" s="1276" t="s">
        <v>8053</v>
      </c>
      <c r="F158" s="1036">
        <v>70.036000000000001</v>
      </c>
      <c r="G158" s="1036">
        <f>F158</f>
        <v>70.036000000000001</v>
      </c>
      <c r="H158" s="1035">
        <v>42949</v>
      </c>
      <c r="I158" s="1302" t="s">
        <v>8195</v>
      </c>
      <c r="J158" s="1279" t="s">
        <v>8101</v>
      </c>
      <c r="K158" s="1036">
        <v>0</v>
      </c>
      <c r="L158" s="950">
        <v>2</v>
      </c>
      <c r="M158" s="1203" t="s">
        <v>249</v>
      </c>
      <c r="N158" s="1203" t="s">
        <v>249</v>
      </c>
      <c r="O158" s="1203" t="s">
        <v>249</v>
      </c>
      <c r="P158" s="1037">
        <f t="shared" si="16"/>
        <v>0</v>
      </c>
      <c r="Q158" s="1089" t="str">
        <f t="shared" si="19"/>
        <v>Danamon70.036</v>
      </c>
      <c r="R158" s="942">
        <f t="shared" si="20"/>
        <v>0</v>
      </c>
      <c r="S158" s="946">
        <f t="shared" si="21"/>
        <v>0</v>
      </c>
      <c r="T158" s="942">
        <f t="shared" si="22"/>
        <v>0</v>
      </c>
      <c r="U158" s="345">
        <f t="shared" si="23"/>
        <v>0</v>
      </c>
      <c r="W158" s="954">
        <f t="shared" si="17"/>
        <v>2</v>
      </c>
      <c r="X158" s="955">
        <f t="shared" si="24"/>
        <v>1</v>
      </c>
      <c r="Y158" s="955" t="str">
        <f t="shared" si="25"/>
        <v/>
      </c>
      <c r="Z158" s="955" t="str">
        <f t="shared" si="18"/>
        <v/>
      </c>
      <c r="AA158" s="954" t="str">
        <f t="shared" si="26"/>
        <v/>
      </c>
      <c r="AB158" s="955">
        <f t="shared" si="27"/>
        <v>70.036000000000001</v>
      </c>
      <c r="AC158" s="935">
        <f t="shared" si="28"/>
        <v>0</v>
      </c>
      <c r="AD158" s="1222">
        <f>IF(OR(C158="KTA",D158="Kartu Kredit"),IF(RAC!$D$30&gt;=30%,P158,0),P158)</f>
        <v>0</v>
      </c>
      <c r="AE158" s="1225">
        <f t="shared" si="29"/>
        <v>0</v>
      </c>
      <c r="AF158" s="1225">
        <f t="shared" si="30"/>
        <v>0</v>
      </c>
    </row>
    <row r="159" spans="1:32" ht="25.5" x14ac:dyDescent="0.25">
      <c r="A159" s="1304" t="s">
        <v>8181</v>
      </c>
      <c r="B159" s="1202"/>
      <c r="C159" s="1278" t="s">
        <v>7963</v>
      </c>
      <c r="D159" s="1279" t="s">
        <v>136</v>
      </c>
      <c r="E159" s="1276" t="s">
        <v>8053</v>
      </c>
      <c r="F159" s="1036">
        <v>174.85499999999999</v>
      </c>
      <c r="G159" s="1036">
        <v>174.85499999999999</v>
      </c>
      <c r="H159" s="1035">
        <v>42584</v>
      </c>
      <c r="I159" s="1302" t="s">
        <v>8192</v>
      </c>
      <c r="J159" s="1279" t="s">
        <v>7372</v>
      </c>
      <c r="K159" s="1036">
        <v>0</v>
      </c>
      <c r="L159" s="950">
        <v>2</v>
      </c>
      <c r="M159" s="1203" t="s">
        <v>249</v>
      </c>
      <c r="N159" s="1203" t="s">
        <v>249</v>
      </c>
      <c r="O159" s="1203" t="s">
        <v>249</v>
      </c>
      <c r="P159" s="1037">
        <f t="shared" si="16"/>
        <v>0</v>
      </c>
      <c r="Q159" s="1089" t="str">
        <f t="shared" si="19"/>
        <v>Citibank174.855</v>
      </c>
      <c r="R159" s="942">
        <f t="shared" si="20"/>
        <v>0</v>
      </c>
      <c r="S159" s="946">
        <f t="shared" si="21"/>
        <v>0</v>
      </c>
      <c r="T159" s="942">
        <f t="shared" si="22"/>
        <v>0</v>
      </c>
      <c r="U159" s="345">
        <f t="shared" si="23"/>
        <v>0</v>
      </c>
      <c r="W159" s="954">
        <f t="shared" si="17"/>
        <v>2</v>
      </c>
      <c r="X159" s="955">
        <f t="shared" si="24"/>
        <v>1</v>
      </c>
      <c r="Y159" s="955" t="str">
        <f t="shared" si="25"/>
        <v/>
      </c>
      <c r="Z159" s="955" t="str">
        <f t="shared" si="18"/>
        <v/>
      </c>
      <c r="AA159" s="954" t="str">
        <f t="shared" si="26"/>
        <v/>
      </c>
      <c r="AB159" s="955">
        <f t="shared" si="27"/>
        <v>174.85499999999999</v>
      </c>
      <c r="AC159" s="935">
        <f t="shared" si="28"/>
        <v>0</v>
      </c>
      <c r="AD159" s="1222">
        <f>IF(OR(C159="KTA",D159="Kartu Kredit"),IF(RAC!$D$30&gt;=30%,P159,0),P159)</f>
        <v>0</v>
      </c>
      <c r="AE159" s="1225">
        <f t="shared" si="29"/>
        <v>0</v>
      </c>
      <c r="AF159" s="1225">
        <f t="shared" si="30"/>
        <v>0</v>
      </c>
    </row>
    <row r="160" spans="1:32" ht="25.5" x14ac:dyDescent="0.25">
      <c r="A160" s="1304" t="s">
        <v>8073</v>
      </c>
      <c r="B160" s="1202"/>
      <c r="C160" s="1278" t="s">
        <v>7963</v>
      </c>
      <c r="D160" s="1279" t="s">
        <v>136</v>
      </c>
      <c r="E160" s="1276" t="s">
        <v>8053</v>
      </c>
      <c r="F160" s="1036">
        <f>480.1-200</f>
        <v>280.10000000000002</v>
      </c>
      <c r="G160" s="1036">
        <f>295.818-174.855</f>
        <v>120.96299999999999</v>
      </c>
      <c r="H160" s="1035"/>
      <c r="I160" s="1302" t="s">
        <v>8192</v>
      </c>
      <c r="J160" s="1279" t="s">
        <v>7372</v>
      </c>
      <c r="K160" s="1036">
        <v>0</v>
      </c>
      <c r="L160" s="950"/>
      <c r="M160" s="1203" t="s">
        <v>249</v>
      </c>
      <c r="N160" s="1203" t="s">
        <v>249</v>
      </c>
      <c r="O160" s="1203" t="s">
        <v>249</v>
      </c>
      <c r="P160" s="1037">
        <f t="shared" si="16"/>
        <v>0</v>
      </c>
      <c r="Q160" s="1089" t="str">
        <f t="shared" si="19"/>
        <v>Bank2280.1</v>
      </c>
      <c r="R160" s="942">
        <f t="shared" si="20"/>
        <v>0</v>
      </c>
      <c r="S160" s="946">
        <f t="shared" si="21"/>
        <v>0</v>
      </c>
      <c r="T160" s="942">
        <f t="shared" si="22"/>
        <v>0</v>
      </c>
      <c r="U160" s="345">
        <f t="shared" si="23"/>
        <v>0</v>
      </c>
      <c r="W160" s="954">
        <f t="shared" ref="W160:W168" si="31">L160</f>
        <v>0</v>
      </c>
      <c r="X160" s="955">
        <f t="shared" si="24"/>
        <v>0</v>
      </c>
      <c r="Y160" s="955" t="str">
        <f t="shared" si="25"/>
        <v/>
      </c>
      <c r="Z160" s="955" t="str">
        <f t="shared" si="18"/>
        <v/>
      </c>
      <c r="AA160" s="954" t="str">
        <f t="shared" si="26"/>
        <v/>
      </c>
      <c r="AB160" s="955">
        <f t="shared" si="27"/>
        <v>280.10000000000002</v>
      </c>
      <c r="AC160" s="935">
        <f t="shared" si="28"/>
        <v>0</v>
      </c>
      <c r="AD160" s="1222">
        <f>IF(OR(C160="KTA",D160="Kartu Kredit"),IF(RAC!$D$30&gt;=30%,P160,0),P160)</f>
        <v>0</v>
      </c>
      <c r="AE160" s="1225">
        <f t="shared" si="29"/>
        <v>0</v>
      </c>
      <c r="AF160" s="1225">
        <f t="shared" si="30"/>
        <v>0</v>
      </c>
    </row>
    <row r="161" spans="1:32" ht="51" x14ac:dyDescent="0.25">
      <c r="A161" s="1304" t="s">
        <v>8073</v>
      </c>
      <c r="B161" s="1202"/>
      <c r="C161" s="1278" t="s">
        <v>7963</v>
      </c>
      <c r="D161" s="1279" t="s">
        <v>136</v>
      </c>
      <c r="E161" s="1279" t="s">
        <v>8053</v>
      </c>
      <c r="F161" s="1036">
        <v>865.03599999999994</v>
      </c>
      <c r="G161" s="1036">
        <v>3.1819999999999999</v>
      </c>
      <c r="H161" s="1035"/>
      <c r="I161" s="1302" t="s">
        <v>8196</v>
      </c>
      <c r="J161" s="1276" t="s">
        <v>7372</v>
      </c>
      <c r="K161" s="1036">
        <v>0</v>
      </c>
      <c r="L161" s="950"/>
      <c r="M161" s="1203" t="s">
        <v>249</v>
      </c>
      <c r="N161" s="1203" t="s">
        <v>249</v>
      </c>
      <c r="O161" s="1203" t="s">
        <v>249</v>
      </c>
      <c r="P161" s="1037">
        <f t="shared" si="16"/>
        <v>0</v>
      </c>
      <c r="Q161" s="1089" t="str">
        <f t="shared" si="19"/>
        <v>Bank2865.036</v>
      </c>
      <c r="R161" s="942">
        <f t="shared" si="20"/>
        <v>0</v>
      </c>
      <c r="S161" s="946">
        <f t="shared" si="21"/>
        <v>0</v>
      </c>
      <c r="T161" s="942">
        <f t="shared" si="22"/>
        <v>0</v>
      </c>
      <c r="U161" s="345">
        <f t="shared" si="23"/>
        <v>0</v>
      </c>
      <c r="W161" s="954">
        <f t="shared" si="31"/>
        <v>0</v>
      </c>
      <c r="X161" s="955">
        <f t="shared" si="24"/>
        <v>0</v>
      </c>
      <c r="Y161" s="955" t="str">
        <f t="shared" si="25"/>
        <v/>
      </c>
      <c r="Z161" s="955" t="str">
        <f t="shared" si="18"/>
        <v/>
      </c>
      <c r="AA161" s="954" t="str">
        <f t="shared" si="26"/>
        <v/>
      </c>
      <c r="AB161" s="955">
        <f t="shared" si="27"/>
        <v>865.03599999999994</v>
      </c>
      <c r="AC161" s="935">
        <f t="shared" si="28"/>
        <v>0</v>
      </c>
      <c r="AD161" s="1222">
        <f>IF(OR(C161="KTA",D161="Kartu Kredit"),IF(RAC!$D$30&gt;=30%,P161,0),P161)</f>
        <v>0</v>
      </c>
      <c r="AE161" s="1225">
        <f t="shared" si="29"/>
        <v>0</v>
      </c>
      <c r="AF161" s="1225">
        <f t="shared" si="30"/>
        <v>0</v>
      </c>
    </row>
    <row r="162" spans="1:32" x14ac:dyDescent="0.25">
      <c r="A162" s="1201"/>
      <c r="B162" s="1202"/>
      <c r="C162" s="1207"/>
      <c r="D162" s="1276"/>
      <c r="E162" s="1272"/>
      <c r="F162" s="1036"/>
      <c r="G162" s="1036"/>
      <c r="H162" s="1035"/>
      <c r="I162" s="1276"/>
      <c r="J162" s="1206"/>
      <c r="K162" s="1036"/>
      <c r="L162" s="950"/>
      <c r="M162" s="1203"/>
      <c r="N162" s="1203"/>
      <c r="O162" s="1203"/>
      <c r="P162" s="1037" t="str">
        <f t="shared" si="16"/>
        <v/>
      </c>
      <c r="Q162" s="1089" t="str">
        <f t="shared" si="19"/>
        <v/>
      </c>
      <c r="R162" s="942">
        <f t="shared" si="20"/>
        <v>0</v>
      </c>
      <c r="S162" s="946">
        <f t="shared" si="21"/>
        <v>0</v>
      </c>
      <c r="T162" s="942">
        <f t="shared" si="22"/>
        <v>0</v>
      </c>
      <c r="U162" s="345">
        <f t="shared" si="23"/>
        <v>0</v>
      </c>
      <c r="W162" s="954">
        <f t="shared" si="31"/>
        <v>0</v>
      </c>
      <c r="X162" s="955">
        <f t="shared" si="24"/>
        <v>0</v>
      </c>
      <c r="Y162" s="955" t="str">
        <f t="shared" si="25"/>
        <v/>
      </c>
      <c r="Z162" s="955" t="str">
        <f t="shared" si="18"/>
        <v/>
      </c>
      <c r="AA162" s="954" t="str">
        <f t="shared" si="26"/>
        <v/>
      </c>
      <c r="AB162" s="955" t="str">
        <f t="shared" si="27"/>
        <v/>
      </c>
      <c r="AC162" s="935">
        <f t="shared" si="28"/>
        <v>0</v>
      </c>
      <c r="AD162" s="1222" t="str">
        <f>IF(OR(C162="KTA",D162="Kartu Kredit"),IF(RAC!$D$30&gt;=30%,P162,0),P162)</f>
        <v/>
      </c>
      <c r="AE162" s="1225">
        <f t="shared" si="29"/>
        <v>0</v>
      </c>
      <c r="AF162" s="1225">
        <f t="shared" si="30"/>
        <v>0</v>
      </c>
    </row>
    <row r="163" spans="1:32" x14ac:dyDescent="0.25">
      <c r="A163" s="1201"/>
      <c r="B163" s="1202"/>
      <c r="C163" s="1207"/>
      <c r="D163" s="1206"/>
      <c r="E163" s="1272"/>
      <c r="F163" s="1036"/>
      <c r="G163" s="1036"/>
      <c r="H163" s="1035"/>
      <c r="I163" s="1272"/>
      <c r="J163" s="1206"/>
      <c r="K163" s="1036"/>
      <c r="L163" s="950"/>
      <c r="M163" s="1203"/>
      <c r="N163" s="1203"/>
      <c r="O163" s="1203"/>
      <c r="P163" s="1037" t="str">
        <f t="shared" si="16"/>
        <v/>
      </c>
      <c r="Q163" s="1089" t="str">
        <f t="shared" si="19"/>
        <v/>
      </c>
      <c r="R163" s="942">
        <f t="shared" si="20"/>
        <v>0</v>
      </c>
      <c r="S163" s="946">
        <f t="shared" si="21"/>
        <v>0</v>
      </c>
      <c r="T163" s="942">
        <f t="shared" si="22"/>
        <v>0</v>
      </c>
      <c r="U163" s="345">
        <f t="shared" si="23"/>
        <v>0</v>
      </c>
      <c r="W163" s="954">
        <f t="shared" si="31"/>
        <v>0</v>
      </c>
      <c r="X163" s="955">
        <f t="shared" si="24"/>
        <v>0</v>
      </c>
      <c r="Y163" s="955" t="str">
        <f t="shared" si="25"/>
        <v/>
      </c>
      <c r="Z163" s="955" t="str">
        <f t="shared" si="18"/>
        <v/>
      </c>
      <c r="AA163" s="954" t="str">
        <f t="shared" si="26"/>
        <v/>
      </c>
      <c r="AB163" s="955" t="str">
        <f t="shared" si="27"/>
        <v/>
      </c>
      <c r="AC163" s="935">
        <f t="shared" si="28"/>
        <v>0</v>
      </c>
      <c r="AD163" s="1222" t="str">
        <f>IF(OR(C163="KTA",D163="Kartu Kredit"),IF(RAC!$D$30&gt;=30%,P163,0),P163)</f>
        <v/>
      </c>
      <c r="AE163" s="1225">
        <f t="shared" si="29"/>
        <v>0</v>
      </c>
      <c r="AF163" s="1225">
        <f t="shared" si="30"/>
        <v>0</v>
      </c>
    </row>
    <row r="164" spans="1:32" x14ac:dyDescent="0.25">
      <c r="A164" s="1201"/>
      <c r="B164" s="1202"/>
      <c r="C164" s="1207"/>
      <c r="D164" s="1206"/>
      <c r="E164" s="1272"/>
      <c r="F164" s="1036"/>
      <c r="G164" s="1036"/>
      <c r="H164" s="1035"/>
      <c r="I164" s="1272"/>
      <c r="J164" s="1206"/>
      <c r="K164" s="1036"/>
      <c r="L164" s="950"/>
      <c r="M164" s="1203"/>
      <c r="N164" s="1203"/>
      <c r="O164" s="1203"/>
      <c r="P164" s="1037" t="str">
        <f t="shared" si="16"/>
        <v/>
      </c>
      <c r="Q164" s="1089" t="str">
        <f t="shared" si="19"/>
        <v/>
      </c>
      <c r="R164" s="942">
        <f t="shared" si="20"/>
        <v>0</v>
      </c>
      <c r="S164" s="946">
        <f t="shared" si="21"/>
        <v>0</v>
      </c>
      <c r="T164" s="942">
        <f t="shared" si="22"/>
        <v>0</v>
      </c>
      <c r="U164" s="345">
        <f t="shared" si="23"/>
        <v>0</v>
      </c>
      <c r="W164" s="954">
        <f t="shared" si="31"/>
        <v>0</v>
      </c>
      <c r="X164" s="955">
        <f t="shared" si="24"/>
        <v>0</v>
      </c>
      <c r="Y164" s="955" t="str">
        <f t="shared" si="25"/>
        <v/>
      </c>
      <c r="Z164" s="955" t="str">
        <f t="shared" si="18"/>
        <v/>
      </c>
      <c r="AA164" s="954" t="str">
        <f t="shared" si="26"/>
        <v/>
      </c>
      <c r="AB164" s="955" t="str">
        <f t="shared" si="27"/>
        <v/>
      </c>
      <c r="AC164" s="935">
        <f t="shared" si="28"/>
        <v>0</v>
      </c>
      <c r="AD164" s="1222" t="str">
        <f>IF(OR(C164="KTA",D164="Kartu Kredit"),IF(RAC!$D$30&gt;=30%,P164,0),P164)</f>
        <v/>
      </c>
      <c r="AE164" s="1225">
        <f t="shared" si="29"/>
        <v>0</v>
      </c>
      <c r="AF164" s="1225">
        <f t="shared" si="30"/>
        <v>0</v>
      </c>
    </row>
    <row r="165" spans="1:32" x14ac:dyDescent="0.25">
      <c r="A165" s="1201"/>
      <c r="B165" s="1202"/>
      <c r="C165" s="1207"/>
      <c r="D165" s="1206"/>
      <c r="E165" s="1272"/>
      <c r="F165" s="1036"/>
      <c r="G165" s="1036"/>
      <c r="H165" s="1035"/>
      <c r="I165" s="1272"/>
      <c r="J165" s="1206"/>
      <c r="K165" s="1036"/>
      <c r="L165" s="950"/>
      <c r="M165" s="1203"/>
      <c r="N165" s="1203"/>
      <c r="O165" s="1203"/>
      <c r="P165" s="1037" t="str">
        <f t="shared" si="16"/>
        <v/>
      </c>
      <c r="Q165" s="1089" t="str">
        <f t="shared" si="19"/>
        <v/>
      </c>
      <c r="R165" s="942">
        <f t="shared" si="20"/>
        <v>0</v>
      </c>
      <c r="S165" s="946">
        <f t="shared" si="21"/>
        <v>0</v>
      </c>
      <c r="T165" s="942">
        <f t="shared" si="22"/>
        <v>0</v>
      </c>
      <c r="U165" s="345">
        <f t="shared" si="23"/>
        <v>0</v>
      </c>
      <c r="W165" s="954">
        <f t="shared" si="31"/>
        <v>0</v>
      </c>
      <c r="X165" s="955">
        <f t="shared" si="24"/>
        <v>0</v>
      </c>
      <c r="Y165" s="955" t="str">
        <f t="shared" si="25"/>
        <v/>
      </c>
      <c r="Z165" s="955" t="str">
        <f t="shared" si="18"/>
        <v/>
      </c>
      <c r="AA165" s="954" t="str">
        <f t="shared" si="26"/>
        <v/>
      </c>
      <c r="AB165" s="955" t="str">
        <f t="shared" si="27"/>
        <v/>
      </c>
      <c r="AC165" s="935">
        <f t="shared" si="28"/>
        <v>0</v>
      </c>
      <c r="AD165" s="1222" t="str">
        <f>IF(OR(C165="KTA",D165="Kartu Kredit"),IF(RAC!$D$30&gt;=30%,P165,0),P165)</f>
        <v/>
      </c>
      <c r="AE165" s="1225">
        <f t="shared" si="29"/>
        <v>0</v>
      </c>
      <c r="AF165" s="1225">
        <f t="shared" si="30"/>
        <v>0</v>
      </c>
    </row>
    <row r="166" spans="1:32" x14ac:dyDescent="0.25">
      <c r="A166" s="1201"/>
      <c r="B166" s="1202"/>
      <c r="C166" s="1207"/>
      <c r="D166" s="1206"/>
      <c r="E166" s="1206"/>
      <c r="F166" s="1036"/>
      <c r="G166" s="1036"/>
      <c r="H166" s="1035"/>
      <c r="I166" s="1206"/>
      <c r="J166" s="1206"/>
      <c r="K166" s="1036"/>
      <c r="L166" s="950"/>
      <c r="M166" s="1203"/>
      <c r="N166" s="1203"/>
      <c r="O166" s="1203"/>
      <c r="P166" s="1037" t="str">
        <f t="shared" si="16"/>
        <v/>
      </c>
      <c r="Q166" s="1089" t="str">
        <f t="shared" si="19"/>
        <v/>
      </c>
      <c r="R166" s="942">
        <f t="shared" si="20"/>
        <v>0</v>
      </c>
      <c r="S166" s="946">
        <f t="shared" si="21"/>
        <v>0</v>
      </c>
      <c r="T166" s="942">
        <f t="shared" si="22"/>
        <v>0</v>
      </c>
      <c r="U166" s="345">
        <f t="shared" si="23"/>
        <v>0</v>
      </c>
      <c r="W166" s="954">
        <f t="shared" si="31"/>
        <v>0</v>
      </c>
      <c r="X166" s="955">
        <f t="shared" si="24"/>
        <v>0</v>
      </c>
      <c r="Y166" s="955" t="str">
        <f t="shared" si="25"/>
        <v/>
      </c>
      <c r="Z166" s="955" t="str">
        <f t="shared" si="18"/>
        <v/>
      </c>
      <c r="AA166" s="954" t="str">
        <f t="shared" si="26"/>
        <v/>
      </c>
      <c r="AB166" s="955" t="str">
        <f t="shared" si="27"/>
        <v/>
      </c>
      <c r="AC166" s="935">
        <f t="shared" si="28"/>
        <v>0</v>
      </c>
      <c r="AD166" s="1222" t="str">
        <f>IF(OR(C166="KTA",D166="Kartu Kredit"),IF(RAC!$D$30&gt;=30%,P166,0),P166)</f>
        <v/>
      </c>
      <c r="AE166" s="1225">
        <f t="shared" si="29"/>
        <v>0</v>
      </c>
      <c r="AF166" s="1225">
        <f t="shared" si="30"/>
        <v>0</v>
      </c>
    </row>
    <row r="167" spans="1:32" x14ac:dyDescent="0.25">
      <c r="A167" s="1201"/>
      <c r="B167" s="1202"/>
      <c r="C167" s="1207"/>
      <c r="D167" s="1206"/>
      <c r="E167" s="1206"/>
      <c r="F167" s="1036"/>
      <c r="G167" s="1036"/>
      <c r="H167" s="1035"/>
      <c r="I167" s="1276"/>
      <c r="J167" s="1276"/>
      <c r="K167" s="1036"/>
      <c r="L167" s="950"/>
      <c r="M167" s="1203"/>
      <c r="N167" s="1203"/>
      <c r="O167" s="1203"/>
      <c r="P167" s="1037" t="str">
        <f t="shared" si="16"/>
        <v/>
      </c>
      <c r="Q167" s="1089" t="str">
        <f t="shared" si="19"/>
        <v/>
      </c>
      <c r="R167" s="942">
        <f t="shared" si="20"/>
        <v>0</v>
      </c>
      <c r="S167" s="946">
        <f t="shared" si="21"/>
        <v>0</v>
      </c>
      <c r="T167" s="942">
        <f t="shared" si="22"/>
        <v>0</v>
      </c>
      <c r="U167" s="345">
        <f t="shared" si="23"/>
        <v>0</v>
      </c>
      <c r="W167" s="954">
        <f t="shared" si="31"/>
        <v>0</v>
      </c>
      <c r="X167" s="955">
        <f t="shared" si="24"/>
        <v>0</v>
      </c>
      <c r="Y167" s="955" t="str">
        <f t="shared" si="25"/>
        <v/>
      </c>
      <c r="Z167" s="955" t="str">
        <f t="shared" si="18"/>
        <v/>
      </c>
      <c r="AA167" s="954" t="str">
        <f t="shared" si="26"/>
        <v/>
      </c>
      <c r="AB167" s="955" t="str">
        <f t="shared" si="27"/>
        <v/>
      </c>
      <c r="AC167" s="935">
        <f t="shared" si="28"/>
        <v>0</v>
      </c>
      <c r="AD167" s="1222" t="str">
        <f>IF(OR(C167="KTA",D167="Kartu Kredit"),IF(RAC!$D$30&gt;=30%,P167,0),P167)</f>
        <v/>
      </c>
      <c r="AE167" s="1225">
        <f t="shared" si="29"/>
        <v>0</v>
      </c>
      <c r="AF167" s="1225">
        <f t="shared" si="30"/>
        <v>0</v>
      </c>
    </row>
    <row r="168" spans="1:32" x14ac:dyDescent="0.25">
      <c r="A168" s="1201"/>
      <c r="B168" s="1202"/>
      <c r="C168" s="1207"/>
      <c r="D168" s="1206"/>
      <c r="E168" s="1206"/>
      <c r="F168" s="1036"/>
      <c r="G168" s="1036"/>
      <c r="H168" s="1035"/>
      <c r="I168" s="1206"/>
      <c r="J168" s="1206"/>
      <c r="K168" s="1036"/>
      <c r="L168" s="950"/>
      <c r="M168" s="1203"/>
      <c r="N168" s="1203"/>
      <c r="O168" s="1203"/>
      <c r="P168" s="1037" t="str">
        <f t="shared" si="16"/>
        <v/>
      </c>
      <c r="Q168" s="1089" t="str">
        <f t="shared" si="19"/>
        <v/>
      </c>
      <c r="R168" s="942">
        <f t="shared" si="20"/>
        <v>0</v>
      </c>
      <c r="S168" s="946">
        <f t="shared" si="21"/>
        <v>0</v>
      </c>
      <c r="T168" s="942">
        <f t="shared" si="22"/>
        <v>0</v>
      </c>
      <c r="U168" s="345">
        <f t="shared" si="23"/>
        <v>0</v>
      </c>
      <c r="V168" s="345" t="s">
        <v>549</v>
      </c>
      <c r="W168" s="956">
        <f t="shared" si="31"/>
        <v>0</v>
      </c>
      <c r="X168" s="944">
        <f t="shared" si="24"/>
        <v>0</v>
      </c>
      <c r="Y168" s="955" t="str">
        <f t="shared" si="25"/>
        <v/>
      </c>
      <c r="Z168" s="955" t="str">
        <f t="shared" si="18"/>
        <v/>
      </c>
      <c r="AA168" s="954" t="str">
        <f>IF(AND(E168="Tidak",D168=$A$170),F168,"")</f>
        <v/>
      </c>
      <c r="AB168" s="944" t="str">
        <f t="shared" si="27"/>
        <v/>
      </c>
      <c r="AC168" s="935">
        <f t="shared" si="28"/>
        <v>0</v>
      </c>
      <c r="AD168" s="1223" t="str">
        <f>IF(OR(C168="KTA",D168="Kartu Kredit"),IF(RAC!$D$30&gt;=30%,P168,0),P168)</f>
        <v/>
      </c>
      <c r="AE168" s="1225">
        <f t="shared" si="29"/>
        <v>0</v>
      </c>
      <c r="AF168" s="1225">
        <f t="shared" si="30"/>
        <v>0</v>
      </c>
    </row>
    <row r="169" spans="1:32" x14ac:dyDescent="0.25">
      <c r="A169" s="1015" t="s">
        <v>544</v>
      </c>
      <c r="B169" s="1016"/>
      <c r="C169" s="1016"/>
      <c r="D169" s="1016"/>
      <c r="E169" s="1017"/>
      <c r="F169" s="1018">
        <f>SUM(F154:F168)</f>
        <v>1979.9880000000003</v>
      </c>
      <c r="G169" s="1018">
        <f>SUM(G154:G168)</f>
        <v>958.99700000000007</v>
      </c>
      <c r="H169" s="983"/>
      <c r="I169" s="983"/>
      <c r="J169" s="981"/>
      <c r="K169" s="1019"/>
      <c r="L169" s="981"/>
      <c r="M169" s="981"/>
      <c r="N169" s="981"/>
      <c r="O169" s="981"/>
      <c r="P169" s="981"/>
      <c r="Q169" s="981"/>
      <c r="R169" s="942">
        <f>SUM(R154:R168)</f>
        <v>0</v>
      </c>
      <c r="S169" s="942">
        <f>SUM(S154:S168)</f>
        <v>0</v>
      </c>
      <c r="T169" s="942">
        <f>SUM(T154:T168)</f>
        <v>0</v>
      </c>
      <c r="U169" s="942">
        <f>SUM(U154:U168)</f>
        <v>0</v>
      </c>
      <c r="V169" s="957" t="str">
        <f>IF(ISERROR(SUM(R109,R169)/SUM(T169,T108)),"",SUM(R109,R169)/SUM(T169,T108))</f>
        <v/>
      </c>
      <c r="W169" s="958">
        <f t="shared" ref="W169:AC169" si="32">SUM(W154:W168)</f>
        <v>20</v>
      </c>
      <c r="X169" s="944">
        <f t="shared" si="32"/>
        <v>6</v>
      </c>
      <c r="Y169" s="958">
        <f t="shared" si="32"/>
        <v>375.93599999999998</v>
      </c>
      <c r="Z169" s="958">
        <f t="shared" si="32"/>
        <v>0</v>
      </c>
      <c r="AA169" s="958">
        <f t="shared" si="32"/>
        <v>0</v>
      </c>
      <c r="AB169" s="944">
        <f>SUM(AB154:AB168)</f>
        <v>1979.9880000000003</v>
      </c>
      <c r="AC169" s="958">
        <f t="shared" si="32"/>
        <v>1</v>
      </c>
      <c r="AD169" s="1220">
        <f>MAX(AD154:AD168)</f>
        <v>0</v>
      </c>
      <c r="AE169" s="1036">
        <f>SUM(AE154:AE168)</f>
        <v>0</v>
      </c>
      <c r="AF169" s="1036">
        <f>SUM(AF154:AF168)</f>
        <v>0</v>
      </c>
    </row>
    <row r="170" spans="1:32" x14ac:dyDescent="0.25">
      <c r="A170" s="1015" t="s">
        <v>232</v>
      </c>
      <c r="B170" s="1016"/>
      <c r="C170" s="1016"/>
      <c r="D170" s="1016"/>
      <c r="E170" s="1017"/>
      <c r="F170" s="1018">
        <f>SUMIF($D$154:$D$168,A170,$F$154:$F$168)</f>
        <v>0</v>
      </c>
      <c r="G170" s="1018">
        <f>SUMIF($D$154:$D$168,A170,$G$154:$G$168)</f>
        <v>0</v>
      </c>
      <c r="H170" s="983"/>
      <c r="I170" s="983"/>
      <c r="J170" s="981"/>
      <c r="K170" s="1019"/>
      <c r="L170" s="981"/>
      <c r="M170" s="981"/>
      <c r="N170" s="981"/>
      <c r="O170" s="981"/>
      <c r="P170" s="981"/>
      <c r="Q170" s="981"/>
      <c r="W170" s="345" t="s">
        <v>2896</v>
      </c>
      <c r="X170" s="345" t="s">
        <v>7767</v>
      </c>
    </row>
    <row r="171" spans="1:32" x14ac:dyDescent="0.25">
      <c r="A171" s="1015" t="s">
        <v>233</v>
      </c>
      <c r="B171" s="1016"/>
      <c r="C171" s="1016"/>
      <c r="D171" s="1016"/>
      <c r="E171" s="1017"/>
      <c r="F171" s="1018">
        <f>SUMIF($D$154:$D$168,A171,$F$154:$F$168)</f>
        <v>0</v>
      </c>
      <c r="G171" s="1018">
        <f>SUMIF($D$154:$D$168,A171,$G$154:$G$168)</f>
        <v>0</v>
      </c>
      <c r="H171" s="983"/>
      <c r="I171" s="983"/>
      <c r="J171" s="981"/>
      <c r="K171" s="1019"/>
      <c r="L171" s="981"/>
      <c r="M171" s="981"/>
      <c r="N171" s="981"/>
      <c r="O171" s="981"/>
      <c r="P171" s="981"/>
      <c r="Q171" s="981"/>
      <c r="W171" s="959">
        <f>R108</f>
        <v>0</v>
      </c>
      <c r="X171" s="959">
        <f>V108</f>
        <v>0</v>
      </c>
    </row>
    <row r="172" spans="1:32" x14ac:dyDescent="0.25">
      <c r="A172" s="1015" t="s">
        <v>136</v>
      </c>
      <c r="B172" s="1016"/>
      <c r="C172" s="1016"/>
      <c r="D172" s="1016"/>
      <c r="E172" s="1017"/>
      <c r="F172" s="1018">
        <f>SUMIF($D$154:$D$168,A172,$F$154:$F$168)</f>
        <v>1319.991</v>
      </c>
      <c r="G172" s="1018">
        <f>SUMIF($D$154:$D$168,A172,$G$154:$G$168)</f>
        <v>299</v>
      </c>
      <c r="H172" s="983"/>
      <c r="I172" s="983"/>
      <c r="J172" s="981"/>
      <c r="K172" s="1019"/>
      <c r="L172" s="981"/>
      <c r="M172" s="981"/>
      <c r="N172" s="981"/>
      <c r="O172" s="981"/>
      <c r="P172" s="981"/>
      <c r="Q172" s="981"/>
      <c r="W172" s="345" t="s">
        <v>7768</v>
      </c>
      <c r="X172" s="345" t="s">
        <v>7769</v>
      </c>
    </row>
    <row r="173" spans="1:32" x14ac:dyDescent="0.25">
      <c r="A173" s="1020" t="s">
        <v>2916</v>
      </c>
      <c r="B173" s="912"/>
      <c r="C173" s="912"/>
      <c r="D173" s="912"/>
      <c r="E173" s="912"/>
      <c r="F173" s="912"/>
      <c r="G173" s="912"/>
      <c r="H173" s="1021"/>
      <c r="I173" s="912"/>
      <c r="J173" s="912"/>
      <c r="K173" s="912"/>
      <c r="L173" s="912"/>
      <c r="M173" s="912"/>
      <c r="N173" s="912"/>
      <c r="O173" s="913"/>
      <c r="P173" s="913"/>
      <c r="Q173" s="913"/>
      <c r="W173" s="959">
        <f>SUM(W169,W171)</f>
        <v>20</v>
      </c>
      <c r="X173" s="959">
        <f>SUM(X169,X171)</f>
        <v>6</v>
      </c>
    </row>
    <row r="174" spans="1:32" x14ac:dyDescent="0.25">
      <c r="A174" s="1480" t="s">
        <v>2918</v>
      </c>
      <c r="B174" s="1480"/>
      <c r="C174" s="1480"/>
      <c r="D174" s="1480"/>
      <c r="E174" s="1480"/>
      <c r="F174" s="1480"/>
      <c r="G174" s="1480"/>
      <c r="H174" s="1480"/>
      <c r="I174" s="1480"/>
      <c r="J174" s="1480"/>
      <c r="K174" s="1480"/>
      <c r="L174" s="1480"/>
      <c r="M174" s="1480"/>
      <c r="N174" s="1480"/>
      <c r="O174" s="1480"/>
      <c r="P174" s="1480"/>
      <c r="Q174" s="1022"/>
      <c r="W174" s="345" t="s">
        <v>7772</v>
      </c>
    </row>
    <row r="175" spans="1:32" x14ac:dyDescent="0.25">
      <c r="A175" s="1480" t="s">
        <v>2917</v>
      </c>
      <c r="B175" s="1480"/>
      <c r="C175" s="1480"/>
      <c r="D175" s="1480"/>
      <c r="E175" s="1480"/>
      <c r="F175" s="1480"/>
      <c r="G175" s="1480"/>
      <c r="H175" s="1480"/>
      <c r="I175" s="1480"/>
      <c r="J175" s="1480"/>
      <c r="K175" s="1480"/>
      <c r="L175" s="1480"/>
      <c r="M175" s="1480"/>
      <c r="N175" s="1480"/>
      <c r="O175" s="1480"/>
      <c r="P175" s="1480"/>
      <c r="Q175" s="1022"/>
      <c r="W175" s="960" t="str">
        <f>IF(ISERROR(SUM(R110,S169)/SUM(U169,U108)),"",SUM(R110,S169)/SUM(U169,U108))</f>
        <v/>
      </c>
    </row>
    <row r="176" spans="1:32" ht="7.5" customHeight="1" x14ac:dyDescent="0.25">
      <c r="A176" s="1022"/>
      <c r="B176" s="1022"/>
      <c r="C176" s="1022"/>
      <c r="D176" s="1022"/>
      <c r="E176" s="1022"/>
      <c r="F176" s="1022"/>
      <c r="G176" s="1022"/>
      <c r="H176" s="1022"/>
      <c r="I176" s="1022"/>
      <c r="J176" s="1022"/>
      <c r="K176" s="1022"/>
      <c r="L176" s="1022"/>
      <c r="M176" s="1022"/>
      <c r="N176" s="1022"/>
      <c r="O176" s="913"/>
      <c r="P176" s="913"/>
      <c r="Q176" s="913"/>
      <c r="W176" s="345" t="s">
        <v>7950</v>
      </c>
    </row>
    <row r="177" spans="1:23" x14ac:dyDescent="0.25">
      <c r="A177" s="1482" t="s">
        <v>7960</v>
      </c>
      <c r="B177" s="1482"/>
      <c r="C177" s="1482"/>
      <c r="D177" s="1482"/>
      <c r="E177" s="1482"/>
      <c r="F177" s="1482"/>
      <c r="G177" s="1482"/>
      <c r="H177" s="1482"/>
      <c r="I177" s="1482"/>
      <c r="J177" s="1022"/>
      <c r="K177" s="1022"/>
      <c r="L177" s="1022"/>
      <c r="M177" s="1022"/>
      <c r="N177" s="1022"/>
      <c r="O177" s="913"/>
      <c r="P177" s="913"/>
      <c r="Q177" s="913"/>
    </row>
    <row r="178" spans="1:23" x14ac:dyDescent="0.25">
      <c r="A178" s="1495" t="s">
        <v>7956</v>
      </c>
      <c r="B178" s="1495"/>
      <c r="C178" s="1495"/>
      <c r="D178" s="1495"/>
      <c r="E178" s="1495"/>
      <c r="F178" s="1495"/>
      <c r="G178" s="1495"/>
      <c r="H178" s="1204" t="s">
        <v>331</v>
      </c>
      <c r="I178" s="169" t="s">
        <v>489</v>
      </c>
      <c r="J178" s="1022"/>
      <c r="K178" s="1022"/>
      <c r="L178" s="1022"/>
      <c r="M178" s="1022"/>
      <c r="N178" s="1022"/>
      <c r="O178" s="913"/>
      <c r="P178" s="913"/>
      <c r="Q178" s="913"/>
      <c r="R178" s="961">
        <f>IF(H178="","",IF(H178="Tidak Ada",0,H178))</f>
        <v>0</v>
      </c>
    </row>
    <row r="179" spans="1:23" x14ac:dyDescent="0.25">
      <c r="A179" s="1495" t="s">
        <v>7957</v>
      </c>
      <c r="B179" s="1495"/>
      <c r="C179" s="1495"/>
      <c r="D179" s="1495"/>
      <c r="E179" s="1495"/>
      <c r="F179" s="1495"/>
      <c r="G179" s="1495"/>
      <c r="H179" s="1205" t="s">
        <v>331</v>
      </c>
      <c r="I179" s="169" t="s">
        <v>489</v>
      </c>
      <c r="J179" s="983"/>
      <c r="K179" s="912"/>
      <c r="L179" s="912"/>
      <c r="M179" s="912"/>
      <c r="N179" s="912"/>
      <c r="O179" s="913"/>
      <c r="P179" s="913"/>
      <c r="Q179" s="913"/>
      <c r="R179" s="961">
        <f>IF(H179="","",IF(H179="Tidak Ada",0,H179))</f>
        <v>0</v>
      </c>
      <c r="W179" s="960">
        <f>IF(ISERROR(SUM(R110,W169)/SUM(X169,U108)),"",SUM(R110,W169)/SUM(X169,U108))</f>
        <v>3.3333333333333335</v>
      </c>
    </row>
    <row r="180" spans="1:23" x14ac:dyDescent="0.25">
      <c r="A180" s="1495" t="s">
        <v>7958</v>
      </c>
      <c r="B180" s="1495"/>
      <c r="C180" s="1495"/>
      <c r="D180" s="1495"/>
      <c r="E180" s="1495"/>
      <c r="F180" s="1495"/>
      <c r="G180" s="1495"/>
      <c r="H180" s="1205" t="s">
        <v>331</v>
      </c>
      <c r="I180" s="169" t="s">
        <v>489</v>
      </c>
      <c r="J180" s="1002"/>
      <c r="K180" s="169"/>
      <c r="L180" s="169"/>
      <c r="M180" s="169"/>
      <c r="N180" s="912"/>
      <c r="O180" s="913"/>
      <c r="P180" s="913"/>
      <c r="Q180" s="913"/>
      <c r="R180" s="961">
        <f>IF(H180="","",IF(H180="Tidak Ada",0,H180))</f>
        <v>0</v>
      </c>
    </row>
    <row r="181" spans="1:23" x14ac:dyDescent="0.25">
      <c r="A181" s="1495" t="s">
        <v>7959</v>
      </c>
      <c r="B181" s="1495"/>
      <c r="C181" s="1495"/>
      <c r="D181" s="1495"/>
      <c r="E181" s="1495"/>
      <c r="F181" s="1495"/>
      <c r="G181" s="1495"/>
      <c r="H181" s="1205" t="s">
        <v>331</v>
      </c>
      <c r="I181" s="169" t="s">
        <v>489</v>
      </c>
      <c r="J181" s="169"/>
      <c r="K181" s="169"/>
      <c r="L181" s="169"/>
      <c r="M181" s="169"/>
      <c r="N181" s="912"/>
      <c r="O181" s="913"/>
      <c r="P181" s="913"/>
      <c r="Q181" s="913"/>
      <c r="R181" s="961">
        <f>IF(H181="","",IF(H181="Tidak Ada",0,H181))</f>
        <v>0</v>
      </c>
    </row>
    <row r="182" spans="1:23" x14ac:dyDescent="0.25">
      <c r="A182" s="912" t="s">
        <v>248</v>
      </c>
      <c r="B182" s="912"/>
      <c r="C182" s="912"/>
      <c r="D182" s="912"/>
      <c r="E182" s="1106"/>
      <c r="F182" s="1379" t="s">
        <v>7372</v>
      </c>
      <c r="G182" s="1379"/>
      <c r="H182" s="1379"/>
      <c r="I182" s="1379"/>
      <c r="J182" s="1379"/>
      <c r="K182" s="1379"/>
      <c r="L182" s="1379"/>
      <c r="M182" s="1379"/>
      <c r="N182" s="1379"/>
      <c r="O182" s="1379"/>
      <c r="P182" s="1379"/>
      <c r="Q182" s="993"/>
    </row>
    <row r="183" spans="1:23" x14ac:dyDescent="0.25">
      <c r="A183" s="1379" t="s">
        <v>7372</v>
      </c>
      <c r="B183" s="1379"/>
      <c r="C183" s="1379"/>
      <c r="D183" s="1379"/>
      <c r="E183" s="1379"/>
      <c r="F183" s="1379"/>
      <c r="G183" s="1379"/>
      <c r="H183" s="1379"/>
      <c r="I183" s="1379"/>
      <c r="J183" s="1379"/>
      <c r="K183" s="1379"/>
      <c r="L183" s="1379"/>
      <c r="M183" s="1379"/>
      <c r="N183" s="1379"/>
      <c r="O183" s="1379"/>
      <c r="P183" s="1379"/>
      <c r="Q183" s="993"/>
    </row>
    <row r="184" spans="1:23" x14ac:dyDescent="0.25">
      <c r="A184" s="1379"/>
      <c r="B184" s="1379"/>
      <c r="C184" s="1379"/>
      <c r="D184" s="1379"/>
      <c r="E184" s="1379"/>
      <c r="F184" s="1379"/>
      <c r="G184" s="1379"/>
      <c r="H184" s="1379"/>
      <c r="I184" s="1379"/>
      <c r="J184" s="1379"/>
      <c r="K184" s="1379"/>
      <c r="L184" s="1379"/>
      <c r="M184" s="1379"/>
      <c r="N184" s="1379"/>
      <c r="O184" s="1379"/>
      <c r="P184" s="1379"/>
      <c r="Q184" s="993"/>
    </row>
    <row r="185" spans="1:23" x14ac:dyDescent="0.25">
      <c r="A185" s="1379"/>
      <c r="B185" s="1379"/>
      <c r="C185" s="1379"/>
      <c r="D185" s="1379"/>
      <c r="E185" s="1379"/>
      <c r="F185" s="1379"/>
      <c r="G185" s="1379"/>
      <c r="H185" s="1379"/>
      <c r="I185" s="1379"/>
      <c r="J185" s="1379"/>
      <c r="K185" s="1379"/>
      <c r="L185" s="1379"/>
      <c r="M185" s="1379"/>
      <c r="N185" s="1379"/>
      <c r="O185" s="1379"/>
      <c r="P185" s="1379"/>
      <c r="Q185" s="993"/>
    </row>
    <row r="186" spans="1:23" ht="12.75" customHeight="1" x14ac:dyDescent="0.25">
      <c r="A186" s="1438" t="s">
        <v>416</v>
      </c>
      <c r="B186" s="1438"/>
      <c r="C186" s="1438"/>
      <c r="D186" s="1438"/>
      <c r="E186" s="1438"/>
      <c r="F186" s="1438"/>
      <c r="G186" s="1438"/>
      <c r="H186" s="1095" t="s">
        <v>331</v>
      </c>
      <c r="I186" s="993"/>
      <c r="J186" s="993"/>
      <c r="K186" s="993"/>
      <c r="L186" s="993"/>
      <c r="M186" s="993"/>
      <c r="N186" s="912"/>
      <c r="O186" s="913"/>
      <c r="P186" s="913"/>
      <c r="Q186" s="913"/>
    </row>
    <row r="187" spans="1:23" s="378" customFormat="1" ht="27.75" customHeight="1" x14ac:dyDescent="0.25">
      <c r="A187" s="1363" t="s">
        <v>488</v>
      </c>
      <c r="B187" s="1363"/>
      <c r="C187" s="1363"/>
      <c r="D187" s="1363"/>
      <c r="E187" s="1363"/>
      <c r="F187" s="1363"/>
      <c r="G187" s="1363"/>
      <c r="H187" s="1252" t="s">
        <v>331</v>
      </c>
      <c r="I187" s="1096" t="s">
        <v>489</v>
      </c>
      <c r="J187" s="1024"/>
      <c r="K187" s="169"/>
      <c r="L187" s="169"/>
      <c r="M187" s="466"/>
      <c r="N187" s="169"/>
      <c r="O187" s="1025"/>
      <c r="P187" s="1025"/>
      <c r="Q187" s="1025"/>
    </row>
    <row r="188" spans="1:23" s="378" customFormat="1" x14ac:dyDescent="0.25">
      <c r="A188" s="1023" t="s">
        <v>7588</v>
      </c>
      <c r="B188" s="466"/>
      <c r="C188" s="466"/>
      <c r="D188" s="466"/>
      <c r="E188" s="466"/>
      <c r="F188" s="466"/>
      <c r="G188" s="993"/>
      <c r="H188" s="993"/>
      <c r="I188" s="993"/>
      <c r="J188" s="1024"/>
      <c r="K188" s="169"/>
      <c r="L188" s="169"/>
      <c r="M188" s="466"/>
      <c r="N188" s="169"/>
      <c r="O188" s="1025"/>
      <c r="P188" s="1025"/>
      <c r="Q188" s="1025"/>
    </row>
    <row r="189" spans="1:23" s="378" customFormat="1" ht="15" customHeight="1" x14ac:dyDescent="0.25">
      <c r="A189" s="1490" t="s">
        <v>7589</v>
      </c>
      <c r="B189" s="1490"/>
      <c r="C189" s="1490"/>
      <c r="D189" s="1490"/>
      <c r="E189" s="1490"/>
      <c r="F189" s="1490"/>
      <c r="G189" s="1490"/>
      <c r="H189" s="1251" t="s">
        <v>8052</v>
      </c>
      <c r="I189" s="993"/>
      <c r="J189" s="1024"/>
      <c r="K189" s="169"/>
      <c r="L189" s="169"/>
      <c r="M189" s="466"/>
      <c r="N189" s="169"/>
      <c r="O189" s="1025"/>
      <c r="P189" s="1025"/>
      <c r="Q189" s="1025"/>
    </row>
    <row r="190" spans="1:23" s="378" customFormat="1" ht="15" customHeight="1" x14ac:dyDescent="0.25">
      <c r="A190" s="1490" t="s">
        <v>7590</v>
      </c>
      <c r="B190" s="1490"/>
      <c r="C190" s="1490"/>
      <c r="D190" s="1490"/>
      <c r="E190" s="1490"/>
      <c r="F190" s="1490"/>
      <c r="G190" s="1490"/>
      <c r="H190" s="1095">
        <v>20</v>
      </c>
      <c r="I190" s="993"/>
      <c r="J190" s="1024"/>
      <c r="K190" s="169"/>
      <c r="L190" s="169"/>
      <c r="M190" s="466"/>
      <c r="N190" s="169"/>
      <c r="O190" s="1025"/>
      <c r="P190" s="1025"/>
      <c r="Q190" s="1025"/>
    </row>
    <row r="191" spans="1:23" s="378" customFormat="1" ht="15" customHeight="1" x14ac:dyDescent="0.25">
      <c r="A191" s="1490" t="s">
        <v>7591</v>
      </c>
      <c r="B191" s="1490"/>
      <c r="C191" s="1490"/>
      <c r="D191" s="1490"/>
      <c r="E191" s="1490"/>
      <c r="F191" s="1490"/>
      <c r="G191" s="1490"/>
      <c r="H191" s="1263">
        <v>3</v>
      </c>
      <c r="I191" s="993"/>
      <c r="J191" s="1024"/>
      <c r="K191" s="169"/>
      <c r="L191" s="169"/>
      <c r="M191" s="466"/>
      <c r="N191" s="169"/>
      <c r="O191" s="1025"/>
      <c r="P191" s="1025"/>
      <c r="Q191" s="1025"/>
    </row>
    <row r="192" spans="1:23" s="378" customFormat="1" ht="15" customHeight="1" x14ac:dyDescent="0.25">
      <c r="A192" s="1490" t="s">
        <v>7592</v>
      </c>
      <c r="B192" s="1490"/>
      <c r="C192" s="1490"/>
      <c r="D192" s="1490"/>
      <c r="E192" s="1490"/>
      <c r="F192" s="1490"/>
      <c r="G192" s="1490"/>
      <c r="H192" s="1227">
        <v>1145</v>
      </c>
      <c r="I192" s="993"/>
      <c r="J192" s="1024"/>
      <c r="K192" s="169"/>
      <c r="L192" s="169"/>
      <c r="M192" s="466"/>
      <c r="N192" s="169"/>
      <c r="O192" s="1025"/>
      <c r="P192" s="1025"/>
      <c r="Q192" s="1025"/>
    </row>
    <row r="193" spans="1:17" s="378" customFormat="1" ht="15" customHeight="1" x14ac:dyDescent="0.25">
      <c r="A193" s="1490" t="s">
        <v>7593</v>
      </c>
      <c r="B193" s="1490"/>
      <c r="C193" s="1490"/>
      <c r="D193" s="1490"/>
      <c r="E193" s="1490"/>
      <c r="F193" s="1490"/>
      <c r="G193" s="1490"/>
      <c r="H193" s="1227">
        <v>151.22499999999999</v>
      </c>
      <c r="I193" s="993"/>
      <c r="J193" s="1024"/>
      <c r="K193" s="169"/>
      <c r="L193" s="169"/>
      <c r="M193" s="466"/>
      <c r="N193" s="169"/>
      <c r="O193" s="1025"/>
      <c r="P193" s="1025"/>
      <c r="Q193" s="1025"/>
    </row>
    <row r="194" spans="1:17" ht="5.0999999999999996" customHeight="1" x14ac:dyDescent="0.25">
      <c r="A194" s="912"/>
      <c r="B194" s="912"/>
      <c r="C194" s="912"/>
      <c r="D194" s="912"/>
      <c r="E194" s="912"/>
      <c r="F194" s="912"/>
      <c r="G194" s="912"/>
      <c r="H194" s="912"/>
      <c r="I194" s="912"/>
      <c r="J194" s="912"/>
      <c r="K194" s="912"/>
      <c r="L194" s="912"/>
      <c r="M194" s="912"/>
      <c r="N194" s="912"/>
      <c r="O194" s="913"/>
      <c r="P194" s="913"/>
      <c r="Q194" s="913"/>
    </row>
    <row r="195" spans="1:17" ht="15.75" x14ac:dyDescent="0.25">
      <c r="A195" s="1337" t="s">
        <v>731</v>
      </c>
      <c r="B195" s="1337"/>
      <c r="C195" s="1337"/>
      <c r="D195" s="1337"/>
      <c r="E195" s="1337"/>
      <c r="F195" s="1337"/>
      <c r="G195" s="1337"/>
      <c r="H195" s="1337"/>
      <c r="I195" s="1337"/>
      <c r="J195" s="1337"/>
      <c r="K195" s="1337"/>
      <c r="L195" s="1337"/>
      <c r="M195" s="1337"/>
      <c r="N195" s="1337"/>
      <c r="O195" s="1337"/>
      <c r="P195" s="1337"/>
      <c r="Q195" s="1337"/>
    </row>
    <row r="196" spans="1:17" ht="5.0999999999999996" customHeight="1" x14ac:dyDescent="0.25">
      <c r="A196" s="33"/>
      <c r="B196" s="33"/>
      <c r="C196" s="33"/>
      <c r="D196" s="33"/>
      <c r="E196" s="33"/>
      <c r="F196" s="33"/>
      <c r="G196" s="33"/>
      <c r="H196" s="33"/>
      <c r="I196" s="33"/>
      <c r="J196" s="33"/>
      <c r="K196" s="33"/>
      <c r="L196" s="33"/>
      <c r="M196" s="33"/>
      <c r="N196" s="33"/>
      <c r="O196" s="910"/>
      <c r="P196" s="910"/>
      <c r="Q196" s="910"/>
    </row>
    <row r="197" spans="1:17" ht="15" customHeight="1" x14ac:dyDescent="0.25">
      <c r="A197" s="962" t="s">
        <v>22</v>
      </c>
      <c r="B197" s="963"/>
      <c r="C197" s="963"/>
      <c r="D197" s="963"/>
      <c r="E197" s="963"/>
      <c r="F197" s="963"/>
      <c r="G197" s="963"/>
      <c r="H197" s="963"/>
      <c r="I197" s="963"/>
      <c r="J197" s="963"/>
      <c r="K197" s="963"/>
      <c r="L197" s="963"/>
      <c r="M197" s="964"/>
      <c r="N197" s="33"/>
      <c r="O197" s="910"/>
      <c r="P197" s="910"/>
      <c r="Q197" s="910"/>
    </row>
    <row r="198" spans="1:17" ht="53.25" customHeight="1" x14ac:dyDescent="0.25">
      <c r="A198" s="903" t="s">
        <v>17</v>
      </c>
      <c r="B198" s="1405" t="s">
        <v>14</v>
      </c>
      <c r="C198" s="1405"/>
      <c r="D198" s="1405"/>
      <c r="E198" s="1405" t="s">
        <v>736</v>
      </c>
      <c r="F198" s="1405"/>
      <c r="G198" s="1405" t="s">
        <v>19</v>
      </c>
      <c r="H198" s="1405"/>
      <c r="I198" s="903" t="s">
        <v>21</v>
      </c>
      <c r="J198" s="903" t="s">
        <v>743</v>
      </c>
      <c r="K198" s="903" t="s">
        <v>735</v>
      </c>
      <c r="L198" s="1405" t="s">
        <v>733</v>
      </c>
      <c r="M198" s="1405"/>
      <c r="N198" s="903" t="s">
        <v>734</v>
      </c>
      <c r="O198" s="910"/>
      <c r="P198" s="910"/>
      <c r="Q198" s="910"/>
    </row>
    <row r="199" spans="1:17" ht="25.5" x14ac:dyDescent="0.25">
      <c r="A199" s="439" t="s">
        <v>8118</v>
      </c>
      <c r="B199" s="1380" t="s">
        <v>7306</v>
      </c>
      <c r="C199" s="1380"/>
      <c r="D199" s="1380"/>
      <c r="E199" s="1380" t="s">
        <v>8127</v>
      </c>
      <c r="F199" s="1380"/>
      <c r="G199" s="1380" t="s">
        <v>8137</v>
      </c>
      <c r="H199" s="1380"/>
      <c r="I199" s="1255" t="s">
        <v>8134</v>
      </c>
      <c r="J199" s="1257">
        <v>100</v>
      </c>
      <c r="K199" s="1248" t="s">
        <v>74</v>
      </c>
      <c r="L199" s="1415">
        <v>30</v>
      </c>
      <c r="M199" s="1416"/>
      <c r="N199" s="1250">
        <v>5</v>
      </c>
      <c r="O199" s="910"/>
      <c r="P199" s="910"/>
      <c r="Q199" s="910"/>
    </row>
    <row r="200" spans="1:17" ht="16.5" customHeight="1" x14ac:dyDescent="0.2">
      <c r="A200" s="456" t="s">
        <v>8119</v>
      </c>
      <c r="B200" s="1404" t="s">
        <v>7313</v>
      </c>
      <c r="C200" s="1404"/>
      <c r="D200" s="1404"/>
      <c r="E200" s="1380" t="s">
        <v>8127</v>
      </c>
      <c r="F200" s="1380"/>
      <c r="G200" s="1404" t="s">
        <v>8129</v>
      </c>
      <c r="H200" s="1404"/>
      <c r="I200" s="1256" t="s">
        <v>8133</v>
      </c>
      <c r="J200" s="1258">
        <v>300</v>
      </c>
      <c r="K200" s="1248" t="s">
        <v>74</v>
      </c>
      <c r="L200" s="1413">
        <v>30</v>
      </c>
      <c r="M200" s="1414"/>
      <c r="N200" s="1259">
        <v>5</v>
      </c>
      <c r="O200" s="910"/>
      <c r="P200" s="910"/>
      <c r="Q200" s="910"/>
    </row>
    <row r="201" spans="1:17" ht="16.5" customHeight="1" x14ac:dyDescent="0.2">
      <c r="A201" s="456" t="s">
        <v>8120</v>
      </c>
      <c r="B201" s="1404" t="s">
        <v>7290</v>
      </c>
      <c r="C201" s="1404"/>
      <c r="D201" s="1404"/>
      <c r="E201" s="1380" t="s">
        <v>8128</v>
      </c>
      <c r="F201" s="1380"/>
      <c r="G201" s="1404" t="s">
        <v>8130</v>
      </c>
      <c r="H201" s="1404"/>
      <c r="I201" s="1256" t="s">
        <v>8132</v>
      </c>
      <c r="J201" s="1258">
        <v>250</v>
      </c>
      <c r="K201" s="1248" t="s">
        <v>74</v>
      </c>
      <c r="L201" s="1413">
        <v>30</v>
      </c>
      <c r="M201" s="1414"/>
      <c r="N201" s="1259">
        <v>5</v>
      </c>
      <c r="O201" s="910"/>
      <c r="P201" s="910"/>
      <c r="Q201" s="910"/>
    </row>
    <row r="202" spans="1:17" ht="25.5" customHeight="1" x14ac:dyDescent="0.25">
      <c r="A202" s="1199" t="s">
        <v>8121</v>
      </c>
      <c r="B202" s="1401" t="s">
        <v>7313</v>
      </c>
      <c r="C202" s="1401"/>
      <c r="D202" s="1401"/>
      <c r="E202" s="1380" t="s">
        <v>8127</v>
      </c>
      <c r="F202" s="1380"/>
      <c r="G202" s="1346" t="s">
        <v>8179</v>
      </c>
      <c r="H202" s="1348"/>
      <c r="I202" s="1267" t="s">
        <v>8131</v>
      </c>
      <c r="J202" s="878">
        <v>50</v>
      </c>
      <c r="K202" s="1264" t="s">
        <v>74</v>
      </c>
      <c r="L202" s="1483">
        <v>30</v>
      </c>
      <c r="M202" s="1484"/>
      <c r="N202" s="906">
        <v>6</v>
      </c>
      <c r="O202" s="910"/>
      <c r="P202" s="910"/>
      <c r="Q202" s="910"/>
    </row>
    <row r="203" spans="1:17" x14ac:dyDescent="0.25">
      <c r="A203" s="906"/>
      <c r="B203" s="1401"/>
      <c r="C203" s="1401"/>
      <c r="D203" s="1401"/>
      <c r="E203" s="1345"/>
      <c r="F203" s="1345"/>
      <c r="G203" s="1345"/>
      <c r="H203" s="1345"/>
      <c r="I203" s="1026"/>
      <c r="J203" s="878"/>
      <c r="K203" s="906"/>
      <c r="L203" s="1406"/>
      <c r="M203" s="1407"/>
      <c r="N203" s="906"/>
      <c r="O203" s="910"/>
      <c r="P203" s="910"/>
      <c r="Q203" s="910"/>
    </row>
    <row r="204" spans="1:17" ht="15" customHeight="1" x14ac:dyDescent="0.25">
      <c r="A204" s="33"/>
      <c r="B204" s="33"/>
      <c r="C204" s="33"/>
      <c r="D204" s="33"/>
      <c r="E204" s="33"/>
      <c r="F204" s="33"/>
      <c r="G204" s="33"/>
      <c r="H204" s="33"/>
      <c r="I204" s="33"/>
      <c r="J204" s="33"/>
      <c r="K204" s="33"/>
      <c r="L204" s="33"/>
      <c r="M204" s="33"/>
      <c r="N204" s="33"/>
      <c r="O204" s="910"/>
      <c r="P204" s="910"/>
      <c r="Q204" s="910"/>
    </row>
    <row r="205" spans="1:17" ht="15" customHeight="1" x14ac:dyDescent="0.25">
      <c r="A205" s="962" t="s">
        <v>23</v>
      </c>
      <c r="B205" s="963"/>
      <c r="C205" s="963"/>
      <c r="D205" s="963"/>
      <c r="E205" s="963"/>
      <c r="F205" s="963"/>
      <c r="G205" s="963"/>
      <c r="H205" s="963"/>
      <c r="I205" s="963"/>
      <c r="J205" s="963"/>
      <c r="K205" s="963"/>
      <c r="L205" s="963"/>
      <c r="M205" s="964"/>
      <c r="N205" s="33"/>
      <c r="O205" s="910"/>
      <c r="P205" s="910"/>
      <c r="Q205" s="910"/>
    </row>
    <row r="206" spans="1:17" ht="52.5" customHeight="1" x14ac:dyDescent="0.25">
      <c r="A206" s="905" t="s">
        <v>20</v>
      </c>
      <c r="B206" s="1417" t="s">
        <v>1</v>
      </c>
      <c r="C206" s="1412"/>
      <c r="D206" s="1412"/>
      <c r="E206" s="1405" t="s">
        <v>736</v>
      </c>
      <c r="F206" s="1412"/>
      <c r="G206" s="1405" t="s">
        <v>19</v>
      </c>
      <c r="H206" s="1405"/>
      <c r="I206" s="903" t="s">
        <v>21</v>
      </c>
      <c r="J206" s="903" t="s">
        <v>744</v>
      </c>
      <c r="K206" s="903" t="s">
        <v>735</v>
      </c>
      <c r="L206" s="1405" t="s">
        <v>733</v>
      </c>
      <c r="M206" s="1405"/>
      <c r="N206" s="903" t="s">
        <v>734</v>
      </c>
      <c r="O206" s="910"/>
      <c r="P206" s="910"/>
      <c r="Q206" s="910"/>
    </row>
    <row r="207" spans="1:17" ht="25.5" x14ac:dyDescent="0.25">
      <c r="A207" s="967" t="s">
        <v>8122</v>
      </c>
      <c r="B207" s="1401" t="s">
        <v>7313</v>
      </c>
      <c r="C207" s="1401"/>
      <c r="D207" s="1401"/>
      <c r="E207" s="1401" t="s">
        <v>8126</v>
      </c>
      <c r="F207" s="1401"/>
      <c r="G207" s="1401" t="s">
        <v>8138</v>
      </c>
      <c r="H207" s="1401"/>
      <c r="I207" s="1296" t="s">
        <v>8141</v>
      </c>
      <c r="J207" s="878">
        <v>300</v>
      </c>
      <c r="K207" s="1280" t="s">
        <v>74</v>
      </c>
      <c r="L207" s="1345">
        <v>30</v>
      </c>
      <c r="M207" s="1402"/>
      <c r="N207" s="1297">
        <v>10</v>
      </c>
      <c r="O207" s="910"/>
      <c r="P207" s="910"/>
      <c r="Q207" s="910"/>
    </row>
    <row r="208" spans="1:17" ht="25.5" x14ac:dyDescent="0.25">
      <c r="A208" s="967" t="s">
        <v>8123</v>
      </c>
      <c r="B208" s="1401" t="s">
        <v>7313</v>
      </c>
      <c r="C208" s="1401"/>
      <c r="D208" s="1401"/>
      <c r="E208" s="1401" t="s">
        <v>8126</v>
      </c>
      <c r="F208" s="1401"/>
      <c r="G208" s="1401" t="s">
        <v>8175</v>
      </c>
      <c r="H208" s="1401"/>
      <c r="I208" s="1301" t="s">
        <v>8174</v>
      </c>
      <c r="J208" s="878">
        <v>300</v>
      </c>
      <c r="K208" s="1280" t="s">
        <v>74</v>
      </c>
      <c r="L208" s="1345">
        <v>30</v>
      </c>
      <c r="M208" s="1402"/>
      <c r="N208" s="1280">
        <v>10</v>
      </c>
      <c r="O208" s="910"/>
      <c r="P208" s="910"/>
      <c r="Q208" s="910"/>
    </row>
    <row r="209" spans="1:18" ht="25.5" x14ac:dyDescent="0.25">
      <c r="A209" s="967" t="s">
        <v>8124</v>
      </c>
      <c r="B209" s="1401" t="s">
        <v>8173</v>
      </c>
      <c r="C209" s="1401"/>
      <c r="D209" s="1401"/>
      <c r="E209" s="1401" t="s">
        <v>8162</v>
      </c>
      <c r="F209" s="1401"/>
      <c r="G209" s="1401" t="s">
        <v>8139</v>
      </c>
      <c r="H209" s="1401"/>
      <c r="I209" s="1296" t="s">
        <v>8142</v>
      </c>
      <c r="J209" s="878">
        <v>240</v>
      </c>
      <c r="K209" s="1280" t="s">
        <v>74</v>
      </c>
      <c r="L209" s="1345">
        <v>30</v>
      </c>
      <c r="M209" s="1402"/>
      <c r="N209" s="1280">
        <v>5</v>
      </c>
      <c r="O209" s="910"/>
      <c r="P209" s="910"/>
      <c r="Q209" s="910"/>
    </row>
    <row r="210" spans="1:18" ht="25.5" x14ac:dyDescent="0.25">
      <c r="A210" s="967" t="s">
        <v>8125</v>
      </c>
      <c r="B210" s="1401" t="s">
        <v>7451</v>
      </c>
      <c r="C210" s="1401"/>
      <c r="D210" s="1401"/>
      <c r="E210" s="1401" t="s">
        <v>8126</v>
      </c>
      <c r="F210" s="1401"/>
      <c r="G210" s="1401" t="s">
        <v>8140</v>
      </c>
      <c r="H210" s="1401"/>
      <c r="I210" s="1296" t="s">
        <v>8143</v>
      </c>
      <c r="J210" s="878">
        <v>250</v>
      </c>
      <c r="K210" s="1280" t="s">
        <v>74</v>
      </c>
      <c r="L210" s="1345">
        <v>30</v>
      </c>
      <c r="M210" s="1402"/>
      <c r="N210" s="1280">
        <v>1</v>
      </c>
      <c r="O210" s="910"/>
      <c r="P210" s="910"/>
      <c r="Q210" s="910"/>
    </row>
    <row r="211" spans="1:18" x14ac:dyDescent="0.2">
      <c r="A211" s="1265"/>
      <c r="B211" s="1404"/>
      <c r="C211" s="1404"/>
      <c r="D211" s="1404"/>
      <c r="E211" s="1401"/>
      <c r="F211" s="1404"/>
      <c r="G211" s="1346"/>
      <c r="H211" s="1348"/>
      <c r="I211" s="1256"/>
      <c r="J211" s="878"/>
      <c r="K211" s="1264"/>
      <c r="L211" s="1345"/>
      <c r="M211" s="1345"/>
      <c r="N211" s="906"/>
      <c r="O211" s="910"/>
      <c r="P211" s="910"/>
      <c r="Q211" s="910"/>
    </row>
    <row r="212" spans="1:18" ht="15" customHeight="1" x14ac:dyDescent="0.25">
      <c r="A212" s="1027" t="s">
        <v>3192</v>
      </c>
      <c r="B212" s="985"/>
      <c r="C212" s="985"/>
      <c r="D212" s="985"/>
      <c r="E212" s="985"/>
      <c r="F212" s="985"/>
      <c r="G212" s="985"/>
      <c r="H212" s="985"/>
      <c r="I212" s="985"/>
      <c r="J212" s="985"/>
      <c r="K212" s="985"/>
      <c r="L212" s="985"/>
      <c r="M212" s="912"/>
      <c r="N212" s="913"/>
      <c r="O212" s="913"/>
      <c r="P212" s="913"/>
      <c r="Q212" s="913"/>
    </row>
    <row r="213" spans="1:18" ht="5.0999999999999996" customHeight="1" x14ac:dyDescent="0.25">
      <c r="A213" s="912"/>
      <c r="B213" s="912"/>
      <c r="C213" s="912"/>
      <c r="D213" s="912"/>
      <c r="E213" s="912"/>
      <c r="F213" s="912"/>
      <c r="G213" s="912"/>
      <c r="H213" s="912"/>
      <c r="I213" s="912"/>
      <c r="J213" s="912"/>
      <c r="K213" s="912"/>
      <c r="L213" s="912"/>
      <c r="M213" s="912"/>
      <c r="N213" s="913"/>
      <c r="O213" s="913"/>
      <c r="P213" s="913"/>
      <c r="Q213" s="913"/>
    </row>
    <row r="214" spans="1:18" ht="15" customHeight="1" x14ac:dyDescent="0.25">
      <c r="A214" s="912" t="s">
        <v>487</v>
      </c>
      <c r="B214" s="912"/>
      <c r="C214" s="1403">
        <v>0.5</v>
      </c>
      <c r="D214" s="1403"/>
      <c r="E214" s="912" t="s">
        <v>3193</v>
      </c>
      <c r="F214" s="912"/>
      <c r="G214" s="912"/>
      <c r="H214" s="912"/>
      <c r="I214" s="912"/>
      <c r="J214" s="912"/>
      <c r="K214" s="912"/>
      <c r="L214" s="912"/>
      <c r="M214" s="912"/>
      <c r="N214" s="913"/>
      <c r="O214" s="913"/>
      <c r="P214" s="913"/>
      <c r="Q214" s="913"/>
    </row>
    <row r="215" spans="1:18" ht="5.0999999999999996" customHeight="1" x14ac:dyDescent="0.25">
      <c r="A215" s="912"/>
      <c r="B215" s="912"/>
      <c r="C215" s="912"/>
      <c r="D215" s="912"/>
      <c r="E215" s="912"/>
      <c r="F215" s="912"/>
      <c r="G215" s="912"/>
      <c r="H215" s="912"/>
      <c r="I215" s="912"/>
      <c r="J215" s="912"/>
      <c r="K215" s="912"/>
      <c r="L215" s="912"/>
      <c r="M215" s="912"/>
      <c r="N215" s="912"/>
      <c r="O215" s="913"/>
      <c r="P215" s="913"/>
      <c r="Q215" s="913"/>
    </row>
    <row r="216" spans="1:18" ht="15.75" x14ac:dyDescent="0.25">
      <c r="A216" s="1337" t="s">
        <v>105</v>
      </c>
      <c r="B216" s="1337"/>
      <c r="C216" s="1337"/>
      <c r="D216" s="1337"/>
      <c r="E216" s="1337"/>
      <c r="F216" s="1337"/>
      <c r="G216" s="1337"/>
      <c r="H216" s="1337"/>
      <c r="I216" s="1337"/>
      <c r="J216" s="1337"/>
      <c r="K216" s="1337"/>
      <c r="L216" s="1337"/>
      <c r="M216" s="1337"/>
      <c r="N216" s="1337"/>
      <c r="O216" s="1337"/>
      <c r="P216" s="1337"/>
      <c r="Q216" s="1337"/>
    </row>
    <row r="217" spans="1:18" ht="5.0999999999999996" customHeight="1" x14ac:dyDescent="0.25">
      <c r="A217" s="912"/>
      <c r="B217" s="912"/>
      <c r="C217" s="912"/>
      <c r="D217" s="912"/>
      <c r="E217" s="912"/>
      <c r="F217" s="912"/>
      <c r="G217" s="912"/>
      <c r="H217" s="912"/>
      <c r="I217" s="912"/>
      <c r="J217" s="912"/>
      <c r="K217" s="912"/>
      <c r="L217" s="912"/>
      <c r="M217" s="912"/>
      <c r="N217" s="912"/>
      <c r="O217" s="912"/>
      <c r="P217" s="912"/>
      <c r="Q217" s="912"/>
    </row>
    <row r="218" spans="1:18" ht="15" customHeight="1" x14ac:dyDescent="0.25">
      <c r="A218" s="912"/>
      <c r="B218" s="912"/>
      <c r="C218" s="912"/>
      <c r="D218" s="912"/>
      <c r="E218" s="912"/>
      <c r="F218" s="912"/>
      <c r="G218" s="912"/>
      <c r="H218" s="912"/>
      <c r="I218" s="912"/>
      <c r="J218" s="912"/>
      <c r="K218" s="912"/>
      <c r="L218" s="912"/>
      <c r="M218" s="912"/>
      <c r="N218" s="912"/>
      <c r="O218" s="912"/>
      <c r="P218" s="912"/>
      <c r="Q218" s="1012" t="s">
        <v>29</v>
      </c>
    </row>
    <row r="219" spans="1:18" ht="12.75" customHeight="1" x14ac:dyDescent="0.25">
      <c r="A219" s="1405" t="s">
        <v>35</v>
      </c>
      <c r="B219" s="1405" t="s">
        <v>7962</v>
      </c>
      <c r="C219" s="1389" t="s">
        <v>120</v>
      </c>
      <c r="D219" s="1377" t="s">
        <v>225</v>
      </c>
      <c r="E219" s="1377" t="s">
        <v>768</v>
      </c>
      <c r="F219" s="1444" t="s">
        <v>128</v>
      </c>
      <c r="G219" s="1445"/>
      <c r="H219" s="1446"/>
      <c r="I219" s="1444" t="s">
        <v>201</v>
      </c>
      <c r="J219" s="1446"/>
      <c r="K219" s="1405" t="s">
        <v>256</v>
      </c>
      <c r="L219" s="1405"/>
      <c r="M219" s="1377" t="s">
        <v>203</v>
      </c>
      <c r="N219" s="1377" t="s">
        <v>7875</v>
      </c>
      <c r="O219" s="1377" t="s">
        <v>7940</v>
      </c>
      <c r="P219" s="1377" t="s">
        <v>7941</v>
      </c>
      <c r="Q219" s="1377" t="s">
        <v>15</v>
      </c>
    </row>
    <row r="220" spans="1:18" ht="38.25" x14ac:dyDescent="0.25">
      <c r="A220" s="1405"/>
      <c r="B220" s="1405"/>
      <c r="C220" s="1481"/>
      <c r="D220" s="1378"/>
      <c r="E220" s="1378"/>
      <c r="F220" s="903" t="s">
        <v>121</v>
      </c>
      <c r="G220" s="903" t="s">
        <v>127</v>
      </c>
      <c r="H220" s="903" t="s">
        <v>200</v>
      </c>
      <c r="I220" s="903" t="s">
        <v>137</v>
      </c>
      <c r="J220" s="903" t="s">
        <v>7872</v>
      </c>
      <c r="K220" s="903" t="s">
        <v>257</v>
      </c>
      <c r="L220" s="902" t="s">
        <v>202</v>
      </c>
      <c r="M220" s="1378"/>
      <c r="N220" s="1378"/>
      <c r="O220" s="1378"/>
      <c r="P220" s="1378"/>
      <c r="Q220" s="1378"/>
      <c r="R220" s="345" t="s">
        <v>551</v>
      </c>
    </row>
    <row r="221" spans="1:18" ht="153.75" customHeight="1" x14ac:dyDescent="0.25">
      <c r="A221" s="1283" t="s">
        <v>109</v>
      </c>
      <c r="B221" s="1283"/>
      <c r="C221" s="1303" t="s">
        <v>8189</v>
      </c>
      <c r="D221" s="465" t="s">
        <v>8056</v>
      </c>
      <c r="E221" s="1288">
        <v>1501.886</v>
      </c>
      <c r="F221" s="1282" t="s">
        <v>8102</v>
      </c>
      <c r="G221" s="876">
        <v>0</v>
      </c>
      <c r="H221" s="1284" t="s">
        <v>8080</v>
      </c>
      <c r="I221" s="1285" t="s">
        <v>7873</v>
      </c>
      <c r="J221" s="1286">
        <v>1501.89</v>
      </c>
      <c r="K221" s="1281" t="s">
        <v>8103</v>
      </c>
      <c r="L221" s="1286">
        <v>850.29700000000003</v>
      </c>
      <c r="M221" s="1282" t="s">
        <v>125</v>
      </c>
      <c r="N221" s="1282" t="s">
        <v>8053</v>
      </c>
      <c r="O221" s="1282" t="s">
        <v>8052</v>
      </c>
      <c r="P221" s="1287" t="s">
        <v>8052</v>
      </c>
      <c r="Q221" s="439" t="s">
        <v>8104</v>
      </c>
      <c r="R221" s="942">
        <f t="shared" ref="R221:R230" si="33">IF(M221="Jaminan eksisting",E221,0)</f>
        <v>0</v>
      </c>
    </row>
    <row r="222" spans="1:18" x14ac:dyDescent="0.25">
      <c r="A222" s="1199"/>
      <c r="B222" s="1199"/>
      <c r="C222" s="966"/>
      <c r="D222" s="967"/>
      <c r="E222" s="875"/>
      <c r="F222" s="906"/>
      <c r="G222" s="876"/>
      <c r="H222" s="879"/>
      <c r="I222" s="877"/>
      <c r="J222" s="968"/>
      <c r="K222" s="1261"/>
      <c r="L222" s="968"/>
      <c r="M222" s="906"/>
      <c r="N222" s="1264"/>
      <c r="O222" s="1264"/>
      <c r="P222" s="1203"/>
      <c r="Q222" s="965"/>
      <c r="R222" s="942">
        <f t="shared" si="33"/>
        <v>0</v>
      </c>
    </row>
    <row r="223" spans="1:18" x14ac:dyDescent="0.25">
      <c r="A223" s="1199"/>
      <c r="B223" s="1199"/>
      <c r="C223" s="966"/>
      <c r="D223" s="967"/>
      <c r="E223" s="875"/>
      <c r="F223" s="906"/>
      <c r="G223" s="876">
        <v>0</v>
      </c>
      <c r="H223" s="879"/>
      <c r="I223" s="877" t="str">
        <f>IFERROR(VLOOKUP(A223,Value!$BC$2:$BD$16,2,FALSE),"")</f>
        <v/>
      </c>
      <c r="J223" s="968"/>
      <c r="K223" s="904"/>
      <c r="L223" s="968"/>
      <c r="M223" s="906"/>
      <c r="N223" s="906"/>
      <c r="O223" s="906"/>
      <c r="P223" s="1203"/>
      <c r="Q223" s="965"/>
      <c r="R223" s="942">
        <f t="shared" si="33"/>
        <v>0</v>
      </c>
    </row>
    <row r="224" spans="1:18" x14ac:dyDescent="0.25">
      <c r="A224" s="1199"/>
      <c r="B224" s="1199"/>
      <c r="C224" s="966"/>
      <c r="D224" s="967"/>
      <c r="E224" s="875"/>
      <c r="F224" s="906"/>
      <c r="G224" s="876"/>
      <c r="H224" s="879"/>
      <c r="I224" s="877" t="str">
        <f>IFERROR(VLOOKUP(A224,Value!$BC$2:$BD$16,2,FALSE),"")</f>
        <v/>
      </c>
      <c r="J224" s="968"/>
      <c r="K224" s="904"/>
      <c r="L224" s="968"/>
      <c r="M224" s="906"/>
      <c r="N224" s="906"/>
      <c r="O224" s="906"/>
      <c r="P224" s="1203"/>
      <c r="Q224" s="965"/>
      <c r="R224" s="942">
        <f t="shared" si="33"/>
        <v>0</v>
      </c>
    </row>
    <row r="225" spans="1:18" x14ac:dyDescent="0.25">
      <c r="A225" s="1199"/>
      <c r="B225" s="1199"/>
      <c r="C225" s="966"/>
      <c r="D225" s="967"/>
      <c r="E225" s="875"/>
      <c r="F225" s="906"/>
      <c r="G225" s="876"/>
      <c r="H225" s="879"/>
      <c r="I225" s="877" t="str">
        <f>IFERROR(VLOOKUP(A225,Value!$BC$2:$BD$16,2,FALSE),"")</f>
        <v/>
      </c>
      <c r="J225" s="968"/>
      <c r="K225" s="904"/>
      <c r="L225" s="968"/>
      <c r="M225" s="906"/>
      <c r="N225" s="906"/>
      <c r="O225" s="906"/>
      <c r="P225" s="1203"/>
      <c r="Q225" s="965"/>
      <c r="R225" s="942">
        <f t="shared" si="33"/>
        <v>0</v>
      </c>
    </row>
    <row r="226" spans="1:18" x14ac:dyDescent="0.25">
      <c r="A226" s="1199"/>
      <c r="B226" s="1199"/>
      <c r="C226" s="966"/>
      <c r="D226" s="967"/>
      <c r="E226" s="875"/>
      <c r="F226" s="906"/>
      <c r="G226" s="876"/>
      <c r="H226" s="879"/>
      <c r="I226" s="877" t="str">
        <f>IFERROR(VLOOKUP(A226,Value!$BC$2:$BD$16,2,FALSE),"")</f>
        <v/>
      </c>
      <c r="J226" s="968"/>
      <c r="K226" s="904"/>
      <c r="L226" s="968"/>
      <c r="M226" s="906"/>
      <c r="N226" s="906"/>
      <c r="O226" s="906"/>
      <c r="P226" s="1203"/>
      <c r="Q226" s="965"/>
      <c r="R226" s="942">
        <f t="shared" si="33"/>
        <v>0</v>
      </c>
    </row>
    <row r="227" spans="1:18" x14ac:dyDescent="0.25">
      <c r="A227" s="1199"/>
      <c r="B227" s="1199"/>
      <c r="C227" s="966"/>
      <c r="D227" s="967"/>
      <c r="E227" s="875"/>
      <c r="F227" s="906"/>
      <c r="G227" s="876"/>
      <c r="H227" s="879"/>
      <c r="I227" s="877" t="str">
        <f>IFERROR(VLOOKUP(A227,Value!$BC$2:$BD$16,2,FALSE),"")</f>
        <v/>
      </c>
      <c r="J227" s="968"/>
      <c r="K227" s="904"/>
      <c r="L227" s="968"/>
      <c r="M227" s="906"/>
      <c r="N227" s="906"/>
      <c r="O227" s="906"/>
      <c r="P227" s="1203"/>
      <c r="Q227" s="965"/>
      <c r="R227" s="942">
        <f t="shared" si="33"/>
        <v>0</v>
      </c>
    </row>
    <row r="228" spans="1:18" x14ac:dyDescent="0.25">
      <c r="A228" s="1199"/>
      <c r="B228" s="1199"/>
      <c r="C228" s="966"/>
      <c r="D228" s="967"/>
      <c r="E228" s="875"/>
      <c r="F228" s="906"/>
      <c r="G228" s="876"/>
      <c r="H228" s="879"/>
      <c r="I228" s="877" t="str">
        <f>IFERROR(VLOOKUP(A228,Value!$BC$2:$BD$16,2,FALSE),"")</f>
        <v/>
      </c>
      <c r="J228" s="968"/>
      <c r="K228" s="904"/>
      <c r="L228" s="968"/>
      <c r="M228" s="906"/>
      <c r="N228" s="906"/>
      <c r="O228" s="906"/>
      <c r="P228" s="1203"/>
      <c r="Q228" s="965"/>
      <c r="R228" s="942">
        <f t="shared" si="33"/>
        <v>0</v>
      </c>
    </row>
    <row r="229" spans="1:18" x14ac:dyDescent="0.25">
      <c r="A229" s="1199"/>
      <c r="B229" s="1199"/>
      <c r="C229" s="966"/>
      <c r="D229" s="967"/>
      <c r="E229" s="875"/>
      <c r="F229" s="906"/>
      <c r="G229" s="876"/>
      <c r="H229" s="879"/>
      <c r="I229" s="877" t="str">
        <f>IFERROR(VLOOKUP(A229,Value!$BC$2:$BD$16,2,FALSE),"")</f>
        <v/>
      </c>
      <c r="J229" s="968"/>
      <c r="K229" s="904"/>
      <c r="L229" s="968"/>
      <c r="M229" s="906"/>
      <c r="N229" s="906"/>
      <c r="O229" s="906"/>
      <c r="P229" s="1203"/>
      <c r="Q229" s="965"/>
      <c r="R229" s="942">
        <f t="shared" si="33"/>
        <v>0</v>
      </c>
    </row>
    <row r="230" spans="1:18" x14ac:dyDescent="0.25">
      <c r="A230" s="1199"/>
      <c r="B230" s="1199"/>
      <c r="C230" s="966"/>
      <c r="D230" s="967"/>
      <c r="E230" s="875"/>
      <c r="F230" s="1094"/>
      <c r="G230" s="876"/>
      <c r="H230" s="879"/>
      <c r="I230" s="877" t="str">
        <f>IFERROR(VLOOKUP(A230,Value!$BC$2:$BD$16,2,FALSE),"")</f>
        <v/>
      </c>
      <c r="J230" s="968"/>
      <c r="K230" s="1093"/>
      <c r="L230" s="968"/>
      <c r="M230" s="1094"/>
      <c r="N230" s="1094"/>
      <c r="O230" s="1094"/>
      <c r="P230" s="1203"/>
      <c r="Q230" s="965"/>
      <c r="R230" s="942">
        <f t="shared" si="33"/>
        <v>0</v>
      </c>
    </row>
    <row r="231" spans="1:18" ht="12.95" customHeight="1" x14ac:dyDescent="0.25">
      <c r="A231" s="466"/>
      <c r="B231" s="466"/>
      <c r="C231" s="1451" t="s">
        <v>777</v>
      </c>
      <c r="D231" s="1452"/>
      <c r="E231" s="1038">
        <f>SUM(E221:E230)</f>
        <v>1501.886</v>
      </c>
      <c r="F231" s="466"/>
      <c r="G231" s="969"/>
      <c r="H231" s="970"/>
      <c r="I231" s="971"/>
      <c r="J231" s="972"/>
      <c r="K231" s="466"/>
      <c r="L231" s="972"/>
      <c r="M231" s="466"/>
      <c r="N231" s="466"/>
      <c r="O231" s="466"/>
      <c r="P231" s="466"/>
      <c r="Q231" s="973"/>
      <c r="R231" s="942"/>
    </row>
    <row r="232" spans="1:18" ht="39.75" customHeight="1" x14ac:dyDescent="0.25">
      <c r="A232" s="466"/>
      <c r="B232" s="466"/>
      <c r="C232" s="1451" t="s">
        <v>7942</v>
      </c>
      <c r="D232" s="1452"/>
      <c r="E232" s="1038">
        <f>SUMIF(O221:O230,"Ya",E221:E230)</f>
        <v>1501.886</v>
      </c>
      <c r="F232" s="466"/>
      <c r="G232" s="974"/>
      <c r="H232" s="971"/>
      <c r="I232" s="971"/>
      <c r="J232" s="972"/>
      <c r="K232" s="466"/>
      <c r="L232" s="972"/>
      <c r="M232" s="466"/>
      <c r="N232" s="466"/>
      <c r="O232" s="466"/>
      <c r="P232" s="466"/>
      <c r="Q232" s="973"/>
      <c r="R232" s="942"/>
    </row>
    <row r="233" spans="1:18" ht="12.95" customHeight="1" x14ac:dyDescent="0.25">
      <c r="A233" s="466"/>
      <c r="B233" s="466"/>
      <c r="C233" s="1451" t="s">
        <v>7943</v>
      </c>
      <c r="D233" s="1452"/>
      <c r="E233" s="1039">
        <f>IFERROR(((SUMIF(P221:P230,"Ya",E221:E230))/E232),0)</f>
        <v>1</v>
      </c>
      <c r="F233" s="466"/>
      <c r="G233" s="974"/>
      <c r="H233" s="971"/>
      <c r="I233" s="971"/>
      <c r="J233" s="972"/>
      <c r="K233" s="466"/>
      <c r="L233" s="972"/>
      <c r="M233" s="466"/>
      <c r="N233" s="466"/>
      <c r="O233" s="466"/>
      <c r="P233" s="466"/>
      <c r="Q233" s="973"/>
      <c r="R233" s="942"/>
    </row>
    <row r="234" spans="1:18" ht="3.75" customHeight="1" x14ac:dyDescent="0.25">
      <c r="A234" s="973"/>
      <c r="B234" s="911"/>
      <c r="C234" s="911"/>
      <c r="D234" s="1028"/>
      <c r="E234" s="981"/>
      <c r="F234" s="981"/>
      <c r="G234" s="1029"/>
      <c r="H234" s="1029"/>
      <c r="I234" s="981"/>
      <c r="J234" s="981"/>
      <c r="K234" s="981"/>
      <c r="L234" s="973"/>
      <c r="M234" s="973"/>
      <c r="N234" s="973"/>
      <c r="O234" s="981"/>
      <c r="P234" s="981"/>
      <c r="Q234" s="981"/>
      <c r="R234" s="942">
        <f>SUM(R221:R230)</f>
        <v>0</v>
      </c>
    </row>
    <row r="235" spans="1:18" ht="15.75" x14ac:dyDescent="0.25">
      <c r="A235" s="1337" t="s">
        <v>530</v>
      </c>
      <c r="B235" s="1337"/>
      <c r="C235" s="1337"/>
      <c r="D235" s="1337"/>
      <c r="E235" s="1337"/>
      <c r="F235" s="1337"/>
      <c r="G235" s="1337"/>
      <c r="H235" s="1337"/>
      <c r="I235" s="1337"/>
      <c r="J235" s="1337"/>
      <c r="K235" s="1337"/>
      <c r="L235" s="1337"/>
      <c r="M235" s="1337"/>
      <c r="N235" s="1337"/>
      <c r="O235" s="1337"/>
      <c r="P235" s="1337"/>
      <c r="Q235" s="1337"/>
    </row>
    <row r="236" spans="1:18" x14ac:dyDescent="0.25">
      <c r="A236" s="912"/>
      <c r="B236" s="912"/>
      <c r="C236" s="912"/>
      <c r="D236" s="912"/>
      <c r="E236" s="912"/>
      <c r="F236" s="912"/>
      <c r="G236" s="912"/>
      <c r="H236" s="912"/>
      <c r="I236" s="912"/>
      <c r="J236" s="912"/>
      <c r="K236" s="912"/>
      <c r="L236" s="912"/>
      <c r="M236" s="912"/>
      <c r="N236" s="983"/>
      <c r="O236" s="913"/>
      <c r="P236" s="913"/>
      <c r="Q236" s="913"/>
    </row>
    <row r="237" spans="1:18" ht="25.5" x14ac:dyDescent="0.25">
      <c r="A237" s="1030" t="s">
        <v>7871</v>
      </c>
      <c r="B237" s="1399" t="s">
        <v>129</v>
      </c>
      <c r="C237" s="1400"/>
      <c r="D237" s="1399" t="s">
        <v>37</v>
      </c>
      <c r="E237" s="1400"/>
      <c r="F237" s="1092" t="s">
        <v>138</v>
      </c>
      <c r="G237" s="1107"/>
      <c r="H237" s="912"/>
      <c r="I237" s="912"/>
      <c r="J237" s="912"/>
      <c r="K237" s="912"/>
      <c r="L237" s="912"/>
      <c r="M237" s="912"/>
      <c r="N237" s="983"/>
      <c r="O237" s="913"/>
      <c r="P237" s="913"/>
      <c r="Q237" s="913"/>
    </row>
    <row r="238" spans="1:18" x14ac:dyDescent="0.25">
      <c r="A238" s="953"/>
      <c r="B238" s="1090"/>
      <c r="C238" s="1108"/>
      <c r="D238" s="1090"/>
      <c r="E238" s="1108"/>
      <c r="F238" s="953"/>
      <c r="G238" s="912"/>
      <c r="H238" s="912"/>
      <c r="I238" s="912"/>
      <c r="J238" s="912"/>
      <c r="K238" s="912"/>
      <c r="L238" s="912"/>
      <c r="M238" s="983"/>
      <c r="N238" s="913"/>
      <c r="O238" s="913"/>
      <c r="P238" s="913"/>
      <c r="Q238" s="913"/>
    </row>
    <row r="239" spans="1:18" x14ac:dyDescent="0.25">
      <c r="A239" s="953"/>
      <c r="B239" s="1090"/>
      <c r="C239" s="1108"/>
      <c r="D239" s="1090"/>
      <c r="E239" s="1108"/>
      <c r="F239" s="953"/>
      <c r="G239" s="912"/>
      <c r="H239" s="912"/>
      <c r="I239" s="912"/>
      <c r="J239" s="912"/>
      <c r="K239" s="912"/>
      <c r="L239" s="912"/>
      <c r="M239" s="983"/>
      <c r="N239" s="913"/>
      <c r="O239" s="913"/>
      <c r="P239" s="913"/>
      <c r="Q239" s="913"/>
    </row>
    <row r="240" spans="1:18" x14ac:dyDescent="0.25">
      <c r="A240" s="953"/>
      <c r="B240" s="1090"/>
      <c r="C240" s="1108"/>
      <c r="D240" s="1090"/>
      <c r="E240" s="1108"/>
      <c r="F240" s="953"/>
      <c r="G240" s="912"/>
      <c r="H240" s="912"/>
      <c r="I240" s="912"/>
      <c r="J240" s="912"/>
      <c r="K240" s="912"/>
      <c r="L240" s="912"/>
      <c r="M240" s="983"/>
      <c r="N240" s="913"/>
      <c r="O240" s="913"/>
      <c r="P240" s="913"/>
      <c r="Q240" s="913"/>
    </row>
    <row r="241" spans="1:17" x14ac:dyDescent="0.25">
      <c r="A241" s="953"/>
      <c r="B241" s="1090"/>
      <c r="C241" s="1108"/>
      <c r="D241" s="1090"/>
      <c r="E241" s="1108"/>
      <c r="F241" s="953"/>
      <c r="G241" s="912"/>
      <c r="H241" s="912"/>
      <c r="I241" s="912"/>
      <c r="J241" s="912"/>
      <c r="K241" s="912"/>
      <c r="L241" s="912"/>
      <c r="M241" s="983"/>
      <c r="N241" s="913"/>
      <c r="O241" s="913"/>
      <c r="P241" s="913"/>
      <c r="Q241" s="913"/>
    </row>
    <row r="242" spans="1:17" x14ac:dyDescent="0.25">
      <c r="A242" s="953"/>
      <c r="B242" s="1090"/>
      <c r="C242" s="1108"/>
      <c r="D242" s="1090"/>
      <c r="E242" s="1108"/>
      <c r="F242" s="953"/>
      <c r="G242" s="912"/>
      <c r="H242" s="912"/>
      <c r="I242" s="912"/>
      <c r="J242" s="912"/>
      <c r="K242" s="912"/>
      <c r="L242" s="912"/>
      <c r="M242" s="983"/>
      <c r="N242" s="913"/>
      <c r="O242" s="913"/>
      <c r="P242" s="913"/>
      <c r="Q242" s="913"/>
    </row>
    <row r="243" spans="1:17" x14ac:dyDescent="0.25">
      <c r="A243" s="953"/>
      <c r="B243" s="1090"/>
      <c r="C243" s="1108"/>
      <c r="D243" s="1090"/>
      <c r="E243" s="1108"/>
      <c r="F243" s="953"/>
      <c r="G243" s="912"/>
      <c r="H243" s="912"/>
      <c r="I243" s="912"/>
      <c r="J243" s="912"/>
      <c r="K243" s="912"/>
      <c r="L243" s="912"/>
      <c r="M243" s="983"/>
      <c r="N243" s="913"/>
      <c r="O243" s="913"/>
      <c r="P243" s="913"/>
      <c r="Q243" s="913"/>
    </row>
    <row r="244" spans="1:17" x14ac:dyDescent="0.25">
      <c r="A244" s="953"/>
      <c r="B244" s="1090"/>
      <c r="C244" s="1108"/>
      <c r="D244" s="1090"/>
      <c r="E244" s="1108"/>
      <c r="F244" s="953"/>
      <c r="G244" s="912"/>
      <c r="H244" s="912"/>
      <c r="I244" s="912"/>
      <c r="J244" s="912"/>
      <c r="K244" s="912"/>
      <c r="L244" s="912"/>
      <c r="M244" s="983"/>
      <c r="N244" s="913"/>
      <c r="O244" s="913"/>
      <c r="P244" s="913"/>
      <c r="Q244" s="913"/>
    </row>
    <row r="245" spans="1:17" x14ac:dyDescent="0.25">
      <c r="A245" s="953"/>
      <c r="B245" s="1090"/>
      <c r="C245" s="1108"/>
      <c r="D245" s="1090"/>
      <c r="E245" s="1108"/>
      <c r="F245" s="953"/>
      <c r="G245" s="912"/>
      <c r="H245" s="912"/>
      <c r="I245" s="912"/>
      <c r="J245" s="912"/>
      <c r="K245" s="912"/>
      <c r="L245" s="912"/>
      <c r="M245" s="983"/>
      <c r="N245" s="913"/>
      <c r="O245" s="913"/>
      <c r="P245" s="913"/>
      <c r="Q245" s="913"/>
    </row>
    <row r="246" spans="1:17" x14ac:dyDescent="0.25">
      <c r="A246" s="1031" t="s">
        <v>7878</v>
      </c>
      <c r="B246" s="912"/>
      <c r="C246" s="912"/>
      <c r="D246" s="912"/>
      <c r="E246" s="912"/>
      <c r="F246" s="912"/>
      <c r="G246" s="912"/>
      <c r="H246" s="912"/>
      <c r="I246" s="912"/>
      <c r="J246" s="912"/>
      <c r="K246" s="912"/>
      <c r="L246" s="912"/>
      <c r="M246" s="913"/>
      <c r="N246" s="1032"/>
      <c r="O246" s="913"/>
      <c r="P246" s="913"/>
      <c r="Q246" s="913"/>
    </row>
    <row r="247" spans="1:17" ht="5.25" customHeight="1" x14ac:dyDescent="0.25">
      <c r="A247" s="1031"/>
      <c r="B247" s="912"/>
      <c r="C247" s="912"/>
      <c r="D247" s="912"/>
      <c r="E247" s="912"/>
      <c r="F247" s="912"/>
      <c r="G247" s="912"/>
      <c r="H247" s="912"/>
      <c r="I247" s="912"/>
      <c r="J247" s="912"/>
      <c r="K247" s="912"/>
      <c r="L247" s="912"/>
      <c r="M247" s="913"/>
      <c r="N247" s="1032"/>
      <c r="O247" s="913"/>
      <c r="P247" s="913"/>
      <c r="Q247" s="913"/>
    </row>
    <row r="248" spans="1:17" x14ac:dyDescent="0.25">
      <c r="A248" s="912" t="s">
        <v>356</v>
      </c>
      <c r="B248" s="912"/>
      <c r="C248" s="912"/>
      <c r="D248" s="912"/>
      <c r="E248" s="912"/>
      <c r="F248" s="1453">
        <f>8*12</f>
        <v>96</v>
      </c>
      <c r="G248" s="1453"/>
      <c r="H248" s="912" t="s">
        <v>439</v>
      </c>
      <c r="I248" s="1342"/>
      <c r="J248" s="1342"/>
      <c r="K248" s="1342"/>
      <c r="L248" s="1342"/>
      <c r="M248" s="1342"/>
      <c r="N248" s="1342"/>
      <c r="O248" s="913"/>
      <c r="P248" s="913"/>
      <c r="Q248" s="913"/>
    </row>
    <row r="249" spans="1:17" x14ac:dyDescent="0.25">
      <c r="A249" s="1447" t="s">
        <v>2924</v>
      </c>
      <c r="B249" s="1447"/>
      <c r="C249" s="1447"/>
      <c r="D249" s="1447"/>
      <c r="E249" s="1447"/>
      <c r="F249" s="1447"/>
      <c r="G249" s="1447"/>
      <c r="H249" s="1447"/>
      <c r="I249" s="1447"/>
      <c r="J249" s="1447"/>
      <c r="K249" s="170"/>
      <c r="L249" s="170"/>
      <c r="M249" s="170"/>
      <c r="N249" s="170"/>
      <c r="O249" s="994"/>
      <c r="P249" s="913"/>
      <c r="Q249" s="913"/>
    </row>
    <row r="250" spans="1:17" x14ac:dyDescent="0.25">
      <c r="A250" s="912" t="s">
        <v>501</v>
      </c>
      <c r="B250" s="912"/>
      <c r="C250" s="912"/>
      <c r="D250" s="912"/>
      <c r="E250" s="912"/>
      <c r="F250" s="912"/>
      <c r="G250" s="912"/>
      <c r="H250" s="912"/>
      <c r="I250" s="912"/>
      <c r="J250" s="912"/>
      <c r="K250" s="912"/>
      <c r="L250" s="912"/>
      <c r="M250" s="912"/>
      <c r="N250" s="912"/>
      <c r="O250" s="913"/>
      <c r="P250" s="913"/>
      <c r="Q250" s="913"/>
    </row>
    <row r="251" spans="1:17" x14ac:dyDescent="0.25">
      <c r="A251" s="1033" t="s">
        <v>499</v>
      </c>
      <c r="B251" s="912"/>
      <c r="C251" s="912"/>
      <c r="D251" s="912"/>
      <c r="E251" s="912"/>
      <c r="F251" s="1448" t="s">
        <v>493</v>
      </c>
      <c r="G251" s="1448"/>
      <c r="H251" s="1448"/>
      <c r="I251" s="1448"/>
      <c r="J251" s="1448"/>
      <c r="K251" s="1448"/>
      <c r="L251" s="1448"/>
      <c r="M251" s="1448"/>
      <c r="N251" s="1448"/>
      <c r="O251" s="1448"/>
      <c r="P251" s="1448"/>
      <c r="Q251" s="993"/>
    </row>
    <row r="252" spans="1:17" ht="12.75" customHeight="1" x14ac:dyDescent="0.25">
      <c r="A252" s="1033" t="s">
        <v>500</v>
      </c>
      <c r="B252" s="912"/>
      <c r="C252" s="912"/>
      <c r="D252" s="912"/>
      <c r="E252" s="912"/>
      <c r="F252" s="1449"/>
      <c r="G252" s="1449"/>
      <c r="H252" s="1449"/>
      <c r="I252" s="1449"/>
      <c r="J252" s="1449"/>
      <c r="K252" s="1449"/>
      <c r="L252" s="1449"/>
      <c r="M252" s="1449"/>
      <c r="N252" s="1449"/>
      <c r="O252" s="1449"/>
      <c r="P252" s="1449"/>
      <c r="Q252" s="993"/>
    </row>
    <row r="253" spans="1:17" x14ac:dyDescent="0.25">
      <c r="A253" s="912" t="s">
        <v>404</v>
      </c>
      <c r="B253" s="912"/>
      <c r="C253" s="912"/>
      <c r="D253" s="912"/>
      <c r="E253" s="912"/>
      <c r="F253" s="1450" t="s">
        <v>405</v>
      </c>
      <c r="G253" s="1450"/>
      <c r="H253" s="1450"/>
      <c r="I253" s="1450"/>
      <c r="J253" s="1450"/>
      <c r="K253" s="1450"/>
      <c r="L253" s="1450"/>
      <c r="M253" s="1450"/>
      <c r="N253" s="1450"/>
      <c r="O253" s="1450"/>
      <c r="P253" s="1450"/>
      <c r="Q253" s="911"/>
    </row>
    <row r="254" spans="1:17" x14ac:dyDescent="0.25">
      <c r="A254" s="912" t="s">
        <v>410</v>
      </c>
      <c r="B254" s="912"/>
      <c r="C254" s="912"/>
      <c r="D254" s="912"/>
      <c r="E254" s="912"/>
      <c r="F254" s="1352" t="s">
        <v>562</v>
      </c>
      <c r="G254" s="1352"/>
      <c r="H254" s="1352"/>
      <c r="I254" s="1352"/>
      <c r="J254" s="1352"/>
      <c r="K254" s="1352"/>
      <c r="L254" s="1352"/>
      <c r="M254" s="1352"/>
      <c r="N254" s="1352"/>
      <c r="O254" s="1352"/>
      <c r="P254" s="1352"/>
      <c r="Q254" s="911"/>
    </row>
    <row r="255" spans="1:17" ht="5.0999999999999996" customHeight="1" x14ac:dyDescent="0.25">
      <c r="A255" s="912"/>
      <c r="B255" s="912"/>
      <c r="C255" s="912"/>
      <c r="D255" s="912"/>
      <c r="E255" s="912"/>
      <c r="F255" s="912"/>
      <c r="G255" s="912"/>
      <c r="H255" s="912"/>
      <c r="I255" s="912"/>
      <c r="J255" s="912"/>
      <c r="K255" s="912"/>
      <c r="L255" s="912"/>
      <c r="M255" s="912"/>
      <c r="N255" s="912"/>
      <c r="O255" s="913"/>
      <c r="P255" s="913"/>
      <c r="Q255" s="913"/>
    </row>
    <row r="256" spans="1:17" ht="15.75" x14ac:dyDescent="0.25">
      <c r="A256" s="1337" t="s">
        <v>524</v>
      </c>
      <c r="B256" s="1337"/>
      <c r="C256" s="1337"/>
      <c r="D256" s="1337"/>
      <c r="E256" s="1337"/>
      <c r="F256" s="1337"/>
      <c r="G256" s="1337"/>
      <c r="H256" s="1337"/>
      <c r="I256" s="1337"/>
      <c r="J256" s="1337"/>
      <c r="K256" s="1337"/>
      <c r="L256" s="1337"/>
      <c r="M256" s="1337"/>
      <c r="N256" s="1337"/>
      <c r="O256" s="1337"/>
      <c r="P256" s="1337"/>
      <c r="Q256" s="1337"/>
    </row>
    <row r="257" spans="1:17" ht="5.0999999999999996" customHeight="1" x14ac:dyDescent="0.25">
      <c r="A257" s="912"/>
      <c r="B257" s="912"/>
      <c r="C257" s="912"/>
      <c r="D257" s="912"/>
      <c r="E257" s="912"/>
      <c r="F257" s="912"/>
      <c r="G257" s="912"/>
      <c r="H257" s="912"/>
      <c r="I257" s="912"/>
      <c r="J257" s="912"/>
      <c r="K257" s="912"/>
      <c r="L257" s="912"/>
      <c r="M257" s="912"/>
      <c r="N257" s="912"/>
      <c r="O257" s="913"/>
      <c r="P257" s="913"/>
      <c r="Q257" s="913"/>
    </row>
    <row r="258" spans="1:17" x14ac:dyDescent="0.25">
      <c r="A258" s="912" t="s">
        <v>518</v>
      </c>
      <c r="B258" s="1360" t="s">
        <v>323</v>
      </c>
      <c r="C258" s="1360"/>
      <c r="D258" s="1360"/>
      <c r="E258" s="1360"/>
      <c r="F258" s="912" t="s">
        <v>7970</v>
      </c>
      <c r="G258" s="912"/>
      <c r="H258" s="1360"/>
      <c r="I258" s="1360"/>
      <c r="J258" s="1360"/>
      <c r="K258" s="1360"/>
      <c r="L258" s="1360"/>
      <c r="M258" s="1360"/>
      <c r="N258" s="912"/>
      <c r="O258" s="913"/>
      <c r="P258" s="913"/>
      <c r="Q258" s="913"/>
    </row>
    <row r="259" spans="1:17" x14ac:dyDescent="0.25">
      <c r="A259" s="912" t="s">
        <v>519</v>
      </c>
      <c r="B259" s="1359"/>
      <c r="C259" s="1359"/>
      <c r="D259" s="1359"/>
      <c r="E259" s="1359"/>
      <c r="F259" s="912" t="s">
        <v>520</v>
      </c>
      <c r="G259" s="912"/>
      <c r="H259" s="1359"/>
      <c r="I259" s="1359"/>
      <c r="J259" s="1359"/>
      <c r="K259" s="1359"/>
      <c r="L259" s="1359"/>
      <c r="M259" s="1359"/>
      <c r="N259" s="912"/>
      <c r="O259" s="913"/>
      <c r="P259" s="913"/>
      <c r="Q259" s="913"/>
    </row>
    <row r="260" spans="1:17" x14ac:dyDescent="0.25">
      <c r="A260" s="912" t="s">
        <v>34</v>
      </c>
      <c r="B260" s="1359"/>
      <c r="C260" s="1359"/>
      <c r="D260" s="1359"/>
      <c r="E260" s="1359"/>
      <c r="F260" s="912" t="s">
        <v>1</v>
      </c>
      <c r="G260" s="912"/>
      <c r="H260" s="1359"/>
      <c r="I260" s="1359"/>
      <c r="J260" s="1359"/>
      <c r="K260" s="1359"/>
      <c r="L260" s="1359"/>
      <c r="M260" s="1359"/>
      <c r="N260" s="912"/>
      <c r="O260" s="913"/>
      <c r="P260" s="913"/>
      <c r="Q260" s="913"/>
    </row>
    <row r="261" spans="1:17" ht="5.0999999999999996" customHeight="1" x14ac:dyDescent="0.25">
      <c r="A261" s="912"/>
      <c r="B261" s="912"/>
      <c r="C261" s="912"/>
      <c r="D261" s="912"/>
      <c r="E261" s="912"/>
      <c r="F261" s="912"/>
      <c r="G261" s="912"/>
      <c r="H261" s="912"/>
      <c r="I261" s="912"/>
      <c r="J261" s="912"/>
      <c r="K261" s="912"/>
      <c r="L261" s="912"/>
      <c r="M261" s="912"/>
      <c r="N261" s="912"/>
      <c r="O261" s="913"/>
      <c r="P261" s="913"/>
      <c r="Q261" s="913"/>
    </row>
    <row r="262" spans="1:17" ht="15.75" x14ac:dyDescent="0.25">
      <c r="A262" s="1337" t="s">
        <v>7857</v>
      </c>
      <c r="B262" s="1337"/>
      <c r="C262" s="1337"/>
      <c r="D262" s="1337"/>
      <c r="E262" s="1337"/>
      <c r="F262" s="1337"/>
      <c r="G262" s="1337"/>
      <c r="H262" s="1337"/>
      <c r="I262" s="1337"/>
      <c r="J262" s="1337"/>
      <c r="K262" s="1337"/>
      <c r="L262" s="1337"/>
      <c r="M262" s="1337"/>
      <c r="N262" s="1337"/>
      <c r="O262" s="1337"/>
      <c r="P262" s="1337"/>
      <c r="Q262" s="1337"/>
    </row>
    <row r="263" spans="1:17" ht="5.25" customHeight="1" x14ac:dyDescent="0.25">
      <c r="A263" s="912"/>
      <c r="B263" s="912"/>
      <c r="C263" s="912"/>
      <c r="D263" s="912"/>
      <c r="E263" s="912"/>
      <c r="F263" s="912"/>
      <c r="G263" s="912"/>
      <c r="H263" s="912"/>
      <c r="I263" s="912"/>
      <c r="J263" s="912"/>
      <c r="K263" s="912"/>
      <c r="L263" s="912"/>
      <c r="M263" s="912"/>
      <c r="N263" s="983"/>
      <c r="O263" s="913"/>
      <c r="P263" s="913"/>
      <c r="Q263" s="913"/>
    </row>
    <row r="264" spans="1:17" s="384" customFormat="1" ht="12.75" customHeight="1" x14ac:dyDescent="0.25">
      <c r="A264" s="1353" t="s">
        <v>144</v>
      </c>
      <c r="B264" s="1354"/>
      <c r="C264" s="1354"/>
      <c r="D264" s="1354"/>
      <c r="E264" s="1354"/>
      <c r="F264" s="1354"/>
      <c r="G264" s="1354"/>
      <c r="H264" s="1354"/>
      <c r="I264" s="1354"/>
      <c r="J264" s="1354"/>
      <c r="K264" s="1354"/>
      <c r="L264" s="1344" t="s">
        <v>7729</v>
      </c>
      <c r="M264" s="1344"/>
      <c r="N264" s="1344"/>
      <c r="O264" s="1382" t="s">
        <v>147</v>
      </c>
      <c r="P264" s="1383"/>
      <c r="Q264" s="1013"/>
    </row>
    <row r="265" spans="1:17" s="384" customFormat="1" ht="25.5" x14ac:dyDescent="0.25">
      <c r="A265" s="1355"/>
      <c r="B265" s="1356"/>
      <c r="C265" s="1356"/>
      <c r="D265" s="1356"/>
      <c r="E265" s="1356"/>
      <c r="F265" s="1356"/>
      <c r="G265" s="1356"/>
      <c r="H265" s="1356"/>
      <c r="I265" s="1356"/>
      <c r="J265" s="1356"/>
      <c r="K265" s="1356"/>
      <c r="L265" s="1344"/>
      <c r="M265" s="1344"/>
      <c r="N265" s="1344"/>
      <c r="O265" s="1034" t="s">
        <v>148</v>
      </c>
      <c r="P265" s="1014" t="s">
        <v>152</v>
      </c>
      <c r="Q265" s="1013"/>
    </row>
    <row r="266" spans="1:17" x14ac:dyDescent="0.25">
      <c r="A266" s="1357"/>
      <c r="B266" s="1358"/>
      <c r="C266" s="1358"/>
      <c r="D266" s="1358"/>
      <c r="E266" s="1358"/>
      <c r="F266" s="1358"/>
      <c r="G266" s="1358"/>
      <c r="H266" s="1358"/>
      <c r="I266" s="1358"/>
      <c r="J266" s="1358"/>
      <c r="K266" s="1358"/>
      <c r="L266" s="1345"/>
      <c r="M266" s="1345"/>
      <c r="N266" s="1345"/>
      <c r="O266" s="975"/>
      <c r="P266" s="907"/>
      <c r="Q266" s="988"/>
    </row>
    <row r="267" spans="1:17" ht="12.75" customHeight="1" x14ac:dyDescent="0.25">
      <c r="A267" s="1346"/>
      <c r="B267" s="1347"/>
      <c r="C267" s="1347"/>
      <c r="D267" s="1347"/>
      <c r="E267" s="1347"/>
      <c r="F267" s="1347"/>
      <c r="G267" s="1347"/>
      <c r="H267" s="1347"/>
      <c r="I267" s="1347"/>
      <c r="J267" s="1347"/>
      <c r="K267" s="1347"/>
      <c r="L267" s="1345"/>
      <c r="M267" s="1345"/>
      <c r="N267" s="1345"/>
      <c r="O267" s="975"/>
      <c r="P267" s="907"/>
      <c r="Q267" s="988"/>
    </row>
    <row r="268" spans="1:17" x14ac:dyDescent="0.25">
      <c r="A268" s="1346"/>
      <c r="B268" s="1347"/>
      <c r="C268" s="1347"/>
      <c r="D268" s="1347"/>
      <c r="E268" s="1347"/>
      <c r="F268" s="1347"/>
      <c r="G268" s="1347"/>
      <c r="H268" s="1347"/>
      <c r="I268" s="1347"/>
      <c r="J268" s="1347"/>
      <c r="K268" s="1348"/>
      <c r="L268" s="1345"/>
      <c r="M268" s="1345"/>
      <c r="N268" s="1345"/>
      <c r="O268" s="975"/>
      <c r="P268" s="907"/>
      <c r="Q268" s="988"/>
    </row>
    <row r="269" spans="1:17" x14ac:dyDescent="0.25">
      <c r="A269" s="1346"/>
      <c r="B269" s="1347"/>
      <c r="C269" s="1347"/>
      <c r="D269" s="1347"/>
      <c r="E269" s="1347"/>
      <c r="F269" s="1347"/>
      <c r="G269" s="1347"/>
      <c r="H269" s="1347"/>
      <c r="I269" s="1347"/>
      <c r="J269" s="1347"/>
      <c r="K269" s="1348"/>
      <c r="L269" s="1345"/>
      <c r="M269" s="1345"/>
      <c r="N269" s="1345"/>
      <c r="O269" s="975"/>
      <c r="P269" s="907"/>
      <c r="Q269" s="988"/>
    </row>
    <row r="270" spans="1:17" x14ac:dyDescent="0.25">
      <c r="A270" s="1346"/>
      <c r="B270" s="1347"/>
      <c r="C270" s="1347"/>
      <c r="D270" s="1347"/>
      <c r="E270" s="1347"/>
      <c r="F270" s="1347"/>
      <c r="G270" s="1347"/>
      <c r="H270" s="1347"/>
      <c r="I270" s="1347"/>
      <c r="J270" s="1347"/>
      <c r="K270" s="1347"/>
      <c r="L270" s="1345"/>
      <c r="M270" s="1345"/>
      <c r="N270" s="1345"/>
      <c r="O270" s="975"/>
      <c r="P270" s="907"/>
      <c r="Q270" s="988"/>
    </row>
    <row r="271" spans="1:17" x14ac:dyDescent="0.25">
      <c r="A271" s="1357"/>
      <c r="B271" s="1358"/>
      <c r="C271" s="1358"/>
      <c r="D271" s="1358"/>
      <c r="E271" s="1358"/>
      <c r="F271" s="1358"/>
      <c r="G271" s="1358"/>
      <c r="H271" s="1358"/>
      <c r="I271" s="1358"/>
      <c r="J271" s="1358"/>
      <c r="K271" s="1358"/>
      <c r="L271" s="1345"/>
      <c r="M271" s="1345"/>
      <c r="N271" s="1345"/>
      <c r="O271" s="975"/>
      <c r="P271" s="907"/>
      <c r="Q271" s="988"/>
    </row>
    <row r="272" spans="1:17" x14ac:dyDescent="0.25">
      <c r="A272" s="1346"/>
      <c r="B272" s="1347"/>
      <c r="C272" s="1347"/>
      <c r="D272" s="1347"/>
      <c r="E272" s="1347"/>
      <c r="F272" s="1347"/>
      <c r="G272" s="1347"/>
      <c r="H272" s="1347"/>
      <c r="I272" s="1347"/>
      <c r="J272" s="1347"/>
      <c r="K272" s="1347"/>
      <c r="L272" s="1345"/>
      <c r="M272" s="1345"/>
      <c r="N272" s="1345"/>
      <c r="O272" s="975"/>
      <c r="P272" s="907"/>
      <c r="Q272" s="988"/>
    </row>
    <row r="273" spans="1:17" x14ac:dyDescent="0.25">
      <c r="A273" s="1346"/>
      <c r="B273" s="1347"/>
      <c r="C273" s="1347"/>
      <c r="D273" s="1347"/>
      <c r="E273" s="1347"/>
      <c r="F273" s="1347"/>
      <c r="G273" s="1347"/>
      <c r="H273" s="1347"/>
      <c r="I273" s="1347"/>
      <c r="J273" s="1347"/>
      <c r="K273" s="1347"/>
      <c r="L273" s="1345"/>
      <c r="M273" s="1345"/>
      <c r="N273" s="1345"/>
      <c r="O273" s="975"/>
      <c r="P273" s="907"/>
      <c r="Q273" s="988"/>
    </row>
    <row r="274" spans="1:17" x14ac:dyDescent="0.25">
      <c r="A274" s="1346"/>
      <c r="B274" s="1347"/>
      <c r="C274" s="1347"/>
      <c r="D274" s="1347"/>
      <c r="E274" s="1347"/>
      <c r="F274" s="1347"/>
      <c r="G274" s="1347"/>
      <c r="H274" s="1347"/>
      <c r="I274" s="1347"/>
      <c r="J274" s="1347"/>
      <c r="K274" s="1347"/>
      <c r="L274" s="1345"/>
      <c r="M274" s="1345"/>
      <c r="N274" s="1345"/>
      <c r="O274" s="975"/>
      <c r="P274" s="907"/>
      <c r="Q274" s="988"/>
    </row>
    <row r="275" spans="1:17" x14ac:dyDescent="0.25">
      <c r="A275" s="1346"/>
      <c r="B275" s="1347"/>
      <c r="C275" s="1347"/>
      <c r="D275" s="1347"/>
      <c r="E275" s="1347"/>
      <c r="F275" s="1347"/>
      <c r="G275" s="1347"/>
      <c r="H275" s="1347"/>
      <c r="I275" s="1347"/>
      <c r="J275" s="1347"/>
      <c r="K275" s="1347"/>
      <c r="L275" s="1345"/>
      <c r="M275" s="1345"/>
      <c r="N275" s="1345"/>
      <c r="O275" s="975"/>
      <c r="P275" s="907"/>
      <c r="Q275" s="988"/>
    </row>
    <row r="276" spans="1:17" x14ac:dyDescent="0.25">
      <c r="A276" s="1346"/>
      <c r="B276" s="1347"/>
      <c r="C276" s="1347"/>
      <c r="D276" s="1347"/>
      <c r="E276" s="1347"/>
      <c r="F276" s="1347"/>
      <c r="G276" s="1347"/>
      <c r="H276" s="1347"/>
      <c r="I276" s="1347"/>
      <c r="J276" s="1347"/>
      <c r="K276" s="1347"/>
      <c r="L276" s="1345"/>
      <c r="M276" s="1345"/>
      <c r="N276" s="1345"/>
      <c r="O276" s="975"/>
      <c r="P276" s="907"/>
      <c r="Q276" s="988"/>
    </row>
    <row r="277" spans="1:17" x14ac:dyDescent="0.25">
      <c r="A277" s="1346"/>
      <c r="B277" s="1347"/>
      <c r="C277" s="1347"/>
      <c r="D277" s="1347"/>
      <c r="E277" s="1347"/>
      <c r="F277" s="1347"/>
      <c r="G277" s="1347"/>
      <c r="H277" s="1347"/>
      <c r="I277" s="1347"/>
      <c r="J277" s="1347"/>
      <c r="K277" s="1347"/>
      <c r="L277" s="1345"/>
      <c r="M277" s="1345"/>
      <c r="N277" s="1345"/>
      <c r="O277" s="975"/>
      <c r="P277" s="907"/>
      <c r="Q277" s="988"/>
    </row>
    <row r="278" spans="1:17" x14ac:dyDescent="0.25">
      <c r="A278" s="1346"/>
      <c r="B278" s="1347"/>
      <c r="C278" s="1347"/>
      <c r="D278" s="1347"/>
      <c r="E278" s="1347"/>
      <c r="F278" s="1347"/>
      <c r="G278" s="1347"/>
      <c r="H278" s="1347"/>
      <c r="I278" s="1347"/>
      <c r="J278" s="1347"/>
      <c r="K278" s="1347"/>
      <c r="L278" s="1345"/>
      <c r="M278" s="1345"/>
      <c r="N278" s="1345"/>
      <c r="O278" s="975"/>
      <c r="P278" s="907"/>
      <c r="Q278" s="988"/>
    </row>
    <row r="279" spans="1:17" x14ac:dyDescent="0.25">
      <c r="A279" s="1346"/>
      <c r="B279" s="1347"/>
      <c r="C279" s="1347"/>
      <c r="D279" s="1347"/>
      <c r="E279" s="1347"/>
      <c r="F279" s="1347"/>
      <c r="G279" s="1347"/>
      <c r="H279" s="1347"/>
      <c r="I279" s="1347"/>
      <c r="J279" s="1347"/>
      <c r="K279" s="1347"/>
      <c r="L279" s="1345"/>
      <c r="M279" s="1345"/>
      <c r="N279" s="1345"/>
      <c r="O279" s="975"/>
      <c r="P279" s="907"/>
      <c r="Q279" s="988"/>
    </row>
    <row r="280" spans="1:17" x14ac:dyDescent="0.25">
      <c r="A280" s="1346"/>
      <c r="B280" s="1347"/>
      <c r="C280" s="1347"/>
      <c r="D280" s="1347"/>
      <c r="E280" s="1347"/>
      <c r="F280" s="1347"/>
      <c r="G280" s="1347"/>
      <c r="H280" s="1347"/>
      <c r="I280" s="1347"/>
      <c r="J280" s="1347"/>
      <c r="K280" s="1347"/>
      <c r="L280" s="1345"/>
      <c r="M280" s="1345"/>
      <c r="N280" s="1345"/>
      <c r="O280" s="975"/>
      <c r="P280" s="907"/>
      <c r="Q280" s="988"/>
    </row>
    <row r="281" spans="1:17" ht="5.25" customHeight="1" x14ac:dyDescent="0.25">
      <c r="A281" s="912"/>
      <c r="B281" s="912"/>
      <c r="C281" s="912"/>
      <c r="D281" s="912"/>
      <c r="E281" s="912"/>
      <c r="F281" s="912"/>
      <c r="G281" s="912"/>
      <c r="H281" s="912"/>
      <c r="I281" s="912"/>
      <c r="J281" s="912"/>
      <c r="K281" s="912"/>
      <c r="L281" s="912"/>
      <c r="M281" s="912"/>
      <c r="N281" s="983"/>
      <c r="O281" s="913"/>
      <c r="P281" s="913"/>
      <c r="Q281" s="913"/>
    </row>
    <row r="282" spans="1:17" ht="15.75" x14ac:dyDescent="0.25">
      <c r="A282" s="1337" t="s">
        <v>7858</v>
      </c>
      <c r="B282" s="1337"/>
      <c r="C282" s="1337"/>
      <c r="D282" s="1337"/>
      <c r="E282" s="1337"/>
      <c r="F282" s="1337"/>
      <c r="G282" s="1337"/>
      <c r="H282" s="1337"/>
      <c r="I282" s="1337"/>
      <c r="J282" s="1337"/>
      <c r="K282" s="1337"/>
      <c r="L282" s="1337"/>
      <c r="M282" s="1337"/>
      <c r="N282" s="1337"/>
      <c r="O282" s="1337"/>
      <c r="P282" s="1337"/>
      <c r="Q282" s="1337"/>
    </row>
    <row r="283" spans="1:17" ht="6" customHeight="1" x14ac:dyDescent="0.25">
      <c r="A283" s="912"/>
      <c r="B283" s="912"/>
      <c r="C283" s="912"/>
      <c r="D283" s="912"/>
      <c r="E283" s="912"/>
      <c r="F283" s="912"/>
      <c r="G283" s="912"/>
      <c r="H283" s="912"/>
      <c r="I283" s="912"/>
      <c r="J283" s="912"/>
      <c r="K283" s="912"/>
      <c r="L283" s="912"/>
      <c r="M283" s="912"/>
      <c r="N283" s="983"/>
      <c r="O283" s="913"/>
      <c r="P283" s="913"/>
      <c r="Q283" s="913"/>
    </row>
    <row r="284" spans="1:17" ht="15" customHeight="1" x14ac:dyDescent="0.25">
      <c r="A284" s="1353" t="s">
        <v>7825</v>
      </c>
      <c r="B284" s="1354"/>
      <c r="C284" s="1354"/>
      <c r="D284" s="1354"/>
      <c r="E284" s="1354"/>
      <c r="F284" s="1354"/>
      <c r="G284" s="1354"/>
      <c r="H284" s="1354"/>
      <c r="I284" s="1354"/>
      <c r="J284" s="1354"/>
      <c r="K284" s="1397"/>
      <c r="L284" s="1344" t="s">
        <v>7729</v>
      </c>
      <c r="M284" s="1344"/>
      <c r="N284" s="1344"/>
      <c r="O284" s="1399" t="s">
        <v>147</v>
      </c>
      <c r="P284" s="1400"/>
      <c r="Q284" s="1040"/>
    </row>
    <row r="285" spans="1:17" x14ac:dyDescent="0.25">
      <c r="A285" s="1355"/>
      <c r="B285" s="1356"/>
      <c r="C285" s="1356"/>
      <c r="D285" s="1356"/>
      <c r="E285" s="1356"/>
      <c r="F285" s="1356"/>
      <c r="G285" s="1356"/>
      <c r="H285" s="1356"/>
      <c r="I285" s="1356"/>
      <c r="J285" s="1356"/>
      <c r="K285" s="1398"/>
      <c r="L285" s="1344"/>
      <c r="M285" s="1344"/>
      <c r="N285" s="1344"/>
      <c r="O285" s="1399" t="s">
        <v>205</v>
      </c>
      <c r="P285" s="1400"/>
      <c r="Q285" s="1040"/>
    </row>
    <row r="286" spans="1:17" ht="18" customHeight="1" x14ac:dyDescent="0.25">
      <c r="A286" s="1346"/>
      <c r="B286" s="1347"/>
      <c r="C286" s="1347"/>
      <c r="D286" s="1347"/>
      <c r="E286" s="1347"/>
      <c r="F286" s="1347"/>
      <c r="G286" s="1347"/>
      <c r="H286" s="1347"/>
      <c r="I286" s="1347"/>
      <c r="J286" s="1347"/>
      <c r="K286" s="1348"/>
      <c r="L286" s="1323"/>
      <c r="M286" s="1323"/>
      <c r="N286" s="1323"/>
      <c r="O286" s="1387"/>
      <c r="P286" s="1388"/>
      <c r="Q286" s="911"/>
    </row>
    <row r="287" spans="1:17" x14ac:dyDescent="0.25">
      <c r="A287" s="1346"/>
      <c r="B287" s="1347"/>
      <c r="C287" s="1347"/>
      <c r="D287" s="1347"/>
      <c r="E287" s="1347"/>
      <c r="F287" s="1347"/>
      <c r="G287" s="1347"/>
      <c r="H287" s="1347"/>
      <c r="I287" s="1347"/>
      <c r="J287" s="1347"/>
      <c r="K287" s="1348"/>
      <c r="L287" s="1323"/>
      <c r="M287" s="1323"/>
      <c r="N287" s="1323"/>
      <c r="O287" s="1387"/>
      <c r="P287" s="1388"/>
      <c r="Q287" s="911"/>
    </row>
    <row r="288" spans="1:17" x14ac:dyDescent="0.25">
      <c r="A288" s="1346"/>
      <c r="B288" s="1347"/>
      <c r="C288" s="1347"/>
      <c r="D288" s="1347"/>
      <c r="E288" s="1347"/>
      <c r="F288" s="1347"/>
      <c r="G288" s="1347"/>
      <c r="H288" s="1347"/>
      <c r="I288" s="1347"/>
      <c r="J288" s="1347"/>
      <c r="K288" s="1348"/>
      <c r="L288" s="1323"/>
      <c r="M288" s="1323"/>
      <c r="N288" s="1323"/>
      <c r="O288" s="1387"/>
      <c r="P288" s="1388"/>
      <c r="Q288" s="911"/>
    </row>
    <row r="289" spans="1:17" x14ac:dyDescent="0.25">
      <c r="A289" s="1346"/>
      <c r="B289" s="1347"/>
      <c r="C289" s="1347"/>
      <c r="D289" s="1347"/>
      <c r="E289" s="1347"/>
      <c r="F289" s="1347"/>
      <c r="G289" s="1347"/>
      <c r="H289" s="1347"/>
      <c r="I289" s="1347"/>
      <c r="J289" s="1347"/>
      <c r="K289" s="1348"/>
      <c r="L289" s="1345"/>
      <c r="M289" s="1345"/>
      <c r="N289" s="1345"/>
      <c r="O289" s="1387"/>
      <c r="P289" s="1388"/>
      <c r="Q289" s="911"/>
    </row>
    <row r="290" spans="1:17" x14ac:dyDescent="0.25">
      <c r="A290" s="1346"/>
      <c r="B290" s="1347"/>
      <c r="C290" s="1347"/>
      <c r="D290" s="1347"/>
      <c r="E290" s="1347"/>
      <c r="F290" s="1347"/>
      <c r="G290" s="1347"/>
      <c r="H290" s="1347"/>
      <c r="I290" s="1347"/>
      <c r="J290" s="1347"/>
      <c r="K290" s="1348"/>
      <c r="L290" s="1323"/>
      <c r="M290" s="1323"/>
      <c r="N290" s="1323"/>
      <c r="O290" s="1387"/>
      <c r="P290" s="1388"/>
      <c r="Q290" s="911"/>
    </row>
    <row r="291" spans="1:17" x14ac:dyDescent="0.25">
      <c r="A291" s="1346"/>
      <c r="B291" s="1347"/>
      <c r="C291" s="1347"/>
      <c r="D291" s="1347"/>
      <c r="E291" s="1347"/>
      <c r="F291" s="1347"/>
      <c r="G291" s="1347"/>
      <c r="H291" s="1347"/>
      <c r="I291" s="1347"/>
      <c r="J291" s="1347"/>
      <c r="K291" s="1348"/>
      <c r="L291" s="1323"/>
      <c r="M291" s="1323"/>
      <c r="N291" s="1323"/>
      <c r="O291" s="1387"/>
      <c r="P291" s="1388"/>
      <c r="Q291" s="911"/>
    </row>
    <row r="292" spans="1:17" x14ac:dyDescent="0.25">
      <c r="A292" s="1346"/>
      <c r="B292" s="1347"/>
      <c r="C292" s="1347"/>
      <c r="D292" s="1347"/>
      <c r="E292" s="1347"/>
      <c r="F292" s="1347"/>
      <c r="G292" s="1347"/>
      <c r="H292" s="1347"/>
      <c r="I292" s="1347"/>
      <c r="J292" s="1347"/>
      <c r="K292" s="1348"/>
      <c r="L292" s="1323"/>
      <c r="M292" s="1323"/>
      <c r="N292" s="1323"/>
      <c r="O292" s="1387"/>
      <c r="P292" s="1388"/>
      <c r="Q292" s="911"/>
    </row>
    <row r="293" spans="1:17" ht="15.75" customHeight="1" x14ac:dyDescent="0.25">
      <c r="A293" s="1346"/>
      <c r="B293" s="1347"/>
      <c r="C293" s="1347"/>
      <c r="D293" s="1347"/>
      <c r="E293" s="1347"/>
      <c r="F293" s="1347"/>
      <c r="G293" s="1347"/>
      <c r="H293" s="1347"/>
      <c r="I293" s="1347"/>
      <c r="J293" s="1347"/>
      <c r="K293" s="1348"/>
      <c r="L293" s="1323"/>
      <c r="M293" s="1323"/>
      <c r="N293" s="1323"/>
      <c r="O293" s="1387"/>
      <c r="P293" s="1388"/>
      <c r="Q293" s="911"/>
    </row>
    <row r="294" spans="1:17" x14ac:dyDescent="0.25">
      <c r="A294" s="1339"/>
      <c r="B294" s="1340"/>
      <c r="C294" s="1340"/>
      <c r="D294" s="1340"/>
      <c r="E294" s="1340"/>
      <c r="F294" s="1340"/>
      <c r="G294" s="1340"/>
      <c r="H294" s="1340"/>
      <c r="I294" s="1340"/>
      <c r="J294" s="1340"/>
      <c r="K294" s="1341"/>
      <c r="L294" s="1323"/>
      <c r="M294" s="1323"/>
      <c r="N294" s="1323"/>
      <c r="O294" s="1387"/>
      <c r="P294" s="1388"/>
      <c r="Q294" s="911"/>
    </row>
    <row r="295" spans="1:17" x14ac:dyDescent="0.25">
      <c r="A295" s="1327"/>
      <c r="B295" s="1327"/>
      <c r="C295" s="1327"/>
      <c r="D295" s="1327"/>
      <c r="E295" s="1327"/>
      <c r="F295" s="1327"/>
      <c r="G295" s="1327"/>
      <c r="H295" s="1327"/>
      <c r="I295" s="1327"/>
      <c r="J295" s="1327"/>
      <c r="K295" s="1327"/>
      <c r="L295" s="1323"/>
      <c r="M295" s="1323"/>
      <c r="N295" s="1323"/>
      <c r="O295" s="1387"/>
      <c r="P295" s="1388"/>
      <c r="Q295" s="911"/>
    </row>
    <row r="296" spans="1:17" x14ac:dyDescent="0.25">
      <c r="A296" s="1395"/>
      <c r="B296" s="1395"/>
      <c r="C296" s="1395"/>
      <c r="D296" s="1395"/>
      <c r="E296" s="1395"/>
      <c r="F296" s="1395"/>
      <c r="G296" s="1395"/>
      <c r="H296" s="1395"/>
      <c r="I296" s="1395"/>
      <c r="J296" s="981"/>
      <c r="K296" s="911"/>
      <c r="L296" s="911"/>
      <c r="M296" s="911"/>
      <c r="N296" s="911"/>
      <c r="O296" s="913"/>
      <c r="P296" s="913"/>
      <c r="Q296" s="913"/>
    </row>
    <row r="297" spans="1:17" ht="12.75" customHeight="1" x14ac:dyDescent="0.25">
      <c r="A297" s="1344" t="s">
        <v>7826</v>
      </c>
      <c r="B297" s="1344"/>
      <c r="C297" s="1344"/>
      <c r="D297" s="1344"/>
      <c r="E297" s="1344"/>
      <c r="F297" s="1344"/>
      <c r="G297" s="1344"/>
      <c r="H297" s="1344"/>
      <c r="I297" s="1344"/>
      <c r="J297" s="1344"/>
      <c r="K297" s="1344"/>
      <c r="L297" s="1344" t="s">
        <v>7729</v>
      </c>
      <c r="M297" s="1344"/>
      <c r="N297" s="1344"/>
      <c r="O297" s="1399" t="s">
        <v>147</v>
      </c>
      <c r="P297" s="1400"/>
      <c r="Q297" s="1040"/>
    </row>
    <row r="298" spans="1:17" x14ac:dyDescent="0.25">
      <c r="A298" s="1344"/>
      <c r="B298" s="1344"/>
      <c r="C298" s="1344"/>
      <c r="D298" s="1344"/>
      <c r="E298" s="1344"/>
      <c r="F298" s="1344"/>
      <c r="G298" s="1344"/>
      <c r="H298" s="1344"/>
      <c r="I298" s="1344"/>
      <c r="J298" s="1344"/>
      <c r="K298" s="1344"/>
      <c r="L298" s="1344"/>
      <c r="M298" s="1344"/>
      <c r="N298" s="1344"/>
      <c r="O298" s="1399" t="s">
        <v>205</v>
      </c>
      <c r="P298" s="1400"/>
      <c r="Q298" s="1040"/>
    </row>
    <row r="299" spans="1:17" x14ac:dyDescent="0.25">
      <c r="A299" s="1396"/>
      <c r="B299" s="1350"/>
      <c r="C299" s="1350"/>
      <c r="D299" s="1350"/>
      <c r="E299" s="1350"/>
      <c r="F299" s="1350"/>
      <c r="G299" s="1350"/>
      <c r="H299" s="1350"/>
      <c r="I299" s="1350"/>
      <c r="J299" s="1350"/>
      <c r="K299" s="1351"/>
      <c r="L299" s="1323"/>
      <c r="M299" s="1323"/>
      <c r="N299" s="1323"/>
      <c r="O299" s="1387"/>
      <c r="P299" s="1388"/>
      <c r="Q299" s="911"/>
    </row>
    <row r="300" spans="1:17" x14ac:dyDescent="0.25">
      <c r="A300" s="1349"/>
      <c r="B300" s="1350"/>
      <c r="C300" s="1350"/>
      <c r="D300" s="1350"/>
      <c r="E300" s="1350"/>
      <c r="F300" s="1350"/>
      <c r="G300" s="1350"/>
      <c r="H300" s="1350"/>
      <c r="I300" s="1350"/>
      <c r="J300" s="1350"/>
      <c r="K300" s="1351"/>
      <c r="L300" s="1323"/>
      <c r="M300" s="1323"/>
      <c r="N300" s="1323"/>
      <c r="O300" s="1387"/>
      <c r="P300" s="1388"/>
      <c r="Q300" s="911"/>
    </row>
    <row r="301" spans="1:17" x14ac:dyDescent="0.25">
      <c r="A301" s="1339"/>
      <c r="B301" s="1340"/>
      <c r="C301" s="1340"/>
      <c r="D301" s="1340"/>
      <c r="E301" s="1340"/>
      <c r="F301" s="1340"/>
      <c r="G301" s="1340"/>
      <c r="H301" s="1340"/>
      <c r="I301" s="1340"/>
      <c r="J301" s="1340"/>
      <c r="K301" s="1341"/>
      <c r="L301" s="1323"/>
      <c r="M301" s="1323"/>
      <c r="N301" s="1323"/>
      <c r="O301" s="1387"/>
      <c r="P301" s="1388"/>
      <c r="Q301" s="911"/>
    </row>
    <row r="302" spans="1:17" x14ac:dyDescent="0.25">
      <c r="A302" s="1339"/>
      <c r="B302" s="1340"/>
      <c r="C302" s="1340"/>
      <c r="D302" s="1340"/>
      <c r="E302" s="1340"/>
      <c r="F302" s="1340"/>
      <c r="G302" s="1340"/>
      <c r="H302" s="1340"/>
      <c r="I302" s="1340"/>
      <c r="J302" s="1340"/>
      <c r="K302" s="1341"/>
      <c r="L302" s="1323"/>
      <c r="M302" s="1323"/>
      <c r="N302" s="1323"/>
      <c r="O302" s="1387"/>
      <c r="P302" s="1388"/>
      <c r="Q302" s="911"/>
    </row>
    <row r="303" spans="1:17" x14ac:dyDescent="0.25">
      <c r="A303" s="1339"/>
      <c r="B303" s="1340"/>
      <c r="C303" s="1340"/>
      <c r="D303" s="1340"/>
      <c r="E303" s="1340"/>
      <c r="F303" s="1340"/>
      <c r="G303" s="1340"/>
      <c r="H303" s="1340"/>
      <c r="I303" s="1340"/>
      <c r="J303" s="1340"/>
      <c r="K303" s="1341"/>
      <c r="L303" s="1323"/>
      <c r="M303" s="1323"/>
      <c r="N303" s="1323"/>
      <c r="O303" s="1387"/>
      <c r="P303" s="1388"/>
      <c r="Q303" s="911"/>
    </row>
    <row r="304" spans="1:17" x14ac:dyDescent="0.25">
      <c r="A304" s="1339"/>
      <c r="B304" s="1340"/>
      <c r="C304" s="1340"/>
      <c r="D304" s="1340"/>
      <c r="E304" s="1340"/>
      <c r="F304" s="1340"/>
      <c r="G304" s="1340"/>
      <c r="H304" s="1340"/>
      <c r="I304" s="1340"/>
      <c r="J304" s="1340"/>
      <c r="K304" s="1341"/>
      <c r="L304" s="1323"/>
      <c r="M304" s="1323"/>
      <c r="N304" s="1323"/>
      <c r="O304" s="1387"/>
      <c r="P304" s="1388"/>
      <c r="Q304" s="911"/>
    </row>
    <row r="305" spans="1:17" x14ac:dyDescent="0.25">
      <c r="A305" s="1339"/>
      <c r="B305" s="1340"/>
      <c r="C305" s="1340"/>
      <c r="D305" s="1340"/>
      <c r="E305" s="1340"/>
      <c r="F305" s="1340"/>
      <c r="G305" s="1340"/>
      <c r="H305" s="1340"/>
      <c r="I305" s="1340"/>
      <c r="J305" s="1340"/>
      <c r="K305" s="1341"/>
      <c r="L305" s="1323"/>
      <c r="M305" s="1323"/>
      <c r="N305" s="1323"/>
      <c r="O305" s="1387"/>
      <c r="P305" s="1388"/>
      <c r="Q305" s="911"/>
    </row>
    <row r="306" spans="1:17" x14ac:dyDescent="0.25">
      <c r="A306" s="1339"/>
      <c r="B306" s="1340"/>
      <c r="C306" s="1340"/>
      <c r="D306" s="1340"/>
      <c r="E306" s="1340"/>
      <c r="F306" s="1340"/>
      <c r="G306" s="1340"/>
      <c r="H306" s="1340"/>
      <c r="I306" s="1340"/>
      <c r="J306" s="1340"/>
      <c r="K306" s="1341"/>
      <c r="L306" s="1323"/>
      <c r="M306" s="1323"/>
      <c r="N306" s="1323"/>
      <c r="O306" s="1387"/>
      <c r="P306" s="1388"/>
      <c r="Q306" s="911"/>
    </row>
    <row r="307" spans="1:17" ht="12.75" customHeight="1" x14ac:dyDescent="0.25">
      <c r="A307" s="912"/>
      <c r="B307" s="912"/>
      <c r="C307" s="912"/>
      <c r="D307" s="912"/>
      <c r="E307" s="912"/>
      <c r="F307" s="912"/>
      <c r="G307" s="912"/>
      <c r="H307" s="912"/>
      <c r="I307" s="912"/>
      <c r="J307" s="912"/>
      <c r="K307" s="912"/>
      <c r="L307" s="912"/>
      <c r="M307" s="912"/>
      <c r="N307" s="912"/>
      <c r="O307" s="913"/>
      <c r="P307" s="913"/>
      <c r="Q307" s="913"/>
    </row>
    <row r="308" spans="1:17" ht="12.75" customHeight="1" x14ac:dyDescent="0.25">
      <c r="A308" s="1344" t="s">
        <v>7828</v>
      </c>
      <c r="B308" s="1344"/>
      <c r="C308" s="1344"/>
      <c r="D308" s="1344"/>
      <c r="E308" s="1344"/>
      <c r="F308" s="1344"/>
      <c r="G308" s="1344"/>
      <c r="H308" s="1344"/>
      <c r="I308" s="1344"/>
      <c r="J308" s="1344"/>
      <c r="K308" s="1344"/>
      <c r="L308" s="912"/>
      <c r="M308" s="912"/>
      <c r="N308" s="912"/>
      <c r="O308" s="913"/>
      <c r="P308" s="913"/>
      <c r="Q308" s="913"/>
    </row>
    <row r="309" spans="1:17" ht="12.75" customHeight="1" x14ac:dyDescent="0.25">
      <c r="A309" s="1344"/>
      <c r="B309" s="1344"/>
      <c r="C309" s="1344"/>
      <c r="D309" s="1344"/>
      <c r="E309" s="1344"/>
      <c r="F309" s="1344"/>
      <c r="G309" s="1344"/>
      <c r="H309" s="1344"/>
      <c r="I309" s="1344"/>
      <c r="J309" s="1344"/>
      <c r="K309" s="1344"/>
      <c r="L309" s="912"/>
      <c r="M309" s="912"/>
      <c r="N309" s="912"/>
      <c r="O309" s="913"/>
      <c r="P309" s="913"/>
      <c r="Q309" s="913"/>
    </row>
    <row r="310" spans="1:17" ht="25.5" customHeight="1" x14ac:dyDescent="0.25">
      <c r="A310" s="1338" t="s">
        <v>7832</v>
      </c>
      <c r="B310" s="1338"/>
      <c r="C310" s="1338"/>
      <c r="D310" s="1338"/>
      <c r="E310" s="1338"/>
      <c r="F310" s="1338"/>
      <c r="G310" s="1338"/>
      <c r="H310" s="1338"/>
      <c r="I310" s="1338"/>
      <c r="J310" s="1338"/>
      <c r="K310" s="1338"/>
      <c r="L310" s="912"/>
      <c r="M310" s="912"/>
      <c r="N310" s="912"/>
      <c r="O310" s="913"/>
      <c r="P310" s="913"/>
      <c r="Q310" s="913"/>
    </row>
    <row r="311" spans="1:17" x14ac:dyDescent="0.25">
      <c r="A311" s="1327"/>
      <c r="B311" s="1327"/>
      <c r="C311" s="1327"/>
      <c r="D311" s="1327"/>
      <c r="E311" s="1327"/>
      <c r="F311" s="1327"/>
      <c r="G311" s="1327"/>
      <c r="H311" s="1327"/>
      <c r="I311" s="1327"/>
      <c r="J311" s="1327"/>
      <c r="K311" s="1327"/>
      <c r="L311" s="912"/>
      <c r="M311" s="912"/>
      <c r="N311" s="912"/>
      <c r="O311" s="913"/>
      <c r="P311" s="913"/>
      <c r="Q311" s="913"/>
    </row>
    <row r="312" spans="1:17" x14ac:dyDescent="0.25">
      <c r="A312" s="1327"/>
      <c r="B312" s="1327"/>
      <c r="C312" s="1327"/>
      <c r="D312" s="1327"/>
      <c r="E312" s="1327"/>
      <c r="F312" s="1327"/>
      <c r="G312" s="1327"/>
      <c r="H312" s="1327"/>
      <c r="I312" s="1327"/>
      <c r="J312" s="1327"/>
      <c r="K312" s="1327"/>
      <c r="L312" s="912"/>
      <c r="M312" s="912"/>
      <c r="N312" s="912"/>
      <c r="O312" s="913"/>
      <c r="P312" s="913"/>
      <c r="Q312" s="913"/>
    </row>
    <row r="313" spans="1:17" x14ac:dyDescent="0.25">
      <c r="A313" s="1327"/>
      <c r="B313" s="1327"/>
      <c r="C313" s="1327"/>
      <c r="D313" s="1327"/>
      <c r="E313" s="1327"/>
      <c r="F313" s="1327"/>
      <c r="G313" s="1327"/>
      <c r="H313" s="1327"/>
      <c r="I313" s="1327"/>
      <c r="J313" s="1327"/>
      <c r="K313" s="1327"/>
      <c r="L313" s="912"/>
      <c r="M313" s="912"/>
      <c r="N313" s="912"/>
      <c r="O313" s="913"/>
      <c r="P313" s="913"/>
      <c r="Q313" s="913"/>
    </row>
    <row r="314" spans="1:17" x14ac:dyDescent="0.25">
      <c r="A314" s="1327"/>
      <c r="B314" s="1327"/>
      <c r="C314" s="1327"/>
      <c r="D314" s="1327"/>
      <c r="E314" s="1327"/>
      <c r="F314" s="1327"/>
      <c r="G314" s="1327"/>
      <c r="H314" s="1327"/>
      <c r="I314" s="1327"/>
      <c r="J314" s="1327"/>
      <c r="K314" s="1327"/>
      <c r="L314" s="912"/>
      <c r="M314" s="912"/>
      <c r="N314" s="912"/>
      <c r="O314" s="913"/>
      <c r="P314" s="913"/>
      <c r="Q314" s="913"/>
    </row>
    <row r="315" spans="1:17" x14ac:dyDescent="0.25">
      <c r="A315" s="1327"/>
      <c r="B315" s="1327"/>
      <c r="C315" s="1327"/>
      <c r="D315" s="1327"/>
      <c r="E315" s="1327"/>
      <c r="F315" s="1327"/>
      <c r="G315" s="1327"/>
      <c r="H315" s="1327"/>
      <c r="I315" s="1327"/>
      <c r="J315" s="1327"/>
      <c r="K315" s="1327"/>
      <c r="L315" s="912"/>
      <c r="M315" s="912"/>
      <c r="N315" s="912"/>
      <c r="O315" s="913"/>
      <c r="P315" s="913"/>
      <c r="Q315" s="913"/>
    </row>
    <row r="316" spans="1:17" x14ac:dyDescent="0.25">
      <c r="A316" s="1327"/>
      <c r="B316" s="1327"/>
      <c r="C316" s="1327"/>
      <c r="D316" s="1327"/>
      <c r="E316" s="1327"/>
      <c r="F316" s="1327"/>
      <c r="G316" s="1327"/>
      <c r="H316" s="1327"/>
      <c r="I316" s="1327"/>
      <c r="J316" s="1327"/>
      <c r="K316" s="1327"/>
      <c r="L316" s="912"/>
      <c r="M316" s="912"/>
      <c r="N316" s="912"/>
      <c r="O316" s="913"/>
      <c r="P316" s="913"/>
      <c r="Q316" s="913"/>
    </row>
    <row r="317" spans="1:17" x14ac:dyDescent="0.25">
      <c r="A317" s="1327"/>
      <c r="B317" s="1327"/>
      <c r="C317" s="1327"/>
      <c r="D317" s="1327"/>
      <c r="E317" s="1327"/>
      <c r="F317" s="1327"/>
      <c r="G317" s="1327"/>
      <c r="H317" s="1327"/>
      <c r="I317" s="1327"/>
      <c r="J317" s="1327"/>
      <c r="K317" s="1327"/>
      <c r="L317" s="912"/>
      <c r="M317" s="912"/>
      <c r="N317" s="912"/>
      <c r="O317" s="913"/>
      <c r="P317" s="913"/>
      <c r="Q317" s="913"/>
    </row>
    <row r="318" spans="1:17" x14ac:dyDescent="0.25">
      <c r="A318" s="1327"/>
      <c r="B318" s="1327"/>
      <c r="C318" s="1327"/>
      <c r="D318" s="1327"/>
      <c r="E318" s="1327"/>
      <c r="F318" s="1327"/>
      <c r="G318" s="1327"/>
      <c r="H318" s="1327"/>
      <c r="I318" s="1327"/>
      <c r="J318" s="1327"/>
      <c r="K318" s="1327"/>
      <c r="L318" s="912"/>
      <c r="M318" s="912"/>
      <c r="N318" s="912"/>
      <c r="O318" s="913"/>
      <c r="P318" s="913"/>
      <c r="Q318" s="913"/>
    </row>
    <row r="319" spans="1:17" x14ac:dyDescent="0.25">
      <c r="A319" s="1327"/>
      <c r="B319" s="1327"/>
      <c r="C319" s="1327"/>
      <c r="D319" s="1327"/>
      <c r="E319" s="1327"/>
      <c r="F319" s="1327"/>
      <c r="G319" s="1327"/>
      <c r="H319" s="1327"/>
      <c r="I319" s="1327"/>
      <c r="J319" s="1327"/>
      <c r="K319" s="1327"/>
      <c r="L319" s="912"/>
      <c r="M319" s="912"/>
      <c r="N319" s="912"/>
      <c r="O319" s="913"/>
      <c r="P319" s="913"/>
      <c r="Q319" s="913"/>
    </row>
    <row r="320" spans="1:17" ht="27" customHeight="1" x14ac:dyDescent="0.25">
      <c r="A320" s="1338" t="s">
        <v>7829</v>
      </c>
      <c r="B320" s="1338"/>
      <c r="C320" s="1338"/>
      <c r="D320" s="1338"/>
      <c r="E320" s="1338"/>
      <c r="F320" s="1338"/>
      <c r="G320" s="1338"/>
      <c r="H320" s="1338"/>
      <c r="I320" s="1338"/>
      <c r="J320" s="1338"/>
      <c r="K320" s="1338"/>
      <c r="L320" s="912"/>
      <c r="M320" s="912"/>
      <c r="N320" s="912"/>
      <c r="O320" s="913"/>
      <c r="P320" s="913"/>
      <c r="Q320" s="913"/>
    </row>
    <row r="321" spans="1:17" x14ac:dyDescent="0.25">
      <c r="A321" s="1327"/>
      <c r="B321" s="1327"/>
      <c r="C321" s="1327"/>
      <c r="D321" s="1327"/>
      <c r="E321" s="1327"/>
      <c r="F321" s="1327"/>
      <c r="G321" s="1327"/>
      <c r="H321" s="1327"/>
      <c r="I321" s="1327"/>
      <c r="J321" s="1327"/>
      <c r="K321" s="1327"/>
      <c r="L321" s="912"/>
      <c r="M321" s="912"/>
      <c r="N321" s="912"/>
      <c r="O321" s="913"/>
      <c r="P321" s="913"/>
      <c r="Q321" s="913"/>
    </row>
    <row r="322" spans="1:17" x14ac:dyDescent="0.25">
      <c r="A322" s="1327"/>
      <c r="B322" s="1327"/>
      <c r="C322" s="1327"/>
      <c r="D322" s="1327"/>
      <c r="E322" s="1327"/>
      <c r="F322" s="1327"/>
      <c r="G322" s="1327"/>
      <c r="H322" s="1327"/>
      <c r="I322" s="1327"/>
      <c r="J322" s="1327"/>
      <c r="K322" s="1327"/>
      <c r="L322" s="912"/>
      <c r="M322" s="912"/>
      <c r="N322" s="912"/>
      <c r="O322" s="913"/>
      <c r="P322" s="913"/>
      <c r="Q322" s="913"/>
    </row>
    <row r="323" spans="1:17" x14ac:dyDescent="0.25">
      <c r="A323" s="1327"/>
      <c r="B323" s="1327"/>
      <c r="C323" s="1327"/>
      <c r="D323" s="1327"/>
      <c r="E323" s="1327"/>
      <c r="F323" s="1327"/>
      <c r="G323" s="1327"/>
      <c r="H323" s="1327"/>
      <c r="I323" s="1327"/>
      <c r="J323" s="1327"/>
      <c r="K323" s="1327"/>
      <c r="L323" s="912"/>
      <c r="M323" s="912"/>
      <c r="N323" s="912"/>
      <c r="O323" s="913"/>
      <c r="P323" s="913"/>
      <c r="Q323" s="913"/>
    </row>
    <row r="324" spans="1:17" x14ac:dyDescent="0.25">
      <c r="A324" s="1327"/>
      <c r="B324" s="1327"/>
      <c r="C324" s="1327"/>
      <c r="D324" s="1327"/>
      <c r="E324" s="1327"/>
      <c r="F324" s="1327"/>
      <c r="G324" s="1327"/>
      <c r="H324" s="1327"/>
      <c r="I324" s="1327"/>
      <c r="J324" s="1327"/>
      <c r="K324" s="1327"/>
      <c r="L324" s="912"/>
      <c r="M324" s="912"/>
      <c r="N324" s="912"/>
      <c r="O324" s="913"/>
      <c r="P324" s="913"/>
      <c r="Q324" s="913"/>
    </row>
    <row r="325" spans="1:17" x14ac:dyDescent="0.25">
      <c r="A325" s="1327"/>
      <c r="B325" s="1327"/>
      <c r="C325" s="1327"/>
      <c r="D325" s="1327"/>
      <c r="E325" s="1327"/>
      <c r="F325" s="1327"/>
      <c r="G325" s="1327"/>
      <c r="H325" s="1327"/>
      <c r="I325" s="1327"/>
      <c r="J325" s="1327"/>
      <c r="K325" s="1327"/>
      <c r="L325" s="912"/>
      <c r="M325" s="912"/>
      <c r="N325" s="912"/>
      <c r="O325" s="913"/>
      <c r="P325" s="913"/>
      <c r="Q325" s="913"/>
    </row>
    <row r="326" spans="1:17" x14ac:dyDescent="0.25">
      <c r="A326" s="1327"/>
      <c r="B326" s="1327"/>
      <c r="C326" s="1327"/>
      <c r="D326" s="1327"/>
      <c r="E326" s="1327"/>
      <c r="F326" s="1327"/>
      <c r="G326" s="1327"/>
      <c r="H326" s="1327"/>
      <c r="I326" s="1327"/>
      <c r="J326" s="1327"/>
      <c r="K326" s="1327"/>
      <c r="L326" s="912"/>
      <c r="M326" s="912"/>
      <c r="N326" s="912"/>
      <c r="O326" s="913"/>
      <c r="P326" s="913"/>
      <c r="Q326" s="913"/>
    </row>
    <row r="327" spans="1:17" x14ac:dyDescent="0.25">
      <c r="A327" s="1327"/>
      <c r="B327" s="1327"/>
      <c r="C327" s="1327"/>
      <c r="D327" s="1327"/>
      <c r="E327" s="1327"/>
      <c r="F327" s="1327"/>
      <c r="G327" s="1327"/>
      <c r="H327" s="1327"/>
      <c r="I327" s="1327"/>
      <c r="J327" s="1327"/>
      <c r="K327" s="1327"/>
      <c r="L327" s="912"/>
      <c r="M327" s="912"/>
      <c r="N327" s="912"/>
      <c r="O327" s="913"/>
      <c r="P327" s="913"/>
      <c r="Q327" s="913"/>
    </row>
    <row r="328" spans="1:17" ht="12.75" customHeight="1" x14ac:dyDescent="0.25">
      <c r="A328" s="912"/>
      <c r="B328" s="912"/>
      <c r="C328" s="912"/>
      <c r="D328" s="912"/>
      <c r="E328" s="912"/>
      <c r="F328" s="912"/>
      <c r="G328" s="912"/>
      <c r="H328" s="912"/>
      <c r="I328" s="912"/>
      <c r="J328" s="912"/>
      <c r="K328" s="912"/>
      <c r="L328" s="912"/>
      <c r="M328" s="912"/>
      <c r="N328" s="912"/>
      <c r="O328" s="913"/>
      <c r="P328" s="913"/>
      <c r="Q328" s="913"/>
    </row>
    <row r="329" spans="1:17" ht="15.75" x14ac:dyDescent="0.25">
      <c r="A329" s="1337" t="s">
        <v>438</v>
      </c>
      <c r="B329" s="1337"/>
      <c r="C329" s="1337"/>
      <c r="D329" s="1337"/>
      <c r="E329" s="1337"/>
      <c r="F329" s="1337"/>
      <c r="G329" s="1337"/>
      <c r="H329" s="1337"/>
      <c r="I329" s="1337"/>
      <c r="J329" s="1337"/>
      <c r="K329" s="1337"/>
      <c r="L329" s="1337"/>
      <c r="M329" s="1337"/>
      <c r="N329" s="1337"/>
      <c r="O329" s="1337"/>
      <c r="P329" s="1337"/>
      <c r="Q329" s="1337"/>
    </row>
    <row r="330" spans="1:17" ht="56.25" customHeight="1" x14ac:dyDescent="0.25">
      <c r="A330" s="1328" t="s">
        <v>8171</v>
      </c>
      <c r="B330" s="1329"/>
      <c r="C330" s="1329"/>
      <c r="D330" s="1329"/>
      <c r="E330" s="1329"/>
      <c r="F330" s="1329"/>
      <c r="G330" s="1329"/>
      <c r="H330" s="1329"/>
      <c r="I330" s="1329"/>
      <c r="J330" s="1329"/>
      <c r="K330" s="1329"/>
      <c r="L330" s="1329"/>
      <c r="M330" s="1329"/>
      <c r="N330" s="1329"/>
      <c r="O330" s="1329"/>
      <c r="P330" s="1329"/>
      <c r="Q330" s="993"/>
    </row>
    <row r="331" spans="1:17" ht="67.5" customHeight="1" x14ac:dyDescent="0.25">
      <c r="A331" s="1330" t="s">
        <v>8172</v>
      </c>
      <c r="B331" s="1331"/>
      <c r="C331" s="1331"/>
      <c r="D331" s="1331"/>
      <c r="E331" s="1331"/>
      <c r="F331" s="1331"/>
      <c r="G331" s="1331"/>
      <c r="H331" s="1331"/>
      <c r="I331" s="1331"/>
      <c r="J331" s="1331"/>
      <c r="K331" s="1331"/>
      <c r="L331" s="1331"/>
      <c r="M331" s="1331"/>
      <c r="N331" s="1331"/>
      <c r="O331" s="1331"/>
      <c r="P331" s="1331"/>
      <c r="Q331" s="993"/>
    </row>
    <row r="332" spans="1:17" x14ac:dyDescent="0.25">
      <c r="A332" s="1332"/>
      <c r="B332" s="1333"/>
      <c r="C332" s="1333"/>
      <c r="D332" s="1333"/>
      <c r="E332" s="1333"/>
      <c r="F332" s="1333"/>
      <c r="G332" s="1333"/>
      <c r="H332" s="1333"/>
      <c r="I332" s="1333"/>
      <c r="J332" s="1333"/>
      <c r="K332" s="1333"/>
      <c r="L332" s="1333"/>
      <c r="M332" s="1333"/>
      <c r="N332" s="1333"/>
      <c r="O332" s="1333"/>
      <c r="P332" s="1333"/>
      <c r="Q332" s="993"/>
    </row>
    <row r="333" spans="1:17" x14ac:dyDescent="0.25">
      <c r="A333" s="1332"/>
      <c r="B333" s="1333"/>
      <c r="C333" s="1333"/>
      <c r="D333" s="1333"/>
      <c r="E333" s="1333"/>
      <c r="F333" s="1333"/>
      <c r="G333" s="1333"/>
      <c r="H333" s="1333"/>
      <c r="I333" s="1333"/>
      <c r="J333" s="1333"/>
      <c r="K333" s="1333"/>
      <c r="L333" s="1333"/>
      <c r="M333" s="1333"/>
      <c r="N333" s="1333"/>
      <c r="O333" s="1333"/>
      <c r="P333" s="1333"/>
      <c r="Q333" s="993"/>
    </row>
    <row r="334" spans="1:17" ht="12.75" hidden="1" customHeight="1" x14ac:dyDescent="0.25">
      <c r="A334" s="1334"/>
      <c r="B334" s="1335"/>
      <c r="C334" s="1335"/>
      <c r="D334" s="1335"/>
      <c r="E334" s="1335"/>
      <c r="F334" s="1335"/>
      <c r="G334" s="1335"/>
      <c r="H334" s="1335"/>
      <c r="I334" s="1335"/>
      <c r="J334" s="1335"/>
      <c r="K334" s="1335"/>
      <c r="L334" s="1335"/>
      <c r="M334" s="1335"/>
      <c r="N334" s="1336"/>
      <c r="O334" s="913"/>
      <c r="P334" s="913"/>
      <c r="Q334" s="913"/>
    </row>
    <row r="335" spans="1:17" ht="5.0999999999999996" customHeight="1" x14ac:dyDescent="0.25">
      <c r="A335" s="912"/>
      <c r="B335" s="912"/>
      <c r="C335" s="912"/>
      <c r="D335" s="912"/>
      <c r="E335" s="912"/>
      <c r="F335" s="912"/>
      <c r="G335" s="912"/>
      <c r="H335" s="912"/>
      <c r="I335" s="912"/>
      <c r="J335" s="912"/>
      <c r="K335" s="912"/>
      <c r="L335" s="912"/>
      <c r="M335" s="912"/>
      <c r="N335" s="912"/>
      <c r="O335" s="913"/>
      <c r="P335" s="913"/>
      <c r="Q335" s="913"/>
    </row>
    <row r="336" spans="1:17" x14ac:dyDescent="0.25">
      <c r="A336" s="1342" t="s">
        <v>522</v>
      </c>
      <c r="B336" s="1342"/>
      <c r="C336" s="1342"/>
      <c r="D336" s="1342"/>
      <c r="E336" s="1342"/>
      <c r="F336" s="1342"/>
      <c r="G336" s="1342"/>
      <c r="H336" s="1342"/>
      <c r="I336" s="1342"/>
      <c r="J336" s="1342"/>
      <c r="K336" s="1342"/>
      <c r="L336" s="1342"/>
      <c r="M336" s="1342"/>
      <c r="N336" s="1342"/>
      <c r="O336" s="1342"/>
      <c r="P336" s="1342"/>
      <c r="Q336" s="170"/>
    </row>
    <row r="337" spans="1:17" x14ac:dyDescent="0.25">
      <c r="A337" s="912"/>
      <c r="B337" s="912"/>
      <c r="C337" s="912"/>
      <c r="D337" s="912"/>
      <c r="E337" s="912"/>
      <c r="F337" s="912"/>
      <c r="G337" s="912"/>
      <c r="H337" s="912"/>
      <c r="I337" s="912"/>
      <c r="J337" s="912"/>
      <c r="K337" s="912"/>
      <c r="L337" s="912"/>
      <c r="M337" s="912"/>
      <c r="N337" s="912"/>
      <c r="O337" s="913"/>
      <c r="P337" s="913"/>
      <c r="Q337" s="913"/>
    </row>
    <row r="338" spans="1:17" x14ac:dyDescent="0.25">
      <c r="A338" s="912"/>
      <c r="B338" s="912"/>
      <c r="C338" s="913"/>
      <c r="D338" s="1343" t="s">
        <v>321</v>
      </c>
      <c r="E338" s="1343"/>
      <c r="F338" s="1343" t="s">
        <v>39</v>
      </c>
      <c r="G338" s="1343"/>
      <c r="H338" s="1343"/>
      <c r="I338" s="1343"/>
      <c r="J338" s="1343"/>
      <c r="K338" s="1343"/>
      <c r="L338" s="912"/>
      <c r="M338" s="912"/>
      <c r="N338" s="912"/>
      <c r="O338" s="913"/>
      <c r="P338" s="913"/>
      <c r="Q338" s="913"/>
    </row>
    <row r="339" spans="1:17" x14ac:dyDescent="0.25">
      <c r="A339" s="912"/>
      <c r="B339" s="912"/>
      <c r="C339" s="913"/>
      <c r="D339" s="1323"/>
      <c r="E339" s="1323"/>
      <c r="F339" s="1323"/>
      <c r="G339" s="1323"/>
      <c r="H339" s="1323"/>
      <c r="I339" s="1323"/>
      <c r="J339" s="1323"/>
      <c r="K339" s="1323"/>
      <c r="L339" s="912"/>
      <c r="M339" s="912"/>
      <c r="N339" s="912"/>
      <c r="O339" s="913"/>
      <c r="P339" s="913"/>
      <c r="Q339" s="913"/>
    </row>
    <row r="340" spans="1:17" x14ac:dyDescent="0.25">
      <c r="A340" s="912"/>
      <c r="B340" s="912"/>
      <c r="C340" s="913"/>
      <c r="D340" s="1323"/>
      <c r="E340" s="1323"/>
      <c r="F340" s="1323"/>
      <c r="G340" s="1323"/>
      <c r="H340" s="1323"/>
      <c r="I340" s="1323"/>
      <c r="J340" s="1323"/>
      <c r="K340" s="1323"/>
      <c r="L340" s="912"/>
      <c r="M340" s="912"/>
      <c r="N340" s="912"/>
      <c r="O340" s="913"/>
      <c r="P340" s="913"/>
      <c r="Q340" s="913"/>
    </row>
    <row r="341" spans="1:17" x14ac:dyDescent="0.25">
      <c r="A341" s="912"/>
      <c r="B341" s="912"/>
      <c r="C341" s="913"/>
      <c r="D341" s="1323"/>
      <c r="E341" s="1323"/>
      <c r="F341" s="1323"/>
      <c r="G341" s="1323"/>
      <c r="H341" s="1323"/>
      <c r="I341" s="1323"/>
      <c r="J341" s="1323"/>
      <c r="K341" s="1323"/>
      <c r="L341" s="912"/>
      <c r="M341" s="912"/>
      <c r="N341" s="912"/>
      <c r="O341" s="913"/>
      <c r="P341" s="913"/>
      <c r="Q341" s="913"/>
    </row>
    <row r="342" spans="1:17" x14ac:dyDescent="0.25">
      <c r="A342" s="912"/>
      <c r="B342" s="912"/>
      <c r="C342" s="913"/>
      <c r="D342" s="1323"/>
      <c r="E342" s="1323"/>
      <c r="F342" s="1323"/>
      <c r="G342" s="1323"/>
      <c r="H342" s="1323"/>
      <c r="I342" s="1323"/>
      <c r="J342" s="1323"/>
      <c r="K342" s="1323"/>
      <c r="L342" s="912"/>
      <c r="M342" s="912"/>
      <c r="N342" s="912"/>
      <c r="O342" s="913"/>
      <c r="P342" s="913"/>
      <c r="Q342" s="913"/>
    </row>
    <row r="343" spans="1:17" x14ac:dyDescent="0.25">
      <c r="A343" s="912"/>
      <c r="B343" s="912"/>
      <c r="C343" s="913"/>
      <c r="D343" s="1323"/>
      <c r="E343" s="1323"/>
      <c r="F343" s="1323"/>
      <c r="G343" s="1323"/>
      <c r="H343" s="1323"/>
      <c r="I343" s="1323"/>
      <c r="J343" s="1323"/>
      <c r="K343" s="1323"/>
      <c r="L343" s="912"/>
      <c r="M343" s="912"/>
      <c r="N343" s="912"/>
      <c r="O343" s="913"/>
      <c r="P343" s="913"/>
      <c r="Q343" s="913"/>
    </row>
    <row r="344" spans="1:17" x14ac:dyDescent="0.25">
      <c r="A344" s="912"/>
      <c r="B344" s="912"/>
      <c r="C344" s="913"/>
      <c r="D344" s="1327" t="s">
        <v>8068</v>
      </c>
      <c r="E344" s="1327"/>
      <c r="F344" s="1327" t="s">
        <v>8069</v>
      </c>
      <c r="G344" s="1327"/>
      <c r="H344" s="1327" t="s">
        <v>8070</v>
      </c>
      <c r="I344" s="1327"/>
      <c r="J344" s="1327" t="s">
        <v>8072</v>
      </c>
      <c r="K344" s="1327"/>
      <c r="L344" s="912"/>
      <c r="M344" s="912"/>
      <c r="N344" s="912"/>
      <c r="O344" s="913"/>
      <c r="P344" s="913"/>
      <c r="Q344" s="913"/>
    </row>
    <row r="345" spans="1:17" x14ac:dyDescent="0.25">
      <c r="A345" s="912"/>
      <c r="B345" s="912"/>
      <c r="C345" s="913"/>
      <c r="D345" s="1327" t="s">
        <v>7992</v>
      </c>
      <c r="E345" s="1327"/>
      <c r="F345" s="1327" t="s">
        <v>7993</v>
      </c>
      <c r="G345" s="1327"/>
      <c r="H345" s="1327" t="s">
        <v>8071</v>
      </c>
      <c r="I345" s="1327"/>
      <c r="J345" s="1327" t="s">
        <v>7727</v>
      </c>
      <c r="K345" s="1327"/>
      <c r="L345" s="912"/>
      <c r="M345" s="912"/>
      <c r="N345" s="912"/>
      <c r="O345" s="913"/>
      <c r="P345" s="913"/>
      <c r="Q345" s="913"/>
    </row>
    <row r="346" spans="1:17" x14ac:dyDescent="0.25">
      <c r="A346" s="912"/>
      <c r="B346" s="912"/>
      <c r="C346" s="913"/>
      <c r="D346" s="1327" t="s">
        <v>8155</v>
      </c>
      <c r="E346" s="1327"/>
      <c r="F346" s="1327" t="s">
        <v>8156</v>
      </c>
      <c r="G346" s="1327"/>
      <c r="H346" s="1327" t="s">
        <v>11</v>
      </c>
      <c r="I346" s="1327"/>
      <c r="J346" s="1327" t="s">
        <v>11</v>
      </c>
      <c r="K346" s="1327"/>
      <c r="L346" s="912"/>
      <c r="M346" s="912"/>
      <c r="N346" s="912"/>
      <c r="O346" s="913"/>
      <c r="P346" s="913"/>
      <c r="Q346" s="913"/>
    </row>
  </sheetData>
  <sheetProtection password="CCA9" sheet="1" formatCells="0" formatRows="0" selectLockedCells="1"/>
  <dataConsolidate/>
  <mergeCells count="481">
    <mergeCell ref="A193:G193"/>
    <mergeCell ref="A178:G178"/>
    <mergeCell ref="A179:G179"/>
    <mergeCell ref="A180:G180"/>
    <mergeCell ref="A181:G181"/>
    <mergeCell ref="F182:P182"/>
    <mergeCell ref="A149:Q149"/>
    <mergeCell ref="N140:P141"/>
    <mergeCell ref="A147:P147"/>
    <mergeCell ref="F128:G128"/>
    <mergeCell ref="A219:A220"/>
    <mergeCell ref="J152:J153"/>
    <mergeCell ref="A112:Q112"/>
    <mergeCell ref="A186:G186"/>
    <mergeCell ref="A187:G187"/>
    <mergeCell ref="A189:G189"/>
    <mergeCell ref="A190:G190"/>
    <mergeCell ref="A191:G191"/>
    <mergeCell ref="A192:G192"/>
    <mergeCell ref="A195:Q195"/>
    <mergeCell ref="E207:F207"/>
    <mergeCell ref="E209:F209"/>
    <mergeCell ref="G209:H209"/>
    <mergeCell ref="G207:H207"/>
    <mergeCell ref="A135:P135"/>
    <mergeCell ref="A138:G138"/>
    <mergeCell ref="A139:G139"/>
    <mergeCell ref="A115:P115"/>
    <mergeCell ref="A116:P116"/>
    <mergeCell ref="H130:I130"/>
    <mergeCell ref="H131:I131"/>
    <mergeCell ref="H152:H153"/>
    <mergeCell ref="A140:G140"/>
    <mergeCell ref="C233:D233"/>
    <mergeCell ref="A117:P117"/>
    <mergeCell ref="P219:P220"/>
    <mergeCell ref="E219:E220"/>
    <mergeCell ref="D219:D220"/>
    <mergeCell ref="F125:G125"/>
    <mergeCell ref="F126:G126"/>
    <mergeCell ref="F127:G127"/>
    <mergeCell ref="F130:G130"/>
    <mergeCell ref="C125:D125"/>
    <mergeCell ref="C124:D124"/>
    <mergeCell ref="A146:P146"/>
    <mergeCell ref="E200:F200"/>
    <mergeCell ref="G202:H202"/>
    <mergeCell ref="H122:I122"/>
    <mergeCell ref="H132:I132"/>
    <mergeCell ref="H127:I127"/>
    <mergeCell ref="E211:F211"/>
    <mergeCell ref="G211:H211"/>
    <mergeCell ref="I219:J219"/>
    <mergeCell ref="L209:M209"/>
    <mergeCell ref="K219:L219"/>
    <mergeCell ref="L208:M208"/>
    <mergeCell ref="E208:F208"/>
    <mergeCell ref="A235:Q235"/>
    <mergeCell ref="Q219:Q220"/>
    <mergeCell ref="A174:P174"/>
    <mergeCell ref="A175:P175"/>
    <mergeCell ref="B198:D198"/>
    <mergeCell ref="O219:O220"/>
    <mergeCell ref="A216:Q216"/>
    <mergeCell ref="B207:D207"/>
    <mergeCell ref="G198:H198"/>
    <mergeCell ref="B202:D202"/>
    <mergeCell ref="C219:C220"/>
    <mergeCell ref="A184:P184"/>
    <mergeCell ref="A185:P185"/>
    <mergeCell ref="A177:I177"/>
    <mergeCell ref="L202:M202"/>
    <mergeCell ref="B201:D201"/>
    <mergeCell ref="L198:M198"/>
    <mergeCell ref="E201:F201"/>
    <mergeCell ref="G200:H200"/>
    <mergeCell ref="L201:M201"/>
    <mergeCell ref="G201:H201"/>
    <mergeCell ref="G199:H199"/>
    <mergeCell ref="B200:D200"/>
    <mergeCell ref="E202:F202"/>
    <mergeCell ref="J4:L4"/>
    <mergeCell ref="G8:I8"/>
    <mergeCell ref="A11:Q11"/>
    <mergeCell ref="C232:D232"/>
    <mergeCell ref="B219:B220"/>
    <mergeCell ref="C231:D231"/>
    <mergeCell ref="C132:D132"/>
    <mergeCell ref="F132:G132"/>
    <mergeCell ref="A137:Q137"/>
    <mergeCell ref="C128:D128"/>
    <mergeCell ref="A119:Q119"/>
    <mergeCell ref="A109:C109"/>
    <mergeCell ref="C99:F99"/>
    <mergeCell ref="E210:F210"/>
    <mergeCell ref="B209:D209"/>
    <mergeCell ref="C126:D126"/>
    <mergeCell ref="C127:D127"/>
    <mergeCell ref="C130:D130"/>
    <mergeCell ref="C131:D131"/>
    <mergeCell ref="H99:H100"/>
    <mergeCell ref="A99:A100"/>
    <mergeCell ref="C113:Q113"/>
    <mergeCell ref="B99:B100"/>
    <mergeCell ref="A96:Q96"/>
    <mergeCell ref="A2:Q2"/>
    <mergeCell ref="A68:Q68"/>
    <mergeCell ref="E77:Q77"/>
    <mergeCell ref="A87:Q87"/>
    <mergeCell ref="A34:C34"/>
    <mergeCell ref="G34:I34"/>
    <mergeCell ref="F43:G43"/>
    <mergeCell ref="H50:I50"/>
    <mergeCell ref="G32:N32"/>
    <mergeCell ref="D33:E33"/>
    <mergeCell ref="A27:C27"/>
    <mergeCell ref="D51:N51"/>
    <mergeCell ref="G70:H70"/>
    <mergeCell ref="A70:B70"/>
    <mergeCell ref="E71:F71"/>
    <mergeCell ref="E72:F72"/>
    <mergeCell ref="A71:B71"/>
    <mergeCell ref="K71:L71"/>
    <mergeCell ref="K72:L72"/>
    <mergeCell ref="I72:J72"/>
    <mergeCell ref="C71:D71"/>
    <mergeCell ref="A72:B72"/>
    <mergeCell ref="A25:C25"/>
    <mergeCell ref="D34:E34"/>
    <mergeCell ref="O99:O100"/>
    <mergeCell ref="L99:M99"/>
    <mergeCell ref="H124:I124"/>
    <mergeCell ref="C122:D122"/>
    <mergeCell ref="C129:D129"/>
    <mergeCell ref="Z151:Z153"/>
    <mergeCell ref="A111:C111"/>
    <mergeCell ref="F121:G121"/>
    <mergeCell ref="F122:G122"/>
    <mergeCell ref="F123:G123"/>
    <mergeCell ref="C121:D121"/>
    <mergeCell ref="H126:I126"/>
    <mergeCell ref="F131:G131"/>
    <mergeCell ref="A114:P114"/>
    <mergeCell ref="I99:I100"/>
    <mergeCell ref="C123:D123"/>
    <mergeCell ref="G99:G100"/>
    <mergeCell ref="A110:C110"/>
    <mergeCell ref="A108:C108"/>
    <mergeCell ref="F129:G129"/>
    <mergeCell ref="H123:I123"/>
    <mergeCell ref="F124:G124"/>
    <mergeCell ref="H125:I125"/>
    <mergeCell ref="A134:P134"/>
    <mergeCell ref="D39:E39"/>
    <mergeCell ref="D38:E38"/>
    <mergeCell ref="D41:E41"/>
    <mergeCell ref="D37:E37"/>
    <mergeCell ref="F38:I38"/>
    <mergeCell ref="D40:E40"/>
    <mergeCell ref="B237:C237"/>
    <mergeCell ref="B258:E258"/>
    <mergeCell ref="D237:E237"/>
    <mergeCell ref="F219:H219"/>
    <mergeCell ref="A249:J249"/>
    <mergeCell ref="F251:P251"/>
    <mergeCell ref="F252:P252"/>
    <mergeCell ref="F253:P253"/>
    <mergeCell ref="H121:I121"/>
    <mergeCell ref="F248:G248"/>
    <mergeCell ref="A37:C37"/>
    <mergeCell ref="E70:F70"/>
    <mergeCell ref="H49:I49"/>
    <mergeCell ref="F50:G50"/>
    <mergeCell ref="I40:M40"/>
    <mergeCell ref="F42:G42"/>
    <mergeCell ref="K74:L74"/>
    <mergeCell ref="A52:N52"/>
    <mergeCell ref="J8:L8"/>
    <mergeCell ref="A12:N12"/>
    <mergeCell ref="D23:F23"/>
    <mergeCell ref="F37:I37"/>
    <mergeCell ref="D35:E35"/>
    <mergeCell ref="H28:I28"/>
    <mergeCell ref="H29:I29"/>
    <mergeCell ref="J34:N34"/>
    <mergeCell ref="A20:C20"/>
    <mergeCell ref="A15:N15"/>
    <mergeCell ref="G35:I35"/>
    <mergeCell ref="J35:N35"/>
    <mergeCell ref="D30:E30"/>
    <mergeCell ref="D31:E31"/>
    <mergeCell ref="D32:E32"/>
    <mergeCell ref="J33:N33"/>
    <mergeCell ref="A30:C30"/>
    <mergeCell ref="D24:F24"/>
    <mergeCell ref="A26:C26"/>
    <mergeCell ref="D36:E36"/>
    <mergeCell ref="A24:C24"/>
    <mergeCell ref="A61:N61"/>
    <mergeCell ref="A63:N63"/>
    <mergeCell ref="A64:N64"/>
    <mergeCell ref="A65:N65"/>
    <mergeCell ref="A66:N66"/>
    <mergeCell ref="C5:E5"/>
    <mergeCell ref="D25:F25"/>
    <mergeCell ref="D26:F26"/>
    <mergeCell ref="D27:K27"/>
    <mergeCell ref="G33:I33"/>
    <mergeCell ref="J5:L5"/>
    <mergeCell ref="C6:E6"/>
    <mergeCell ref="J6:L6"/>
    <mergeCell ref="A16:N16"/>
    <mergeCell ref="J7:L7"/>
    <mergeCell ref="A22:C22"/>
    <mergeCell ref="C8:E8"/>
    <mergeCell ref="A23:C23"/>
    <mergeCell ref="C9:E9"/>
    <mergeCell ref="J9:L9"/>
    <mergeCell ref="A13:N13"/>
    <mergeCell ref="D22:F22"/>
    <mergeCell ref="B17:J17"/>
    <mergeCell ref="A14:N14"/>
    <mergeCell ref="A74:B74"/>
    <mergeCell ref="K75:L75"/>
    <mergeCell ref="G71:H71"/>
    <mergeCell ref="A73:B73"/>
    <mergeCell ref="G93:I93"/>
    <mergeCell ref="C73:D73"/>
    <mergeCell ref="G75:H75"/>
    <mergeCell ref="E75:F75"/>
    <mergeCell ref="E73:F73"/>
    <mergeCell ref="C77:D77"/>
    <mergeCell ref="I73:J73"/>
    <mergeCell ref="C93:E93"/>
    <mergeCell ref="C91:E91"/>
    <mergeCell ref="G72:H72"/>
    <mergeCell ref="C89:E89"/>
    <mergeCell ref="C75:D75"/>
    <mergeCell ref="C88:E88"/>
    <mergeCell ref="C94:E94"/>
    <mergeCell ref="C92:E92"/>
    <mergeCell ref="K70:L70"/>
    <mergeCell ref="K73:L73"/>
    <mergeCell ref="I71:J71"/>
    <mergeCell ref="C90:E90"/>
    <mergeCell ref="G73:H73"/>
    <mergeCell ref="G92:I92"/>
    <mergeCell ref="G94:I94"/>
    <mergeCell ref="C74:D74"/>
    <mergeCell ref="C72:D72"/>
    <mergeCell ref="I70:J70"/>
    <mergeCell ref="L93:N94"/>
    <mergeCell ref="E74:F74"/>
    <mergeCell ref="N99:N100"/>
    <mergeCell ref="L203:M203"/>
    <mergeCell ref="L206:M206"/>
    <mergeCell ref="A75:B75"/>
    <mergeCell ref="G74:H74"/>
    <mergeCell ref="C4:E4"/>
    <mergeCell ref="C7:E7"/>
    <mergeCell ref="I74:J74"/>
    <mergeCell ref="C70:D70"/>
    <mergeCell ref="F49:G49"/>
    <mergeCell ref="I75:J75"/>
    <mergeCell ref="D20:N20"/>
    <mergeCell ref="D21:N21"/>
    <mergeCell ref="E203:F203"/>
    <mergeCell ref="G206:H206"/>
    <mergeCell ref="E206:F206"/>
    <mergeCell ref="G203:H203"/>
    <mergeCell ref="L200:M200"/>
    <mergeCell ref="L199:M199"/>
    <mergeCell ref="B206:D206"/>
    <mergeCell ref="B203:D203"/>
    <mergeCell ref="E198:F198"/>
    <mergeCell ref="H129:I129"/>
    <mergeCell ref="A55:N55"/>
    <mergeCell ref="O286:P286"/>
    <mergeCell ref="O285:P285"/>
    <mergeCell ref="O284:P284"/>
    <mergeCell ref="A275:K275"/>
    <mergeCell ref="G208:H208"/>
    <mergeCell ref="A277:K277"/>
    <mergeCell ref="A282:Q282"/>
    <mergeCell ref="L207:M207"/>
    <mergeCell ref="O292:P292"/>
    <mergeCell ref="O291:P291"/>
    <mergeCell ref="O290:P290"/>
    <mergeCell ref="O289:P289"/>
    <mergeCell ref="B208:D208"/>
    <mergeCell ref="O287:P287"/>
    <mergeCell ref="A269:K269"/>
    <mergeCell ref="H259:M259"/>
    <mergeCell ref="A256:Q256"/>
    <mergeCell ref="L210:M210"/>
    <mergeCell ref="C214:D214"/>
    <mergeCell ref="I248:N248"/>
    <mergeCell ref="G210:H210"/>
    <mergeCell ref="L211:M211"/>
    <mergeCell ref="B210:D210"/>
    <mergeCell ref="B211:D211"/>
    <mergeCell ref="O298:P298"/>
    <mergeCell ref="O297:P297"/>
    <mergeCell ref="O295:P295"/>
    <mergeCell ref="O294:P294"/>
    <mergeCell ref="O293:P293"/>
    <mergeCell ref="O288:P288"/>
    <mergeCell ref="O302:P302"/>
    <mergeCell ref="O301:P301"/>
    <mergeCell ref="O300:P300"/>
    <mergeCell ref="O299:P299"/>
    <mergeCell ref="A304:K304"/>
    <mergeCell ref="L304:N304"/>
    <mergeCell ref="A299:K299"/>
    <mergeCell ref="A280:K280"/>
    <mergeCell ref="A276:K276"/>
    <mergeCell ref="L273:N273"/>
    <mergeCell ref="L274:N274"/>
    <mergeCell ref="L275:N275"/>
    <mergeCell ref="L277:N277"/>
    <mergeCell ref="L278:N278"/>
    <mergeCell ref="L279:N279"/>
    <mergeCell ref="L276:N276"/>
    <mergeCell ref="L302:N302"/>
    <mergeCell ref="L301:N301"/>
    <mergeCell ref="A290:K290"/>
    <mergeCell ref="A284:K285"/>
    <mergeCell ref="A301:K301"/>
    <mergeCell ref="L299:N299"/>
    <mergeCell ref="L300:N300"/>
    <mergeCell ref="L297:N298"/>
    <mergeCell ref="O306:P306"/>
    <mergeCell ref="O305:P305"/>
    <mergeCell ref="O304:P304"/>
    <mergeCell ref="O303:P303"/>
    <mergeCell ref="L305:N305"/>
    <mergeCell ref="A305:K305"/>
    <mergeCell ref="U151:U153"/>
    <mergeCell ref="U99:U100"/>
    <mergeCell ref="O264:P264"/>
    <mergeCell ref="H128:I128"/>
    <mergeCell ref="B199:D199"/>
    <mergeCell ref="J99:K99"/>
    <mergeCell ref="A141:G141"/>
    <mergeCell ref="A142:G142"/>
    <mergeCell ref="A144:P144"/>
    <mergeCell ref="A145:P145"/>
    <mergeCell ref="A296:I296"/>
    <mergeCell ref="A289:K289"/>
    <mergeCell ref="A295:K295"/>
    <mergeCell ref="A292:K292"/>
    <mergeCell ref="A278:K278"/>
    <mergeCell ref="A279:K279"/>
    <mergeCell ref="A291:K291"/>
    <mergeCell ref="A303:K303"/>
    <mergeCell ref="Y151:Y153"/>
    <mergeCell ref="M219:M220"/>
    <mergeCell ref="N219:N220"/>
    <mergeCell ref="P152:P153"/>
    <mergeCell ref="L152:L153"/>
    <mergeCell ref="A274:K274"/>
    <mergeCell ref="A267:K267"/>
    <mergeCell ref="A268:K268"/>
    <mergeCell ref="E152:E153"/>
    <mergeCell ref="K152:K153"/>
    <mergeCell ref="A183:P183"/>
    <mergeCell ref="A272:K272"/>
    <mergeCell ref="A273:K273"/>
    <mergeCell ref="H260:M260"/>
    <mergeCell ref="B259:E259"/>
    <mergeCell ref="L270:N270"/>
    <mergeCell ref="E199:F199"/>
    <mergeCell ref="M152:O152"/>
    <mergeCell ref="D152:D153"/>
    <mergeCell ref="G152:G153"/>
    <mergeCell ref="F152:F153"/>
    <mergeCell ref="C152:C153"/>
    <mergeCell ref="A152:B153"/>
    <mergeCell ref="I152:I153"/>
    <mergeCell ref="F46:G46"/>
    <mergeCell ref="A42:E42"/>
    <mergeCell ref="F47:G47"/>
    <mergeCell ref="A53:N53"/>
    <mergeCell ref="A54:N54"/>
    <mergeCell ref="H47:I47"/>
    <mergeCell ref="H42:K42"/>
    <mergeCell ref="A59:N59"/>
    <mergeCell ref="A60:N60"/>
    <mergeCell ref="A58:N58"/>
    <mergeCell ref="F48:G48"/>
    <mergeCell ref="H48:I48"/>
    <mergeCell ref="H46:I46"/>
    <mergeCell ref="A57:M57"/>
    <mergeCell ref="A56:N56"/>
    <mergeCell ref="H45:I45"/>
    <mergeCell ref="F45:G45"/>
    <mergeCell ref="A51:C51"/>
    <mergeCell ref="F254:P254"/>
    <mergeCell ref="L264:N265"/>
    <mergeCell ref="L266:N266"/>
    <mergeCell ref="A264:K265"/>
    <mergeCell ref="A266:K266"/>
    <mergeCell ref="B260:E260"/>
    <mergeCell ref="H258:M258"/>
    <mergeCell ref="L271:N271"/>
    <mergeCell ref="L272:N272"/>
    <mergeCell ref="A270:K270"/>
    <mergeCell ref="L268:N268"/>
    <mergeCell ref="L267:N267"/>
    <mergeCell ref="A262:Q262"/>
    <mergeCell ref="L269:N269"/>
    <mergeCell ref="A271:K271"/>
    <mergeCell ref="A308:K309"/>
    <mergeCell ref="A310:K310"/>
    <mergeCell ref="L280:N280"/>
    <mergeCell ref="L284:N285"/>
    <mergeCell ref="L289:N289"/>
    <mergeCell ref="L286:N286"/>
    <mergeCell ref="L287:N287"/>
    <mergeCell ref="L288:N288"/>
    <mergeCell ref="L290:N290"/>
    <mergeCell ref="L291:N291"/>
    <mergeCell ref="L295:N295"/>
    <mergeCell ref="L294:N294"/>
    <mergeCell ref="L292:N292"/>
    <mergeCell ref="L293:N293"/>
    <mergeCell ref="L303:N303"/>
    <mergeCell ref="A288:K288"/>
    <mergeCell ref="A287:K287"/>
    <mergeCell ref="A286:K286"/>
    <mergeCell ref="A297:K298"/>
    <mergeCell ref="A294:K294"/>
    <mergeCell ref="L306:N306"/>
    <mergeCell ref="A293:K293"/>
    <mergeCell ref="A302:K302"/>
    <mergeCell ref="A300:K300"/>
    <mergeCell ref="H346:I346"/>
    <mergeCell ref="J344:K344"/>
    <mergeCell ref="J345:K345"/>
    <mergeCell ref="J346:K346"/>
    <mergeCell ref="D344:E344"/>
    <mergeCell ref="D345:E345"/>
    <mergeCell ref="D346:E346"/>
    <mergeCell ref="F344:G344"/>
    <mergeCell ref="F345:G345"/>
    <mergeCell ref="F346:G346"/>
    <mergeCell ref="H345:I345"/>
    <mergeCell ref="A333:P333"/>
    <mergeCell ref="A336:P336"/>
    <mergeCell ref="D338:E338"/>
    <mergeCell ref="F338:K338"/>
    <mergeCell ref="A324:K324"/>
    <mergeCell ref="H339:I343"/>
    <mergeCell ref="J339:K343"/>
    <mergeCell ref="A326:K326"/>
    <mergeCell ref="A327:K327"/>
    <mergeCell ref="A325:K325"/>
    <mergeCell ref="A1:Q1"/>
    <mergeCell ref="D339:E343"/>
    <mergeCell ref="F339:G343"/>
    <mergeCell ref="A19:Q19"/>
    <mergeCell ref="H344:I344"/>
    <mergeCell ref="A330:P330"/>
    <mergeCell ref="A331:P331"/>
    <mergeCell ref="A332:P332"/>
    <mergeCell ref="A334:N334"/>
    <mergeCell ref="A329:Q329"/>
    <mergeCell ref="A318:K318"/>
    <mergeCell ref="A319:K319"/>
    <mergeCell ref="A320:K320"/>
    <mergeCell ref="A321:K321"/>
    <mergeCell ref="A322:K322"/>
    <mergeCell ref="A323:K323"/>
    <mergeCell ref="A306:K306"/>
    <mergeCell ref="A313:K313"/>
    <mergeCell ref="A314:K314"/>
    <mergeCell ref="A315:K315"/>
    <mergeCell ref="A316:K316"/>
    <mergeCell ref="A317:K317"/>
    <mergeCell ref="A312:K312"/>
    <mergeCell ref="A311:K311"/>
  </mergeCells>
  <conditionalFormatting sqref="L142:M142 N140">
    <cfRule type="cellIs" dxfId="808" priority="9" stopIfTrue="1" operator="equal">
      <formula>"Lanjutkan ke proses selanjutnya"</formula>
    </cfRule>
    <cfRule type="cellIs" dxfId="807" priority="10" stopIfTrue="1" operator="equal">
      <formula>"Stop"</formula>
    </cfRule>
  </conditionalFormatting>
  <conditionalFormatting sqref="F40:M40">
    <cfRule type="expression" dxfId="806" priority="3" stopIfTrue="1">
      <formula>COUNTA($D$40)=0</formula>
    </cfRule>
    <cfRule type="expression" dxfId="805" priority="4" stopIfTrue="1">
      <formula>$D$40="Ekspor"</formula>
    </cfRule>
    <cfRule type="expression" dxfId="804" priority="5" stopIfTrue="1">
      <formula>$D$40="Lokal"</formula>
    </cfRule>
  </conditionalFormatting>
  <conditionalFormatting sqref="B80:B85">
    <cfRule type="expression" dxfId="803" priority="1" stopIfTrue="1">
      <formula>$C$77&lt;&gt;"Relationship"</formula>
    </cfRule>
  </conditionalFormatting>
  <dataValidations xWindow="429" yWindow="171" count="73">
    <dataValidation type="list" allowBlank="1" showErrorMessage="1" prompt="_x000a_" sqref="P266:Q280 O221:P230 O234:Q234">
      <formula1>"Ya, Tidak"</formula1>
    </dataValidation>
    <dataValidation type="list" allowBlank="1" showInputMessage="1" showErrorMessage="1" sqref="N231:O233 M221:M233">
      <formula1>availability</formula1>
    </dataValidation>
    <dataValidation type="list" allowBlank="1" showInputMessage="1" showErrorMessage="1" prompt="Jika jaminan tidak menjamin semua fasilitas, sebutkan jenis fasilitas yang dijaminkan atas jaminan tersebut pada kolom keterangan (berada pada samping kanan)_x000a_" sqref="P231:P233 N221:N230">
      <formula1>"Ya, Tidak"</formula1>
    </dataValidation>
    <dataValidation allowBlank="1" showErrorMessage="1" prompt="_x000a_" sqref="Q231:Q233"/>
    <dataValidation type="list" allowBlank="1" showInputMessage="1" showErrorMessage="1" sqref="I231:I233">
      <formula1>pengikatan_1</formula1>
    </dataValidation>
    <dataValidation type="list" errorStyle="information" allowBlank="1" showInputMessage="1" showErrorMessage="1" error="Nama kota tidak ada di dalam list" prompt="Jika lokasi jaminan tidak tercantum pada dropdown box, maka lakukan pengetikan / pengisian secara langsung_x000a_" sqref="D221:D230">
      <formula1>cab_sme2</formula1>
    </dataValidation>
    <dataValidation type="list" allowBlank="1" showInputMessage="1" sqref="I221:I230">
      <formula1>pengikatan_1</formula1>
    </dataValidation>
    <dataValidation allowBlank="1" showInputMessage="1" showErrorMessage="1" prompt="Hal – hal yang dapat dicantumkan pada keterangan. _x000a_(Misal : Nama KJPP)_x000a__x000a_Atau fungsi jaminan (Misal : lokasi usaha atau bukan, disewakan atau tidak, dsb)" sqref="Q221:Q230"/>
    <dataValidation type="list" allowBlank="1" showInputMessage="1" showErrorMessage="1" sqref="O299:O306 H189 K296 O286:O295 M296 E154:E168 H138:H142 F43:G44">
      <formula1>"Ya,Tidak"</formula1>
    </dataValidation>
    <dataValidation type="list" allowBlank="1" showInputMessage="1" sqref="O266:O280">
      <formula1>"Bulanan,3 Bulanan,4 Bulanan,6 Bulanan,9 Bulanan,12 Bulanan,18 Bulanan"</formula1>
    </dataValidation>
    <dataValidation type="list" allowBlank="1" showInputMessage="1" showErrorMessage="1" prompt="jika BI Kolektabilitas &gt; 1, maka tuliskan lama keterlambatan (dalam hari pada kolom DPD)" sqref="M154:M168">
      <formula1>kolektabilitas</formula1>
    </dataValidation>
    <dataValidation type="list" allowBlank="1" showInputMessage="1" showErrorMessage="1" sqref="F251">
      <formula1>emosi_ind</formula1>
    </dataValidation>
    <dataValidation type="list" allowBlank="1" showInputMessage="1" showErrorMessage="1" sqref="H234">
      <formula1>pengikatan</formula1>
    </dataValidation>
    <dataValidation type="list" allowBlank="1" showInputMessage="1" showErrorMessage="1" sqref="A234 A221:A230">
      <formula1>jaminan</formula1>
    </dataValidation>
    <dataValidation type="list" allowBlank="1" showInputMessage="1" showErrorMessage="1" sqref="F252">
      <formula1>emosi_corp</formula1>
    </dataValidation>
    <dataValidation type="list" allowBlank="1" showInputMessage="1" showErrorMessage="1" sqref="F253">
      <formula1>riwayat_1</formula1>
    </dataValidation>
    <dataValidation type="list" allowBlank="1" showInputMessage="1" showErrorMessage="1" sqref="F254">
      <formula1>riwayat_2</formula1>
    </dataValidation>
    <dataValidation type="list" allowBlank="1" showInputMessage="1" showErrorMessage="1" sqref="D154:D168 B101:B107">
      <formula1>tipe_1</formula1>
    </dataValidation>
    <dataValidation type="list" allowBlank="1" showInputMessage="1" showErrorMessage="1" sqref="H186">
      <formula1>number</formula1>
    </dataValidation>
    <dataValidation type="list" allowBlank="1" showInputMessage="1" showErrorMessage="1" sqref="H187">
      <formula1>"Tidak Ada,1,2,3,4,5,6,7,8,9,10,11,12,13,14,15,16,17,18,19,20"</formula1>
    </dataValidation>
    <dataValidation type="list" allowBlank="1" showInputMessage="1" showErrorMessage="1" sqref="H190">
      <formula1>"1,2,3,4,5,6,7,8,9,10,11,12,13,14,15,16,17,18,19,20,21,22,23,24,25,26,27,28,29,30,31,32,33,34,35,36,37,38,39,40,41,42,43,44,45,46,47,48,49,50"</formula1>
    </dataValidation>
    <dataValidation type="list" allowBlank="1" showInputMessage="1" showErrorMessage="1" sqref="H178:H181">
      <formula1>"Tidak Ada,1,2,3,4,5,6,7,8,9,10,11,12,13,14,15,16,17,18,19,20,21,22,23,24,25,26,27,28,29,30"</formula1>
    </dataValidation>
    <dataValidation type="list" allowBlank="1" showInputMessage="1" showErrorMessage="1" sqref="K199:K203 K207:K211">
      <formula1>"Tunai,Kredit"</formula1>
    </dataValidation>
    <dataValidation type="list" allowBlank="1" showInputMessage="1" showErrorMessage="1" sqref="H191">
      <formula1>"Tidak Ada,1,2,3,4,5,6,7,8,9,10,11,12,13,14,15,16,17,18,19,20,21,22,23,24,25,26,27,28,29,30,31,32,33,34,35,36,37,38,39,40,41,42,43,44,45,46,47,48,49,50"</formula1>
    </dataValidation>
    <dataValidation allowBlank="1" showInputMessage="1" showErrorMessage="1" promptTitle="Pinjaman dari Bank Lain" prompt="_x000a_Jangan ada baris yang kosong diantara baris yang terisi." sqref="A154:A168 B155:B168"/>
    <dataValidation type="decimal" allowBlank="1" showInputMessage="1" showErrorMessage="1" errorTitle="Total Limit" error="Masukkan Nilai Total Limit dalam format number._x000a_Contoh : 2000." sqref="H192:H193">
      <formula1>0</formula1>
      <formula2>1000000</formula2>
    </dataValidation>
    <dataValidation type="decimal" allowBlank="1" showInputMessage="1" showErrorMessage="1" errorTitle="Nilai Jaminan" error="Masukkan Nilai Jaminan dalam format number._x000a_Contoh : 2000." sqref="K154:K168">
      <formula1>0</formula1>
      <formula2>1000000</formula2>
    </dataValidation>
    <dataValidation type="decimal" allowBlank="1" showInputMessage="1" showErrorMessage="1" errorTitle="Outstanding" error="Masukkan Nilai Outstanding dalam format number._x000a_Contoh : 2000." sqref="G154:G168">
      <formula1>0</formula1>
      <formula2>1000000</formula2>
    </dataValidation>
    <dataValidation type="decimal" allowBlank="1" showInputMessage="1" showErrorMessage="1" errorTitle="Plafond" error="Masukkan Nilai Plafond dalam format number._x000a_Contoh : 2000." sqref="F154:F168">
      <formula1>0</formula1>
      <formula2>1000000</formula2>
    </dataValidation>
    <dataValidation type="decimal" allowBlank="1" showInputMessage="1" showErrorMessage="1" errorTitle="Jaminan" error="Masukkan dalam format number._x000a_Contoh : 10" sqref="F248:G248">
      <formula1>0</formula1>
      <formula2>1500</formula2>
    </dataValidation>
    <dataValidation type="list" allowBlank="1" showInputMessage="1" showErrorMessage="1" sqref="F238:F245">
      <formula1>guarantor</formula1>
    </dataValidation>
    <dataValidation type="list" allowBlank="1" showInputMessage="1" showErrorMessage="1" sqref="A238:A245">
      <formula1>jenis_guarantor</formula1>
    </dataValidation>
    <dataValidation type="list" allowBlank="1" showInputMessage="1" sqref="C9:E9">
      <formula1>INDIRECT($F$8)</formula1>
    </dataValidation>
    <dataValidation type="list" allowBlank="1" showInputMessage="1" showErrorMessage="1" sqref="H122:I132">
      <formula1>Dati</formula1>
    </dataValidation>
    <dataValidation type="list" allowBlank="1" showInputMessage="1" sqref="J122:J132">
      <formula1>pejabat2</formula1>
    </dataValidation>
    <dataValidation allowBlank="1" showInputMessage="1" showErrorMessage="1" prompt="Jika seluruh fasilitas dalam mata uang rupiah, maka bagian ini diisi dengan nominal 1" sqref="D98"/>
    <dataValidation type="list" allowBlank="1" showInputMessage="1" showErrorMessage="1" sqref="C88:E88">
      <formula1>legal</formula1>
    </dataValidation>
    <dataValidation type="list" allowBlank="1" showInputMessage="1" showErrorMessage="1" sqref="C101:C107 C98">
      <formula1>currency_2</formula1>
    </dataValidation>
    <dataValidation type="list" allowBlank="1" showInputMessage="1" showErrorMessage="1" sqref="A101:A107">
      <formula1>fasilitas_3</formula1>
    </dataValidation>
    <dataValidation type="list" allowBlank="1" showInputMessage="1" showErrorMessage="1" sqref="N101:N107">
      <formula1>"Angsuran Tetap, Angsuran Menurun"</formula1>
    </dataValidation>
    <dataValidation type="list" allowBlank="1" showInputMessage="1" showErrorMessage="1" sqref="D27">
      <formula1>INDIRECT($D$26)</formula1>
    </dataValidation>
    <dataValidation type="list" allowBlank="1" showInputMessage="1" showErrorMessage="1" sqref="F37">
      <formula1>pendiri_ind</formula1>
    </dataValidation>
    <dataValidation type="list" allowBlank="1" showInputMessage="1" showErrorMessage="1" sqref="F38">
      <formula1>pendiri_corp</formula1>
    </dataValidation>
    <dataValidation type="list" allowBlank="1" showInputMessage="1" showErrorMessage="1" sqref="F42:G42">
      <formula1>ditempati</formula1>
    </dataValidation>
    <dataValidation type="list" allowBlank="1" showInputMessage="1" showErrorMessage="1" sqref="D39:E39">
      <formula1>"Retail,Distributor,Big Trader"</formula1>
    </dataValidation>
    <dataValidation type="list" allowBlank="1" showInputMessage="1" showErrorMessage="1" sqref="D40:E40">
      <formula1>"Lokal, Ekspor"</formula1>
    </dataValidation>
    <dataValidation type="list" allowBlank="1" showInputMessage="1" showErrorMessage="1" sqref="B17:J17">
      <formula1>purpose</formula1>
    </dataValidation>
    <dataValidation type="list" allowBlank="1" showInputMessage="1" showErrorMessage="1" sqref="D26">
      <formula1>"Debitur_Perorangan,Debitur_Perusahaan"</formula1>
    </dataValidation>
    <dataValidation type="list" allowBlank="1" showInputMessage="1" showErrorMessage="1" sqref="K71:L75">
      <formula1>"Pria,Wanita"</formula1>
    </dataValidation>
    <dataValidation type="list" allowBlank="1" showInputMessage="1" showErrorMessage="1" sqref="D31:E31">
      <formula1>"Manufacture,Trading,Service"</formula1>
    </dataValidation>
    <dataValidation type="list" allowBlank="1" showInputMessage="1" showErrorMessage="1" sqref="D32:E32">
      <formula1>Industry_Group</formula1>
    </dataValidation>
    <dataValidation type="list" allowBlank="1" showInputMessage="1" sqref="J9:L9">
      <formula1>"ABF, Generic Program, BTB, Supply Chain"</formula1>
    </dataValidation>
    <dataValidation type="list" allowBlank="1" showInputMessage="1" showErrorMessage="1" error="Value yang di masukan tidak ada dalam list !! " sqref="C77:D77">
      <formula1>"Relationship, Referral, Canvassing, Scouting, Walk in Customer"</formula1>
    </dataValidation>
    <dataValidation type="list" errorStyle="warning" allowBlank="1" showInputMessage="1" showErrorMessage="1" error="Value yang di input tidak ada di list, apakah akan di lanjutkan ?" sqref="A81:A85">
      <formula1>INDIRECT($C$77)</formula1>
    </dataValidation>
    <dataValidation type="list" errorStyle="warning" allowBlank="1" showInputMessage="1" showErrorMessage="1" error="Data tidak ada dalam List !!" sqref="B113">
      <formula1>Strategi_bisnis</formula1>
    </dataValidation>
    <dataValidation type="textLength" operator="equal" allowBlank="1" showInputMessage="1" showErrorMessage="1" errorTitle="APPID" error="Masukkan 13 Digit APPID" sqref="J7:L7">
      <formula1>13</formula1>
    </dataValidation>
    <dataValidation type="textLength" operator="equal" allowBlank="1" showInputMessage="1" showErrorMessage="1" errorTitle="CIF" error="Masukkan 6 Digit CIF" sqref="J6:L6">
      <formula1>6</formula1>
    </dataValidation>
    <dataValidation type="date" errorStyle="information" operator="greaterThan" allowBlank="1" showInputMessage="1" showErrorMessage="1" errorTitle="Format Tanggal" error="Masukkan Format Tanggal : DD-MMM-YYYY (Format Bulan dalam Bahasa Inggris)._x000a_Contoh : 31-Dec-2000" sqref="J28:J29">
      <formula1>1</formula1>
    </dataValidation>
    <dataValidation type="textLength" operator="equal" allowBlank="1" showInputMessage="1" showErrorMessage="1" errorTitle="Kode RM" error="Masukkan 5 Digit Kode RM" sqref="C5:E5">
      <formula1>5</formula1>
    </dataValidation>
    <dataValidation type="textLength" errorStyle="information" operator="equal" allowBlank="1" showInputMessage="1" showErrorMessage="1" errorTitle="Tahun" error="Masukkan format tahun dengan benar. _x000a_Contoh : 2000." sqref="L93">
      <formula1>4</formula1>
    </dataValidation>
    <dataValidation type="whole" allowBlank="1" showInputMessage="1" showErrorMessage="1" errorTitle="Pengalaman Usaha" error="Masukkan pengalaman usaha dalam tahun dengan format number. Contoh : 20." sqref="D33:E33">
      <formula1>0</formula1>
      <formula2>200</formula2>
    </dataValidation>
    <dataValidation type="whole" operator="greaterThanOrEqual" allowBlank="1" showInputMessage="1" showErrorMessage="1" errorTitle="Jumlah Karyawan" error="Masukkan Jumlah Karyawan dalam format number" sqref="D35:E35">
      <formula1>0</formula1>
    </dataValidation>
    <dataValidation type="whole" allowBlank="1" showInputMessage="1" showErrorMessage="1" errorTitle="Market Share" error="Masukkan Persentase Market Share" sqref="D41:E41">
      <formula1>0</formula1>
      <formula2>100</formula2>
    </dataValidation>
    <dataValidation type="date" operator="greaterThan" allowBlank="1" showInputMessage="1" showErrorMessage="1" errorTitle="Format Tanggal" error="Masukkan Format Tanggal : DD-MMM-YYYY (Format Bulan dalam Bahasa Inggris). Jika tidak ada, kosongkan saja._x000a_Contoh : 31-Dec-2000" sqref="J101:K107 C90:E91">
      <formula1>1</formula1>
    </dataValidation>
    <dataValidation type="date" operator="greaterThan" allowBlank="1" showInputMessage="1" showErrorMessage="1" errorTitle="Format Tanggal" error="Masukkan Format Tanggal : DD-MMM-YYYY (Format Bulan dalam Bahasa Inggris)._x000a_Contoh : 31-Dec-2000" sqref="J4:L4 H28:I29 J8:L8">
      <formula1>1</formula1>
    </dataValidation>
    <dataValidation type="textLength" operator="equal" allowBlank="1" showInputMessage="1" showErrorMessage="1" errorTitle="Tahun" error="Masukkan format tahun dengan benar. _x000a_Contoh : 2000." sqref="K93:K94">
      <formula1>4</formula1>
    </dataValidation>
    <dataValidation type="textLength" operator="equal" allowBlank="1" showInputMessage="1" showErrorMessage="1" errorTitle="Tahun" error="Masukkan tahun dengan format number. (Hanya tahun saja). _x000a_Contoh : 2000." sqref="D30:E30">
      <formula1>4</formula1>
    </dataValidation>
    <dataValidation type="list" allowBlank="1" showInputMessage="1" sqref="C8:E8">
      <formula1>region_name</formula1>
    </dataValidation>
    <dataValidation type="list" allowBlank="1" showErrorMessage="1" prompt="jika BI Kolektabilitas &gt; 1, maka tuliskan lama keterlambatan (dalam hari pada kolom DPD)" sqref="N154:O168">
      <formula1>kolektabilitas</formula1>
    </dataValidation>
    <dataValidation type="whole" allowBlank="1" showInputMessage="1" showErrorMessage="1" sqref="L122:M132">
      <formula1>0</formula1>
      <formula2>200</formula2>
    </dataValidation>
    <dataValidation type="whole" allowBlank="1" showInputMessage="1" showErrorMessage="1" sqref="N122:N132">
      <formula1>1900</formula1>
      <formula2>2200</formula2>
    </dataValidation>
    <dataValidation type="whole" allowBlank="1" showInputMessage="1" showErrorMessage="1" sqref="J199:J203 J207:J211">
      <formula1>0</formula1>
      <formula2>1000000</formula2>
    </dataValidation>
    <dataValidation type="list" allowBlank="1" showInputMessage="1" showErrorMessage="1" sqref="O101:O107">
      <formula1>"Collateral Lending, Cash Flow Lending, Reinstate PAB, Specific Lending Area"</formula1>
    </dataValidation>
  </dataValidations>
  <pageMargins left="0.2" right="0.2" top="0.39370078740157499" bottom="0.35433070866141703" header="0.35433070866141703" footer="0.31496062992126"/>
  <pageSetup paperSize="9" scale="58" orientation="landscape" r:id="rId1"/>
  <headerFooter>
    <oddFooter>&amp;RTemplate &amp;"-,Italic"small size&amp;"-,Regular" 2017 v.3 - Page &amp;P of &amp;N</oddFooter>
  </headerFooter>
  <rowBreaks count="6" manualBreakCount="6">
    <brk id="52" max="16" man="1"/>
    <brk id="95" max="16" man="1"/>
    <brk id="148" max="16" man="1"/>
    <brk id="185" max="16" man="1"/>
    <brk id="222" max="16" man="1"/>
    <brk id="282" max="16" man="1"/>
  </rowBreaks>
  <ignoredErrors>
    <ignoredError sqref="C32" evalError="1"/>
  </ignoredErrors>
  <drawing r:id="rId2"/>
  <legacyDrawing r:id="rId3"/>
  <controls>
    <mc:AlternateContent xmlns:mc="http://schemas.openxmlformats.org/markup-compatibility/2006">
      <mc:Choice Requires="x14">
        <control shapeId="14951" r:id="rId4" name="BIR_hide">
          <controlPr defaultSize="0" autoLine="0" r:id="rId5">
            <anchor moveWithCells="1">
              <from>
                <xdr:col>2</xdr:col>
                <xdr:colOff>85725</xdr:colOff>
                <xdr:row>79</xdr:row>
                <xdr:rowOff>28575</xdr:rowOff>
              </from>
              <to>
                <xdr:col>3</xdr:col>
                <xdr:colOff>514350</xdr:colOff>
                <xdr:row>79</xdr:row>
                <xdr:rowOff>352425</xdr:rowOff>
              </to>
            </anchor>
          </controlPr>
        </control>
      </mc:Choice>
      <mc:Fallback>
        <control shapeId="14951" r:id="rId4" name="BIR_hide"/>
      </mc:Fallback>
    </mc:AlternateContent>
  </control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B2:J50"/>
  <sheetViews>
    <sheetView showGridLines="0" showZeros="0" view="pageBreakPreview" zoomScale="110" zoomScaleSheetLayoutView="110" workbookViewId="0">
      <selection activeCell="C26" sqref="C26:E26"/>
    </sheetView>
  </sheetViews>
  <sheetFormatPr defaultRowHeight="15" x14ac:dyDescent="0.25"/>
  <cols>
    <col min="1" max="1" width="1.7109375" style="348" customWidth="1"/>
    <col min="2" max="2" width="26.28515625" style="348" customWidth="1"/>
    <col min="3" max="3" width="2.7109375" style="348" customWidth="1"/>
    <col min="4" max="4" width="25.85546875" style="348" customWidth="1"/>
    <col min="5" max="5" width="17.42578125" style="348" customWidth="1"/>
    <col min="6" max="6" width="21.7109375" style="348" customWidth="1"/>
    <col min="7" max="7" width="16.140625" style="348" customWidth="1"/>
    <col min="8" max="8" width="18.140625" style="348" customWidth="1"/>
    <col min="9" max="9" width="20.7109375" style="348" customWidth="1"/>
    <col min="10" max="10" width="15" style="348" customWidth="1"/>
    <col min="11" max="16384" width="9.140625" style="348"/>
  </cols>
  <sheetData>
    <row r="2" spans="2:10" x14ac:dyDescent="0.25">
      <c r="B2"/>
      <c r="C2"/>
      <c r="D2"/>
      <c r="E2"/>
      <c r="F2"/>
      <c r="G2"/>
      <c r="H2"/>
      <c r="I2"/>
      <c r="J2"/>
    </row>
    <row r="3" spans="2:10" ht="26.25" customHeight="1" x14ac:dyDescent="0.25">
      <c r="B3" s="1515" t="str">
        <f>IF(MKK!G41&lt;=5000,"Form Pengajuan Penilaian Jaminan oleh Internal Appraiser","Form Pengajuan Penilaian Jaminan oleh KJPP")</f>
        <v>Form Pengajuan Penilaian Jaminan oleh Internal Appraiser</v>
      </c>
      <c r="C3" s="1515"/>
      <c r="D3" s="1515"/>
      <c r="E3" s="1515"/>
      <c r="F3" s="1515"/>
      <c r="G3" s="1515"/>
      <c r="H3" s="1515"/>
      <c r="I3" s="1515"/>
      <c r="J3" s="1515"/>
    </row>
    <row r="4" spans="2:10" ht="5.0999999999999996" customHeight="1" x14ac:dyDescent="0.25">
      <c r="B4" s="243"/>
      <c r="C4" s="243"/>
      <c r="D4" s="243"/>
      <c r="E4" s="243"/>
      <c r="F4" s="243"/>
      <c r="G4" s="243"/>
      <c r="H4" s="243"/>
      <c r="I4" s="243"/>
      <c r="J4" s="243"/>
    </row>
    <row r="5" spans="2:10" ht="15" customHeight="1" x14ac:dyDescent="0.25">
      <c r="B5" s="25" t="s">
        <v>46</v>
      </c>
      <c r="C5" s="6" t="s">
        <v>7</v>
      </c>
      <c r="D5" s="1517" t="str">
        <f>'Informasi Debitur'!C4</f>
        <v>IRFAN HERIYANTO HALIM</v>
      </c>
      <c r="E5" s="1517"/>
      <c r="F5" s="1517"/>
      <c r="G5" s="1517"/>
      <c r="H5" s="1517"/>
      <c r="I5" s="1517"/>
      <c r="J5" s="1517"/>
    </row>
    <row r="6" spans="2:10" ht="15" customHeight="1" x14ac:dyDescent="0.25">
      <c r="B6" s="26" t="s">
        <v>3</v>
      </c>
      <c r="C6" s="6" t="s">
        <v>7</v>
      </c>
      <c r="D6" s="1518" t="str">
        <f>'Informasi Debitur'!C9</f>
        <v>BANJARMASIN A. YANI</v>
      </c>
      <c r="E6" s="1518"/>
      <c r="F6" s="1518"/>
      <c r="G6" s="1518"/>
      <c r="H6" s="1518"/>
      <c r="I6" s="1518"/>
      <c r="J6" s="1518"/>
    </row>
    <row r="7" spans="2:10" ht="15" customHeight="1" x14ac:dyDescent="0.25">
      <c r="B7" s="26" t="s">
        <v>48</v>
      </c>
      <c r="C7" s="6" t="s">
        <v>7</v>
      </c>
      <c r="D7" s="1519" t="s">
        <v>8067</v>
      </c>
      <c r="E7" s="1520"/>
      <c r="F7" s="1520"/>
      <c r="G7" s="1520"/>
      <c r="H7" s="1520"/>
      <c r="I7" s="1520"/>
      <c r="J7" s="1520"/>
    </row>
    <row r="8" spans="2:10" ht="5.0999999999999996" customHeight="1" x14ac:dyDescent="0.25">
      <c r="B8" s="240"/>
      <c r="C8" s="240"/>
      <c r="D8" s="240"/>
      <c r="E8" s="240"/>
      <c r="F8" s="240"/>
      <c r="G8" s="240"/>
      <c r="H8" s="240"/>
      <c r="I8" s="240"/>
      <c r="J8" s="240"/>
    </row>
    <row r="9" spans="2:10" ht="15" customHeight="1" x14ac:dyDescent="0.25">
      <c r="B9" s="240"/>
      <c r="C9" s="240"/>
      <c r="D9" s="240"/>
      <c r="E9" s="240"/>
      <c r="F9" s="240"/>
      <c r="G9" s="240"/>
      <c r="H9" s="240"/>
      <c r="I9" s="240"/>
      <c r="J9" s="240"/>
    </row>
    <row r="10" spans="2:10" ht="15" customHeight="1" x14ac:dyDescent="0.25">
      <c r="B10" s="25" t="s">
        <v>611</v>
      </c>
      <c r="C10" s="240"/>
      <c r="D10" s="240"/>
      <c r="E10" s="240"/>
      <c r="F10" s="240"/>
      <c r="G10" s="240"/>
      <c r="H10" s="240"/>
      <c r="I10" s="240"/>
      <c r="J10" s="240"/>
    </row>
    <row r="11" spans="2:10" ht="15" customHeight="1" x14ac:dyDescent="0.25">
      <c r="B11" s="1516" t="s">
        <v>2915</v>
      </c>
      <c r="C11" s="1516"/>
      <c r="D11" s="1516"/>
      <c r="E11" s="1516"/>
      <c r="F11" s="1516"/>
      <c r="G11" s="1516"/>
      <c r="H11" s="1516"/>
      <c r="I11" s="1516"/>
      <c r="J11" s="1516"/>
    </row>
    <row r="12" spans="2:10" ht="5.0999999999999996" customHeight="1" x14ac:dyDescent="0.25">
      <c r="B12" s="7"/>
      <c r="C12" s="7"/>
      <c r="D12" s="7"/>
      <c r="E12" s="7"/>
      <c r="F12" s="7"/>
      <c r="G12" s="7"/>
      <c r="H12" s="7"/>
      <c r="I12" s="7"/>
      <c r="J12" s="7"/>
    </row>
    <row r="13" spans="2:10" ht="15.75" x14ac:dyDescent="0.25">
      <c r="B13" s="1508" t="s">
        <v>0</v>
      </c>
      <c r="C13" s="1508"/>
      <c r="D13" s="1508"/>
      <c r="E13" s="1508"/>
      <c r="F13" s="1508"/>
      <c r="G13" s="1508"/>
      <c r="H13" s="1508"/>
      <c r="I13" s="1508"/>
      <c r="J13" s="1508"/>
    </row>
    <row r="14" spans="2:10" x14ac:dyDescent="0.25">
      <c r="B14" s="2" t="s">
        <v>2</v>
      </c>
      <c r="C14" s="6" t="s">
        <v>7</v>
      </c>
      <c r="D14" s="1521" t="str">
        <f>'Informasi Debitur'!J5</f>
        <v xml:space="preserve">OH NJEN LIENG </v>
      </c>
      <c r="E14" s="1521"/>
      <c r="F14" s="1521"/>
      <c r="G14" s="1521"/>
      <c r="H14" s="1521"/>
      <c r="I14" s="1521"/>
      <c r="J14" s="1521"/>
    </row>
    <row r="15" spans="2:10" x14ac:dyDescent="0.25">
      <c r="B15" s="18" t="s">
        <v>34</v>
      </c>
      <c r="C15" s="6" t="s">
        <v>7</v>
      </c>
      <c r="D15" s="1507" t="str">
        <f>'Informasi Debitur'!A71</f>
        <v>Oh Njen Lieng</v>
      </c>
      <c r="E15" s="1507"/>
      <c r="F15" s="1507"/>
      <c r="G15" s="1507"/>
      <c r="H15" s="1507"/>
      <c r="I15" s="1507"/>
      <c r="J15" s="1507"/>
    </row>
    <row r="16" spans="2:10" x14ac:dyDescent="0.25">
      <c r="B16" s="2" t="s">
        <v>14</v>
      </c>
      <c r="C16" s="6" t="s">
        <v>7</v>
      </c>
      <c r="D16" s="1507" t="str">
        <f>'Informasi Debitur'!D20</f>
        <v>Jl A Yani km 6,5 No 31 Kertak Hanyar I Kertak Hanyar , Kab Banjar</v>
      </c>
      <c r="E16" s="1507"/>
      <c r="F16" s="1507"/>
      <c r="G16" s="1507"/>
      <c r="H16" s="1507"/>
      <c r="I16" s="1507"/>
      <c r="J16" s="1507"/>
    </row>
    <row r="17" spans="2:10" x14ac:dyDescent="0.25">
      <c r="B17" s="2"/>
      <c r="C17" s="6"/>
      <c r="D17" s="1507" t="s">
        <v>8065</v>
      </c>
      <c r="E17" s="1507"/>
      <c r="F17" s="1507"/>
      <c r="G17" s="1507"/>
      <c r="H17" s="1507"/>
      <c r="I17" s="1507"/>
      <c r="J17" s="1507"/>
    </row>
    <row r="18" spans="2:10" x14ac:dyDescent="0.25">
      <c r="B18" s="2" t="s">
        <v>16</v>
      </c>
      <c r="C18" s="6" t="s">
        <v>7</v>
      </c>
      <c r="D18" s="1507" t="str">
        <f>'Informasi Debitur'!D25</f>
        <v>05116744433</v>
      </c>
      <c r="E18" s="1507"/>
      <c r="F18" s="1507"/>
      <c r="G18" s="1507"/>
      <c r="H18" s="1507"/>
      <c r="I18" s="1507"/>
      <c r="J18" s="1507"/>
    </row>
    <row r="19" spans="2:10" ht="5.0999999999999996" customHeight="1" x14ac:dyDescent="0.25">
      <c r="B19" s="2"/>
      <c r="C19" s="2"/>
      <c r="D19" s="2"/>
      <c r="E19" s="2"/>
      <c r="F19" s="2"/>
      <c r="G19" s="2"/>
      <c r="H19" s="2"/>
      <c r="I19" s="2"/>
      <c r="J19" s="2"/>
    </row>
    <row r="20" spans="2:10" ht="15.75" x14ac:dyDescent="0.25">
      <c r="B20" s="1508" t="s">
        <v>40</v>
      </c>
      <c r="C20" s="1508"/>
      <c r="D20" s="1508"/>
      <c r="E20" s="1508"/>
      <c r="F20" s="1508"/>
      <c r="G20" s="1508"/>
      <c r="H20" s="1508"/>
      <c r="I20" s="1508"/>
      <c r="J20" s="1508"/>
    </row>
    <row r="21" spans="2:10" ht="5.0999999999999996" customHeight="1" x14ac:dyDescent="0.25">
      <c r="B21" s="13"/>
      <c r="C21" s="13"/>
      <c r="D21" s="2"/>
      <c r="E21" s="2"/>
      <c r="F21" s="2"/>
      <c r="G21" s="2"/>
      <c r="H21" s="2"/>
      <c r="I21" s="2"/>
      <c r="J21" s="2"/>
    </row>
    <row r="22" spans="2:10" ht="30" customHeight="1" x14ac:dyDescent="0.25">
      <c r="B22" s="1105" t="s">
        <v>35</v>
      </c>
      <c r="C22" s="1511" t="s">
        <v>36</v>
      </c>
      <c r="D22" s="1511"/>
      <c r="E22" s="1511"/>
      <c r="F22" s="1510" t="s">
        <v>9</v>
      </c>
      <c r="G22" s="1511"/>
      <c r="H22" s="1512" t="s">
        <v>7986</v>
      </c>
      <c r="I22" s="1513"/>
      <c r="J22" s="1098" t="s">
        <v>15</v>
      </c>
    </row>
    <row r="23" spans="2:10" ht="33.75" customHeight="1" x14ac:dyDescent="0.25">
      <c r="B23" s="236" t="str">
        <f>'Informasi Debitur'!A221</f>
        <v>Tanah dan Bangunan</v>
      </c>
      <c r="C23" s="1509" t="str">
        <f>'Informasi Debitur'!C221</f>
        <v xml:space="preserve">Jl A Yani km 7 Komp Bunyamin Residence Blok A No 16, RT 13, Kel Kertak Hanyar II, Kec.Kertak Hanyar, Kabupaten Banjar, Propinsi Kalimantan Selatan </v>
      </c>
      <c r="D23" s="1509"/>
      <c r="E23" s="1509"/>
      <c r="F23" s="1266" t="s">
        <v>8106</v>
      </c>
      <c r="G23" s="1266"/>
      <c r="H23" s="1097">
        <v>2895</v>
      </c>
      <c r="I23" s="237">
        <v>40231</v>
      </c>
      <c r="J23" s="236" t="s">
        <v>8105</v>
      </c>
    </row>
    <row r="24" spans="2:10" x14ac:dyDescent="0.25">
      <c r="B24" s="236"/>
      <c r="C24" s="1509"/>
      <c r="D24" s="1509"/>
      <c r="E24" s="1509"/>
      <c r="F24" s="1097"/>
      <c r="G24" s="1097"/>
      <c r="H24" s="1097"/>
      <c r="I24" s="237"/>
      <c r="J24" s="236"/>
    </row>
    <row r="25" spans="2:10" x14ac:dyDescent="0.25">
      <c r="B25" s="236"/>
      <c r="C25" s="1509"/>
      <c r="D25" s="1509"/>
      <c r="E25" s="1509"/>
      <c r="F25" s="1097"/>
      <c r="G25" s="1097"/>
      <c r="H25" s="1097"/>
      <c r="I25" s="237"/>
      <c r="J25" s="236"/>
    </row>
    <row r="26" spans="2:10" x14ac:dyDescent="0.25">
      <c r="B26" s="236">
        <f>'Informasi Debitur'!A224</f>
        <v>0</v>
      </c>
      <c r="C26" s="1509">
        <f>'Informasi Debitur'!C224</f>
        <v>0</v>
      </c>
      <c r="D26" s="1509"/>
      <c r="E26" s="1509"/>
      <c r="F26" s="1097"/>
      <c r="G26" s="1097"/>
      <c r="H26" s="1097"/>
      <c r="I26" s="237"/>
      <c r="J26" s="236"/>
    </row>
    <row r="27" spans="2:10" x14ac:dyDescent="0.25">
      <c r="B27" s="236">
        <f>'Informasi Debitur'!A225</f>
        <v>0</v>
      </c>
      <c r="C27" s="1509">
        <f>'Informasi Debitur'!C225</f>
        <v>0</v>
      </c>
      <c r="D27" s="1509"/>
      <c r="E27" s="1509"/>
      <c r="F27" s="1097"/>
      <c r="G27" s="1097"/>
      <c r="H27" s="1097"/>
      <c r="I27" s="237"/>
      <c r="J27" s="236"/>
    </row>
    <row r="28" spans="2:10" x14ac:dyDescent="0.25">
      <c r="B28" s="236">
        <f>'Informasi Debitur'!A226</f>
        <v>0</v>
      </c>
      <c r="C28" s="1509">
        <f>'Informasi Debitur'!C226</f>
        <v>0</v>
      </c>
      <c r="D28" s="1509"/>
      <c r="E28" s="1509"/>
      <c r="F28" s="1097"/>
      <c r="G28" s="1097"/>
      <c r="H28" s="1097"/>
      <c r="I28" s="237"/>
      <c r="J28" s="236"/>
    </row>
    <row r="29" spans="2:10" x14ac:dyDescent="0.25">
      <c r="B29" s="236">
        <f>'Informasi Debitur'!A227</f>
        <v>0</v>
      </c>
      <c r="C29" s="1509">
        <f>'Informasi Debitur'!C227</f>
        <v>0</v>
      </c>
      <c r="D29" s="1509"/>
      <c r="E29" s="1509"/>
      <c r="F29" s="1097"/>
      <c r="G29" s="1097"/>
      <c r="H29" s="1097"/>
      <c r="I29" s="237"/>
      <c r="J29" s="236"/>
    </row>
    <row r="30" spans="2:10" x14ac:dyDescent="0.25">
      <c r="B30" s="236">
        <f>'Informasi Debitur'!A228</f>
        <v>0</v>
      </c>
      <c r="C30" s="1509">
        <f>'Informasi Debitur'!C228</f>
        <v>0</v>
      </c>
      <c r="D30" s="1509"/>
      <c r="E30" s="1509"/>
      <c r="F30" s="1097"/>
      <c r="G30" s="1097"/>
      <c r="H30" s="1097"/>
      <c r="I30" s="237"/>
      <c r="J30" s="236"/>
    </row>
    <row r="31" spans="2:10" x14ac:dyDescent="0.25">
      <c r="B31" s="236">
        <f>'Informasi Debitur'!A229</f>
        <v>0</v>
      </c>
      <c r="C31" s="1509">
        <f>'Informasi Debitur'!C229</f>
        <v>0</v>
      </c>
      <c r="D31" s="1509"/>
      <c r="E31" s="1509"/>
      <c r="F31" s="1097"/>
      <c r="G31" s="1097"/>
      <c r="H31" s="1097"/>
      <c r="I31" s="237"/>
      <c r="J31" s="236"/>
    </row>
    <row r="32" spans="2:10" x14ac:dyDescent="0.25">
      <c r="B32" s="236">
        <f>'Informasi Debitur'!A230</f>
        <v>0</v>
      </c>
      <c r="C32" s="1509">
        <f>'Informasi Debitur'!C230</f>
        <v>0</v>
      </c>
      <c r="D32" s="1509"/>
      <c r="E32" s="1509"/>
      <c r="F32" s="1097"/>
      <c r="G32" s="1097"/>
      <c r="H32" s="1097"/>
      <c r="I32" s="237"/>
      <c r="J32" s="236"/>
    </row>
    <row r="33" spans="2:10" ht="5.0999999999999996" customHeight="1" x14ac:dyDescent="0.25">
      <c r="B33" s="2"/>
      <c r="C33" s="2"/>
      <c r="D33" s="2"/>
      <c r="E33" s="2"/>
      <c r="F33" s="2"/>
      <c r="G33" s="2"/>
      <c r="H33" s="2"/>
      <c r="I33" s="2"/>
      <c r="J33" s="2"/>
    </row>
    <row r="34" spans="2:10" x14ac:dyDescent="0.25">
      <c r="B34" s="2" t="s">
        <v>2899</v>
      </c>
      <c r="C34" s="2"/>
      <c r="D34" s="2"/>
      <c r="E34" s="2"/>
      <c r="F34" s="2"/>
      <c r="G34" s="2"/>
      <c r="H34" s="2"/>
      <c r="I34" s="2"/>
      <c r="J34" s="2"/>
    </row>
    <row r="35" spans="2:10" s="385" customFormat="1" x14ac:dyDescent="0.25">
      <c r="B35" s="2"/>
      <c r="C35" s="2" t="s">
        <v>7987</v>
      </c>
      <c r="D35" s="2"/>
      <c r="E35" s="2"/>
      <c r="F35" s="2"/>
      <c r="G35" s="2"/>
      <c r="H35" s="2"/>
      <c r="I35" s="2"/>
      <c r="J35" s="2"/>
    </row>
    <row r="36" spans="2:10" x14ac:dyDescent="0.25">
      <c r="B36" s="2"/>
      <c r="C36" s="2" t="s">
        <v>2900</v>
      </c>
      <c r="D36" s="2"/>
      <c r="E36" s="2"/>
      <c r="F36" s="2"/>
      <c r="G36" s="2"/>
      <c r="H36" s="2"/>
      <c r="I36" s="2"/>
      <c r="J36" s="2"/>
    </row>
    <row r="37" spans="2:10" x14ac:dyDescent="0.25">
      <c r="B37" s="2"/>
      <c r="C37" s="2" t="s">
        <v>7988</v>
      </c>
      <c r="D37" s="2"/>
      <c r="E37" s="2"/>
      <c r="F37" s="2"/>
      <c r="G37" s="2"/>
      <c r="H37" s="2"/>
      <c r="I37" s="2"/>
      <c r="J37" s="2"/>
    </row>
    <row r="38" spans="2:10" x14ac:dyDescent="0.25">
      <c r="B38" s="2"/>
      <c r="C38" s="2" t="s">
        <v>7989</v>
      </c>
      <c r="D38" s="2"/>
      <c r="E38" s="2"/>
      <c r="F38" s="2"/>
      <c r="G38" s="2"/>
      <c r="H38" s="2"/>
      <c r="I38" s="2"/>
      <c r="J38" s="2"/>
    </row>
    <row r="39" spans="2:10" x14ac:dyDescent="0.25">
      <c r="B39" s="2"/>
      <c r="C39" s="2" t="s">
        <v>7990</v>
      </c>
      <c r="D39" s="2"/>
      <c r="E39" s="2"/>
      <c r="F39" s="2"/>
      <c r="G39" s="2"/>
      <c r="H39" s="2"/>
      <c r="I39" s="2"/>
      <c r="J39" s="2"/>
    </row>
    <row r="40" spans="2:10" x14ac:dyDescent="0.25">
      <c r="B40" s="2"/>
      <c r="C40" s="1514" t="s">
        <v>8107</v>
      </c>
      <c r="D40" s="1514"/>
      <c r="E40" s="1514"/>
      <c r="F40" s="1514"/>
      <c r="G40" s="1514"/>
      <c r="H40" s="1514"/>
      <c r="I40" s="1514"/>
      <c r="J40" s="2"/>
    </row>
    <row r="41" spans="2:10" ht="5.0999999999999996" customHeight="1" x14ac:dyDescent="0.25">
      <c r="B41" s="2"/>
      <c r="C41" s="2"/>
      <c r="D41" s="2"/>
      <c r="E41" s="2"/>
      <c r="F41" s="2"/>
      <c r="G41" s="2"/>
      <c r="H41" s="2"/>
      <c r="I41" s="2"/>
      <c r="J41" s="2"/>
    </row>
    <row r="42" spans="2:10" x14ac:dyDescent="0.25">
      <c r="B42" s="2"/>
      <c r="C42" s="4"/>
      <c r="D42" s="1504" t="s">
        <v>38</v>
      </c>
      <c r="E42" s="1504"/>
      <c r="F42" s="241"/>
      <c r="G42" s="1504" t="s">
        <v>7991</v>
      </c>
      <c r="H42" s="1504"/>
      <c r="I42" s="5"/>
      <c r="J42" s="2"/>
    </row>
    <row r="43" spans="2:10" x14ac:dyDescent="0.25">
      <c r="B43" s="2"/>
      <c r="C43" s="4"/>
      <c r="D43" s="1505"/>
      <c r="E43" s="1505"/>
      <c r="F43" s="222"/>
      <c r="G43" s="1505"/>
      <c r="H43" s="1505"/>
      <c r="I43" s="5"/>
      <c r="J43" s="2"/>
    </row>
    <row r="44" spans="2:10" x14ac:dyDescent="0.25">
      <c r="B44" s="2"/>
      <c r="C44" s="4"/>
      <c r="D44" s="1505"/>
      <c r="E44" s="1505"/>
      <c r="F44" s="222"/>
      <c r="G44" s="1505"/>
      <c r="H44" s="1505"/>
      <c r="I44" s="5"/>
      <c r="J44" s="2"/>
    </row>
    <row r="45" spans="2:10" x14ac:dyDescent="0.25">
      <c r="B45" s="2"/>
      <c r="C45" s="4"/>
      <c r="D45" s="1505"/>
      <c r="E45" s="1505"/>
      <c r="F45" s="222"/>
      <c r="G45" s="1505"/>
      <c r="H45" s="1505"/>
      <c r="I45" s="5"/>
      <c r="J45" s="2"/>
    </row>
    <row r="46" spans="2:10" x14ac:dyDescent="0.25">
      <c r="B46" s="2"/>
      <c r="C46" s="4"/>
      <c r="D46" s="1506"/>
      <c r="E46" s="1506"/>
      <c r="F46" s="222"/>
      <c r="G46" s="1506"/>
      <c r="H46" s="1506"/>
      <c r="I46" s="5"/>
      <c r="J46" s="2"/>
    </row>
    <row r="47" spans="2:10" x14ac:dyDescent="0.25">
      <c r="B47" s="2"/>
      <c r="C47" s="4"/>
      <c r="D47" s="1503" t="s">
        <v>8063</v>
      </c>
      <c r="E47" s="1503"/>
      <c r="F47" s="222"/>
      <c r="G47" s="1503" t="s">
        <v>8064</v>
      </c>
      <c r="H47" s="1503"/>
      <c r="I47" s="5"/>
      <c r="J47" s="2"/>
    </row>
    <row r="48" spans="2:10" x14ac:dyDescent="0.25">
      <c r="B48" s="2"/>
      <c r="C48" s="4"/>
      <c r="D48" s="1502" t="s">
        <v>7992</v>
      </c>
      <c r="E48" s="1502"/>
      <c r="F48" s="222"/>
      <c r="G48" s="1502" t="s">
        <v>7993</v>
      </c>
      <c r="H48" s="1502"/>
      <c r="I48" s="5"/>
      <c r="J48" s="2"/>
    </row>
    <row r="49" spans="2:10" x14ac:dyDescent="0.25">
      <c r="B49" s="2"/>
      <c r="C49" s="4"/>
      <c r="D49" s="1502" t="s">
        <v>8108</v>
      </c>
      <c r="E49" s="1502"/>
      <c r="F49" s="242"/>
      <c r="G49" s="1502" t="s">
        <v>8109</v>
      </c>
      <c r="H49" s="1502"/>
      <c r="I49" s="5"/>
      <c r="J49" s="2"/>
    </row>
    <row r="50" spans="2:10" x14ac:dyDescent="0.25">
      <c r="B50" s="377"/>
      <c r="C50" s="377"/>
      <c r="D50" s="377"/>
      <c r="E50" s="377"/>
      <c r="F50" s="377"/>
      <c r="G50" s="377"/>
      <c r="H50" s="377"/>
      <c r="I50" s="377"/>
      <c r="J50" s="377"/>
    </row>
  </sheetData>
  <sheetProtection formatRows="0" selectLockedCells="1"/>
  <mergeCells count="36">
    <mergeCell ref="B3:J3"/>
    <mergeCell ref="D16:J16"/>
    <mergeCell ref="D15:J15"/>
    <mergeCell ref="B13:J13"/>
    <mergeCell ref="D17:J17"/>
    <mergeCell ref="B11:J11"/>
    <mergeCell ref="D5:J5"/>
    <mergeCell ref="D6:J6"/>
    <mergeCell ref="D7:J7"/>
    <mergeCell ref="D14:J14"/>
    <mergeCell ref="C40:I40"/>
    <mergeCell ref="C26:E26"/>
    <mergeCell ref="C27:E27"/>
    <mergeCell ref="C28:E28"/>
    <mergeCell ref="C30:E30"/>
    <mergeCell ref="C32:E32"/>
    <mergeCell ref="D18:J18"/>
    <mergeCell ref="B20:J20"/>
    <mergeCell ref="C24:E24"/>
    <mergeCell ref="C29:E29"/>
    <mergeCell ref="C31:E31"/>
    <mergeCell ref="C25:E25"/>
    <mergeCell ref="C23:E23"/>
    <mergeCell ref="F22:G22"/>
    <mergeCell ref="H22:I22"/>
    <mergeCell ref="C22:E22"/>
    <mergeCell ref="D49:E49"/>
    <mergeCell ref="G47:H47"/>
    <mergeCell ref="G48:H48"/>
    <mergeCell ref="G49:H49"/>
    <mergeCell ref="G42:H42"/>
    <mergeCell ref="D47:E47"/>
    <mergeCell ref="D42:E42"/>
    <mergeCell ref="D48:E48"/>
    <mergeCell ref="G43:H46"/>
    <mergeCell ref="D43:E46"/>
  </mergeCells>
  <pageMargins left="0.47244094488188998" right="0.62992125984252001" top="0.23" bottom="0.23622047244094499" header="0.196850393700787" footer="0.26"/>
  <pageSetup paperSize="9" scale="73" orientation="landscape" r:id="rId1"/>
  <headerFooter>
    <oddFooter xml:space="preserve">&amp;RTemplate &amp;"-,Italic"small size&amp;"-,Regular" 2017 v.3 - Page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1</xdr:col>
                    <xdr:colOff>1381125</xdr:colOff>
                    <xdr:row>34</xdr:row>
                    <xdr:rowOff>0</xdr:rowOff>
                  </from>
                  <to>
                    <xdr:col>1</xdr:col>
                    <xdr:colOff>1724025</xdr:colOff>
                    <xdr:row>35</xdr:row>
                    <xdr:rowOff>28575</xdr:rowOff>
                  </to>
                </anchor>
              </controlPr>
            </control>
          </mc:Choice>
        </mc:AlternateContent>
        <mc:AlternateContent xmlns:mc="http://schemas.openxmlformats.org/markup-compatibility/2006">
          <mc:Choice Requires="x14">
            <control shapeId="4099" r:id="rId5" name="Check Box 3">
              <controlPr defaultSize="0" autoFill="0" autoLine="0" autoPict="0">
                <anchor moveWithCells="1">
                  <from>
                    <xdr:col>1</xdr:col>
                    <xdr:colOff>1381125</xdr:colOff>
                    <xdr:row>35</xdr:row>
                    <xdr:rowOff>171450</xdr:rowOff>
                  </from>
                  <to>
                    <xdr:col>1</xdr:col>
                    <xdr:colOff>1724025</xdr:colOff>
                    <xdr:row>37</xdr:row>
                    <xdr:rowOff>9525</xdr:rowOff>
                  </to>
                </anchor>
              </controlPr>
            </control>
          </mc:Choice>
        </mc:AlternateContent>
        <mc:AlternateContent xmlns:mc="http://schemas.openxmlformats.org/markup-compatibility/2006">
          <mc:Choice Requires="x14">
            <control shapeId="4100" r:id="rId6" name="Check Box 4">
              <controlPr defaultSize="0" autoFill="0" autoLine="0" autoPict="0">
                <anchor moveWithCells="1">
                  <from>
                    <xdr:col>1</xdr:col>
                    <xdr:colOff>1381125</xdr:colOff>
                    <xdr:row>36</xdr:row>
                    <xdr:rowOff>171450</xdr:rowOff>
                  </from>
                  <to>
                    <xdr:col>1</xdr:col>
                    <xdr:colOff>1724025</xdr:colOff>
                    <xdr:row>38</xdr:row>
                    <xdr:rowOff>9525</xdr:rowOff>
                  </to>
                </anchor>
              </controlPr>
            </control>
          </mc:Choice>
        </mc:AlternateContent>
        <mc:AlternateContent xmlns:mc="http://schemas.openxmlformats.org/markup-compatibility/2006">
          <mc:Choice Requires="x14">
            <control shapeId="4101" r:id="rId7" name="Check Box 5">
              <controlPr defaultSize="0" autoFill="0" autoLine="0" autoPict="0">
                <anchor moveWithCells="1">
                  <from>
                    <xdr:col>1</xdr:col>
                    <xdr:colOff>1381125</xdr:colOff>
                    <xdr:row>38</xdr:row>
                    <xdr:rowOff>0</xdr:rowOff>
                  </from>
                  <to>
                    <xdr:col>1</xdr:col>
                    <xdr:colOff>1724025</xdr:colOff>
                    <xdr:row>39</xdr:row>
                    <xdr:rowOff>28575</xdr:rowOff>
                  </to>
                </anchor>
              </controlPr>
            </control>
          </mc:Choice>
        </mc:AlternateContent>
        <mc:AlternateContent xmlns:mc="http://schemas.openxmlformats.org/markup-compatibility/2006">
          <mc:Choice Requires="x14">
            <control shapeId="4102" r:id="rId8" name="Check Box 6">
              <controlPr defaultSize="0" autoFill="0" autoLine="0" autoPict="0">
                <anchor moveWithCells="1">
                  <from>
                    <xdr:col>1</xdr:col>
                    <xdr:colOff>1381125</xdr:colOff>
                    <xdr:row>39</xdr:row>
                    <xdr:rowOff>0</xdr:rowOff>
                  </from>
                  <to>
                    <xdr:col>1</xdr:col>
                    <xdr:colOff>1724025</xdr:colOff>
                    <xdr:row>40</xdr:row>
                    <xdr:rowOff>28575</xdr:rowOff>
                  </to>
                </anchor>
              </controlPr>
            </control>
          </mc:Choice>
        </mc:AlternateContent>
        <mc:AlternateContent xmlns:mc="http://schemas.openxmlformats.org/markup-compatibility/2006">
          <mc:Choice Requires="x14">
            <control shapeId="102559" r:id="rId9" name="Check Box 1183">
              <controlPr defaultSize="0" autoFill="0" autoLine="0" autoPict="0">
                <anchor moveWithCells="1">
                  <from>
                    <xdr:col>1</xdr:col>
                    <xdr:colOff>1381125</xdr:colOff>
                    <xdr:row>34</xdr:row>
                    <xdr:rowOff>180975</xdr:rowOff>
                  </from>
                  <to>
                    <xdr:col>1</xdr:col>
                    <xdr:colOff>1724025</xdr:colOff>
                    <xdr:row>36</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3:J39"/>
  <sheetViews>
    <sheetView showGridLines="0" showZeros="0" zoomScaleNormal="100" zoomScaleSheetLayoutView="80" workbookViewId="0">
      <selection activeCell="B14" sqref="B14"/>
    </sheetView>
  </sheetViews>
  <sheetFormatPr defaultRowHeight="15" x14ac:dyDescent="0.25"/>
  <cols>
    <col min="1" max="1" width="9.140625" style="348"/>
    <col min="2" max="2" width="6.140625" style="348" customWidth="1"/>
    <col min="3" max="3" width="19.7109375" style="348" customWidth="1"/>
    <col min="4" max="4" width="2.7109375" style="348" customWidth="1"/>
    <col min="5" max="5" width="27.5703125" style="348" customWidth="1"/>
    <col min="6" max="6" width="21.140625" style="348" customWidth="1"/>
    <col min="7" max="7" width="22.140625" style="348" customWidth="1"/>
    <col min="8" max="8" width="23.28515625" style="348" customWidth="1"/>
    <col min="9" max="9" width="16" style="348" customWidth="1"/>
    <col min="10" max="10" width="39.140625" style="348" customWidth="1"/>
    <col min="11" max="16384" width="9.140625" style="348"/>
  </cols>
  <sheetData>
    <row r="3" spans="2:10" ht="39" customHeight="1" x14ac:dyDescent="0.35">
      <c r="B3" s="1522" t="s">
        <v>41</v>
      </c>
      <c r="C3" s="1522"/>
      <c r="D3" s="1522"/>
      <c r="E3" s="1522"/>
      <c r="F3" s="1522"/>
      <c r="G3" s="1522"/>
      <c r="H3" s="1522"/>
      <c r="I3" s="1522"/>
      <c r="J3"/>
    </row>
    <row r="4" spans="2:10" x14ac:dyDescent="0.25">
      <c r="B4" s="4"/>
      <c r="C4" s="4"/>
      <c r="D4" s="4"/>
      <c r="E4" s="4"/>
      <c r="F4" s="4"/>
      <c r="G4" s="4"/>
      <c r="H4" s="4"/>
      <c r="I4" s="4"/>
      <c r="J4"/>
    </row>
    <row r="5" spans="2:10" x14ac:dyDescent="0.25">
      <c r="B5" s="4"/>
      <c r="C5" s="4" t="s">
        <v>46</v>
      </c>
      <c r="D5" s="4" t="s">
        <v>7</v>
      </c>
      <c r="E5" s="1523" t="str">
        <f>'Informasi Debitur'!C4</f>
        <v>IRFAN HERIYANTO HALIM</v>
      </c>
      <c r="F5" s="1523"/>
      <c r="G5" s="1523"/>
      <c r="H5" s="1523"/>
      <c r="I5" s="4"/>
      <c r="J5"/>
    </row>
    <row r="6" spans="2:10" x14ac:dyDescent="0.25">
      <c r="B6" s="4"/>
      <c r="C6" s="4" t="s">
        <v>2903</v>
      </c>
      <c r="D6" s="4" t="s">
        <v>7</v>
      </c>
      <c r="E6" s="1507" t="str">
        <f>'Informasi Debitur'!C6</f>
        <v>GABRIEL.C.LIAUWAN</v>
      </c>
      <c r="F6" s="1507"/>
      <c r="G6" s="1507"/>
      <c r="H6" s="1507"/>
      <c r="I6" s="4"/>
      <c r="J6"/>
    </row>
    <row r="7" spans="2:10" x14ac:dyDescent="0.25">
      <c r="B7" s="4"/>
      <c r="C7" s="4" t="s">
        <v>3</v>
      </c>
      <c r="D7" s="4" t="s">
        <v>7</v>
      </c>
      <c r="E7" s="1507" t="str">
        <f>'Informasi Debitur'!C9</f>
        <v>BANJARMASIN A. YANI</v>
      </c>
      <c r="F7" s="1507"/>
      <c r="G7" s="1507"/>
      <c r="H7" s="1507"/>
      <c r="I7" s="4"/>
      <c r="J7"/>
    </row>
    <row r="8" spans="2:10" x14ac:dyDescent="0.25">
      <c r="B8" s="4"/>
      <c r="C8" s="4" t="s">
        <v>47</v>
      </c>
      <c r="D8" s="4" t="s">
        <v>7</v>
      </c>
      <c r="E8" s="1524">
        <v>43238</v>
      </c>
      <c r="F8" s="1524"/>
      <c r="G8" s="1524"/>
      <c r="H8" s="1524"/>
      <c r="I8" s="4"/>
      <c r="J8"/>
    </row>
    <row r="9" spans="2:10" s="385" customFormat="1" x14ac:dyDescent="0.25">
      <c r="B9" s="4"/>
      <c r="C9" s="408" t="s">
        <v>7670</v>
      </c>
      <c r="D9" s="408" t="s">
        <v>7</v>
      </c>
      <c r="E9" s="1529">
        <v>43238</v>
      </c>
      <c r="F9" s="1529"/>
      <c r="G9" s="1529"/>
      <c r="H9" s="1529"/>
      <c r="I9" s="4"/>
      <c r="J9"/>
    </row>
    <row r="10" spans="2:10" ht="15.75" x14ac:dyDescent="0.25">
      <c r="B10" s="14"/>
      <c r="C10" s="4"/>
      <c r="D10" s="4"/>
      <c r="E10" s="4"/>
      <c r="F10" s="4"/>
      <c r="G10" s="4"/>
      <c r="H10" s="4"/>
      <c r="I10" s="4"/>
      <c r="J10"/>
    </row>
    <row r="11" spans="2:10" ht="45.75" customHeight="1" x14ac:dyDescent="0.25">
      <c r="B11" s="15" t="s">
        <v>8</v>
      </c>
      <c r="C11" s="167" t="s">
        <v>3199</v>
      </c>
      <c r="D11" s="1510" t="s">
        <v>3200</v>
      </c>
      <c r="E11" s="1510"/>
      <c r="F11" s="316" t="s">
        <v>43</v>
      </c>
      <c r="G11" s="16" t="s">
        <v>79</v>
      </c>
      <c r="H11" s="16" t="s">
        <v>3201</v>
      </c>
      <c r="I11" s="167" t="s">
        <v>227</v>
      </c>
      <c r="J11" s="16" t="s">
        <v>78</v>
      </c>
    </row>
    <row r="12" spans="2:10" ht="34.5" customHeight="1" x14ac:dyDescent="0.25">
      <c r="B12" s="1300">
        <v>1</v>
      </c>
      <c r="C12" s="1293" t="s">
        <v>8076</v>
      </c>
      <c r="D12" s="1527" t="s">
        <v>8085</v>
      </c>
      <c r="E12" s="1528"/>
      <c r="F12" s="1289" t="s">
        <v>8135</v>
      </c>
      <c r="G12" s="1268" t="s">
        <v>8111</v>
      </c>
      <c r="H12" s="1269">
        <v>20347</v>
      </c>
      <c r="I12" s="238"/>
      <c r="J12" s="1290" t="s">
        <v>8114</v>
      </c>
    </row>
    <row r="13" spans="2:10" ht="30" x14ac:dyDescent="0.25">
      <c r="B13" s="1300">
        <v>2</v>
      </c>
      <c r="C13" s="1293" t="s">
        <v>8076</v>
      </c>
      <c r="D13" s="1527" t="s">
        <v>8086</v>
      </c>
      <c r="E13" s="1528"/>
      <c r="F13" s="1289"/>
      <c r="G13" s="1268" t="s">
        <v>8096</v>
      </c>
      <c r="H13" s="1269">
        <v>22434</v>
      </c>
      <c r="I13" s="238"/>
      <c r="J13" s="1290" t="s">
        <v>8114</v>
      </c>
    </row>
    <row r="14" spans="2:10" ht="15" customHeight="1" x14ac:dyDescent="0.25">
      <c r="B14" s="1300">
        <v>3</v>
      </c>
      <c r="C14" s="1293" t="s">
        <v>8076</v>
      </c>
      <c r="D14" s="1527" t="s">
        <v>8062</v>
      </c>
      <c r="E14" s="1528"/>
      <c r="F14" s="1289"/>
      <c r="G14" s="1292">
        <v>74</v>
      </c>
      <c r="H14" s="1294" t="s">
        <v>8113</v>
      </c>
      <c r="I14" s="238"/>
      <c r="J14" s="1270" t="s">
        <v>8115</v>
      </c>
    </row>
    <row r="15" spans="2:10" ht="30" x14ac:dyDescent="0.25">
      <c r="B15" s="1300">
        <v>4</v>
      </c>
      <c r="C15" s="1293" t="s">
        <v>8110</v>
      </c>
      <c r="D15" s="1527" t="s">
        <v>8080</v>
      </c>
      <c r="E15" s="1528"/>
      <c r="F15" s="217"/>
      <c r="G15" s="1292" t="s">
        <v>8112</v>
      </c>
      <c r="H15" s="1294" t="s">
        <v>8112</v>
      </c>
      <c r="I15" s="238"/>
      <c r="J15" s="1270" t="s">
        <v>8077</v>
      </c>
    </row>
    <row r="16" spans="2:10" x14ac:dyDescent="0.25">
      <c r="B16" s="217"/>
      <c r="C16" s="1291"/>
      <c r="D16" s="1525"/>
      <c r="E16" s="1525"/>
      <c r="F16" s="217"/>
      <c r="G16" s="1271"/>
      <c r="H16" s="1269"/>
      <c r="I16" s="238"/>
      <c r="J16" s="1270"/>
    </row>
    <row r="17" spans="2:10" x14ac:dyDescent="0.25">
      <c r="B17" s="217"/>
      <c r="C17" s="217"/>
      <c r="D17" s="1526"/>
      <c r="E17" s="1526"/>
      <c r="F17" s="315"/>
      <c r="G17" s="217"/>
      <c r="H17" s="238"/>
      <c r="I17" s="238"/>
      <c r="J17" s="217"/>
    </row>
    <row r="18" spans="2:10" x14ac:dyDescent="0.25">
      <c r="B18" s="217"/>
      <c r="C18" s="217"/>
      <c r="D18" s="1526"/>
      <c r="E18" s="1526"/>
      <c r="F18" s="315"/>
      <c r="G18" s="217"/>
      <c r="H18" s="238"/>
      <c r="I18" s="238"/>
      <c r="J18" s="217"/>
    </row>
    <row r="19" spans="2:10" x14ac:dyDescent="0.25">
      <c r="B19" s="217"/>
      <c r="C19" s="217"/>
      <c r="D19" s="1526"/>
      <c r="E19" s="1526"/>
      <c r="F19" s="315"/>
      <c r="G19" s="217"/>
      <c r="H19" s="238"/>
      <c r="I19" s="238"/>
      <c r="J19" s="217"/>
    </row>
    <row r="20" spans="2:10" x14ac:dyDescent="0.25">
      <c r="B20" s="217"/>
      <c r="C20" s="217"/>
      <c r="D20" s="1526"/>
      <c r="E20" s="1526"/>
      <c r="F20" s="315"/>
      <c r="G20" s="217"/>
      <c r="H20" s="238"/>
      <c r="I20" s="238"/>
      <c r="J20" s="217"/>
    </row>
    <row r="21" spans="2:10" x14ac:dyDescent="0.25">
      <c r="B21" s="217"/>
      <c r="C21" s="217"/>
      <c r="D21" s="1526"/>
      <c r="E21" s="1526"/>
      <c r="F21" s="315"/>
      <c r="G21" s="217"/>
      <c r="H21" s="238"/>
      <c r="I21" s="238"/>
      <c r="J21" s="217"/>
    </row>
    <row r="22" spans="2:10" x14ac:dyDescent="0.25">
      <c r="B22" s="217"/>
      <c r="C22" s="217"/>
      <c r="D22" s="1526"/>
      <c r="E22" s="1526"/>
      <c r="F22" s="311"/>
      <c r="G22" s="217"/>
      <c r="H22" s="238"/>
      <c r="I22" s="238"/>
      <c r="J22" s="217"/>
    </row>
    <row r="23" spans="2:10" x14ac:dyDescent="0.25">
      <c r="B23" s="217"/>
      <c r="C23" s="217"/>
      <c r="D23" s="1526"/>
      <c r="E23" s="1526"/>
      <c r="F23" s="311"/>
      <c r="G23" s="217"/>
      <c r="H23" s="238"/>
      <c r="I23" s="238"/>
      <c r="J23" s="217"/>
    </row>
    <row r="24" spans="2:10" x14ac:dyDescent="0.25">
      <c r="B24" s="217"/>
      <c r="C24" s="217"/>
      <c r="D24" s="1526"/>
      <c r="E24" s="1526"/>
      <c r="F24" s="311"/>
      <c r="G24" s="217"/>
      <c r="H24" s="238"/>
      <c r="I24" s="238"/>
      <c r="J24" s="217"/>
    </row>
    <row r="25" spans="2:10" x14ac:dyDescent="0.25">
      <c r="B25" s="217"/>
      <c r="C25" s="217"/>
      <c r="D25" s="1526"/>
      <c r="E25" s="1526"/>
      <c r="F25" s="311"/>
      <c r="G25" s="217"/>
      <c r="H25" s="238"/>
      <c r="I25" s="238"/>
      <c r="J25" s="217"/>
    </row>
    <row r="26" spans="2:10" x14ac:dyDescent="0.25">
      <c r="B26" s="217"/>
      <c r="C26" s="217"/>
      <c r="D26" s="1526"/>
      <c r="E26" s="1526"/>
      <c r="F26" s="315"/>
      <c r="G26" s="217"/>
      <c r="H26" s="238"/>
      <c r="I26" s="238"/>
      <c r="J26" s="217"/>
    </row>
    <row r="27" spans="2:10" x14ac:dyDescent="0.25">
      <c r="B27" s="23" t="s">
        <v>42</v>
      </c>
      <c r="C27" s="4"/>
      <c r="D27" s="4"/>
      <c r="E27" s="4"/>
      <c r="F27" s="4"/>
      <c r="G27" s="4"/>
      <c r="H27" s="4"/>
      <c r="I27" s="4"/>
      <c r="J27"/>
    </row>
    <row r="28" spans="2:10" x14ac:dyDescent="0.25">
      <c r="B28" s="17" t="s">
        <v>449</v>
      </c>
      <c r="C28" s="4"/>
      <c r="D28" s="4"/>
      <c r="E28" s="4"/>
      <c r="F28" s="4"/>
      <c r="G28" s="4"/>
      <c r="H28" s="4"/>
      <c r="I28" s="4"/>
      <c r="J28"/>
    </row>
    <row r="29" spans="2:10" ht="15" customHeight="1" x14ac:dyDescent="0.25">
      <c r="B29" s="4"/>
      <c r="C29" s="4"/>
      <c r="D29" s="4"/>
      <c r="E29" s="4"/>
      <c r="F29" s="4"/>
      <c r="G29" s="4"/>
      <c r="H29" s="4"/>
      <c r="I29" s="4"/>
      <c r="J29"/>
    </row>
    <row r="30" spans="2:10" ht="15" customHeight="1" x14ac:dyDescent="0.25">
      <c r="B30" s="4" t="str">
        <f>CONCATENATE("Apabila proses BI checking telah selesai, mohon hasil penilaian tersebut dapat dikirimkan kepada cabang "," ",E7," ","melalui email atas nama"," ",E5," ","selaku RM dan"," ",E6," ","selaku ACM")</f>
        <v>Apabila proses BI checking telah selesai, mohon hasil penilaian tersebut dapat dikirimkan kepada cabang  BANJARMASIN A. YANI melalui email atas nama IRFAN HERIYANTO HALIM selaku RM dan GABRIEL.C.LIAUWAN selaku ACM</v>
      </c>
      <c r="C30" s="4"/>
      <c r="D30" s="4"/>
      <c r="E30" s="4"/>
      <c r="F30" s="4"/>
      <c r="G30" s="4"/>
      <c r="H30" s="4"/>
      <c r="I30" s="4"/>
      <c r="J30"/>
    </row>
    <row r="31" spans="2:10" ht="15" customHeight="1" x14ac:dyDescent="0.25">
      <c r="B31" s="4"/>
      <c r="C31" s="4"/>
      <c r="D31" s="4"/>
      <c r="E31" s="4"/>
      <c r="F31" s="4"/>
      <c r="G31" s="4"/>
      <c r="H31" s="4"/>
      <c r="I31" s="4"/>
      <c r="J31"/>
    </row>
    <row r="32" spans="2:10" x14ac:dyDescent="0.25">
      <c r="B32" s="4"/>
      <c r="C32" s="1504" t="s">
        <v>38</v>
      </c>
      <c r="D32" s="1504"/>
      <c r="E32" s="1504"/>
      <c r="F32" s="4"/>
      <c r="G32" s="4"/>
      <c r="H32" s="4"/>
      <c r="I32" s="4"/>
      <c r="J32"/>
    </row>
    <row r="33" spans="2:10" x14ac:dyDescent="0.25">
      <c r="B33" s="4"/>
      <c r="C33" s="1505"/>
      <c r="D33" s="1505"/>
      <c r="E33" s="1505"/>
      <c r="F33" s="4"/>
      <c r="G33" s="4"/>
      <c r="H33" s="4"/>
      <c r="I33" s="4"/>
      <c r="J33"/>
    </row>
    <row r="34" spans="2:10" x14ac:dyDescent="0.25">
      <c r="B34" s="4"/>
      <c r="C34" s="1505"/>
      <c r="D34" s="1505"/>
      <c r="E34" s="1505"/>
      <c r="F34" s="4"/>
      <c r="G34" s="4"/>
      <c r="H34" s="4"/>
      <c r="I34" s="4"/>
      <c r="J34"/>
    </row>
    <row r="35" spans="2:10" x14ac:dyDescent="0.25">
      <c r="B35" s="4"/>
      <c r="C35" s="1505"/>
      <c r="D35" s="1505"/>
      <c r="E35" s="1505"/>
      <c r="F35" s="4"/>
      <c r="G35" s="4"/>
      <c r="H35" s="4"/>
      <c r="I35" s="4"/>
      <c r="J35"/>
    </row>
    <row r="36" spans="2:10" x14ac:dyDescent="0.25">
      <c r="B36" s="4"/>
      <c r="C36" s="1505"/>
      <c r="D36" s="1505"/>
      <c r="E36" s="1505"/>
      <c r="F36" s="4"/>
      <c r="G36" s="4"/>
      <c r="H36" s="4"/>
      <c r="I36" s="4"/>
      <c r="J36"/>
    </row>
    <row r="37" spans="2:10" x14ac:dyDescent="0.25">
      <c r="B37" s="4"/>
      <c r="C37" s="1506"/>
      <c r="D37" s="1506"/>
      <c r="E37" s="1506"/>
      <c r="F37" s="4"/>
      <c r="G37" s="4"/>
      <c r="H37" s="4"/>
      <c r="I37" s="4"/>
      <c r="J37"/>
    </row>
    <row r="38" spans="2:10" x14ac:dyDescent="0.25">
      <c r="B38" s="4"/>
      <c r="C38" s="1503" t="s">
        <v>8063</v>
      </c>
      <c r="D38" s="1503"/>
      <c r="E38" s="1503"/>
      <c r="F38" s="4"/>
      <c r="G38" s="4"/>
      <c r="H38" s="4"/>
      <c r="I38" s="4"/>
      <c r="J38"/>
    </row>
    <row r="39" spans="2:10" x14ac:dyDescent="0.25">
      <c r="B39" s="4"/>
      <c r="C39" s="1502" t="s">
        <v>8144</v>
      </c>
      <c r="D39" s="1502"/>
      <c r="E39" s="1502"/>
      <c r="F39" s="4"/>
      <c r="G39" s="4"/>
      <c r="H39" s="4"/>
      <c r="I39" s="4"/>
      <c r="J39"/>
    </row>
  </sheetData>
  <sheetProtection formatRows="0" selectLockedCells="1"/>
  <mergeCells count="26">
    <mergeCell ref="C39:E39"/>
    <mergeCell ref="C33:E37"/>
    <mergeCell ref="D26:E26"/>
    <mergeCell ref="D17:E17"/>
    <mergeCell ref="D18:E18"/>
    <mergeCell ref="D19:E19"/>
    <mergeCell ref="D20:E20"/>
    <mergeCell ref="D21:E21"/>
    <mergeCell ref="D22:E22"/>
    <mergeCell ref="D24:E24"/>
    <mergeCell ref="D25:E25"/>
    <mergeCell ref="C38:E38"/>
    <mergeCell ref="B3:I3"/>
    <mergeCell ref="C32:E32"/>
    <mergeCell ref="E6:H6"/>
    <mergeCell ref="E5:H5"/>
    <mergeCell ref="E7:H7"/>
    <mergeCell ref="E8:H8"/>
    <mergeCell ref="D11:E11"/>
    <mergeCell ref="D16:E16"/>
    <mergeCell ref="D23:E23"/>
    <mergeCell ref="D14:E14"/>
    <mergeCell ref="D15:E15"/>
    <mergeCell ref="D12:E12"/>
    <mergeCell ref="D13:E13"/>
    <mergeCell ref="E9:H9"/>
  </mergeCells>
  <pageMargins left="0.27559055118110198" right="0.196850393700787" top="0.35433070866141703" bottom="0.23622047244094499" header="0.31496062992126" footer="0.196850393700787"/>
  <pageSetup paperSize="9" scale="79" orientation="landscape" r:id="rId1"/>
  <headerFooter differentOddEven="1">
    <oddFooter>&amp;RTemplate &amp;"-,Italic"small size&amp;"-,Regular" 2017 v.3 - Page &amp;P</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1"/>
  <dimension ref="B2:M43"/>
  <sheetViews>
    <sheetView showZeros="0" zoomScale="80" zoomScaleNormal="80" zoomScaleSheetLayoutView="80" workbookViewId="0">
      <selection activeCell="C25" sqref="C25:D25"/>
    </sheetView>
  </sheetViews>
  <sheetFormatPr defaultRowHeight="15" x14ac:dyDescent="0.25"/>
  <cols>
    <col min="1" max="1" width="9.140625" style="348"/>
    <col min="2" max="2" width="19" style="348" customWidth="1"/>
    <col min="3" max="3" width="2.7109375" style="348" customWidth="1"/>
    <col min="4" max="4" width="42" style="348" customWidth="1"/>
    <col min="5" max="6" width="9.140625" style="348"/>
    <col min="7" max="7" width="18.140625" style="348" customWidth="1"/>
    <col min="8" max="8" width="9.140625" style="348"/>
    <col min="9" max="9" width="6.140625" style="348" customWidth="1"/>
    <col min="10" max="10" width="18.5703125" style="348" customWidth="1"/>
    <col min="11" max="11" width="17.7109375" style="348" customWidth="1"/>
    <col min="12" max="12" width="19.5703125" style="348" customWidth="1"/>
    <col min="13" max="13" width="16.85546875" style="348" customWidth="1"/>
    <col min="14" max="16384" width="9.140625" style="348"/>
  </cols>
  <sheetData>
    <row r="2" spans="2:13" ht="47.25" customHeight="1" x14ac:dyDescent="0.35">
      <c r="B2" s="1522" t="s">
        <v>44</v>
      </c>
      <c r="C2" s="1522"/>
      <c r="D2" s="1522"/>
      <c r="E2" s="1522"/>
      <c r="F2" s="1522"/>
      <c r="G2" s="1522"/>
      <c r="H2" s="1522"/>
      <c r="I2" s="1522"/>
      <c r="J2" s="1522"/>
      <c r="K2" s="1522"/>
      <c r="L2" s="1522"/>
      <c r="M2" s="1522"/>
    </row>
    <row r="3" spans="2:13" x14ac:dyDescent="0.25">
      <c r="B3" s="4"/>
      <c r="C3" s="4"/>
      <c r="D3" s="4"/>
      <c r="E3" s="4"/>
      <c r="F3" s="4"/>
      <c r="G3" s="4"/>
      <c r="H3" s="4"/>
      <c r="I3" s="4"/>
      <c r="J3" s="4"/>
      <c r="K3" s="4"/>
      <c r="L3" s="4"/>
      <c r="M3" s="4"/>
    </row>
    <row r="4" spans="2:13" x14ac:dyDescent="0.25">
      <c r="B4" s="4" t="s">
        <v>46</v>
      </c>
      <c r="C4" s="22" t="s">
        <v>7</v>
      </c>
      <c r="D4" s="1540" t="str">
        <f>IF(COUNTA('Informasi Debitur'!C4)=0,"",'Informasi Debitur'!C4)</f>
        <v>IRFAN HERIYANTO HALIM</v>
      </c>
      <c r="E4" s="1540"/>
      <c r="F4" s="1540"/>
      <c r="G4" s="1540"/>
      <c r="H4" s="1540"/>
      <c r="I4" s="1540"/>
      <c r="J4" s="1540"/>
      <c r="K4" s="1540"/>
      <c r="L4" s="1540"/>
      <c r="M4" s="1540"/>
    </row>
    <row r="5" spans="2:13" x14ac:dyDescent="0.25">
      <c r="B5" s="4" t="s">
        <v>3</v>
      </c>
      <c r="C5" s="22" t="s">
        <v>7</v>
      </c>
      <c r="D5" s="1541" t="str">
        <f>IF(COUNTA('Informasi Debitur'!C9)=0,"",'Informasi Debitur'!C9)</f>
        <v>BANJARMASIN A. YANI</v>
      </c>
      <c r="E5" s="1541"/>
      <c r="F5" s="1541"/>
      <c r="G5" s="1541"/>
      <c r="H5" s="1541"/>
      <c r="I5" s="1541"/>
      <c r="J5" s="1541"/>
      <c r="K5" s="1541"/>
      <c r="L5" s="1541"/>
      <c r="M5" s="1541"/>
    </row>
    <row r="6" spans="2:13" x14ac:dyDescent="0.25">
      <c r="B6" s="4" t="s">
        <v>48</v>
      </c>
      <c r="C6" s="22" t="s">
        <v>7</v>
      </c>
      <c r="D6" s="1542"/>
      <c r="E6" s="1542"/>
      <c r="F6" s="1542"/>
      <c r="G6" s="1542"/>
      <c r="H6" s="1542"/>
      <c r="I6" s="1542"/>
      <c r="J6" s="1542"/>
      <c r="K6" s="1542"/>
      <c r="L6" s="1542"/>
      <c r="M6" s="1542"/>
    </row>
    <row r="7" spans="2:13" ht="5.0999999999999996" customHeight="1" x14ac:dyDescent="0.25">
      <c r="B7" s="4"/>
      <c r="C7" s="22"/>
      <c r="D7" s="22"/>
      <c r="E7" s="22"/>
      <c r="F7" s="22"/>
      <c r="G7" s="22"/>
      <c r="H7" s="22"/>
      <c r="I7" s="22"/>
      <c r="J7" s="22"/>
      <c r="K7" s="22"/>
      <c r="L7" s="22"/>
      <c r="M7" s="22"/>
    </row>
    <row r="8" spans="2:13" ht="15.75" x14ac:dyDescent="0.25">
      <c r="B8" s="1530" t="s">
        <v>0</v>
      </c>
      <c r="C8" s="1531"/>
      <c r="D8" s="1531"/>
      <c r="E8" s="1531"/>
      <c r="F8" s="1531"/>
      <c r="G8" s="1531"/>
      <c r="H8" s="1531"/>
      <c r="I8" s="1531"/>
      <c r="J8" s="1531"/>
      <c r="K8" s="1531"/>
      <c r="L8" s="1531"/>
      <c r="M8" s="1531"/>
    </row>
    <row r="9" spans="2:13" x14ac:dyDescent="0.25">
      <c r="B9" s="1" t="s">
        <v>2</v>
      </c>
      <c r="C9" s="6" t="s">
        <v>7</v>
      </c>
      <c r="D9" s="1523" t="str">
        <f>IF(COUNTA('Informasi Debitur'!J5)=0,"",'Informasi Debitur'!J5)</f>
        <v xml:space="preserve">OH NJEN LIENG </v>
      </c>
      <c r="E9" s="1523"/>
      <c r="F9" s="1523"/>
      <c r="G9" s="1523"/>
      <c r="H9" s="1523"/>
      <c r="I9" s="1523"/>
      <c r="J9" s="1523"/>
      <c r="K9" s="1523"/>
      <c r="L9" s="1523"/>
      <c r="M9" s="1523"/>
    </row>
    <row r="10" spans="2:13" x14ac:dyDescent="0.25">
      <c r="B10" s="1" t="s">
        <v>84</v>
      </c>
      <c r="C10" s="141" t="s">
        <v>7</v>
      </c>
      <c r="D10" s="1537" t="str">
        <f>'Informasi Debitur'!J7</f>
        <v>0008C00010251</v>
      </c>
      <c r="E10" s="1537"/>
      <c r="F10" s="1537"/>
      <c r="G10" s="1537"/>
      <c r="H10" s="1537"/>
      <c r="I10" s="1537"/>
      <c r="J10" s="1537"/>
      <c r="K10" s="1537"/>
      <c r="L10" s="1537"/>
      <c r="M10" s="1537"/>
    </row>
    <row r="11" spans="2:13" s="334" customFormat="1" x14ac:dyDescent="0.25">
      <c r="B11" s="19" t="s">
        <v>14</v>
      </c>
      <c r="C11" s="20" t="s">
        <v>7</v>
      </c>
      <c r="D11" s="1507" t="str">
        <f>IF(COUNTA('Informasi Debitur'!D20)=0,"",'Informasi Debitur'!D20)</f>
        <v>Jl A Yani km 6,5 No 31 Kertak Hanyar I Kertak Hanyar , Kab Banjar</v>
      </c>
      <c r="E11" s="1507"/>
      <c r="F11" s="1507"/>
      <c r="G11" s="1507"/>
      <c r="H11" s="1507"/>
      <c r="I11" s="1507"/>
      <c r="J11" s="1507"/>
      <c r="K11" s="1507"/>
      <c r="L11" s="1507"/>
      <c r="M11" s="1507"/>
    </row>
    <row r="12" spans="2:13" x14ac:dyDescent="0.25">
      <c r="B12" s="1" t="s">
        <v>45</v>
      </c>
      <c r="C12" s="6" t="s">
        <v>7</v>
      </c>
      <c r="D12" s="1507" t="str">
        <f>IF(COUNTA('Informasi Debitur'!D32)=0,"",'Informasi Debitur'!D32)</f>
        <v>AUTOMOTIVE &amp; COMPONENT</v>
      </c>
      <c r="E12" s="1507"/>
      <c r="F12" s="1507"/>
      <c r="G12" s="1507"/>
      <c r="H12" s="1507"/>
      <c r="I12" s="1507"/>
      <c r="J12" s="1507"/>
      <c r="K12" s="1507"/>
      <c r="L12" s="1507"/>
      <c r="M12" s="1507"/>
    </row>
    <row r="13" spans="2:13" ht="5.0999999999999996" customHeight="1" x14ac:dyDescent="0.25">
      <c r="B13" s="1"/>
      <c r="C13" s="6"/>
      <c r="D13" s="22"/>
      <c r="E13" s="22"/>
      <c r="F13" s="22"/>
      <c r="G13" s="22"/>
      <c r="H13" s="22"/>
      <c r="I13" s="22"/>
      <c r="J13" s="22"/>
      <c r="K13" s="22"/>
      <c r="L13" s="22"/>
      <c r="M13" s="22"/>
    </row>
    <row r="14" spans="2:13" ht="15.75" x14ac:dyDescent="0.25">
      <c r="B14" s="1530" t="s">
        <v>49</v>
      </c>
      <c r="C14" s="1531"/>
      <c r="D14" s="1531"/>
      <c r="E14" s="1531"/>
      <c r="F14" s="1531"/>
      <c r="G14" s="1531"/>
      <c r="H14" s="1531"/>
      <c r="I14" s="1531"/>
      <c r="J14" s="1531"/>
      <c r="K14" s="1531"/>
      <c r="L14" s="1531"/>
      <c r="M14" s="1531"/>
    </row>
    <row r="15" spans="2:13" x14ac:dyDescent="0.25">
      <c r="B15" s="12" t="s">
        <v>22</v>
      </c>
      <c r="C15" s="2"/>
      <c r="D15" s="2"/>
      <c r="E15" s="2"/>
      <c r="F15" s="2"/>
      <c r="G15" s="2"/>
      <c r="H15" s="2"/>
      <c r="I15" s="2"/>
      <c r="J15" s="2"/>
      <c r="K15" s="2"/>
      <c r="L15" s="2"/>
      <c r="M15" s="3"/>
    </row>
    <row r="16" spans="2:13" ht="45" x14ac:dyDescent="0.25">
      <c r="B16" s="15" t="s">
        <v>17</v>
      </c>
      <c r="C16" s="1546" t="s">
        <v>14</v>
      </c>
      <c r="D16" s="1547"/>
      <c r="E16" s="1546" t="s">
        <v>736</v>
      </c>
      <c r="F16" s="1547"/>
      <c r="G16" s="15" t="s">
        <v>19</v>
      </c>
      <c r="H16" s="1546" t="s">
        <v>21</v>
      </c>
      <c r="I16" s="1547"/>
      <c r="J16" s="167" t="s">
        <v>745</v>
      </c>
      <c r="K16" s="15" t="s">
        <v>18</v>
      </c>
      <c r="L16" s="16" t="s">
        <v>733</v>
      </c>
      <c r="M16" s="16" t="s">
        <v>734</v>
      </c>
    </row>
    <row r="17" spans="2:13" x14ac:dyDescent="0.25">
      <c r="B17" s="122" t="str">
        <f>'Informasi Debitur'!A199</f>
        <v>PT Benteng Anugerah Sejahtera</v>
      </c>
      <c r="C17" s="1532" t="str">
        <f>'Informasi Debitur'!B199</f>
        <v>Surabaya</v>
      </c>
      <c r="D17" s="1532"/>
      <c r="E17" s="1533" t="str">
        <f>'Informasi Debitur'!E199</f>
        <v>Besi</v>
      </c>
      <c r="F17" s="1534"/>
      <c r="G17" s="122" t="str">
        <f>'Informasi Debitur'!G199</f>
        <v>Office</v>
      </c>
      <c r="H17" s="1535" t="str">
        <f>'Informasi Debitur'!I199</f>
        <v>08563309595</v>
      </c>
      <c r="I17" s="1536"/>
      <c r="J17" s="168">
        <f>'Informasi Debitur'!J199</f>
        <v>100</v>
      </c>
      <c r="K17" s="122" t="str">
        <f>'Informasi Debitur'!K199</f>
        <v>Kredit</v>
      </c>
      <c r="L17" s="159">
        <f>'Informasi Debitur'!L199:M199</f>
        <v>30</v>
      </c>
      <c r="M17" s="159">
        <f>'Informasi Debitur'!N199</f>
        <v>5</v>
      </c>
    </row>
    <row r="18" spans="2:13" x14ac:dyDescent="0.25">
      <c r="B18" s="122" t="str">
        <f>'Informasi Debitur'!A200</f>
        <v>PT Baja Mitra</v>
      </c>
      <c r="C18" s="1548" t="str">
        <f>'Informasi Debitur'!B200</f>
        <v>Banjarmasin</v>
      </c>
      <c r="D18" s="1549"/>
      <c r="E18" s="1533" t="str">
        <f>'Informasi Debitur'!E200</f>
        <v>Besi</v>
      </c>
      <c r="F18" s="1534"/>
      <c r="G18" s="122" t="str">
        <f>'Informasi Debitur'!G200</f>
        <v>Hendy</v>
      </c>
      <c r="H18" s="1535" t="str">
        <f>'Informasi Debitur'!I200</f>
        <v>081381816919</v>
      </c>
      <c r="I18" s="1536"/>
      <c r="J18" s="168">
        <f>'Informasi Debitur'!J200</f>
        <v>300</v>
      </c>
      <c r="K18" s="122" t="str">
        <f>'Informasi Debitur'!K200</f>
        <v>Kredit</v>
      </c>
      <c r="L18" s="159">
        <f>'Informasi Debitur'!L200:M200</f>
        <v>30</v>
      </c>
      <c r="M18" s="159">
        <f>'Informasi Debitur'!N200</f>
        <v>5</v>
      </c>
    </row>
    <row r="19" spans="2:13" x14ac:dyDescent="0.25">
      <c r="B19" s="122" t="str">
        <f>'Informasi Debitur'!A201</f>
        <v>PT Sidomukti</v>
      </c>
      <c r="C19" s="1548" t="str">
        <f>'Informasi Debitur'!B201</f>
        <v>Jakarta</v>
      </c>
      <c r="D19" s="1549"/>
      <c r="E19" s="1533" t="str">
        <f>'Informasi Debitur'!E201</f>
        <v>Hidraulic</v>
      </c>
      <c r="F19" s="1534"/>
      <c r="G19" s="122" t="str">
        <f>'Informasi Debitur'!G201</f>
        <v>Jimmy</v>
      </c>
      <c r="H19" s="1535" t="str">
        <f>'Informasi Debitur'!I201</f>
        <v>081219888989</v>
      </c>
      <c r="I19" s="1536"/>
      <c r="J19" s="168">
        <f>'Informasi Debitur'!J201</f>
        <v>250</v>
      </c>
      <c r="K19" s="122" t="str">
        <f>'Informasi Debitur'!K201</f>
        <v>Kredit</v>
      </c>
      <c r="L19" s="159">
        <f>'Informasi Debitur'!L201:M201</f>
        <v>30</v>
      </c>
      <c r="M19" s="159">
        <f>'Informasi Debitur'!N201</f>
        <v>5</v>
      </c>
    </row>
    <row r="20" spans="2:13" x14ac:dyDescent="0.25">
      <c r="B20" s="122" t="str">
        <f>'Informasi Debitur'!A202</f>
        <v>CV Cakra Perkasa Teknik</v>
      </c>
      <c r="C20" s="1548" t="str">
        <f>'Informasi Debitur'!B202</f>
        <v>Banjarmasin</v>
      </c>
      <c r="D20" s="1549"/>
      <c r="E20" s="1533" t="str">
        <f>'Informasi Debitur'!E202</f>
        <v>Besi</v>
      </c>
      <c r="F20" s="1534"/>
      <c r="G20" s="122" t="str">
        <f>'Informasi Debitur'!G202</f>
        <v>Anna</v>
      </c>
      <c r="H20" s="1535" t="str">
        <f>'Informasi Debitur'!I202</f>
        <v>081253628881</v>
      </c>
      <c r="I20" s="1536"/>
      <c r="J20" s="168">
        <f>'Informasi Debitur'!J202</f>
        <v>50</v>
      </c>
      <c r="K20" s="122" t="str">
        <f>'Informasi Debitur'!K202</f>
        <v>Kredit</v>
      </c>
      <c r="L20" s="159">
        <f>'Informasi Debitur'!L202:M202</f>
        <v>30</v>
      </c>
      <c r="M20" s="159">
        <f>'Informasi Debitur'!N202</f>
        <v>6</v>
      </c>
    </row>
    <row r="21" spans="2:13" x14ac:dyDescent="0.25">
      <c r="B21" s="122">
        <f>'Informasi Debitur'!A203</f>
        <v>0</v>
      </c>
      <c r="C21" s="1548">
        <f>'Informasi Debitur'!B203</f>
        <v>0</v>
      </c>
      <c r="D21" s="1549"/>
      <c r="E21" s="1533">
        <f>'Informasi Debitur'!E203</f>
        <v>0</v>
      </c>
      <c r="F21" s="1534"/>
      <c r="G21" s="122">
        <f>'Informasi Debitur'!G203</f>
        <v>0</v>
      </c>
      <c r="H21" s="1535">
        <f>'Informasi Debitur'!I203</f>
        <v>0</v>
      </c>
      <c r="I21" s="1536"/>
      <c r="J21" s="168">
        <f>'Informasi Debitur'!J203</f>
        <v>0</v>
      </c>
      <c r="K21" s="122">
        <f>'Informasi Debitur'!K203</f>
        <v>0</v>
      </c>
      <c r="L21" s="159">
        <f>'Informasi Debitur'!L203:M203</f>
        <v>0</v>
      </c>
      <c r="M21" s="159">
        <f>'Informasi Debitur'!N203</f>
        <v>0</v>
      </c>
    </row>
    <row r="22" spans="2:13" x14ac:dyDescent="0.25">
      <c r="B22" s="1"/>
      <c r="C22" s="6"/>
      <c r="D22" s="6"/>
      <c r="E22" s="6"/>
      <c r="F22" s="5"/>
      <c r="G22" s="2"/>
      <c r="H22" s="6"/>
      <c r="I22" s="6"/>
      <c r="J22" s="2"/>
      <c r="K22" s="2"/>
      <c r="L22" s="2"/>
      <c r="M22" s="3"/>
    </row>
    <row r="23" spans="2:13" x14ac:dyDescent="0.25">
      <c r="B23" s="12" t="s">
        <v>23</v>
      </c>
      <c r="C23" s="2"/>
      <c r="D23" s="2"/>
      <c r="E23" s="2"/>
      <c r="F23" s="2"/>
      <c r="G23" s="2"/>
      <c r="H23" s="2"/>
      <c r="I23" s="2"/>
      <c r="J23" s="2"/>
      <c r="K23" s="2"/>
      <c r="L23" s="2"/>
      <c r="M23" s="3"/>
    </row>
    <row r="24" spans="2:13" ht="45" x14ac:dyDescent="0.25">
      <c r="B24" s="11" t="s">
        <v>20</v>
      </c>
      <c r="C24" s="1543" t="s">
        <v>1</v>
      </c>
      <c r="D24" s="1543"/>
      <c r="E24" s="1544" t="s">
        <v>736</v>
      </c>
      <c r="F24" s="1545"/>
      <c r="G24" s="15" t="s">
        <v>19</v>
      </c>
      <c r="H24" s="1546" t="s">
        <v>21</v>
      </c>
      <c r="I24" s="1547"/>
      <c r="J24" s="167" t="s">
        <v>746</v>
      </c>
      <c r="K24" s="15" t="s">
        <v>18</v>
      </c>
      <c r="L24" s="16" t="s">
        <v>733</v>
      </c>
      <c r="M24" s="16" t="s">
        <v>734</v>
      </c>
    </row>
    <row r="25" spans="2:13" x14ac:dyDescent="0.25">
      <c r="B25" s="122" t="str">
        <f>'Informasi Debitur'!A207</f>
        <v>PT Astra Isuzu</v>
      </c>
      <c r="C25" s="1532" t="str">
        <f>'Informasi Debitur'!B207</f>
        <v>Banjarmasin</v>
      </c>
      <c r="D25" s="1532"/>
      <c r="E25" s="1533" t="str">
        <f>'Informasi Debitur'!E207</f>
        <v>Dealer Mobil</v>
      </c>
      <c r="F25" s="1534"/>
      <c r="G25" s="122" t="str">
        <f>'Informasi Debitur'!G207</f>
        <v>Arsyad</v>
      </c>
      <c r="H25" s="1535" t="str">
        <f>'Informasi Debitur'!I207</f>
        <v>085345068388</v>
      </c>
      <c r="I25" s="1536"/>
      <c r="J25" s="168">
        <f>'Informasi Debitur'!J207</f>
        <v>300</v>
      </c>
      <c r="K25" s="122" t="str">
        <f>'Informasi Debitur'!K207</f>
        <v>Kredit</v>
      </c>
      <c r="L25" s="159">
        <f>'Informasi Debitur'!L207:M207</f>
        <v>30</v>
      </c>
      <c r="M25" s="159">
        <f>'Informasi Debitur'!N207</f>
        <v>10</v>
      </c>
    </row>
    <row r="26" spans="2:13" x14ac:dyDescent="0.25">
      <c r="B26" s="122" t="str">
        <f>'Informasi Debitur'!A208</f>
        <v>PT Sumber Berlian Motor</v>
      </c>
      <c r="C26" s="1532" t="str">
        <f>'Informasi Debitur'!B208</f>
        <v>Banjarmasin</v>
      </c>
      <c r="D26" s="1532"/>
      <c r="E26" s="1533" t="str">
        <f>'Informasi Debitur'!E208</f>
        <v>Dealer Mobil</v>
      </c>
      <c r="F26" s="1534"/>
      <c r="G26" s="122" t="str">
        <f>'Informasi Debitur'!G208</f>
        <v>Edy Yustian 081349758941</v>
      </c>
      <c r="H26" s="1535" t="str">
        <f>'Informasi Debitur'!I208</f>
        <v>05114720552</v>
      </c>
      <c r="I26" s="1536"/>
      <c r="J26" s="168">
        <f>'Informasi Debitur'!J208</f>
        <v>300</v>
      </c>
      <c r="K26" s="122" t="str">
        <f>'Informasi Debitur'!K208</f>
        <v>Kredit</v>
      </c>
      <c r="L26" s="159">
        <f>'Informasi Debitur'!L208:M208</f>
        <v>30</v>
      </c>
      <c r="M26" s="159">
        <f>'Informasi Debitur'!N208</f>
        <v>10</v>
      </c>
    </row>
    <row r="27" spans="2:13" x14ac:dyDescent="0.25">
      <c r="B27" s="122" t="str">
        <f>'Informasi Debitur'!A209</f>
        <v>PT Mitra Lintas Borneo</v>
      </c>
      <c r="C27" s="1532" t="str">
        <f>'Informasi Debitur'!B209</f>
        <v>Sampit</v>
      </c>
      <c r="D27" s="1532"/>
      <c r="E27" s="1533" t="str">
        <f>'Informasi Debitur'!E209</f>
        <v>Transportir BBM</v>
      </c>
      <c r="F27" s="1534"/>
      <c r="G27" s="122" t="str">
        <f>'Informasi Debitur'!G209</f>
        <v>Edy</v>
      </c>
      <c r="H27" s="1535" t="str">
        <f>'Informasi Debitur'!I209</f>
        <v>081294663878</v>
      </c>
      <c r="I27" s="1536"/>
      <c r="J27" s="168">
        <f>'Informasi Debitur'!J209</f>
        <v>240</v>
      </c>
      <c r="K27" s="122" t="str">
        <f>'Informasi Debitur'!K209</f>
        <v>Kredit</v>
      </c>
      <c r="L27" s="159">
        <f>'Informasi Debitur'!L209:M209</f>
        <v>30</v>
      </c>
      <c r="M27" s="159">
        <f>'Informasi Debitur'!N209</f>
        <v>5</v>
      </c>
    </row>
    <row r="28" spans="2:13" x14ac:dyDescent="0.25">
      <c r="B28" s="122" t="str">
        <f>'Informasi Debitur'!A210</f>
        <v>PT Borneo Auto Cemerlang</v>
      </c>
      <c r="C28" s="1532" t="str">
        <f>'Informasi Debitur'!B210</f>
        <v>Palangkaraya</v>
      </c>
      <c r="D28" s="1532"/>
      <c r="E28" s="1533" t="str">
        <f>'Informasi Debitur'!E210</f>
        <v>Dealer Mobil</v>
      </c>
      <c r="F28" s="1534"/>
      <c r="G28" s="122" t="str">
        <f>'Informasi Debitur'!G210</f>
        <v>Engkiat</v>
      </c>
      <c r="H28" s="1535" t="str">
        <f>'Informasi Debitur'!I210</f>
        <v>081257145018</v>
      </c>
      <c r="I28" s="1536"/>
      <c r="J28" s="168">
        <f>'Informasi Debitur'!J210</f>
        <v>250</v>
      </c>
      <c r="K28" s="122" t="str">
        <f>'Informasi Debitur'!K210</f>
        <v>Kredit</v>
      </c>
      <c r="L28" s="159">
        <f>'Informasi Debitur'!L210:M210</f>
        <v>30</v>
      </c>
      <c r="M28" s="159">
        <f>'Informasi Debitur'!N210</f>
        <v>1</v>
      </c>
    </row>
    <row r="29" spans="2:13" x14ac:dyDescent="0.25">
      <c r="B29" s="122">
        <f>'Informasi Debitur'!A211</f>
        <v>0</v>
      </c>
      <c r="C29" s="1532">
        <f>'Informasi Debitur'!B211</f>
        <v>0</v>
      </c>
      <c r="D29" s="1532"/>
      <c r="E29" s="1533">
        <f>'Informasi Debitur'!E211</f>
        <v>0</v>
      </c>
      <c r="F29" s="1534"/>
      <c r="G29" s="122">
        <f>'Informasi Debitur'!G211</f>
        <v>0</v>
      </c>
      <c r="H29" s="1535">
        <f>'Informasi Debitur'!I211</f>
        <v>0</v>
      </c>
      <c r="I29" s="1536"/>
      <c r="J29" s="168">
        <f>'Informasi Debitur'!J211</f>
        <v>0</v>
      </c>
      <c r="K29" s="122">
        <f>'Informasi Debitur'!K211</f>
        <v>0</v>
      </c>
      <c r="L29" s="159">
        <f>'Informasi Debitur'!L211:M211</f>
        <v>0</v>
      </c>
      <c r="M29" s="159">
        <f>'Informasi Debitur'!N211</f>
        <v>0</v>
      </c>
    </row>
    <row r="30" spans="2:13" x14ac:dyDescent="0.25">
      <c r="B30" s="90" t="s">
        <v>450</v>
      </c>
      <c r="C30" s="4"/>
      <c r="D30" s="4"/>
      <c r="E30" s="4"/>
      <c r="F30" s="4"/>
      <c r="G30" s="4"/>
      <c r="H30" s="4"/>
      <c r="I30" s="4"/>
      <c r="J30" s="4"/>
      <c r="K30" s="4"/>
      <c r="L30" s="4"/>
      <c r="M30" s="4"/>
    </row>
    <row r="31" spans="2:13" ht="5.0999999999999996" customHeight="1" x14ac:dyDescent="0.25">
      <c r="B31" s="4"/>
      <c r="C31" s="4"/>
      <c r="D31" s="4"/>
      <c r="E31" s="4"/>
      <c r="F31" s="4"/>
      <c r="G31" s="4"/>
      <c r="H31" s="4"/>
      <c r="I31" s="4"/>
      <c r="J31" s="4"/>
      <c r="K31" s="4"/>
      <c r="L31" s="4"/>
      <c r="M31" s="4"/>
    </row>
    <row r="32" spans="2:13" x14ac:dyDescent="0.25">
      <c r="B32" s="2" t="s">
        <v>2904</v>
      </c>
      <c r="C32" s="4"/>
      <c r="D32" s="4"/>
      <c r="E32" s="4"/>
      <c r="F32" s="4"/>
      <c r="G32" s="4"/>
      <c r="H32" s="4"/>
      <c r="I32" s="4"/>
      <c r="J32" s="4"/>
      <c r="K32" s="4"/>
      <c r="L32" s="4"/>
      <c r="M32" s="4"/>
    </row>
    <row r="33" spans="2:13" x14ac:dyDescent="0.25">
      <c r="B33" s="2"/>
      <c r="C33" s="1538" t="s">
        <v>2905</v>
      </c>
      <c r="D33" s="1538"/>
      <c r="E33" s="1538"/>
      <c r="F33" s="1538"/>
      <c r="G33" s="1538"/>
      <c r="H33" s="1538"/>
      <c r="I33" s="1538"/>
      <c r="J33" s="4"/>
      <c r="K33" s="4"/>
      <c r="L33" s="4"/>
      <c r="M33" s="4"/>
    </row>
    <row r="34" spans="2:13" x14ac:dyDescent="0.25">
      <c r="B34" s="2"/>
      <c r="C34" s="1539" t="s">
        <v>2901</v>
      </c>
      <c r="D34" s="1539"/>
      <c r="E34" s="1539"/>
      <c r="F34" s="1539"/>
      <c r="G34" s="1539"/>
      <c r="H34" s="1539"/>
      <c r="I34" s="1539"/>
      <c r="J34" s="1539"/>
      <c r="K34" s="1539"/>
      <c r="L34" s="1539"/>
      <c r="M34" s="4"/>
    </row>
    <row r="35" spans="2:13" x14ac:dyDescent="0.25">
      <c r="B35" s="4"/>
      <c r="C35" s="4"/>
      <c r="D35" s="4"/>
      <c r="E35" s="4"/>
      <c r="F35" s="4"/>
      <c r="G35" s="4"/>
      <c r="H35" s="4"/>
      <c r="I35" s="4"/>
      <c r="J35" s="4"/>
      <c r="K35" s="4"/>
      <c r="L35" s="4"/>
      <c r="M35" s="4"/>
    </row>
    <row r="36" spans="2:13" x14ac:dyDescent="0.25">
      <c r="B36" s="4"/>
      <c r="C36" s="1504" t="s">
        <v>38</v>
      </c>
      <c r="D36" s="1504"/>
      <c r="E36" s="241"/>
      <c r="F36" s="241"/>
      <c r="G36" s="4"/>
      <c r="H36" s="4"/>
      <c r="I36" s="4"/>
      <c r="J36" s="4"/>
      <c r="K36" s="4"/>
      <c r="L36" s="4"/>
      <c r="M36" s="4"/>
    </row>
    <row r="37" spans="2:13" x14ac:dyDescent="0.25">
      <c r="B37" s="4"/>
      <c r="C37" s="1505"/>
      <c r="D37" s="1505"/>
      <c r="E37" s="222"/>
      <c r="F37" s="222"/>
      <c r="G37" s="4"/>
      <c r="H37" s="4"/>
      <c r="I37" s="4"/>
      <c r="J37" s="4"/>
      <c r="K37" s="4"/>
      <c r="L37" s="4"/>
      <c r="M37" s="4"/>
    </row>
    <row r="38" spans="2:13" x14ac:dyDescent="0.25">
      <c r="B38" s="4"/>
      <c r="C38" s="1505"/>
      <c r="D38" s="1505"/>
      <c r="E38" s="222"/>
      <c r="F38" s="222"/>
      <c r="G38" s="4"/>
      <c r="H38" s="4"/>
      <c r="I38" s="4"/>
      <c r="J38" s="4"/>
      <c r="K38" s="4"/>
      <c r="L38" s="4"/>
      <c r="M38" s="4"/>
    </row>
    <row r="39" spans="2:13" x14ac:dyDescent="0.25">
      <c r="B39" s="4"/>
      <c r="C39" s="1505"/>
      <c r="D39" s="1505"/>
      <c r="E39" s="222"/>
      <c r="F39" s="222"/>
      <c r="G39" s="4"/>
      <c r="H39" s="4"/>
      <c r="I39" s="4"/>
      <c r="J39" s="4"/>
      <c r="K39" s="4"/>
      <c r="L39" s="4"/>
      <c r="M39" s="4"/>
    </row>
    <row r="40" spans="2:13" x14ac:dyDescent="0.25">
      <c r="B40" s="4"/>
      <c r="C40" s="1505"/>
      <c r="D40" s="1505"/>
      <c r="E40" s="222"/>
      <c r="F40" s="222"/>
      <c r="G40" s="4"/>
      <c r="H40" s="4"/>
      <c r="I40" s="4"/>
      <c r="J40" s="4"/>
      <c r="K40" s="4"/>
      <c r="L40" s="4"/>
      <c r="M40" s="4"/>
    </row>
    <row r="41" spans="2:13" x14ac:dyDescent="0.25">
      <c r="B41" s="4"/>
      <c r="C41" s="1506"/>
      <c r="D41" s="1506"/>
      <c r="E41" s="222"/>
      <c r="F41" s="222"/>
      <c r="G41" s="4"/>
      <c r="H41" s="4"/>
      <c r="I41" s="4"/>
      <c r="J41" s="4"/>
      <c r="K41" s="4"/>
      <c r="L41" s="4"/>
      <c r="M41" s="4"/>
    </row>
    <row r="42" spans="2:13" x14ac:dyDescent="0.25">
      <c r="B42" s="4"/>
      <c r="C42" s="1503" t="s">
        <v>10</v>
      </c>
      <c r="D42" s="1503"/>
      <c r="E42" s="222"/>
      <c r="F42" s="222"/>
      <c r="G42" s="4"/>
      <c r="H42" s="4"/>
      <c r="I42" s="4"/>
      <c r="J42" s="4"/>
      <c r="K42" s="4"/>
      <c r="L42" s="4"/>
      <c r="M42" s="4"/>
    </row>
    <row r="43" spans="2:13" x14ac:dyDescent="0.25">
      <c r="B43"/>
      <c r="C43" s="1502" t="s">
        <v>11</v>
      </c>
      <c r="D43" s="1502"/>
      <c r="E43" s="222"/>
      <c r="F43" s="222"/>
      <c r="G43" s="4"/>
      <c r="H43" s="4"/>
      <c r="I43" s="4"/>
      <c r="J43"/>
      <c r="K43"/>
      <c r="L43"/>
      <c r="M43"/>
    </row>
  </sheetData>
  <sheetProtection formatRows="0" selectLockedCells="1"/>
  <mergeCells count="52">
    <mergeCell ref="C16:D16"/>
    <mergeCell ref="E16:F16"/>
    <mergeCell ref="H16:I16"/>
    <mergeCell ref="C17:D17"/>
    <mergeCell ref="E17:F17"/>
    <mergeCell ref="H17:I17"/>
    <mergeCell ref="C18:D18"/>
    <mergeCell ref="E18:F18"/>
    <mergeCell ref="H18:I18"/>
    <mergeCell ref="C19:D19"/>
    <mergeCell ref="E19:F19"/>
    <mergeCell ref="H19:I19"/>
    <mergeCell ref="E25:F25"/>
    <mergeCell ref="H25:I25"/>
    <mergeCell ref="C20:D20"/>
    <mergeCell ref="E20:F20"/>
    <mergeCell ref="H20:I20"/>
    <mergeCell ref="C21:D21"/>
    <mergeCell ref="E21:F21"/>
    <mergeCell ref="H21:I21"/>
    <mergeCell ref="B2:M2"/>
    <mergeCell ref="D4:M4"/>
    <mergeCell ref="D5:M5"/>
    <mergeCell ref="D6:M6"/>
    <mergeCell ref="C28:D28"/>
    <mergeCell ref="E28:F28"/>
    <mergeCell ref="H28:I28"/>
    <mergeCell ref="C26:D26"/>
    <mergeCell ref="E26:F26"/>
    <mergeCell ref="H26:I26"/>
    <mergeCell ref="E27:F27"/>
    <mergeCell ref="H27:I27"/>
    <mergeCell ref="C24:D24"/>
    <mergeCell ref="E24:F24"/>
    <mergeCell ref="H24:I24"/>
    <mergeCell ref="C25:D25"/>
    <mergeCell ref="C43:D43"/>
    <mergeCell ref="B8:M8"/>
    <mergeCell ref="D9:M9"/>
    <mergeCell ref="D11:M11"/>
    <mergeCell ref="D12:M12"/>
    <mergeCell ref="B14:M14"/>
    <mergeCell ref="C29:D29"/>
    <mergeCell ref="E29:F29"/>
    <mergeCell ref="H29:I29"/>
    <mergeCell ref="C27:D27"/>
    <mergeCell ref="D10:M10"/>
    <mergeCell ref="C33:I33"/>
    <mergeCell ref="C34:L34"/>
    <mergeCell ref="C36:D36"/>
    <mergeCell ref="C37:D41"/>
    <mergeCell ref="C42:D42"/>
  </mergeCells>
  <pageMargins left="0.28000000000000003" right="0.2" top="0.47244094488188981" bottom="0.35433070866141736" header="0.31496062992125984" footer="0.31496062992125984"/>
  <pageSetup paperSize="9" scale="75" orientation="landscape" r:id="rId1"/>
  <headerFooter>
    <oddFooter>&amp;Ri-SME Ver.46, 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1</xdr:col>
                    <xdr:colOff>866775</xdr:colOff>
                    <xdr:row>31</xdr:row>
                    <xdr:rowOff>142875</xdr:rowOff>
                  </from>
                  <to>
                    <xdr:col>1</xdr:col>
                    <xdr:colOff>1209675</xdr:colOff>
                    <xdr:row>32</xdr:row>
                    <xdr:rowOff>171450</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1</xdr:col>
                    <xdr:colOff>866775</xdr:colOff>
                    <xdr:row>32</xdr:row>
                    <xdr:rowOff>142875</xdr:rowOff>
                  </from>
                  <to>
                    <xdr:col>1</xdr:col>
                    <xdr:colOff>1209675</xdr:colOff>
                    <xdr:row>33</xdr:row>
                    <xdr:rowOff>171450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U192"/>
  <sheetViews>
    <sheetView showGridLines="0" showZeros="0" view="pageBreakPreview" topLeftCell="B4" zoomScale="110" zoomScaleSheetLayoutView="110" workbookViewId="0">
      <selection activeCell="C146" sqref="C146:J146"/>
    </sheetView>
  </sheetViews>
  <sheetFormatPr defaultRowHeight="15" x14ac:dyDescent="0.25"/>
  <cols>
    <col min="1" max="1" width="9.140625" style="348"/>
    <col min="2" max="2" width="57.140625" style="365" customWidth="1"/>
    <col min="3" max="3" width="6.28515625" style="1062" customWidth="1"/>
    <col min="4" max="4" width="15.28515625" style="364" customWidth="1"/>
    <col min="5" max="5" width="7.28515625" style="364" customWidth="1"/>
    <col min="6" max="6" width="12.28515625" style="364" customWidth="1"/>
    <col min="7" max="7" width="6.28515625" style="364" customWidth="1"/>
    <col min="8" max="8" width="15" style="364" customWidth="1"/>
    <col min="9" max="9" width="4.85546875" style="364" customWidth="1"/>
    <col min="10" max="10" width="15" style="364" customWidth="1"/>
    <col min="11" max="11" width="13.85546875" style="348" hidden="1" customWidth="1"/>
    <col min="12" max="12" width="15.28515625" style="348" hidden="1" customWidth="1"/>
    <col min="13" max="19" width="9.140625" style="348" hidden="1" customWidth="1"/>
    <col min="20" max="20" width="9.140625" style="348" customWidth="1"/>
    <col min="21" max="16384" width="9.140625" style="348"/>
  </cols>
  <sheetData>
    <row r="1" spans="2:10" ht="42" customHeight="1" thickBot="1" x14ac:dyDescent="0.4">
      <c r="B1" s="1556" t="s">
        <v>723</v>
      </c>
      <c r="C1" s="1556"/>
      <c r="D1" s="1556"/>
      <c r="E1" s="1556"/>
      <c r="F1" s="1556"/>
      <c r="G1" s="1556"/>
      <c r="H1" s="1556"/>
      <c r="I1" s="1556"/>
      <c r="J1" s="1556"/>
    </row>
    <row r="2" spans="2:10" ht="15.75" thickTop="1" x14ac:dyDescent="0.25">
      <c r="B2" s="27"/>
      <c r="C2" s="30"/>
      <c r="D2" s="825"/>
      <c r="E2" s="825"/>
      <c r="F2" s="825"/>
      <c r="G2" s="825"/>
      <c r="H2" s="825"/>
      <c r="I2" s="825"/>
      <c r="J2" s="825"/>
    </row>
    <row r="3" spans="2:10" x14ac:dyDescent="0.25">
      <c r="B3" s="27" t="s">
        <v>54</v>
      </c>
      <c r="C3" s="1561" t="str">
        <f>'Informasi Debitur'!J5</f>
        <v xml:space="preserve">OH NJEN LIENG </v>
      </c>
      <c r="D3" s="1561"/>
      <c r="E3" s="1561"/>
      <c r="F3" s="1561"/>
      <c r="G3" s="1561"/>
      <c r="H3" s="1561"/>
      <c r="I3" s="1561"/>
      <c r="J3" s="1561"/>
    </row>
    <row r="4" spans="2:10" x14ac:dyDescent="0.25">
      <c r="B4" s="27" t="s">
        <v>84</v>
      </c>
      <c r="C4" s="1564" t="str">
        <f>'Informasi Debitur'!J7</f>
        <v>0008C00010251</v>
      </c>
      <c r="D4" s="1564"/>
      <c r="E4" s="1564"/>
      <c r="F4" s="1564"/>
      <c r="G4" s="1564"/>
      <c r="H4" s="1564"/>
      <c r="I4" s="1564"/>
      <c r="J4" s="1564"/>
    </row>
    <row r="5" spans="2:10" x14ac:dyDescent="0.25">
      <c r="B5" s="27" t="s">
        <v>52</v>
      </c>
      <c r="C5" s="1559">
        <v>43255</v>
      </c>
      <c r="D5" s="1559"/>
      <c r="E5" s="1559"/>
      <c r="F5" s="1559"/>
      <c r="G5" s="1559"/>
      <c r="H5" s="1559"/>
      <c r="I5" s="1559"/>
      <c r="J5" s="1559"/>
    </row>
    <row r="6" spans="2:10" x14ac:dyDescent="0.25">
      <c r="B6" s="27" t="s">
        <v>53</v>
      </c>
      <c r="C6" s="1560">
        <f>C5</f>
        <v>43255</v>
      </c>
      <c r="D6" s="1560"/>
      <c r="E6" s="1560"/>
      <c r="F6" s="1560"/>
      <c r="G6" s="1560"/>
      <c r="H6" s="1560"/>
      <c r="I6" s="1560"/>
      <c r="J6" s="1560"/>
    </row>
    <row r="7" spans="2:10" x14ac:dyDescent="0.25">
      <c r="B7" s="27"/>
      <c r="C7" s="1041"/>
      <c r="D7" s="1041"/>
      <c r="E7" s="1041"/>
      <c r="F7" s="1041"/>
      <c r="G7" s="1041"/>
      <c r="H7" s="1041"/>
      <c r="I7" s="1041"/>
      <c r="J7" s="1042"/>
    </row>
    <row r="8" spans="2:10" x14ac:dyDescent="0.25">
      <c r="B8" s="468" t="s">
        <v>2937</v>
      </c>
      <c r="C8" s="1042"/>
      <c r="D8" s="1042"/>
      <c r="E8" s="1042"/>
      <c r="F8" s="1042"/>
      <c r="G8" s="1042"/>
      <c r="H8" s="1042"/>
      <c r="I8" s="1042"/>
      <c r="J8" s="1042"/>
    </row>
    <row r="9" spans="2:10" ht="5.0999999999999996" customHeight="1" x14ac:dyDescent="0.25">
      <c r="B9" s="27"/>
      <c r="C9" s="30"/>
      <c r="D9" s="825"/>
      <c r="E9" s="825"/>
      <c r="F9" s="825"/>
      <c r="G9" s="825"/>
      <c r="H9" s="825"/>
      <c r="I9" s="825"/>
      <c r="J9" s="825"/>
    </row>
    <row r="10" spans="2:10" ht="15.75" customHeight="1" x14ac:dyDescent="0.25">
      <c r="B10" s="1557" t="s">
        <v>206</v>
      </c>
      <c r="C10" s="1508"/>
      <c r="D10" s="1508"/>
      <c r="E10" s="1508"/>
      <c r="F10" s="1508"/>
      <c r="G10" s="1508"/>
      <c r="H10" s="1508"/>
      <c r="I10" s="1508"/>
      <c r="J10" s="1558"/>
    </row>
    <row r="11" spans="2:10" ht="5.0999999999999996" customHeight="1" x14ac:dyDescent="0.25">
      <c r="B11" s="27"/>
      <c r="C11" s="30"/>
      <c r="D11" s="825"/>
      <c r="E11" s="825"/>
      <c r="F11" s="825"/>
      <c r="G11" s="825"/>
      <c r="H11" s="825"/>
      <c r="I11" s="825"/>
      <c r="J11" s="825"/>
    </row>
    <row r="12" spans="2:10" x14ac:dyDescent="0.25">
      <c r="B12" s="27" t="s">
        <v>55</v>
      </c>
      <c r="C12" s="1562" t="str">
        <f>'Order Trade Checking'!B17</f>
        <v>PT Benteng Anugerah Sejahtera</v>
      </c>
      <c r="D12" s="1562"/>
      <c r="E12" s="1562"/>
      <c r="F12" s="1562"/>
      <c r="G12" s="1562"/>
      <c r="H12" s="1562"/>
      <c r="I12" s="1562"/>
      <c r="J12" s="1562"/>
    </row>
    <row r="13" spans="2:10" x14ac:dyDescent="0.25">
      <c r="B13" s="27" t="s">
        <v>45</v>
      </c>
      <c r="C13" s="1563" t="str">
        <f>'Informasi Debitur'!E199</f>
        <v>Besi</v>
      </c>
      <c r="D13" s="1563"/>
      <c r="E13" s="1563"/>
      <c r="F13" s="1563"/>
      <c r="G13" s="1563"/>
      <c r="H13" s="1563"/>
      <c r="I13" s="1563"/>
      <c r="J13" s="1563"/>
    </row>
    <row r="14" spans="2:10" x14ac:dyDescent="0.25">
      <c r="B14" s="27" t="s">
        <v>66</v>
      </c>
      <c r="C14" s="1563" t="str">
        <f>'Order Trade Checking'!G17</f>
        <v>Office</v>
      </c>
      <c r="D14" s="1563"/>
      <c r="E14" s="1563"/>
      <c r="F14" s="1563"/>
      <c r="G14" s="1563"/>
      <c r="H14" s="1563"/>
      <c r="I14" s="1563"/>
      <c r="J14" s="1563"/>
    </row>
    <row r="15" spans="2:10" x14ac:dyDescent="0.25">
      <c r="B15" s="27" t="s">
        <v>67</v>
      </c>
      <c r="C15" s="1563" t="s">
        <v>8057</v>
      </c>
      <c r="D15" s="1563"/>
      <c r="E15" s="1563"/>
      <c r="F15" s="1563"/>
      <c r="G15" s="1563"/>
      <c r="H15" s="1563"/>
      <c r="I15" s="1563"/>
      <c r="J15" s="1563"/>
    </row>
    <row r="16" spans="2:10" x14ac:dyDescent="0.25">
      <c r="B16" s="27" t="s">
        <v>1</v>
      </c>
      <c r="C16" s="1563" t="str">
        <f>'Order Trade Checking'!C17</f>
        <v>Surabaya</v>
      </c>
      <c r="D16" s="1563"/>
      <c r="E16" s="1563"/>
      <c r="F16" s="1563"/>
      <c r="G16" s="1563"/>
      <c r="H16" s="1563"/>
      <c r="I16" s="1563"/>
      <c r="J16" s="1563"/>
    </row>
    <row r="17" spans="2:10" x14ac:dyDescent="0.25">
      <c r="B17" s="27" t="s">
        <v>742</v>
      </c>
      <c r="C17" s="1563" t="str">
        <f>'Order Trade Checking'!H17</f>
        <v>08563309595</v>
      </c>
      <c r="D17" s="1563"/>
      <c r="E17" s="1563"/>
      <c r="F17" s="1563"/>
      <c r="G17" s="1563"/>
      <c r="H17" s="1563"/>
      <c r="I17" s="1563"/>
      <c r="J17" s="1563"/>
    </row>
    <row r="18" spans="2:10" ht="5.0999999999999996" customHeight="1" x14ac:dyDescent="0.25">
      <c r="B18" s="27"/>
      <c r="C18" s="30"/>
      <c r="D18" s="825"/>
      <c r="E18" s="825"/>
      <c r="F18" s="825"/>
      <c r="G18" s="825"/>
      <c r="H18" s="825"/>
      <c r="I18" s="825"/>
      <c r="J18" s="825"/>
    </row>
    <row r="19" spans="2:10" ht="15.75" x14ac:dyDescent="0.25">
      <c r="B19" s="1557" t="s">
        <v>56</v>
      </c>
      <c r="C19" s="1508"/>
      <c r="D19" s="1508"/>
      <c r="E19" s="1508"/>
      <c r="F19" s="1508"/>
      <c r="G19" s="1508"/>
      <c r="H19" s="1508"/>
      <c r="I19" s="1508"/>
      <c r="J19" s="1558"/>
    </row>
    <row r="20" spans="2:10" x14ac:dyDescent="0.25">
      <c r="B20" s="27" t="s">
        <v>732</v>
      </c>
      <c r="C20" s="1567">
        <f>'Order Trade Checking'!M17</f>
        <v>5</v>
      </c>
      <c r="D20" s="1567"/>
      <c r="E20" s="1567"/>
      <c r="F20" s="1567"/>
      <c r="G20" s="1567"/>
      <c r="H20" s="1567"/>
      <c r="I20" s="1567"/>
      <c r="J20" s="1567"/>
    </row>
    <row r="21" spans="2:10" x14ac:dyDescent="0.25">
      <c r="B21" s="27" t="s">
        <v>57</v>
      </c>
      <c r="C21" s="1563" t="str">
        <f>'Order Trade Checking'!E17</f>
        <v>Besi</v>
      </c>
      <c r="D21" s="1563"/>
      <c r="E21" s="1563"/>
      <c r="F21" s="1563"/>
      <c r="G21" s="1563"/>
      <c r="H21" s="1563"/>
      <c r="I21" s="1563"/>
      <c r="J21" s="1563"/>
    </row>
    <row r="22" spans="2:10" ht="30" customHeight="1" x14ac:dyDescent="0.25">
      <c r="B22" s="27" t="s">
        <v>752</v>
      </c>
      <c r="C22" s="1563" t="s">
        <v>8052</v>
      </c>
      <c r="D22" s="1563"/>
      <c r="E22" s="1563"/>
      <c r="F22" s="1563"/>
      <c r="G22" s="1563"/>
      <c r="H22" s="1563"/>
      <c r="I22" s="1563"/>
      <c r="J22" s="1563"/>
    </row>
    <row r="23" spans="2:10" x14ac:dyDescent="0.25">
      <c r="B23" s="27" t="s">
        <v>737</v>
      </c>
      <c r="C23" s="1565">
        <f>'Informasi Debitur'!J199</f>
        <v>100</v>
      </c>
      <c r="D23" s="1565"/>
      <c r="E23" s="1565"/>
      <c r="F23" s="1565"/>
      <c r="G23" s="1565"/>
      <c r="H23" s="1565"/>
      <c r="I23" s="1565"/>
      <c r="J23" s="1565"/>
    </row>
    <row r="24" spans="2:10" x14ac:dyDescent="0.25">
      <c r="B24" s="27" t="s">
        <v>740</v>
      </c>
      <c r="C24" s="1566">
        <f>C23/$D$164</f>
        <v>9.1365398781413976E-2</v>
      </c>
      <c r="D24" s="1566"/>
      <c r="E24" s="1566"/>
      <c r="F24" s="1566"/>
      <c r="G24" s="1566"/>
      <c r="H24" s="1566"/>
      <c r="I24" s="1566"/>
      <c r="J24" s="1566"/>
    </row>
    <row r="25" spans="2:10" ht="20.25" customHeight="1" x14ac:dyDescent="0.25">
      <c r="B25" s="30" t="s">
        <v>580</v>
      </c>
      <c r="C25" s="1563" t="s">
        <v>27</v>
      </c>
      <c r="D25" s="1563"/>
      <c r="E25" s="1563"/>
      <c r="F25" s="1563"/>
      <c r="G25" s="1563"/>
      <c r="H25" s="1563"/>
      <c r="I25" s="1563"/>
      <c r="J25" s="1563"/>
    </row>
    <row r="26" spans="2:10" x14ac:dyDescent="0.25">
      <c r="B26" s="27" t="s">
        <v>576</v>
      </c>
      <c r="C26" s="1563" t="s">
        <v>27</v>
      </c>
      <c r="D26" s="1563"/>
      <c r="E26" s="1563"/>
      <c r="F26" s="1563"/>
      <c r="G26" s="1563"/>
      <c r="H26" s="1563"/>
      <c r="I26" s="1563"/>
      <c r="J26" s="1563"/>
    </row>
    <row r="27" spans="2:10" x14ac:dyDescent="0.25">
      <c r="B27" s="30" t="s">
        <v>73</v>
      </c>
      <c r="C27" s="1563" t="s">
        <v>74</v>
      </c>
      <c r="D27" s="1563"/>
      <c r="E27" s="1563"/>
      <c r="F27" s="1563"/>
      <c r="G27" s="1563"/>
      <c r="H27" s="1563"/>
      <c r="I27" s="1563"/>
      <c r="J27" s="1563"/>
    </row>
    <row r="28" spans="2:10" x14ac:dyDescent="0.25">
      <c r="B28" s="30"/>
      <c r="C28" s="1068"/>
      <c r="D28" s="1043" t="s">
        <v>75</v>
      </c>
      <c r="E28" s="1068">
        <v>100</v>
      </c>
      <c r="F28" s="963" t="s">
        <v>76</v>
      </c>
      <c r="G28" s="1043"/>
      <c r="H28" s="1043"/>
      <c r="I28" s="1043"/>
      <c r="J28" s="1043"/>
    </row>
    <row r="29" spans="2:10" x14ac:dyDescent="0.25">
      <c r="B29" s="27" t="s">
        <v>733</v>
      </c>
      <c r="C29" s="1562">
        <f>'Informasi Debitur'!L199</f>
        <v>30</v>
      </c>
      <c r="D29" s="1562"/>
      <c r="E29" s="1562"/>
      <c r="F29" s="1562"/>
      <c r="G29" s="1562"/>
      <c r="H29" s="1562"/>
      <c r="I29" s="1562"/>
      <c r="J29" s="1562"/>
    </row>
    <row r="30" spans="2:10" x14ac:dyDescent="0.25">
      <c r="B30" s="28" t="s">
        <v>58</v>
      </c>
      <c r="C30" s="1563" t="s">
        <v>2999</v>
      </c>
      <c r="D30" s="1563"/>
      <c r="E30" s="1563"/>
      <c r="F30" s="1563"/>
      <c r="G30" s="1563"/>
      <c r="H30" s="1563"/>
      <c r="I30" s="1563"/>
      <c r="J30" s="1563"/>
    </row>
    <row r="31" spans="2:10" ht="30" x14ac:dyDescent="0.25">
      <c r="B31" s="27" t="s">
        <v>59</v>
      </c>
      <c r="C31" s="1563" t="s">
        <v>8052</v>
      </c>
      <c r="D31" s="1563"/>
      <c r="E31" s="1563"/>
      <c r="F31" s="1563"/>
      <c r="G31" s="1563"/>
      <c r="H31" s="1563"/>
      <c r="I31" s="1563"/>
      <c r="J31" s="1563"/>
    </row>
    <row r="32" spans="2:10" x14ac:dyDescent="0.25">
      <c r="B32" s="27" t="s">
        <v>60</v>
      </c>
      <c r="C32" s="1563" t="s">
        <v>8053</v>
      </c>
      <c r="D32" s="1563"/>
      <c r="E32" s="1563"/>
      <c r="F32" s="1563"/>
      <c r="G32" s="1563"/>
      <c r="H32" s="1563"/>
      <c r="I32" s="1563"/>
      <c r="J32" s="1563"/>
    </row>
    <row r="33" spans="2:10" ht="19.5" customHeight="1" x14ac:dyDescent="0.25">
      <c r="B33" s="27"/>
      <c r="C33" s="1044" t="s">
        <v>65</v>
      </c>
      <c r="D33" s="825"/>
      <c r="E33" s="1568"/>
      <c r="F33" s="1568"/>
      <c r="G33" s="1568"/>
      <c r="H33" s="1568"/>
      <c r="I33" s="1568"/>
      <c r="J33" s="1568"/>
    </row>
    <row r="34" spans="2:10" ht="15" customHeight="1" x14ac:dyDescent="0.25">
      <c r="B34" s="8"/>
      <c r="C34" s="1551"/>
      <c r="D34" s="1551"/>
      <c r="E34" s="1551"/>
      <c r="F34" s="1551"/>
      <c r="G34" s="1551"/>
      <c r="H34" s="1551"/>
      <c r="I34" s="1551"/>
      <c r="J34" s="1551"/>
    </row>
    <row r="35" spans="2:10" ht="15" customHeight="1" x14ac:dyDescent="0.25">
      <c r="B35" s="8"/>
      <c r="C35" s="1045"/>
      <c r="D35" s="104"/>
      <c r="E35" s="104"/>
      <c r="F35" s="104"/>
      <c r="G35" s="104"/>
      <c r="H35" s="104"/>
      <c r="I35" s="104"/>
      <c r="J35" s="104"/>
    </row>
    <row r="36" spans="2:10" ht="15.75" customHeight="1" x14ac:dyDescent="0.25">
      <c r="B36" s="1557" t="s">
        <v>207</v>
      </c>
      <c r="C36" s="1508"/>
      <c r="D36" s="1508"/>
      <c r="E36" s="1508"/>
      <c r="F36" s="1508"/>
      <c r="G36" s="1508"/>
      <c r="H36" s="1508"/>
      <c r="I36" s="1508"/>
      <c r="J36" s="1558"/>
    </row>
    <row r="37" spans="2:10" ht="5.0999999999999996" customHeight="1" x14ac:dyDescent="0.25">
      <c r="B37" s="27"/>
      <c r="C37" s="30"/>
      <c r="D37" s="825"/>
      <c r="E37" s="825"/>
      <c r="F37" s="825"/>
      <c r="G37" s="825"/>
      <c r="H37" s="825"/>
      <c r="I37" s="825"/>
      <c r="J37" s="825"/>
    </row>
    <row r="38" spans="2:10" x14ac:dyDescent="0.25">
      <c r="B38" s="27" t="s">
        <v>55</v>
      </c>
      <c r="C38" s="1562" t="str">
        <f>'Order Trade Checking'!B18</f>
        <v>PT Baja Mitra</v>
      </c>
      <c r="D38" s="1562"/>
      <c r="E38" s="1562"/>
      <c r="F38" s="1562"/>
      <c r="G38" s="1562"/>
      <c r="H38" s="1562"/>
      <c r="I38" s="1562"/>
      <c r="J38" s="1562"/>
    </row>
    <row r="39" spans="2:10" x14ac:dyDescent="0.25">
      <c r="B39" s="27" t="s">
        <v>45</v>
      </c>
      <c r="C39" s="1563" t="str">
        <f>'Informasi Debitur'!E200</f>
        <v>Besi</v>
      </c>
      <c r="D39" s="1563"/>
      <c r="E39" s="1563"/>
      <c r="F39" s="1563"/>
      <c r="G39" s="1563"/>
      <c r="H39" s="1563"/>
      <c r="I39" s="1563"/>
      <c r="J39" s="1563"/>
    </row>
    <row r="40" spans="2:10" x14ac:dyDescent="0.25">
      <c r="B40" s="27" t="s">
        <v>66</v>
      </c>
      <c r="C40" s="1563" t="str">
        <f>'Order Trade Checking'!G18</f>
        <v>Hendy</v>
      </c>
      <c r="D40" s="1563"/>
      <c r="E40" s="1563"/>
      <c r="F40" s="1563"/>
      <c r="G40" s="1563"/>
      <c r="H40" s="1563"/>
      <c r="I40" s="1563"/>
      <c r="J40" s="1563"/>
    </row>
    <row r="41" spans="2:10" x14ac:dyDescent="0.25">
      <c r="B41" s="27" t="s">
        <v>67</v>
      </c>
      <c r="C41" s="1563" t="s">
        <v>8057</v>
      </c>
      <c r="D41" s="1563"/>
      <c r="E41" s="1563"/>
      <c r="F41" s="1563"/>
      <c r="G41" s="1563"/>
      <c r="H41" s="1563"/>
      <c r="I41" s="1563"/>
      <c r="J41" s="1563"/>
    </row>
    <row r="42" spans="2:10" x14ac:dyDescent="0.25">
      <c r="B42" s="27" t="s">
        <v>1</v>
      </c>
      <c r="C42" s="1563" t="str">
        <f>'Order Trade Checking'!C18</f>
        <v>Banjarmasin</v>
      </c>
      <c r="D42" s="1563"/>
      <c r="E42" s="1563"/>
      <c r="F42" s="1563"/>
      <c r="G42" s="1563"/>
      <c r="H42" s="1563"/>
      <c r="I42" s="1563"/>
      <c r="J42" s="1563"/>
    </row>
    <row r="43" spans="2:10" x14ac:dyDescent="0.25">
      <c r="B43" s="27" t="s">
        <v>742</v>
      </c>
      <c r="C43" s="1563" t="str">
        <f>'Order Trade Checking'!H18</f>
        <v>081381816919</v>
      </c>
      <c r="D43" s="1563"/>
      <c r="E43" s="1563"/>
      <c r="F43" s="1563"/>
      <c r="G43" s="1563"/>
      <c r="H43" s="1563"/>
      <c r="I43" s="1563"/>
      <c r="J43" s="1563"/>
    </row>
    <row r="44" spans="2:10" ht="5.0999999999999996" customHeight="1" x14ac:dyDescent="0.25">
      <c r="B44" s="27"/>
      <c r="C44" s="30"/>
      <c r="D44" s="825"/>
      <c r="E44" s="825"/>
      <c r="F44" s="825"/>
      <c r="G44" s="825"/>
      <c r="H44" s="825"/>
      <c r="I44" s="825"/>
      <c r="J44" s="825"/>
    </row>
    <row r="45" spans="2:10" ht="15.75" x14ac:dyDescent="0.25">
      <c r="B45" s="1557" t="s">
        <v>56</v>
      </c>
      <c r="C45" s="1508"/>
      <c r="D45" s="1508"/>
      <c r="E45" s="1508"/>
      <c r="F45" s="1508"/>
      <c r="G45" s="1508"/>
      <c r="H45" s="1508"/>
      <c r="I45" s="1508"/>
      <c r="J45" s="1558"/>
    </row>
    <row r="46" spans="2:10" x14ac:dyDescent="0.25">
      <c r="B46" s="27" t="s">
        <v>732</v>
      </c>
      <c r="C46" s="1567">
        <f>'Order Trade Checking'!M18</f>
        <v>5</v>
      </c>
      <c r="D46" s="1567"/>
      <c r="E46" s="1567"/>
      <c r="F46" s="1567"/>
      <c r="G46" s="1567"/>
      <c r="H46" s="1567"/>
      <c r="I46" s="1567"/>
      <c r="J46" s="1567"/>
    </row>
    <row r="47" spans="2:10" x14ac:dyDescent="0.25">
      <c r="B47" s="27" t="s">
        <v>57</v>
      </c>
      <c r="C47" s="1563" t="str">
        <f>'Order Trade Checking'!E18</f>
        <v>Besi</v>
      </c>
      <c r="D47" s="1563"/>
      <c r="E47" s="1563"/>
      <c r="F47" s="1563"/>
      <c r="G47" s="1563"/>
      <c r="H47" s="1563"/>
      <c r="I47" s="1563"/>
      <c r="J47" s="1563"/>
    </row>
    <row r="48" spans="2:10" ht="30" customHeight="1" x14ac:dyDescent="0.25">
      <c r="B48" s="27" t="s">
        <v>752</v>
      </c>
      <c r="C48" s="1563" t="s">
        <v>8052</v>
      </c>
      <c r="D48" s="1563"/>
      <c r="E48" s="1563"/>
      <c r="F48" s="1563"/>
      <c r="G48" s="1563"/>
      <c r="H48" s="1563"/>
      <c r="I48" s="1563"/>
      <c r="J48" s="1563"/>
    </row>
    <row r="49" spans="2:10" x14ac:dyDescent="0.25">
      <c r="B49" s="27" t="s">
        <v>737</v>
      </c>
      <c r="C49" s="1565">
        <f>'Informasi Debitur'!J200</f>
        <v>300</v>
      </c>
      <c r="D49" s="1565"/>
      <c r="E49" s="1565"/>
      <c r="F49" s="1565"/>
      <c r="G49" s="1565"/>
      <c r="H49" s="1565"/>
      <c r="I49" s="1565"/>
      <c r="J49" s="1565"/>
    </row>
    <row r="50" spans="2:10" x14ac:dyDescent="0.25">
      <c r="B50" s="27" t="s">
        <v>740</v>
      </c>
      <c r="C50" s="1569">
        <f>C49/$D$164</f>
        <v>0.27409619634424193</v>
      </c>
      <c r="D50" s="1569"/>
      <c r="E50" s="1569"/>
      <c r="F50" s="1569"/>
      <c r="G50" s="1569"/>
      <c r="H50" s="1569"/>
      <c r="I50" s="1569"/>
      <c r="J50" s="1569"/>
    </row>
    <row r="51" spans="2:10" ht="21" customHeight="1" x14ac:dyDescent="0.25">
      <c r="B51" s="30" t="s">
        <v>580</v>
      </c>
      <c r="C51" s="1563" t="s">
        <v>27</v>
      </c>
      <c r="D51" s="1563"/>
      <c r="E51" s="1563"/>
      <c r="F51" s="1563"/>
      <c r="G51" s="1563"/>
      <c r="H51" s="1563"/>
      <c r="I51" s="1563"/>
      <c r="J51" s="1563"/>
    </row>
    <row r="52" spans="2:10" x14ac:dyDescent="0.25">
      <c r="B52" s="27" t="s">
        <v>576</v>
      </c>
      <c r="C52" s="1563" t="s">
        <v>27</v>
      </c>
      <c r="D52" s="1563"/>
      <c r="E52" s="1563"/>
      <c r="F52" s="1563"/>
      <c r="G52" s="1563"/>
      <c r="H52" s="1563"/>
      <c r="I52" s="1563"/>
      <c r="J52" s="1563"/>
    </row>
    <row r="53" spans="2:10" x14ac:dyDescent="0.25">
      <c r="B53" s="30" t="s">
        <v>73</v>
      </c>
      <c r="C53" s="1563" t="str">
        <f>'Order Trade Checking'!K18</f>
        <v>Kredit</v>
      </c>
      <c r="D53" s="1563"/>
      <c r="E53" s="1563"/>
      <c r="F53" s="1563"/>
      <c r="G53" s="1563"/>
      <c r="H53" s="1563"/>
      <c r="I53" s="1563"/>
      <c r="J53" s="1563"/>
    </row>
    <row r="54" spans="2:10" x14ac:dyDescent="0.25">
      <c r="B54" s="30"/>
      <c r="C54" s="1068"/>
      <c r="D54" s="1043" t="s">
        <v>75</v>
      </c>
      <c r="E54" s="1068">
        <v>100</v>
      </c>
      <c r="F54" s="963" t="s">
        <v>76</v>
      </c>
      <c r="G54" s="1043"/>
      <c r="H54" s="1043"/>
      <c r="I54" s="1043"/>
      <c r="J54" s="1043"/>
    </row>
    <row r="55" spans="2:10" x14ac:dyDescent="0.25">
      <c r="B55" s="27" t="s">
        <v>733</v>
      </c>
      <c r="C55" s="1562">
        <f>'Order Trade Checking'!L18</f>
        <v>30</v>
      </c>
      <c r="D55" s="1562"/>
      <c r="E55" s="1562"/>
      <c r="F55" s="1562"/>
      <c r="G55" s="1562"/>
      <c r="H55" s="1562"/>
      <c r="I55" s="1562"/>
      <c r="J55" s="1562"/>
    </row>
    <row r="56" spans="2:10" x14ac:dyDescent="0.25">
      <c r="B56" s="28" t="s">
        <v>58</v>
      </c>
      <c r="C56" s="1563" t="s">
        <v>2999</v>
      </c>
      <c r="D56" s="1563"/>
      <c r="E56" s="1563"/>
      <c r="F56" s="1563"/>
      <c r="G56" s="1563"/>
      <c r="H56" s="1563"/>
      <c r="I56" s="1563"/>
      <c r="J56" s="1563"/>
    </row>
    <row r="57" spans="2:10" ht="30" x14ac:dyDescent="0.25">
      <c r="B57" s="27" t="s">
        <v>59</v>
      </c>
      <c r="C57" s="1563" t="s">
        <v>8052</v>
      </c>
      <c r="D57" s="1563"/>
      <c r="E57" s="1563"/>
      <c r="F57" s="1563"/>
      <c r="G57" s="1563"/>
      <c r="H57" s="1563"/>
      <c r="I57" s="1563"/>
      <c r="J57" s="1563"/>
    </row>
    <row r="58" spans="2:10" x14ac:dyDescent="0.25">
      <c r="B58" s="27" t="s">
        <v>60</v>
      </c>
      <c r="C58" s="1563" t="s">
        <v>8053</v>
      </c>
      <c r="D58" s="1563"/>
      <c r="E58" s="1563"/>
      <c r="F58" s="1563"/>
      <c r="G58" s="1563"/>
      <c r="H58" s="1563"/>
      <c r="I58" s="1563"/>
      <c r="J58" s="1563"/>
    </row>
    <row r="59" spans="2:10" ht="19.5" customHeight="1" x14ac:dyDescent="0.25">
      <c r="B59" s="27"/>
      <c r="C59" s="1046" t="s">
        <v>65</v>
      </c>
      <c r="D59" s="1047"/>
      <c r="E59" s="1568"/>
      <c r="F59" s="1568"/>
      <c r="G59" s="1568"/>
      <c r="H59" s="1568"/>
      <c r="I59" s="1568"/>
      <c r="J59" s="1568"/>
    </row>
    <row r="60" spans="2:10" x14ac:dyDescent="0.25">
      <c r="B60" s="8"/>
      <c r="C60" s="1551"/>
      <c r="D60" s="1551"/>
      <c r="E60" s="1551"/>
      <c r="F60" s="1551"/>
      <c r="G60" s="1551"/>
      <c r="H60" s="1551"/>
      <c r="I60" s="1551"/>
      <c r="J60" s="1551"/>
    </row>
    <row r="61" spans="2:10" ht="15" customHeight="1" x14ac:dyDescent="0.25">
      <c r="B61" s="8"/>
      <c r="C61" s="1045"/>
      <c r="D61" s="104"/>
      <c r="E61" s="104"/>
      <c r="F61" s="104"/>
      <c r="G61" s="104"/>
      <c r="H61" s="104"/>
      <c r="I61" s="104"/>
      <c r="J61" s="104"/>
    </row>
    <row r="62" spans="2:10" ht="15.75" customHeight="1" x14ac:dyDescent="0.25">
      <c r="B62" s="1557" t="s">
        <v>208</v>
      </c>
      <c r="C62" s="1508"/>
      <c r="D62" s="1508"/>
      <c r="E62" s="1508"/>
      <c r="F62" s="1508"/>
      <c r="G62" s="1508"/>
      <c r="H62" s="1508"/>
      <c r="I62" s="1508"/>
      <c r="J62" s="1558"/>
    </row>
    <row r="63" spans="2:10" ht="5.0999999999999996" customHeight="1" x14ac:dyDescent="0.25">
      <c r="B63" s="27"/>
      <c r="C63" s="30"/>
      <c r="D63" s="825"/>
      <c r="E63" s="825"/>
      <c r="F63" s="825"/>
      <c r="G63" s="825"/>
      <c r="H63" s="825"/>
      <c r="I63" s="825"/>
      <c r="J63" s="825"/>
    </row>
    <row r="64" spans="2:10" x14ac:dyDescent="0.25">
      <c r="B64" s="27" t="s">
        <v>55</v>
      </c>
      <c r="C64" s="1562" t="str">
        <f>'Order Trade Checking'!B19</f>
        <v>PT Sidomukti</v>
      </c>
      <c r="D64" s="1562"/>
      <c r="E64" s="1562"/>
      <c r="F64" s="1562"/>
      <c r="G64" s="1562"/>
      <c r="H64" s="1562"/>
      <c r="I64" s="1562"/>
      <c r="J64" s="1562"/>
    </row>
    <row r="65" spans="2:10" x14ac:dyDescent="0.25">
      <c r="B65" s="27" t="s">
        <v>45</v>
      </c>
      <c r="C65" s="1563" t="str">
        <f>'Informasi Debitur'!E201</f>
        <v>Hidraulic</v>
      </c>
      <c r="D65" s="1563"/>
      <c r="E65" s="1563"/>
      <c r="F65" s="1563"/>
      <c r="G65" s="1563"/>
      <c r="H65" s="1563"/>
      <c r="I65" s="1563"/>
      <c r="J65" s="1563"/>
    </row>
    <row r="66" spans="2:10" x14ac:dyDescent="0.25">
      <c r="B66" s="27" t="s">
        <v>66</v>
      </c>
      <c r="C66" s="1563" t="str">
        <f>'Order Trade Checking'!G19</f>
        <v>Jimmy</v>
      </c>
      <c r="D66" s="1563"/>
      <c r="E66" s="1563"/>
      <c r="F66" s="1563"/>
      <c r="G66" s="1563"/>
      <c r="H66" s="1563"/>
      <c r="I66" s="1563"/>
      <c r="J66" s="1563"/>
    </row>
    <row r="67" spans="2:10" x14ac:dyDescent="0.25">
      <c r="B67" s="27" t="s">
        <v>67</v>
      </c>
      <c r="C67" s="1563" t="s">
        <v>8057</v>
      </c>
      <c r="D67" s="1563"/>
      <c r="E67" s="1563"/>
      <c r="F67" s="1563"/>
      <c r="G67" s="1563"/>
      <c r="H67" s="1563"/>
      <c r="I67" s="1563"/>
      <c r="J67" s="1563"/>
    </row>
    <row r="68" spans="2:10" x14ac:dyDescent="0.25">
      <c r="B68" s="27" t="s">
        <v>1</v>
      </c>
      <c r="C68" s="1563" t="str">
        <f>'Order Trade Checking'!C19</f>
        <v>Jakarta</v>
      </c>
      <c r="D68" s="1563"/>
      <c r="E68" s="1563"/>
      <c r="F68" s="1563"/>
      <c r="G68" s="1563"/>
      <c r="H68" s="1563"/>
      <c r="I68" s="1563"/>
      <c r="J68" s="1563"/>
    </row>
    <row r="69" spans="2:10" x14ac:dyDescent="0.25">
      <c r="B69" s="27" t="s">
        <v>742</v>
      </c>
      <c r="C69" s="1563" t="str">
        <f>'Order Trade Checking'!H19</f>
        <v>081219888989</v>
      </c>
      <c r="D69" s="1563"/>
      <c r="E69" s="1563"/>
      <c r="F69" s="1563"/>
      <c r="G69" s="1563"/>
      <c r="H69" s="1563"/>
      <c r="I69" s="1563"/>
      <c r="J69" s="1563"/>
    </row>
    <row r="70" spans="2:10" ht="5.0999999999999996" customHeight="1" x14ac:dyDescent="0.25">
      <c r="B70" s="27"/>
      <c r="C70" s="30"/>
      <c r="D70" s="825"/>
      <c r="E70" s="825"/>
      <c r="F70" s="825"/>
      <c r="G70" s="825"/>
      <c r="H70" s="825"/>
      <c r="I70" s="825"/>
      <c r="J70" s="825"/>
    </row>
    <row r="71" spans="2:10" ht="15.75" x14ac:dyDescent="0.25">
      <c r="B71" s="1557" t="s">
        <v>56</v>
      </c>
      <c r="C71" s="1508"/>
      <c r="D71" s="1508"/>
      <c r="E71" s="1508"/>
      <c r="F71" s="1508"/>
      <c r="G71" s="1508"/>
      <c r="H71" s="1508"/>
      <c r="I71" s="1508"/>
      <c r="J71" s="1558"/>
    </row>
    <row r="72" spans="2:10" x14ac:dyDescent="0.25">
      <c r="B72" s="27" t="s">
        <v>732</v>
      </c>
      <c r="C72" s="1567">
        <f>'Order Trade Checking'!M19</f>
        <v>5</v>
      </c>
      <c r="D72" s="1567"/>
      <c r="E72" s="1567"/>
      <c r="F72" s="1567"/>
      <c r="G72" s="1567"/>
      <c r="H72" s="1567"/>
      <c r="I72" s="1567"/>
      <c r="J72" s="1567"/>
    </row>
    <row r="73" spans="2:10" x14ac:dyDescent="0.25">
      <c r="B73" s="27" t="s">
        <v>57</v>
      </c>
      <c r="C73" s="1563" t="str">
        <f>'Order Trade Checking'!E19</f>
        <v>Hidraulic</v>
      </c>
      <c r="D73" s="1563"/>
      <c r="E73" s="1563"/>
      <c r="F73" s="1563"/>
      <c r="G73" s="1563"/>
      <c r="H73" s="1563"/>
      <c r="I73" s="1563"/>
      <c r="J73" s="1563"/>
    </row>
    <row r="74" spans="2:10" ht="30" customHeight="1" x14ac:dyDescent="0.25">
      <c r="B74" s="27" t="s">
        <v>752</v>
      </c>
      <c r="C74" s="1563" t="s">
        <v>8052</v>
      </c>
      <c r="D74" s="1563"/>
      <c r="E74" s="1563"/>
      <c r="F74" s="1563"/>
      <c r="G74" s="1563"/>
      <c r="H74" s="1563"/>
      <c r="I74" s="1563"/>
      <c r="J74" s="1563"/>
    </row>
    <row r="75" spans="2:10" x14ac:dyDescent="0.25">
      <c r="B75" s="27" t="s">
        <v>737</v>
      </c>
      <c r="C75" s="1565">
        <f>'Informasi Debitur'!J201</f>
        <v>250</v>
      </c>
      <c r="D75" s="1565"/>
      <c r="E75" s="1565"/>
      <c r="F75" s="1565"/>
      <c r="G75" s="1565"/>
      <c r="H75" s="1565"/>
      <c r="I75" s="1565"/>
      <c r="J75" s="1565"/>
    </row>
    <row r="76" spans="2:10" x14ac:dyDescent="0.25">
      <c r="B76" s="27" t="s">
        <v>740</v>
      </c>
      <c r="C76" s="1569">
        <f>C75/$D$164</f>
        <v>0.22841349695353497</v>
      </c>
      <c r="D76" s="1569"/>
      <c r="E76" s="1569"/>
      <c r="F76" s="1569"/>
      <c r="G76" s="1569"/>
      <c r="H76" s="1569"/>
      <c r="I76" s="1569"/>
      <c r="J76" s="1569"/>
    </row>
    <row r="77" spans="2:10" ht="30" x14ac:dyDescent="0.25">
      <c r="B77" s="30" t="s">
        <v>580</v>
      </c>
      <c r="C77" s="1563" t="s">
        <v>27</v>
      </c>
      <c r="D77" s="1563"/>
      <c r="E77" s="1563"/>
      <c r="F77" s="1563"/>
      <c r="G77" s="1563"/>
      <c r="H77" s="1563"/>
      <c r="I77" s="1563"/>
      <c r="J77" s="1563"/>
    </row>
    <row r="78" spans="2:10" x14ac:dyDescent="0.25">
      <c r="B78" s="27" t="s">
        <v>576</v>
      </c>
      <c r="C78" s="1563" t="s">
        <v>27</v>
      </c>
      <c r="D78" s="1563"/>
      <c r="E78" s="1563"/>
      <c r="F78" s="1563"/>
      <c r="G78" s="1563"/>
      <c r="H78" s="1563"/>
      <c r="I78" s="1563"/>
      <c r="J78" s="1563"/>
    </row>
    <row r="79" spans="2:10" x14ac:dyDescent="0.25">
      <c r="B79" s="30" t="s">
        <v>73</v>
      </c>
      <c r="C79" s="1563" t="str">
        <f>'Order Trade Checking'!K19</f>
        <v>Kredit</v>
      </c>
      <c r="D79" s="1563"/>
      <c r="E79" s="1563"/>
      <c r="F79" s="1563"/>
      <c r="G79" s="1563"/>
      <c r="H79" s="1563"/>
      <c r="I79" s="1563"/>
      <c r="J79" s="1563"/>
    </row>
    <row r="80" spans="2:10" x14ac:dyDescent="0.25">
      <c r="B80" s="30"/>
      <c r="C80" s="1068"/>
      <c r="D80" s="1043" t="s">
        <v>75</v>
      </c>
      <c r="E80" s="1068">
        <v>100</v>
      </c>
      <c r="F80" s="963" t="s">
        <v>76</v>
      </c>
      <c r="G80" s="1043"/>
      <c r="H80" s="1043"/>
      <c r="I80" s="1043"/>
      <c r="J80" s="1043"/>
    </row>
    <row r="81" spans="2:10" x14ac:dyDescent="0.25">
      <c r="B81" s="27" t="s">
        <v>733</v>
      </c>
      <c r="C81" s="1562">
        <f>'Informasi Debitur'!L201</f>
        <v>30</v>
      </c>
      <c r="D81" s="1562"/>
      <c r="E81" s="1562"/>
      <c r="F81" s="1562"/>
      <c r="G81" s="1562"/>
      <c r="H81" s="1562"/>
      <c r="I81" s="1562"/>
      <c r="J81" s="1562"/>
    </row>
    <row r="82" spans="2:10" x14ac:dyDescent="0.25">
      <c r="B82" s="28" t="s">
        <v>58</v>
      </c>
      <c r="C82" s="1563" t="s">
        <v>2999</v>
      </c>
      <c r="D82" s="1563"/>
      <c r="E82" s="1563"/>
      <c r="F82" s="1563"/>
      <c r="G82" s="1563"/>
      <c r="H82" s="1563"/>
      <c r="I82" s="1563"/>
      <c r="J82" s="1563"/>
    </row>
    <row r="83" spans="2:10" ht="30" x14ac:dyDescent="0.25">
      <c r="B83" s="27" t="s">
        <v>59</v>
      </c>
      <c r="C83" s="1563" t="s">
        <v>8052</v>
      </c>
      <c r="D83" s="1563"/>
      <c r="E83" s="1563"/>
      <c r="F83" s="1563"/>
      <c r="G83" s="1563"/>
      <c r="H83" s="1563"/>
      <c r="I83" s="1563"/>
      <c r="J83" s="1563"/>
    </row>
    <row r="84" spans="2:10" x14ac:dyDescent="0.25">
      <c r="B84" s="27" t="s">
        <v>60</v>
      </c>
      <c r="C84" s="1563" t="s">
        <v>8053</v>
      </c>
      <c r="D84" s="1563"/>
      <c r="E84" s="1563"/>
      <c r="F84" s="1563"/>
      <c r="G84" s="1563"/>
      <c r="H84" s="1563"/>
      <c r="I84" s="1563"/>
      <c r="J84" s="1563"/>
    </row>
    <row r="85" spans="2:10" ht="19.5" customHeight="1" x14ac:dyDescent="0.25">
      <c r="B85" s="27"/>
      <c r="C85" s="1044" t="s">
        <v>65</v>
      </c>
      <c r="D85" s="825"/>
      <c r="E85" s="1570"/>
      <c r="F85" s="1570"/>
      <c r="G85" s="1570"/>
      <c r="H85" s="1570"/>
      <c r="I85" s="1570"/>
      <c r="J85" s="1570"/>
    </row>
    <row r="86" spans="2:10" x14ac:dyDescent="0.25">
      <c r="B86" s="8"/>
      <c r="C86" s="1551"/>
      <c r="D86" s="1551"/>
      <c r="E86" s="1551"/>
      <c r="F86" s="1551"/>
      <c r="G86" s="1551"/>
      <c r="H86" s="1551"/>
      <c r="I86" s="1551"/>
      <c r="J86" s="1551"/>
    </row>
    <row r="87" spans="2:10" ht="15" customHeight="1" x14ac:dyDescent="0.25">
      <c r="B87" s="8"/>
      <c r="C87" s="1045"/>
      <c r="D87" s="104"/>
      <c r="E87" s="104"/>
      <c r="F87" s="104"/>
      <c r="G87" s="104"/>
      <c r="H87" s="104"/>
      <c r="I87" s="104"/>
      <c r="J87" s="104"/>
    </row>
    <row r="88" spans="2:10" ht="15.75" customHeight="1" x14ac:dyDescent="0.25">
      <c r="B88" s="1557" t="s">
        <v>209</v>
      </c>
      <c r="C88" s="1508"/>
      <c r="D88" s="1508"/>
      <c r="E88" s="1508"/>
      <c r="F88" s="1508"/>
      <c r="G88" s="1508"/>
      <c r="H88" s="1508"/>
      <c r="I88" s="1508"/>
      <c r="J88" s="1558"/>
    </row>
    <row r="89" spans="2:10" ht="5.0999999999999996" customHeight="1" x14ac:dyDescent="0.25">
      <c r="B89" s="27"/>
      <c r="C89" s="30"/>
      <c r="D89" s="825"/>
      <c r="E89" s="825"/>
      <c r="F89" s="825"/>
      <c r="G89" s="825"/>
      <c r="H89" s="825"/>
      <c r="I89" s="825"/>
      <c r="J89" s="825"/>
    </row>
    <row r="90" spans="2:10" x14ac:dyDescent="0.25">
      <c r="B90" s="27" t="s">
        <v>55</v>
      </c>
      <c r="C90" s="1562" t="str">
        <f>'Order Trade Checking'!B20</f>
        <v>CV Cakra Perkasa Teknik</v>
      </c>
      <c r="D90" s="1562"/>
      <c r="E90" s="1562"/>
      <c r="F90" s="1562"/>
      <c r="G90" s="1562"/>
      <c r="H90" s="1562"/>
      <c r="I90" s="1562"/>
      <c r="J90" s="1562"/>
    </row>
    <row r="91" spans="2:10" x14ac:dyDescent="0.25">
      <c r="B91" s="27" t="s">
        <v>45</v>
      </c>
      <c r="C91" s="1563" t="str">
        <f>'Informasi Debitur'!E202</f>
        <v>Besi</v>
      </c>
      <c r="D91" s="1563"/>
      <c r="E91" s="1563"/>
      <c r="F91" s="1563"/>
      <c r="G91" s="1563"/>
      <c r="H91" s="1563"/>
      <c r="I91" s="1563"/>
      <c r="J91" s="1563"/>
    </row>
    <row r="92" spans="2:10" x14ac:dyDescent="0.25">
      <c r="B92" s="27" t="s">
        <v>66</v>
      </c>
      <c r="C92" s="1563" t="str">
        <f>'Order Trade Checking'!G20</f>
        <v>Anna</v>
      </c>
      <c r="D92" s="1563"/>
      <c r="E92" s="1563"/>
      <c r="F92" s="1563"/>
      <c r="G92" s="1563"/>
      <c r="H92" s="1563"/>
      <c r="I92" s="1563"/>
      <c r="J92" s="1563"/>
    </row>
    <row r="93" spans="2:10" x14ac:dyDescent="0.25">
      <c r="B93" s="27" t="s">
        <v>67</v>
      </c>
      <c r="C93" s="1563" t="s">
        <v>8178</v>
      </c>
      <c r="D93" s="1563"/>
      <c r="E93" s="1563"/>
      <c r="F93" s="1563"/>
      <c r="G93" s="1563"/>
      <c r="H93" s="1563"/>
      <c r="I93" s="1563"/>
      <c r="J93" s="1563"/>
    </row>
    <row r="94" spans="2:10" x14ac:dyDescent="0.25">
      <c r="B94" s="27" t="s">
        <v>1</v>
      </c>
      <c r="C94" s="1563" t="str">
        <f>'Order Trade Checking'!C20</f>
        <v>Banjarmasin</v>
      </c>
      <c r="D94" s="1563"/>
      <c r="E94" s="1563"/>
      <c r="F94" s="1563"/>
      <c r="G94" s="1563"/>
      <c r="H94" s="1563"/>
      <c r="I94" s="1563"/>
      <c r="J94" s="1563"/>
    </row>
    <row r="95" spans="2:10" x14ac:dyDescent="0.25">
      <c r="B95" s="27" t="s">
        <v>742</v>
      </c>
      <c r="C95" s="1563" t="str">
        <f>'Order Trade Checking'!H20</f>
        <v>081253628881</v>
      </c>
      <c r="D95" s="1563"/>
      <c r="E95" s="1563"/>
      <c r="F95" s="1563"/>
      <c r="G95" s="1563"/>
      <c r="H95" s="1563"/>
      <c r="I95" s="1563"/>
      <c r="J95" s="1563"/>
    </row>
    <row r="96" spans="2:10" ht="5.0999999999999996" customHeight="1" x14ac:dyDescent="0.25">
      <c r="B96" s="27"/>
      <c r="C96" s="30"/>
      <c r="D96" s="825"/>
      <c r="E96" s="825"/>
      <c r="F96" s="825"/>
      <c r="G96" s="825"/>
      <c r="H96" s="825"/>
      <c r="I96" s="825"/>
      <c r="J96" s="825"/>
    </row>
    <row r="97" spans="2:10" ht="15.75" x14ac:dyDescent="0.25">
      <c r="B97" s="1557" t="s">
        <v>56</v>
      </c>
      <c r="C97" s="1508"/>
      <c r="D97" s="1508"/>
      <c r="E97" s="1508"/>
      <c r="F97" s="1508"/>
      <c r="G97" s="1508"/>
      <c r="H97" s="1508"/>
      <c r="I97" s="1508"/>
      <c r="J97" s="1558"/>
    </row>
    <row r="98" spans="2:10" x14ac:dyDescent="0.25">
      <c r="B98" s="27" t="s">
        <v>732</v>
      </c>
      <c r="C98" s="1567">
        <f>'Order Trade Checking'!M20</f>
        <v>6</v>
      </c>
      <c r="D98" s="1567"/>
      <c r="E98" s="1567"/>
      <c r="F98" s="1567"/>
      <c r="G98" s="1567"/>
      <c r="H98" s="1567"/>
      <c r="I98" s="1567"/>
      <c r="J98" s="1567"/>
    </row>
    <row r="99" spans="2:10" x14ac:dyDescent="0.25">
      <c r="B99" s="27" t="s">
        <v>57</v>
      </c>
      <c r="C99" s="1563" t="str">
        <f>'Order Trade Checking'!E20</f>
        <v>Besi</v>
      </c>
      <c r="D99" s="1563"/>
      <c r="E99" s="1563"/>
      <c r="F99" s="1563"/>
      <c r="G99" s="1563"/>
      <c r="H99" s="1563"/>
      <c r="I99" s="1563"/>
      <c r="J99" s="1563"/>
    </row>
    <row r="100" spans="2:10" ht="30" customHeight="1" x14ac:dyDescent="0.25">
      <c r="B100" s="27" t="s">
        <v>752</v>
      </c>
      <c r="C100" s="1563" t="s">
        <v>8052</v>
      </c>
      <c r="D100" s="1563"/>
      <c r="E100" s="1563"/>
      <c r="F100" s="1563"/>
      <c r="G100" s="1563"/>
      <c r="H100" s="1563"/>
      <c r="I100" s="1563"/>
      <c r="J100" s="1563"/>
    </row>
    <row r="101" spans="2:10" x14ac:dyDescent="0.25">
      <c r="B101" s="27" t="s">
        <v>737</v>
      </c>
      <c r="C101" s="1565">
        <f>'Informasi Debitur'!J202</f>
        <v>50</v>
      </c>
      <c r="D101" s="1565"/>
      <c r="E101" s="1565"/>
      <c r="F101" s="1565"/>
      <c r="G101" s="1565"/>
      <c r="H101" s="1565"/>
      <c r="I101" s="1565"/>
      <c r="J101" s="1565"/>
    </row>
    <row r="102" spans="2:10" x14ac:dyDescent="0.25">
      <c r="B102" s="27" t="s">
        <v>740</v>
      </c>
      <c r="C102" s="1569">
        <f>C101/$D$164</f>
        <v>4.5682699390706988E-2</v>
      </c>
      <c r="D102" s="1569"/>
      <c r="E102" s="1569"/>
      <c r="F102" s="1569"/>
      <c r="G102" s="1569"/>
      <c r="H102" s="1569"/>
      <c r="I102" s="1569"/>
      <c r="J102" s="1569"/>
    </row>
    <row r="103" spans="2:10" ht="20.25" customHeight="1" x14ac:dyDescent="0.25">
      <c r="B103" s="30" t="s">
        <v>580</v>
      </c>
      <c r="C103" s="1563" t="s">
        <v>27</v>
      </c>
      <c r="D103" s="1563"/>
      <c r="E103" s="1563"/>
      <c r="F103" s="1563"/>
      <c r="G103" s="1563"/>
      <c r="H103" s="1563"/>
      <c r="I103" s="1563"/>
      <c r="J103" s="1563"/>
    </row>
    <row r="104" spans="2:10" x14ac:dyDescent="0.25">
      <c r="B104" s="27" t="s">
        <v>576</v>
      </c>
      <c r="C104" s="1563" t="s">
        <v>27</v>
      </c>
      <c r="D104" s="1563"/>
      <c r="E104" s="1563"/>
      <c r="F104" s="1563"/>
      <c r="G104" s="1563"/>
      <c r="H104" s="1563"/>
      <c r="I104" s="1563"/>
      <c r="J104" s="1563"/>
    </row>
    <row r="105" spans="2:10" x14ac:dyDescent="0.25">
      <c r="B105" s="30" t="s">
        <v>73</v>
      </c>
      <c r="C105" s="1563" t="str">
        <f>'Order Trade Checking'!K20</f>
        <v>Kredit</v>
      </c>
      <c r="D105" s="1563"/>
      <c r="E105" s="1563"/>
      <c r="F105" s="1563"/>
      <c r="G105" s="1563"/>
      <c r="H105" s="1563"/>
      <c r="I105" s="1563"/>
      <c r="J105" s="1563"/>
    </row>
    <row r="106" spans="2:10" x14ac:dyDescent="0.25">
      <c r="B106" s="30"/>
      <c r="C106" s="1068"/>
      <c r="D106" s="1043" t="s">
        <v>75</v>
      </c>
      <c r="E106" s="1068">
        <v>100</v>
      </c>
      <c r="F106" s="963" t="s">
        <v>76</v>
      </c>
      <c r="G106" s="1043"/>
      <c r="H106" s="1043"/>
      <c r="I106" s="1043"/>
      <c r="J106" s="1043"/>
    </row>
    <row r="107" spans="2:10" x14ac:dyDescent="0.25">
      <c r="B107" s="27" t="s">
        <v>733</v>
      </c>
      <c r="C107" s="1562">
        <f>'Order Trade Checking'!L20</f>
        <v>30</v>
      </c>
      <c r="D107" s="1562"/>
      <c r="E107" s="1562"/>
      <c r="F107" s="1562"/>
      <c r="G107" s="1562"/>
      <c r="H107" s="1562"/>
      <c r="I107" s="1562"/>
      <c r="J107" s="1562"/>
    </row>
    <row r="108" spans="2:10" x14ac:dyDescent="0.25">
      <c r="B108" s="28" t="s">
        <v>58</v>
      </c>
      <c r="C108" s="1563" t="s">
        <v>2999</v>
      </c>
      <c r="D108" s="1563"/>
      <c r="E108" s="1563"/>
      <c r="F108" s="1563"/>
      <c r="G108" s="1563"/>
      <c r="H108" s="1563"/>
      <c r="I108" s="1563"/>
      <c r="J108" s="1563"/>
    </row>
    <row r="109" spans="2:10" ht="30" x14ac:dyDescent="0.25">
      <c r="B109" s="27" t="s">
        <v>59</v>
      </c>
      <c r="C109" s="1563" t="s">
        <v>8052</v>
      </c>
      <c r="D109" s="1563"/>
      <c r="E109" s="1563"/>
      <c r="F109" s="1563"/>
      <c r="G109" s="1563"/>
      <c r="H109" s="1563"/>
      <c r="I109" s="1563"/>
      <c r="J109" s="1563"/>
    </row>
    <row r="110" spans="2:10" x14ac:dyDescent="0.25">
      <c r="B110" s="27" t="s">
        <v>60</v>
      </c>
      <c r="C110" s="1563" t="s">
        <v>8053</v>
      </c>
      <c r="D110" s="1563"/>
      <c r="E110" s="1563"/>
      <c r="F110" s="1563"/>
      <c r="G110" s="1563"/>
      <c r="H110" s="1563"/>
      <c r="I110" s="1563"/>
      <c r="J110" s="1563"/>
    </row>
    <row r="111" spans="2:10" ht="19.5" customHeight="1" x14ac:dyDescent="0.25">
      <c r="B111" s="27"/>
      <c r="C111" s="1044" t="s">
        <v>65</v>
      </c>
      <c r="D111" s="825"/>
      <c r="E111" s="1570"/>
      <c r="F111" s="1570"/>
      <c r="G111" s="1570"/>
      <c r="H111" s="1570"/>
      <c r="I111" s="1570"/>
      <c r="J111" s="1570"/>
    </row>
    <row r="112" spans="2:10" x14ac:dyDescent="0.25">
      <c r="B112" s="8"/>
      <c r="C112" s="1551"/>
      <c r="D112" s="1551"/>
      <c r="E112" s="1551"/>
      <c r="F112" s="1551"/>
      <c r="G112" s="1551"/>
      <c r="H112" s="1551"/>
      <c r="I112" s="1551"/>
      <c r="J112" s="1551"/>
    </row>
    <row r="113" spans="2:10" ht="15" customHeight="1" x14ac:dyDescent="0.25">
      <c r="B113" s="8"/>
      <c r="C113" s="1045"/>
      <c r="D113" s="104"/>
      <c r="E113" s="104"/>
      <c r="F113" s="104"/>
      <c r="G113" s="104"/>
      <c r="H113" s="104"/>
      <c r="I113" s="104"/>
      <c r="J113" s="104"/>
    </row>
    <row r="114" spans="2:10" ht="15.75" customHeight="1" x14ac:dyDescent="0.25">
      <c r="B114" s="1557" t="s">
        <v>210</v>
      </c>
      <c r="C114" s="1508"/>
      <c r="D114" s="1508"/>
      <c r="E114" s="1508"/>
      <c r="F114" s="1508"/>
      <c r="G114" s="1508"/>
      <c r="H114" s="1508"/>
      <c r="I114" s="1508"/>
      <c r="J114" s="1558"/>
    </row>
    <row r="115" spans="2:10" ht="5.0999999999999996" customHeight="1" x14ac:dyDescent="0.25">
      <c r="B115" s="27"/>
      <c r="C115" s="30"/>
      <c r="D115" s="825"/>
      <c r="E115" s="825"/>
      <c r="F115" s="825"/>
      <c r="G115" s="825"/>
      <c r="H115" s="825"/>
      <c r="I115" s="825"/>
      <c r="J115" s="825"/>
    </row>
    <row r="116" spans="2:10" x14ac:dyDescent="0.25">
      <c r="B116" s="27" t="s">
        <v>55</v>
      </c>
      <c r="C116" s="1562">
        <f>'Order Trade Checking'!B21</f>
        <v>0</v>
      </c>
      <c r="D116" s="1562"/>
      <c r="E116" s="1562"/>
      <c r="F116" s="1562"/>
      <c r="G116" s="1562"/>
      <c r="H116" s="1562"/>
      <c r="I116" s="1562"/>
      <c r="J116" s="1562"/>
    </row>
    <row r="117" spans="2:10" x14ac:dyDescent="0.25">
      <c r="B117" s="27" t="s">
        <v>45</v>
      </c>
      <c r="C117" s="1563"/>
      <c r="D117" s="1563"/>
      <c r="E117" s="1563"/>
      <c r="F117" s="1563"/>
      <c r="G117" s="1563"/>
      <c r="H117" s="1563"/>
      <c r="I117" s="1563"/>
      <c r="J117" s="1563"/>
    </row>
    <row r="118" spans="2:10" x14ac:dyDescent="0.25">
      <c r="B118" s="27" t="s">
        <v>66</v>
      </c>
      <c r="C118" s="1563">
        <f>'Order Trade Checking'!G21</f>
        <v>0</v>
      </c>
      <c r="D118" s="1563"/>
      <c r="E118" s="1563"/>
      <c r="F118" s="1563"/>
      <c r="G118" s="1563"/>
      <c r="H118" s="1563"/>
      <c r="I118" s="1563"/>
      <c r="J118" s="1563"/>
    </row>
    <row r="119" spans="2:10" x14ac:dyDescent="0.25">
      <c r="B119" s="27" t="s">
        <v>67</v>
      </c>
      <c r="C119" s="1563"/>
      <c r="D119" s="1563"/>
      <c r="E119" s="1563"/>
      <c r="F119" s="1563"/>
      <c r="G119" s="1563"/>
      <c r="H119" s="1563"/>
      <c r="I119" s="1563"/>
      <c r="J119" s="1563"/>
    </row>
    <row r="120" spans="2:10" x14ac:dyDescent="0.25">
      <c r="B120" s="27" t="s">
        <v>1</v>
      </c>
      <c r="C120" s="1563">
        <f>'Order Trade Checking'!C21</f>
        <v>0</v>
      </c>
      <c r="D120" s="1563"/>
      <c r="E120" s="1563"/>
      <c r="F120" s="1563"/>
      <c r="G120" s="1563"/>
      <c r="H120" s="1563"/>
      <c r="I120" s="1563"/>
      <c r="J120" s="1563"/>
    </row>
    <row r="121" spans="2:10" x14ac:dyDescent="0.25">
      <c r="B121" s="27" t="s">
        <v>742</v>
      </c>
      <c r="C121" s="1563">
        <f>'Order Trade Checking'!H21</f>
        <v>0</v>
      </c>
      <c r="D121" s="1563"/>
      <c r="E121" s="1563"/>
      <c r="F121" s="1563"/>
      <c r="G121" s="1563"/>
      <c r="H121" s="1563"/>
      <c r="I121" s="1563"/>
      <c r="J121" s="1563"/>
    </row>
    <row r="122" spans="2:10" ht="5.0999999999999996" customHeight="1" x14ac:dyDescent="0.25">
      <c r="B122" s="27"/>
      <c r="C122" s="30"/>
      <c r="D122" s="825"/>
      <c r="E122" s="825"/>
      <c r="F122" s="825"/>
      <c r="G122" s="825"/>
      <c r="H122" s="825"/>
      <c r="I122" s="825"/>
      <c r="J122" s="825"/>
    </row>
    <row r="123" spans="2:10" ht="15.75" x14ac:dyDescent="0.25">
      <c r="B123" s="1557" t="s">
        <v>56</v>
      </c>
      <c r="C123" s="1508"/>
      <c r="D123" s="1508"/>
      <c r="E123" s="1508"/>
      <c r="F123" s="1508"/>
      <c r="G123" s="1508"/>
      <c r="H123" s="1508"/>
      <c r="I123" s="1508"/>
      <c r="J123" s="1558"/>
    </row>
    <row r="124" spans="2:10" x14ac:dyDescent="0.25">
      <c r="B124" s="27" t="s">
        <v>732</v>
      </c>
      <c r="C124" s="1567">
        <f>'Order Trade Checking'!M21</f>
        <v>0</v>
      </c>
      <c r="D124" s="1567"/>
      <c r="E124" s="1567"/>
      <c r="F124" s="1567"/>
      <c r="G124" s="1567"/>
      <c r="H124" s="1567"/>
      <c r="I124" s="1567"/>
      <c r="J124" s="1567"/>
    </row>
    <row r="125" spans="2:10" x14ac:dyDescent="0.25">
      <c r="B125" s="27" t="s">
        <v>57</v>
      </c>
      <c r="C125" s="1563">
        <f>'Order Trade Checking'!E21</f>
        <v>0</v>
      </c>
      <c r="D125" s="1563"/>
      <c r="E125" s="1563"/>
      <c r="F125" s="1563"/>
      <c r="G125" s="1563"/>
      <c r="H125" s="1563"/>
      <c r="I125" s="1563"/>
      <c r="J125" s="1563"/>
    </row>
    <row r="126" spans="2:10" ht="30" customHeight="1" x14ac:dyDescent="0.25">
      <c r="B126" s="27" t="s">
        <v>752</v>
      </c>
      <c r="C126" s="1563"/>
      <c r="D126" s="1563"/>
      <c r="E126" s="1563"/>
      <c r="F126" s="1563"/>
      <c r="G126" s="1563"/>
      <c r="H126" s="1563"/>
      <c r="I126" s="1563"/>
      <c r="J126" s="1563"/>
    </row>
    <row r="127" spans="2:10" x14ac:dyDescent="0.25">
      <c r="B127" s="27" t="s">
        <v>737</v>
      </c>
      <c r="C127" s="1565"/>
      <c r="D127" s="1565"/>
      <c r="E127" s="1565"/>
      <c r="F127" s="1565"/>
      <c r="G127" s="1565"/>
      <c r="H127" s="1565"/>
      <c r="I127" s="1565"/>
      <c r="J127" s="1565"/>
    </row>
    <row r="128" spans="2:10" x14ac:dyDescent="0.25">
      <c r="B128" s="27" t="s">
        <v>740</v>
      </c>
      <c r="C128" s="1569">
        <f>C127/$D$164</f>
        <v>0</v>
      </c>
      <c r="D128" s="1569"/>
      <c r="E128" s="1569"/>
      <c r="F128" s="1569"/>
      <c r="G128" s="1569"/>
      <c r="H128" s="1569"/>
      <c r="I128" s="1569"/>
      <c r="J128" s="1569"/>
    </row>
    <row r="129" spans="2:21" ht="30" x14ac:dyDescent="0.25">
      <c r="B129" s="30" t="s">
        <v>580</v>
      </c>
      <c r="C129" s="1563"/>
      <c r="D129" s="1563"/>
      <c r="E129" s="1563"/>
      <c r="F129" s="1563"/>
      <c r="G129" s="1563"/>
      <c r="H129" s="1563"/>
      <c r="I129" s="1563"/>
      <c r="J129" s="1563"/>
    </row>
    <row r="130" spans="2:21" x14ac:dyDescent="0.25">
      <c r="B130" s="27" t="s">
        <v>576</v>
      </c>
      <c r="C130" s="1563"/>
      <c r="D130" s="1563"/>
      <c r="E130" s="1563"/>
      <c r="F130" s="1563"/>
      <c r="G130" s="1563"/>
      <c r="H130" s="1563"/>
      <c r="I130" s="1563"/>
      <c r="J130" s="1563"/>
    </row>
    <row r="131" spans="2:21" x14ac:dyDescent="0.25">
      <c r="B131" s="30" t="s">
        <v>73</v>
      </c>
      <c r="C131" s="1563">
        <f>'Order Trade Checking'!K21</f>
        <v>0</v>
      </c>
      <c r="D131" s="1563"/>
      <c r="E131" s="1563"/>
      <c r="F131" s="1563"/>
      <c r="G131" s="1563"/>
      <c r="H131" s="1563"/>
      <c r="I131" s="1563"/>
      <c r="J131" s="1563"/>
    </row>
    <row r="132" spans="2:21" x14ac:dyDescent="0.25">
      <c r="B132" s="30"/>
      <c r="C132" s="1068"/>
      <c r="D132" s="1043" t="s">
        <v>75</v>
      </c>
      <c r="E132" s="1068"/>
      <c r="F132" s="963" t="s">
        <v>76</v>
      </c>
      <c r="G132" s="1043"/>
      <c r="H132" s="1043"/>
      <c r="I132" s="1043"/>
      <c r="J132" s="1043"/>
    </row>
    <row r="133" spans="2:21" x14ac:dyDescent="0.25">
      <c r="B133" s="27" t="s">
        <v>733</v>
      </c>
      <c r="C133" s="1562">
        <f>'Order Trade Checking'!L21</f>
        <v>0</v>
      </c>
      <c r="D133" s="1562"/>
      <c r="E133" s="1562"/>
      <c r="F133" s="1562"/>
      <c r="G133" s="1562"/>
      <c r="H133" s="1562"/>
      <c r="I133" s="1562"/>
      <c r="J133" s="1562"/>
    </row>
    <row r="134" spans="2:21" x14ac:dyDescent="0.25">
      <c r="B134" s="28" t="s">
        <v>58</v>
      </c>
      <c r="C134" s="1563"/>
      <c r="D134" s="1563"/>
      <c r="E134" s="1563"/>
      <c r="F134" s="1563"/>
      <c r="G134" s="1563"/>
      <c r="H134" s="1563"/>
      <c r="I134" s="1563"/>
      <c r="J134" s="1563"/>
    </row>
    <row r="135" spans="2:21" ht="30" x14ac:dyDescent="0.25">
      <c r="B135" s="27" t="s">
        <v>59</v>
      </c>
      <c r="C135" s="1563"/>
      <c r="D135" s="1563"/>
      <c r="E135" s="1563"/>
      <c r="F135" s="1563"/>
      <c r="G135" s="1563"/>
      <c r="H135" s="1563"/>
      <c r="I135" s="1563"/>
      <c r="J135" s="1563"/>
    </row>
    <row r="136" spans="2:21" x14ac:dyDescent="0.25">
      <c r="B136" s="27" t="s">
        <v>60</v>
      </c>
      <c r="C136" s="1563"/>
      <c r="D136" s="1563"/>
      <c r="E136" s="1563"/>
      <c r="F136" s="1563"/>
      <c r="G136" s="1563"/>
      <c r="H136" s="1563"/>
      <c r="I136" s="1563"/>
      <c r="J136" s="1563"/>
    </row>
    <row r="137" spans="2:21" ht="19.5" customHeight="1" x14ac:dyDescent="0.25">
      <c r="B137" s="27"/>
      <c r="C137" s="1044" t="s">
        <v>65</v>
      </c>
      <c r="D137" s="825"/>
      <c r="E137" s="1570"/>
      <c r="F137" s="1570"/>
      <c r="G137" s="1570"/>
      <c r="H137" s="1570"/>
      <c r="I137" s="1570"/>
      <c r="J137" s="1570"/>
    </row>
    <row r="138" spans="2:21" x14ac:dyDescent="0.25">
      <c r="B138" s="27"/>
      <c r="C138" s="1562"/>
      <c r="D138" s="1562"/>
      <c r="E138" s="1562"/>
      <c r="F138" s="1562"/>
      <c r="G138" s="1562"/>
      <c r="H138" s="1562"/>
      <c r="I138" s="1562"/>
      <c r="J138" s="1562"/>
    </row>
    <row r="139" spans="2:21" ht="15.75" thickBot="1" x14ac:dyDescent="0.3">
      <c r="B139" s="8"/>
      <c r="C139" s="1045"/>
      <c r="D139" s="104"/>
      <c r="E139" s="104"/>
      <c r="F139" s="104"/>
      <c r="G139" s="104"/>
      <c r="H139" s="104"/>
      <c r="I139" s="104"/>
      <c r="J139" s="104"/>
      <c r="O139" s="385" t="s">
        <v>7379</v>
      </c>
    </row>
    <row r="140" spans="2:21" ht="15.75" thickTop="1" x14ac:dyDescent="0.25">
      <c r="B140" s="108"/>
      <c r="C140" s="1048"/>
      <c r="D140" s="1049"/>
      <c r="E140" s="1049"/>
      <c r="F140" s="1049"/>
      <c r="G140" s="1049"/>
      <c r="H140" s="1049"/>
      <c r="I140" s="1049"/>
      <c r="J140" s="1049"/>
      <c r="O140" s="385" t="s">
        <v>7380</v>
      </c>
    </row>
    <row r="141" spans="2:21" x14ac:dyDescent="0.25">
      <c r="B141" s="107" t="s">
        <v>42</v>
      </c>
      <c r="C141" s="1050"/>
      <c r="D141" s="305"/>
      <c r="E141" s="305"/>
      <c r="F141" s="305"/>
      <c r="G141" s="305"/>
      <c r="H141" s="305"/>
      <c r="I141" s="305"/>
      <c r="J141" s="305"/>
      <c r="O141" s="385" t="s">
        <v>7381</v>
      </c>
    </row>
    <row r="142" spans="2:21" x14ac:dyDescent="0.25">
      <c r="B142" s="59" t="s">
        <v>575</v>
      </c>
      <c r="C142" s="1562" t="s">
        <v>27</v>
      </c>
      <c r="D142" s="1562"/>
      <c r="E142" s="1562"/>
      <c r="F142" s="1562"/>
      <c r="G142" s="1562"/>
      <c r="H142" s="1562"/>
      <c r="I142" s="1562"/>
      <c r="J142" s="1562"/>
    </row>
    <row r="143" spans="2:21" ht="28.5" customHeight="1" x14ac:dyDescent="0.25">
      <c r="B143" s="109" t="s">
        <v>474</v>
      </c>
      <c r="C143" s="1552">
        <f>IF(OR(C145="Calon debitur secara rutin memesan dari satu supplier – supplier ini  dapat dengan mudah digantikan tanpa mempengaruhi usaha",C145="Calon debitur secara rutin memesan dari satu supplier – supplier ini tidak dapat dengan mudah digantikan tanpa mempengaruhi usaha"),0,IF(ISERROR(F175/D164),"",F175/D164))</f>
        <v>0.59387509207919087</v>
      </c>
      <c r="D143" s="1552"/>
      <c r="E143" s="1553" t="s">
        <v>475</v>
      </c>
      <c r="F143" s="1553"/>
      <c r="G143" s="1553"/>
      <c r="H143" s="1553"/>
      <c r="I143" s="1553"/>
      <c r="J143" s="1553"/>
      <c r="L143" s="376"/>
      <c r="U143" s="721"/>
    </row>
    <row r="144" spans="2:21" hidden="1" x14ac:dyDescent="0.25">
      <c r="B144" s="264" t="s">
        <v>2937</v>
      </c>
      <c r="C144" s="1051"/>
      <c r="D144" s="1051"/>
      <c r="E144" s="909"/>
      <c r="F144" s="909"/>
      <c r="G144" s="909"/>
      <c r="H144" s="909"/>
      <c r="I144" s="909"/>
      <c r="J144" s="909"/>
    </row>
    <row r="145" spans="2:21" ht="30" x14ac:dyDescent="0.25">
      <c r="B145" s="8" t="s">
        <v>476</v>
      </c>
      <c r="C145" s="1554" t="s">
        <v>477</v>
      </c>
      <c r="D145" s="1554"/>
      <c r="E145" s="1554"/>
      <c r="F145" s="1554"/>
      <c r="G145" s="1554"/>
      <c r="H145" s="1554"/>
      <c r="I145" s="1554"/>
      <c r="J145" s="1554"/>
      <c r="U145" s="385"/>
    </row>
    <row r="146" spans="2:21" x14ac:dyDescent="0.25">
      <c r="B146" s="8" t="s">
        <v>482</v>
      </c>
      <c r="C146" s="1555" t="s">
        <v>7379</v>
      </c>
      <c r="D146" s="1555"/>
      <c r="E146" s="1555"/>
      <c r="F146" s="1555"/>
      <c r="G146" s="1555"/>
      <c r="H146" s="1555"/>
      <c r="I146" s="1555"/>
      <c r="J146" s="1555"/>
      <c r="O146" s="348" t="str">
        <f>TRIM(MID(C146,29,18))</f>
        <v>Trade Checking</v>
      </c>
      <c r="P146" s="348" t="b">
        <f>ISBLANK(C146)</f>
        <v>0</v>
      </c>
      <c r="R146" s="348">
        <f>LEN(O146)</f>
        <v>14</v>
      </c>
      <c r="U146" s="385"/>
    </row>
    <row r="147" spans="2:21" x14ac:dyDescent="0.25">
      <c r="B147" s="1551"/>
      <c r="C147" s="1551"/>
      <c r="D147" s="1551"/>
      <c r="E147" s="1551"/>
      <c r="F147" s="1551"/>
      <c r="G147" s="1551"/>
      <c r="H147" s="1551"/>
      <c r="I147" s="1551"/>
      <c r="J147" s="1551"/>
      <c r="O147" s="348" t="b">
        <f>ISBLANK(B147)</f>
        <v>1</v>
      </c>
    </row>
    <row r="148" spans="2:21" x14ac:dyDescent="0.25">
      <c r="B148" s="1550"/>
      <c r="C148" s="1550"/>
      <c r="D148" s="1550"/>
      <c r="E148" s="1550"/>
      <c r="F148" s="1550"/>
      <c r="G148" s="1550"/>
      <c r="H148" s="1550"/>
      <c r="I148" s="1550"/>
      <c r="J148" s="1550"/>
      <c r="L148" s="372"/>
    </row>
    <row r="149" spans="2:21" x14ac:dyDescent="0.25">
      <c r="B149" s="1550"/>
      <c r="C149" s="1550"/>
      <c r="D149" s="1550"/>
      <c r="E149" s="1550"/>
      <c r="F149" s="1550"/>
      <c r="G149" s="1550"/>
      <c r="H149" s="1550"/>
      <c r="I149" s="1550"/>
      <c r="J149" s="1550"/>
    </row>
    <row r="150" spans="2:21" s="385" customFormat="1" x14ac:dyDescent="0.25">
      <c r="B150" s="1550"/>
      <c r="C150" s="1550"/>
      <c r="D150" s="1550"/>
      <c r="E150" s="1550"/>
      <c r="F150" s="1550"/>
      <c r="G150" s="1550"/>
      <c r="H150" s="1550"/>
      <c r="I150" s="1550"/>
      <c r="J150" s="1550"/>
    </row>
    <row r="151" spans="2:21" s="385" customFormat="1" x14ac:dyDescent="0.25">
      <c r="B151" s="1550"/>
      <c r="C151" s="1550"/>
      <c r="D151" s="1550"/>
      <c r="E151" s="1550"/>
      <c r="F151" s="1550"/>
      <c r="G151" s="1550"/>
      <c r="H151" s="1550"/>
      <c r="I151" s="1550"/>
      <c r="J151" s="1550"/>
    </row>
    <row r="152" spans="2:21" s="385" customFormat="1" x14ac:dyDescent="0.25">
      <c r="B152" s="773"/>
      <c r="C152" s="1052"/>
      <c r="D152" s="1052"/>
      <c r="E152" s="1052"/>
      <c r="F152" s="1052"/>
      <c r="G152" s="1052"/>
      <c r="H152" s="1052"/>
      <c r="I152" s="1052"/>
      <c r="J152" s="1052"/>
    </row>
    <row r="153" spans="2:21" s="385" customFormat="1" x14ac:dyDescent="0.25">
      <c r="B153" s="773"/>
      <c r="C153" s="1052"/>
      <c r="D153" s="1052"/>
      <c r="E153" s="1052"/>
      <c r="F153" s="1052"/>
      <c r="G153" s="1052"/>
      <c r="H153" s="1574" t="s">
        <v>4320</v>
      </c>
      <c r="I153" s="1575"/>
      <c r="J153" s="1576"/>
    </row>
    <row r="154" spans="2:21" s="385" customFormat="1" x14ac:dyDescent="0.25">
      <c r="B154" s="773"/>
      <c r="C154" s="1052"/>
      <c r="D154" s="1052"/>
      <c r="E154" s="1052"/>
      <c r="F154" s="1052"/>
      <c r="G154" s="1052"/>
      <c r="H154" s="1053"/>
      <c r="I154" s="1054"/>
      <c r="J154" s="1055"/>
    </row>
    <row r="155" spans="2:21" s="385" customFormat="1" x14ac:dyDescent="0.25">
      <c r="B155" s="773"/>
      <c r="C155" s="1052"/>
      <c r="D155" s="1052"/>
      <c r="E155" s="1052"/>
      <c r="F155" s="1052"/>
      <c r="G155" s="1052"/>
      <c r="H155" s="1056"/>
      <c r="I155" s="1057"/>
      <c r="J155" s="1058"/>
    </row>
    <row r="156" spans="2:21" s="385" customFormat="1" x14ac:dyDescent="0.25">
      <c r="B156" s="773"/>
      <c r="C156" s="1052"/>
      <c r="D156" s="1052"/>
      <c r="E156" s="1052"/>
      <c r="F156" s="1052"/>
      <c r="G156" s="1052"/>
      <c r="H156" s="1056"/>
      <c r="I156" s="1057"/>
      <c r="J156" s="1058"/>
    </row>
    <row r="157" spans="2:21" s="385" customFormat="1" x14ac:dyDescent="0.25">
      <c r="B157" s="773"/>
      <c r="C157" s="1052"/>
      <c r="D157" s="1052"/>
      <c r="E157" s="1052"/>
      <c r="F157" s="1052"/>
      <c r="G157" s="1052"/>
      <c r="H157" s="1059"/>
      <c r="I157" s="1060"/>
      <c r="J157" s="1061"/>
    </row>
    <row r="158" spans="2:21" s="385" customFormat="1" x14ac:dyDescent="0.25">
      <c r="B158" s="773"/>
      <c r="C158" s="1052"/>
      <c r="D158" s="1052"/>
      <c r="E158" s="1052"/>
      <c r="F158" s="1052"/>
      <c r="G158" s="1052"/>
      <c r="H158" s="1577" t="s">
        <v>8068</v>
      </c>
      <c r="I158" s="1578"/>
      <c r="J158" s="1579"/>
    </row>
    <row r="159" spans="2:21" s="385" customFormat="1" x14ac:dyDescent="0.25">
      <c r="B159" s="773"/>
      <c r="C159" s="1052"/>
      <c r="D159" s="1052"/>
      <c r="E159" s="1052"/>
      <c r="F159" s="1052"/>
      <c r="G159" s="1052"/>
      <c r="H159" s="1577" t="s">
        <v>7992</v>
      </c>
      <c r="I159" s="1578"/>
      <c r="J159" s="1579"/>
    </row>
    <row r="160" spans="2:21" s="385" customFormat="1" x14ac:dyDescent="0.25">
      <c r="B160" s="773"/>
      <c r="C160" s="1052"/>
      <c r="D160" s="1052"/>
      <c r="E160" s="1052"/>
      <c r="F160" s="1052"/>
      <c r="G160" s="1052"/>
      <c r="H160" s="1052"/>
      <c r="I160" s="1052"/>
      <c r="J160" s="1052"/>
    </row>
    <row r="161" spans="2:17" s="385" customFormat="1" x14ac:dyDescent="0.25">
      <c r="B161" s="773"/>
      <c r="C161" s="1052"/>
      <c r="D161" s="1052"/>
      <c r="E161" s="1052"/>
      <c r="F161" s="1052"/>
      <c r="G161" s="1052"/>
      <c r="H161" s="1052"/>
      <c r="I161" s="1052"/>
      <c r="J161" s="1052"/>
    </row>
    <row r="162" spans="2:17" hidden="1" x14ac:dyDescent="0.25"/>
    <row r="163" spans="2:17" hidden="1" x14ac:dyDescent="0.25">
      <c r="B163" s="365" t="s">
        <v>2925</v>
      </c>
      <c r="D163" s="1063">
        <f>SUM('Analisa Lap Keu'!C69:C70)</f>
        <v>0</v>
      </c>
      <c r="F163" s="1063">
        <f>SUM('Analisa Lap Keu'!E69:E70)</f>
        <v>0</v>
      </c>
      <c r="H163" s="1063">
        <f>SUM('Analisa Lap Keu'!G69:G70)</f>
        <v>13134.075000000001</v>
      </c>
      <c r="J163" s="1063">
        <f>IF(H163&lt;&gt;0,H163,IF(F163&lt;&gt;0,F163,D163))</f>
        <v>13134.075000000001</v>
      </c>
    </row>
    <row r="164" spans="2:17" hidden="1" x14ac:dyDescent="0.25">
      <c r="B164" s="365" t="s">
        <v>2926</v>
      </c>
      <c r="D164" s="1063">
        <f>J163/12</f>
        <v>1094.5062500000001</v>
      </c>
    </row>
    <row r="165" spans="2:17" ht="75" hidden="1" x14ac:dyDescent="0.25">
      <c r="D165" s="364" t="s">
        <v>2934</v>
      </c>
      <c r="F165" s="1062" t="s">
        <v>737</v>
      </c>
      <c r="Q165" s="372"/>
    </row>
    <row r="166" spans="2:17" hidden="1" x14ac:dyDescent="0.25">
      <c r="B166" s="365" t="s">
        <v>2929</v>
      </c>
      <c r="D166" s="364">
        <f>RANK(F166,$F$166:$F$170)</f>
        <v>3</v>
      </c>
      <c r="F166" s="892">
        <f>C23</f>
        <v>100</v>
      </c>
    </row>
    <row r="167" spans="2:17" hidden="1" x14ac:dyDescent="0.25">
      <c r="B167" s="365" t="s">
        <v>2930</v>
      </c>
      <c r="D167" s="364">
        <f>RANK(F167,$F$166:$F$170)</f>
        <v>1</v>
      </c>
      <c r="F167" s="892">
        <f>C49</f>
        <v>300</v>
      </c>
      <c r="L167" s="348">
        <v>1</v>
      </c>
      <c r="M167" s="348">
        <f>RANK(L167,L167:L171)</f>
        <v>5</v>
      </c>
    </row>
    <row r="168" spans="2:17" hidden="1" x14ac:dyDescent="0.25">
      <c r="B168" s="365" t="s">
        <v>2931</v>
      </c>
      <c r="D168" s="364">
        <f>RANK(F168,$F$166:$F$170)</f>
        <v>2</v>
      </c>
      <c r="F168" s="892">
        <f>C75</f>
        <v>250</v>
      </c>
      <c r="L168" s="348">
        <v>2</v>
      </c>
      <c r="M168" s="348">
        <f>RANK(L168,L168:L172)</f>
        <v>4</v>
      </c>
    </row>
    <row r="169" spans="2:17" hidden="1" x14ac:dyDescent="0.25">
      <c r="B169" s="365" t="s">
        <v>2932</v>
      </c>
      <c r="D169" s="364">
        <f>RANK(F169,$F$166:$F$170)</f>
        <v>4</v>
      </c>
      <c r="F169" s="892">
        <f>C101</f>
        <v>50</v>
      </c>
      <c r="L169" s="348">
        <v>3</v>
      </c>
      <c r="M169" s="348">
        <f>RANK(L169,L169:L173)</f>
        <v>3</v>
      </c>
    </row>
    <row r="170" spans="2:17" hidden="1" x14ac:dyDescent="0.25">
      <c r="B170" s="365" t="s">
        <v>2933</v>
      </c>
      <c r="D170" s="364">
        <f>RANK(F170,$F$166:$F$170)</f>
        <v>5</v>
      </c>
      <c r="F170" s="892">
        <f>C127</f>
        <v>0</v>
      </c>
      <c r="L170" s="348">
        <v>4</v>
      </c>
      <c r="M170" s="348">
        <f>RANK(L170,L170:L174)</f>
        <v>2</v>
      </c>
    </row>
    <row r="171" spans="2:17" hidden="1" x14ac:dyDescent="0.25">
      <c r="L171" s="348">
        <v>5</v>
      </c>
      <c r="M171" s="348">
        <f>RANK(L171,L171:L175)</f>
        <v>1</v>
      </c>
    </row>
    <row r="172" spans="2:17" hidden="1" x14ac:dyDescent="0.25">
      <c r="D172" s="364">
        <v>1</v>
      </c>
      <c r="F172" s="364">
        <f>SUMIF($D$166:$D$170,D172,$F$166:$F$170)</f>
        <v>300</v>
      </c>
    </row>
    <row r="173" spans="2:17" hidden="1" x14ac:dyDescent="0.25">
      <c r="D173" s="364">
        <v>2</v>
      </c>
      <c r="F173" s="364">
        <f>SUMIF($D$166:$D$170,D173,$F$166:$F$170)</f>
        <v>250</v>
      </c>
    </row>
    <row r="174" spans="2:17" hidden="1" x14ac:dyDescent="0.25">
      <c r="D174" s="364">
        <v>3</v>
      </c>
      <c r="F174" s="364">
        <f>SUMIF($D$166:$D$170,D174,$F$166:$F$170)</f>
        <v>100</v>
      </c>
    </row>
    <row r="175" spans="2:17" ht="6.75" hidden="1" customHeight="1" x14ac:dyDescent="0.25">
      <c r="D175" s="364" t="s">
        <v>2935</v>
      </c>
      <c r="F175" s="364">
        <f>SUM(F172:F174)</f>
        <v>650</v>
      </c>
    </row>
    <row r="176" spans="2:17" hidden="1" x14ac:dyDescent="0.25"/>
    <row r="177" spans="1:15" hidden="1" x14ac:dyDescent="0.25"/>
    <row r="178" spans="1:15" hidden="1" x14ac:dyDescent="0.25">
      <c r="D178" s="1580" t="s">
        <v>2929</v>
      </c>
      <c r="E178" s="1580"/>
      <c r="F178" s="1580" t="s">
        <v>2930</v>
      </c>
      <c r="G178" s="1580"/>
      <c r="H178" s="1580" t="s">
        <v>2931</v>
      </c>
      <c r="I178" s="1580"/>
      <c r="J178" s="1573" t="s">
        <v>2932</v>
      </c>
      <c r="K178" s="1573"/>
      <c r="L178" s="1573" t="s">
        <v>2933</v>
      </c>
      <c r="M178" s="1573"/>
      <c r="O178" s="370" t="s">
        <v>2993</v>
      </c>
    </row>
    <row r="179" spans="1:15" hidden="1" x14ac:dyDescent="0.25">
      <c r="B179" s="1571" t="s">
        <v>2983</v>
      </c>
      <c r="C179" s="1572"/>
      <c r="D179" s="1064" t="str">
        <f>C30</f>
        <v>Tepat Waktu</v>
      </c>
      <c r="E179" s="1064">
        <f>IF(ISERROR(VLOOKUP(D179,$B$185:$D$192,3,FALSE)),"",VLOOKUP(D179,$B$185:$D$192,3,FALSE))</f>
        <v>1</v>
      </c>
      <c r="F179" s="1064" t="str">
        <f>C56</f>
        <v>Tepat Waktu</v>
      </c>
      <c r="G179" s="1064">
        <f>IF(ISERROR(VLOOKUP(F179,$B$185:$D$192,3,FALSE)),"",VLOOKUP(F179,$B$185:$D$192,3,FALSE))</f>
        <v>1</v>
      </c>
      <c r="H179" s="1064" t="str">
        <f>C82</f>
        <v>Tepat Waktu</v>
      </c>
      <c r="I179" s="1064">
        <f>IF(ISERROR(VLOOKUP(H179,$B$185:$D$192,3,FALSE)),"",VLOOKUP(H179,$B$185:$D$192,3,FALSE))</f>
        <v>1</v>
      </c>
      <c r="J179" s="1064" t="str">
        <f>C108</f>
        <v>Tepat Waktu</v>
      </c>
      <c r="K179" s="371">
        <f>IF(ISERROR(VLOOKUP(J179,$B$185:$D$192,3,FALSE)),"",VLOOKUP(J179,$B$185:$D$192,3,FALSE))</f>
        <v>1</v>
      </c>
      <c r="L179" s="370">
        <f>C134</f>
        <v>0</v>
      </c>
      <c r="M179" s="371" t="str">
        <f>IF(ISERROR(VLOOKUP(L179,$B$185:$D$192,3,FALSE)),"",VLOOKUP(L179,$B$185:$D$192,3,FALSE))</f>
        <v/>
      </c>
      <c r="N179" s="348">
        <f>MAX(M179,K179,I179,G179,E179)</f>
        <v>1</v>
      </c>
      <c r="O179" s="370" t="str">
        <f>IF(ISERROR(VLOOKUP(N179,A185:B192,2,FALSE)),"",VLOOKUP(N179,A185:B192,2,FALSE))</f>
        <v>Tepat Waktu</v>
      </c>
    </row>
    <row r="180" spans="1:15" hidden="1" x14ac:dyDescent="0.25">
      <c r="B180" s="1571" t="s">
        <v>2984</v>
      </c>
      <c r="C180" s="1572"/>
      <c r="D180" s="1064" t="str">
        <f>C31</f>
        <v>Ya</v>
      </c>
      <c r="E180" s="1064">
        <f>IF(D180="Ya",1,IF(D180="Tidak",8,""))</f>
        <v>1</v>
      </c>
      <c r="F180" s="1064" t="str">
        <f>C57</f>
        <v>Ya</v>
      </c>
      <c r="G180" s="1064">
        <f>IF(F180="Ya",1,IF(F180="Tidak",8,""))</f>
        <v>1</v>
      </c>
      <c r="H180" s="1064" t="str">
        <f>C83</f>
        <v>Ya</v>
      </c>
      <c r="I180" s="1064">
        <f>IF(H180="Ya",1,IF(H180="Tidak",8,""))</f>
        <v>1</v>
      </c>
      <c r="J180" s="1064" t="str">
        <f>C109</f>
        <v>Ya</v>
      </c>
      <c r="K180" s="371">
        <f>IF(J180="Ya",1,IF(J180="Tidak",8,""))</f>
        <v>1</v>
      </c>
      <c r="L180" s="370">
        <f>C135</f>
        <v>0</v>
      </c>
      <c r="M180" s="371" t="str">
        <f>IF(L180="Ya",1,IF(L180="Tidak",8,""))</f>
        <v/>
      </c>
      <c r="N180" s="348">
        <f>MAX(M180,K180,I180,G180,E180)</f>
        <v>1</v>
      </c>
      <c r="O180" s="370" t="str">
        <f>IF(N180=1,"Ya",IF(N180=8,"Tidak",""))</f>
        <v>Ya</v>
      </c>
    </row>
    <row r="181" spans="1:15" ht="45" hidden="1" customHeight="1" x14ac:dyDescent="0.25">
      <c r="B181" s="1571" t="s">
        <v>2985</v>
      </c>
      <c r="C181" s="1572"/>
      <c r="D181" s="1064" t="str">
        <f>IF(C32&lt;&gt;"",IF(C32="Ya","Tidak","Ya"),"")</f>
        <v>Ya</v>
      </c>
      <c r="E181" s="1064">
        <f>IF(D181="Ya",1,IF(D181="Tidak",8,""))</f>
        <v>1</v>
      </c>
      <c r="F181" s="1064" t="str">
        <f>IF(C58&lt;&gt;"",IF(C58="Ya","Tidak","Ya"),"")</f>
        <v>Ya</v>
      </c>
      <c r="G181" s="1064">
        <f>IF(F181="Ya",1,IF(F181="Tidak",8,""))</f>
        <v>1</v>
      </c>
      <c r="H181" s="1064" t="str">
        <f>IF(C84&lt;&gt;"",IF(C84="Ya","Tidak","Ya"),"")</f>
        <v>Ya</v>
      </c>
      <c r="I181" s="1064">
        <f>IF(H181="Ya",1,IF(H181="Tidak",8,""))</f>
        <v>1</v>
      </c>
      <c r="J181" s="1064" t="str">
        <f>IF(C110&lt;&gt;"",IF(C110="Ya","Tidak","Ya"),"")</f>
        <v>Ya</v>
      </c>
      <c r="K181" s="371">
        <f>IF(J181="Ya",1,IF(J181="Tidak",8,""))</f>
        <v>1</v>
      </c>
      <c r="L181" s="370" t="str">
        <f>IF(C136&lt;&gt;"",IF(C136="Ya","Tidak","Ya"),"")</f>
        <v/>
      </c>
      <c r="M181" s="371" t="str">
        <f>IF(L181="Ya",1,IF(L181="Tidak",8,""))</f>
        <v/>
      </c>
      <c r="N181" s="348">
        <f>MAX(M181,K181,I181,G181,E181)</f>
        <v>1</v>
      </c>
      <c r="O181" s="370" t="str">
        <f>IF(N181=1,"Ya",IF(N181=8,"Tidak",""))</f>
        <v>Ya</v>
      </c>
    </row>
    <row r="182" spans="1:15" hidden="1" x14ac:dyDescent="0.25">
      <c r="E182" s="1064">
        <f>MAX(E179:E181)</f>
        <v>1</v>
      </c>
      <c r="G182" s="1064">
        <f>MAX(G179:G181)</f>
        <v>1</v>
      </c>
      <c r="I182" s="1064">
        <f>MAX(I179:I181)</f>
        <v>1</v>
      </c>
      <c r="K182" s="370">
        <f>MAX(K179:K181)</f>
        <v>1</v>
      </c>
      <c r="M182" s="370">
        <f>MAX(M179:M181)</f>
        <v>0</v>
      </c>
      <c r="O182" s="370">
        <f>MAX(E182,G182,I182,K182,M182)</f>
        <v>1</v>
      </c>
    </row>
    <row r="183" spans="1:15" hidden="1" x14ac:dyDescent="0.25"/>
    <row r="184" spans="1:15" hidden="1" x14ac:dyDescent="0.25"/>
    <row r="185" spans="1:15" hidden="1" x14ac:dyDescent="0.25">
      <c r="A185" s="369">
        <v>1</v>
      </c>
      <c r="B185" s="375" t="s">
        <v>2999</v>
      </c>
      <c r="D185" s="1065">
        <v>1</v>
      </c>
    </row>
    <row r="186" spans="1:15" hidden="1" x14ac:dyDescent="0.25">
      <c r="A186" s="369">
        <v>3</v>
      </c>
      <c r="B186" s="375" t="s">
        <v>2986</v>
      </c>
      <c r="D186" s="1065">
        <v>3</v>
      </c>
    </row>
    <row r="187" spans="1:15" hidden="1" x14ac:dyDescent="0.25">
      <c r="A187" s="369">
        <v>4</v>
      </c>
      <c r="B187" s="375" t="s">
        <v>2987</v>
      </c>
      <c r="D187" s="1065">
        <v>4</v>
      </c>
    </row>
    <row r="188" spans="1:15" hidden="1" x14ac:dyDescent="0.25">
      <c r="A188" s="369">
        <v>5</v>
      </c>
      <c r="B188" s="375" t="s">
        <v>2988</v>
      </c>
      <c r="D188" s="1065">
        <v>5</v>
      </c>
    </row>
    <row r="189" spans="1:15" hidden="1" x14ac:dyDescent="0.25">
      <c r="A189" s="369">
        <v>7</v>
      </c>
      <c r="B189" s="375" t="s">
        <v>2989</v>
      </c>
      <c r="D189" s="1065">
        <v>7</v>
      </c>
    </row>
    <row r="190" spans="1:15" hidden="1" x14ac:dyDescent="0.25">
      <c r="A190" s="369">
        <v>8</v>
      </c>
      <c r="B190" s="375" t="s">
        <v>2990</v>
      </c>
      <c r="D190" s="1065">
        <v>8</v>
      </c>
    </row>
    <row r="191" spans="1:15" hidden="1" x14ac:dyDescent="0.25">
      <c r="A191" s="369">
        <v>9</v>
      </c>
      <c r="B191" s="375" t="s">
        <v>2991</v>
      </c>
      <c r="D191" s="1065">
        <v>9</v>
      </c>
    </row>
    <row r="192" spans="1:15" hidden="1" x14ac:dyDescent="0.25">
      <c r="A192" s="369">
        <v>10</v>
      </c>
      <c r="B192" s="375" t="s">
        <v>2992</v>
      </c>
      <c r="D192" s="1065">
        <v>10</v>
      </c>
    </row>
  </sheetData>
  <sheetProtection password="CCA9" sheet="1" formatRows="0" selectLockedCells="1"/>
  <mergeCells count="136">
    <mergeCell ref="L178:M178"/>
    <mergeCell ref="B179:C179"/>
    <mergeCell ref="C142:J142"/>
    <mergeCell ref="C108:J108"/>
    <mergeCell ref="C134:J134"/>
    <mergeCell ref="H153:J153"/>
    <mergeCell ref="H158:J158"/>
    <mergeCell ref="H159:J159"/>
    <mergeCell ref="D178:E178"/>
    <mergeCell ref="F178:G178"/>
    <mergeCell ref="H178:I178"/>
    <mergeCell ref="J178:K178"/>
    <mergeCell ref="E137:J137"/>
    <mergeCell ref="B114:J114"/>
    <mergeCell ref="C138:J138"/>
    <mergeCell ref="C130:J130"/>
    <mergeCell ref="C109:J109"/>
    <mergeCell ref="C110:J110"/>
    <mergeCell ref="C125:J125"/>
    <mergeCell ref="C126:J126"/>
    <mergeCell ref="C127:J127"/>
    <mergeCell ref="C128:J128"/>
    <mergeCell ref="C129:J129"/>
    <mergeCell ref="C124:J124"/>
    <mergeCell ref="C67:J67"/>
    <mergeCell ref="E85:J85"/>
    <mergeCell ref="C86:J86"/>
    <mergeCell ref="B88:J88"/>
    <mergeCell ref="C84:J84"/>
    <mergeCell ref="C92:J92"/>
    <mergeCell ref="B180:C180"/>
    <mergeCell ref="B181:C181"/>
    <mergeCell ref="C64:J64"/>
    <mergeCell ref="C65:J65"/>
    <mergeCell ref="C93:J93"/>
    <mergeCell ref="C118:J118"/>
    <mergeCell ref="C119:J119"/>
    <mergeCell ref="C104:J104"/>
    <mergeCell ref="C83:J83"/>
    <mergeCell ref="C101:J101"/>
    <mergeCell ref="C120:J120"/>
    <mergeCell ref="C99:J99"/>
    <mergeCell ref="C105:J105"/>
    <mergeCell ref="C102:J102"/>
    <mergeCell ref="B123:J123"/>
    <mergeCell ref="C100:J100"/>
    <mergeCell ref="C98:J98"/>
    <mergeCell ref="C121:J121"/>
    <mergeCell ref="C117:J117"/>
    <mergeCell ref="C136:J136"/>
    <mergeCell ref="C133:J133"/>
    <mergeCell ref="C112:J112"/>
    <mergeCell ref="C131:J131"/>
    <mergeCell ref="C135:J135"/>
    <mergeCell ref="E111:J111"/>
    <mergeCell ref="C116:J116"/>
    <mergeCell ref="C81:J81"/>
    <mergeCell ref="C95:J95"/>
    <mergeCell ref="C82:J82"/>
    <mergeCell ref="C103:J103"/>
    <mergeCell ref="C79:J79"/>
    <mergeCell ref="C68:J68"/>
    <mergeCell ref="B71:J71"/>
    <mergeCell ref="C72:J72"/>
    <mergeCell ref="C73:J73"/>
    <mergeCell ref="C74:J74"/>
    <mergeCell ref="C75:J75"/>
    <mergeCell ref="C76:J76"/>
    <mergeCell ref="C77:J77"/>
    <mergeCell ref="C69:J69"/>
    <mergeCell ref="C78:J78"/>
    <mergeCell ref="C46:J46"/>
    <mergeCell ref="C53:J53"/>
    <mergeCell ref="C47:J47"/>
    <mergeCell ref="C48:J48"/>
    <mergeCell ref="C49:J49"/>
    <mergeCell ref="C50:J50"/>
    <mergeCell ref="B45:J45"/>
    <mergeCell ref="C34:J34"/>
    <mergeCell ref="C107:J107"/>
    <mergeCell ref="C90:J90"/>
    <mergeCell ref="C91:J91"/>
    <mergeCell ref="C94:J94"/>
    <mergeCell ref="B97:J97"/>
    <mergeCell ref="C43:J43"/>
    <mergeCell ref="C52:J52"/>
    <mergeCell ref="C51:J51"/>
    <mergeCell ref="C58:J58"/>
    <mergeCell ref="C56:J56"/>
    <mergeCell ref="C55:J55"/>
    <mergeCell ref="B62:J62"/>
    <mergeCell ref="E59:J59"/>
    <mergeCell ref="C60:J60"/>
    <mergeCell ref="C57:J57"/>
    <mergeCell ref="C66:J66"/>
    <mergeCell ref="C26:J26"/>
    <mergeCell ref="B36:J36"/>
    <mergeCell ref="C38:J38"/>
    <mergeCell ref="C42:J42"/>
    <mergeCell ref="C15:J15"/>
    <mergeCell ref="C16:J16"/>
    <mergeCell ref="C31:J31"/>
    <mergeCell ref="C39:J39"/>
    <mergeCell ref="C23:J23"/>
    <mergeCell ref="C40:J40"/>
    <mergeCell ref="C24:J24"/>
    <mergeCell ref="C25:J25"/>
    <mergeCell ref="C32:J32"/>
    <mergeCell ref="C30:J30"/>
    <mergeCell ref="C29:J29"/>
    <mergeCell ref="C22:J22"/>
    <mergeCell ref="C20:J20"/>
    <mergeCell ref="C21:J21"/>
    <mergeCell ref="C27:J27"/>
    <mergeCell ref="C41:J41"/>
    <mergeCell ref="E33:J33"/>
    <mergeCell ref="B1:J1"/>
    <mergeCell ref="B19:J19"/>
    <mergeCell ref="C5:J5"/>
    <mergeCell ref="C6:J6"/>
    <mergeCell ref="C3:J3"/>
    <mergeCell ref="B10:J10"/>
    <mergeCell ref="C12:J12"/>
    <mergeCell ref="C13:J13"/>
    <mergeCell ref="C4:J4"/>
    <mergeCell ref="C17:J17"/>
    <mergeCell ref="C14:J14"/>
    <mergeCell ref="B150:J150"/>
    <mergeCell ref="B151:J151"/>
    <mergeCell ref="B147:J147"/>
    <mergeCell ref="B148:J148"/>
    <mergeCell ref="B149:J149"/>
    <mergeCell ref="C143:D143"/>
    <mergeCell ref="E143:J143"/>
    <mergeCell ref="C145:J145"/>
    <mergeCell ref="C146:J146"/>
  </mergeCells>
  <dataValidations count="7">
    <dataValidation type="list" allowBlank="1" showInputMessage="1" showErrorMessage="1" sqref="C31:J32 C126:J126 C100:J100 C74:J74 C48:J48 C22:J22 C135:J136 C57:J58 C83:J84 C109:J110">
      <formula1>"Ya,Tidak"</formula1>
    </dataValidation>
    <dataValidation type="list" allowBlank="1" showInputMessage="1" showErrorMessage="1" sqref="C145:J145">
      <formula1>dependonsupplier</formula1>
    </dataValidation>
    <dataValidation type="list" allowBlank="1" showInputMessage="1" sqref="C142:J142 C130:J130 C26:J26 C52:J52 C78:J78 C104:J104">
      <formula1>frekuensi</formula1>
    </dataValidation>
    <dataValidation type="list" allowBlank="1" showInputMessage="1" sqref="C25:J25 C129:J129 C77:J77 C51:J51 C103:J103">
      <formula1>frekuensi_order</formula1>
    </dataValidation>
    <dataValidation type="list" allowBlank="1" showInputMessage="1" sqref="C27:J27 C131:J131 C105:J105 C79:J79 C53:J53">
      <formula1>carabayar</formula1>
    </dataValidation>
    <dataValidation type="list" allowBlank="1" showInputMessage="1" showErrorMessage="1" sqref="C30:J30 C56:J56 C82:J82 C108:J108 C134:J134">
      <formula1>$B$185:$B$192</formula1>
    </dataValidation>
    <dataValidation type="list" allowBlank="1" showInputMessage="1" showErrorMessage="1" sqref="C146:J146">
      <formula1>$O$139:$O$141</formula1>
    </dataValidation>
  </dataValidations>
  <pageMargins left="0.27559055118110198" right="0.196850393700787" top="0.35433070866141703" bottom="0.23622047244094499" header="0.31496062992126" footer="0.196850393700787"/>
  <pageSetup paperSize="9" scale="70" orientation="portrait" r:id="rId1"/>
  <headerFooter>
    <oddFooter>&amp;RTemplate &amp;"-,Italic"small size&amp;"-,Regular" 2017 v.3 - Page &amp;P of &amp;N</oddFooter>
  </headerFooter>
  <rowBreaks count="2" manualBreakCount="2">
    <brk id="60" min="1" max="9" man="1"/>
    <brk id="112" min="1" max="9"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191"/>
  <sheetViews>
    <sheetView showGridLines="0" showZeros="0" view="pageBreakPreview" topLeftCell="A139" zoomScale="110" zoomScaleNormal="110" zoomScaleSheetLayoutView="110" workbookViewId="0">
      <selection activeCell="C147" sqref="C147:J147"/>
    </sheetView>
  </sheetViews>
  <sheetFormatPr defaultRowHeight="15" x14ac:dyDescent="0.25"/>
  <cols>
    <col min="1" max="1" width="9.140625" style="348"/>
    <col min="2" max="2" width="53.5703125" style="348" customWidth="1"/>
    <col min="3" max="3" width="5.7109375" style="364" customWidth="1"/>
    <col min="4" max="4" width="14.42578125" style="364" customWidth="1"/>
    <col min="5" max="5" width="5.7109375" style="364" customWidth="1"/>
    <col min="6" max="6" width="15" style="364" customWidth="1"/>
    <col min="7" max="7" width="3.7109375" style="364" customWidth="1"/>
    <col min="8" max="8" width="14.42578125" style="364" customWidth="1"/>
    <col min="9" max="9" width="3.7109375" style="364" customWidth="1"/>
    <col min="10" max="10" width="20.140625" style="364" customWidth="1"/>
    <col min="11" max="19" width="9.140625" style="348" hidden="1" customWidth="1"/>
    <col min="20" max="16384" width="9.140625" style="348"/>
  </cols>
  <sheetData>
    <row r="1" spans="2:10" x14ac:dyDescent="0.25">
      <c r="B1" s="365"/>
      <c r="C1" s="1062"/>
    </row>
    <row r="2" spans="2:10" ht="43.5" customHeight="1" thickBot="1" x14ac:dyDescent="0.4">
      <c r="B2" s="1556" t="s">
        <v>724</v>
      </c>
      <c r="C2" s="1556"/>
      <c r="D2" s="1556"/>
      <c r="E2" s="1556"/>
      <c r="F2" s="1556"/>
      <c r="G2" s="1556"/>
      <c r="H2" s="1556"/>
      <c r="I2" s="1556"/>
      <c r="J2" s="1556"/>
    </row>
    <row r="3" spans="2:10" ht="15.75" thickTop="1" x14ac:dyDescent="0.25">
      <c r="B3" s="27"/>
      <c r="C3" s="30"/>
      <c r="D3" s="825"/>
      <c r="E3" s="825"/>
      <c r="F3" s="825"/>
      <c r="G3" s="825"/>
      <c r="H3" s="825"/>
      <c r="I3" s="825"/>
      <c r="J3" s="825"/>
    </row>
    <row r="4" spans="2:10" x14ac:dyDescent="0.25">
      <c r="B4" s="27" t="s">
        <v>54</v>
      </c>
      <c r="C4" s="1584" t="str">
        <f>'Informasi Debitur'!J5</f>
        <v xml:space="preserve">OH NJEN LIENG </v>
      </c>
      <c r="D4" s="1584"/>
      <c r="E4" s="1584"/>
      <c r="F4" s="1584"/>
      <c r="G4" s="1584"/>
      <c r="H4" s="1584"/>
      <c r="I4" s="1584"/>
      <c r="J4" s="1584"/>
    </row>
    <row r="5" spans="2:10" x14ac:dyDescent="0.25">
      <c r="B5" s="27" t="s">
        <v>84</v>
      </c>
      <c r="C5" s="1585" t="str">
        <f>'Informasi Debitur'!J7</f>
        <v>0008C00010251</v>
      </c>
      <c r="D5" s="1585"/>
      <c r="E5" s="1585"/>
      <c r="F5" s="1585"/>
      <c r="G5" s="1585"/>
      <c r="H5" s="1585"/>
      <c r="I5" s="1585"/>
      <c r="J5" s="1585"/>
    </row>
    <row r="6" spans="2:10" x14ac:dyDescent="0.25">
      <c r="B6" s="27" t="s">
        <v>52</v>
      </c>
      <c r="C6" s="1559">
        <v>43255</v>
      </c>
      <c r="D6" s="1559"/>
      <c r="E6" s="1559"/>
      <c r="F6" s="1559"/>
      <c r="G6" s="1559"/>
      <c r="H6" s="1559"/>
      <c r="I6" s="1559"/>
      <c r="J6" s="1559"/>
    </row>
    <row r="7" spans="2:10" x14ac:dyDescent="0.25">
      <c r="B7" s="27" t="s">
        <v>53</v>
      </c>
      <c r="C7" s="1560">
        <f>C6</f>
        <v>43255</v>
      </c>
      <c r="D7" s="1560"/>
      <c r="E7" s="1560"/>
      <c r="F7" s="1560"/>
      <c r="G7" s="1560"/>
      <c r="H7" s="1560"/>
      <c r="I7" s="1560"/>
      <c r="J7" s="1560"/>
    </row>
    <row r="8" spans="2:10" x14ac:dyDescent="0.25">
      <c r="B8" s="27"/>
      <c r="C8" s="1041"/>
      <c r="D8" s="1041"/>
      <c r="E8" s="1041"/>
      <c r="F8" s="1041"/>
      <c r="G8" s="1041"/>
      <c r="H8" s="1041"/>
      <c r="I8" s="1041"/>
      <c r="J8" s="1041"/>
    </row>
    <row r="9" spans="2:10" ht="15" customHeight="1" x14ac:dyDescent="0.25">
      <c r="B9" s="1586" t="s">
        <v>2945</v>
      </c>
      <c r="C9" s="1586"/>
      <c r="D9" s="1586"/>
      <c r="E9" s="1586"/>
      <c r="F9" s="1586"/>
      <c r="G9" s="1586"/>
      <c r="H9" s="1586"/>
      <c r="I9" s="1586"/>
      <c r="J9" s="1586"/>
    </row>
    <row r="10" spans="2:10" ht="5.0999999999999996" customHeight="1" x14ac:dyDescent="0.25">
      <c r="B10" s="27"/>
      <c r="C10" s="30"/>
      <c r="D10" s="825"/>
      <c r="E10" s="825"/>
      <c r="F10" s="825"/>
      <c r="G10" s="825"/>
      <c r="H10" s="825"/>
      <c r="I10" s="825"/>
      <c r="J10" s="825"/>
    </row>
    <row r="11" spans="2:10" ht="15.75" x14ac:dyDescent="0.25">
      <c r="B11" s="1530" t="s">
        <v>212</v>
      </c>
      <c r="C11" s="1531"/>
      <c r="D11" s="1531"/>
      <c r="E11" s="1531"/>
      <c r="F11" s="1531"/>
      <c r="G11" s="1531"/>
      <c r="H11" s="1531"/>
      <c r="I11" s="1531"/>
      <c r="J11" s="1531"/>
    </row>
    <row r="12" spans="2:10" ht="5.0999999999999996" customHeight="1" x14ac:dyDescent="0.25">
      <c r="B12" s="63"/>
      <c r="C12" s="1067"/>
      <c r="D12" s="1067"/>
      <c r="E12" s="1067"/>
      <c r="F12" s="1067"/>
      <c r="G12" s="1067"/>
      <c r="H12" s="1067"/>
      <c r="I12" s="1067"/>
      <c r="J12" s="1067"/>
    </row>
    <row r="13" spans="2:10" x14ac:dyDescent="0.25">
      <c r="B13" s="27" t="s">
        <v>211</v>
      </c>
      <c r="C13" s="1562" t="str">
        <f>'Order Trade Checking'!B25</f>
        <v>PT Astra Isuzu</v>
      </c>
      <c r="D13" s="1562"/>
      <c r="E13" s="1562"/>
      <c r="F13" s="1562"/>
      <c r="G13" s="1562"/>
      <c r="H13" s="1562"/>
      <c r="I13" s="1562"/>
      <c r="J13" s="1562"/>
    </row>
    <row r="14" spans="2:10" x14ac:dyDescent="0.25">
      <c r="B14" s="27" t="s">
        <v>45</v>
      </c>
      <c r="C14" s="1563" t="str">
        <f>'Informasi Debitur'!E207</f>
        <v>Dealer Mobil</v>
      </c>
      <c r="D14" s="1563"/>
      <c r="E14" s="1563"/>
      <c r="F14" s="1563"/>
      <c r="G14" s="1563"/>
      <c r="H14" s="1563"/>
      <c r="I14" s="1563"/>
      <c r="J14" s="1563"/>
    </row>
    <row r="15" spans="2:10" x14ac:dyDescent="0.25">
      <c r="B15" s="27" t="s">
        <v>66</v>
      </c>
      <c r="C15" s="1563" t="str">
        <f>'Order Trade Checking'!G25</f>
        <v>Arsyad</v>
      </c>
      <c r="D15" s="1563"/>
      <c r="E15" s="1563"/>
      <c r="F15" s="1563"/>
      <c r="G15" s="1563"/>
      <c r="H15" s="1563"/>
      <c r="I15" s="1563"/>
      <c r="J15" s="1563"/>
    </row>
    <row r="16" spans="2:10" x14ac:dyDescent="0.25">
      <c r="B16" s="27" t="s">
        <v>67</v>
      </c>
      <c r="C16" s="1563" t="s">
        <v>8044</v>
      </c>
      <c r="D16" s="1563"/>
      <c r="E16" s="1563"/>
      <c r="F16" s="1563"/>
      <c r="G16" s="1563"/>
      <c r="H16" s="1563"/>
      <c r="I16" s="1563"/>
      <c r="J16" s="1563"/>
    </row>
    <row r="17" spans="2:10" x14ac:dyDescent="0.25">
      <c r="B17" s="27" t="s">
        <v>1</v>
      </c>
      <c r="C17" s="1563" t="str">
        <f>'Order Trade Checking'!C25</f>
        <v>Banjarmasin</v>
      </c>
      <c r="D17" s="1563"/>
      <c r="E17" s="1563"/>
      <c r="F17" s="1563"/>
      <c r="G17" s="1563"/>
      <c r="H17" s="1563"/>
      <c r="I17" s="1563"/>
      <c r="J17" s="1563"/>
    </row>
    <row r="18" spans="2:10" x14ac:dyDescent="0.25">
      <c r="B18" s="27" t="s">
        <v>742</v>
      </c>
      <c r="C18" s="1563" t="str">
        <f>'Order Trade Checking'!H25</f>
        <v>085345068388</v>
      </c>
      <c r="D18" s="1563"/>
      <c r="E18" s="1563"/>
      <c r="F18" s="1563"/>
      <c r="G18" s="1563"/>
      <c r="H18" s="1563"/>
      <c r="I18" s="1563"/>
      <c r="J18" s="1563"/>
    </row>
    <row r="19" spans="2:10" ht="5.0999999999999996" customHeight="1" x14ac:dyDescent="0.25">
      <c r="B19" s="27"/>
      <c r="C19" s="30"/>
      <c r="D19" s="825"/>
      <c r="E19" s="825"/>
      <c r="F19" s="825"/>
      <c r="G19" s="825"/>
      <c r="H19" s="825"/>
      <c r="I19" s="825"/>
      <c r="J19" s="825"/>
    </row>
    <row r="20" spans="2:10" ht="15.75" x14ac:dyDescent="0.25">
      <c r="B20" s="1530" t="s">
        <v>72</v>
      </c>
      <c r="C20" s="1531"/>
      <c r="D20" s="1531"/>
      <c r="E20" s="1531"/>
      <c r="F20" s="1531"/>
      <c r="G20" s="1531"/>
      <c r="H20" s="1531"/>
      <c r="I20" s="1531"/>
      <c r="J20" s="1531"/>
    </row>
    <row r="21" spans="2:10" x14ac:dyDescent="0.25">
      <c r="B21" s="27" t="s">
        <v>732</v>
      </c>
      <c r="C21" s="1562">
        <f>'Order Trade Checking'!M25</f>
        <v>10</v>
      </c>
      <c r="D21" s="1562"/>
      <c r="E21" s="1562"/>
      <c r="F21" s="1562"/>
      <c r="G21" s="1562"/>
      <c r="H21" s="1562"/>
      <c r="I21" s="1562"/>
      <c r="J21" s="1562"/>
    </row>
    <row r="22" spans="2:10" x14ac:dyDescent="0.25">
      <c r="B22" s="27" t="s">
        <v>70</v>
      </c>
      <c r="C22" s="1563" t="str">
        <f>'Order Trade Checking'!E25</f>
        <v>Dealer Mobil</v>
      </c>
      <c r="D22" s="1563"/>
      <c r="E22" s="1563"/>
      <c r="F22" s="1563"/>
      <c r="G22" s="1563"/>
      <c r="H22" s="1563"/>
      <c r="I22" s="1563"/>
      <c r="J22" s="1563"/>
    </row>
    <row r="23" spans="2:10" x14ac:dyDescent="0.25">
      <c r="B23" s="27" t="s">
        <v>71</v>
      </c>
      <c r="C23" s="1563" t="s">
        <v>8066</v>
      </c>
      <c r="D23" s="1563"/>
      <c r="E23" s="1563"/>
      <c r="F23" s="1563"/>
      <c r="G23" s="1563"/>
      <c r="H23" s="1563"/>
      <c r="I23" s="1563"/>
      <c r="J23" s="1563"/>
    </row>
    <row r="24" spans="2:10" ht="30" x14ac:dyDescent="0.25">
      <c r="B24" s="27" t="s">
        <v>753</v>
      </c>
      <c r="C24" s="1563" t="s">
        <v>8052</v>
      </c>
      <c r="D24" s="1563"/>
      <c r="E24" s="1563"/>
      <c r="F24" s="1563"/>
      <c r="G24" s="1563"/>
      <c r="H24" s="1563"/>
      <c r="I24" s="1563"/>
      <c r="J24" s="1563"/>
    </row>
    <row r="25" spans="2:10" x14ac:dyDescent="0.25">
      <c r="B25" s="27" t="s">
        <v>739</v>
      </c>
      <c r="C25" s="1565">
        <f>'Informasi Debitur'!J207</f>
        <v>300</v>
      </c>
      <c r="D25" s="1565"/>
      <c r="E25" s="1565"/>
      <c r="F25" s="1565"/>
      <c r="G25" s="1565"/>
      <c r="H25" s="1565"/>
      <c r="I25" s="1565"/>
      <c r="J25" s="1565"/>
    </row>
    <row r="26" spans="2:10" x14ac:dyDescent="0.25">
      <c r="B26" s="27" t="s">
        <v>738</v>
      </c>
      <c r="C26" s="1569">
        <f>C25/$D$162</f>
        <v>0.1918672790075345</v>
      </c>
      <c r="D26" s="1569"/>
      <c r="E26" s="1569"/>
      <c r="F26" s="1569"/>
      <c r="G26" s="1569"/>
      <c r="H26" s="1569"/>
      <c r="I26" s="1569"/>
      <c r="J26" s="1569"/>
    </row>
    <row r="27" spans="2:10" ht="30" x14ac:dyDescent="0.25">
      <c r="B27" s="27" t="s">
        <v>741</v>
      </c>
      <c r="C27" s="1563" t="s">
        <v>27</v>
      </c>
      <c r="D27" s="1563"/>
      <c r="E27" s="1563"/>
      <c r="F27" s="1563"/>
      <c r="G27" s="1563"/>
      <c r="H27" s="1563"/>
      <c r="I27" s="1563"/>
      <c r="J27" s="1563"/>
    </row>
    <row r="28" spans="2:10" x14ac:dyDescent="0.25">
      <c r="B28" s="30" t="s">
        <v>77</v>
      </c>
      <c r="C28" s="1563" t="str">
        <f>'Order Trade Checking'!K25</f>
        <v>Kredit</v>
      </c>
      <c r="D28" s="1563"/>
      <c r="E28" s="1563"/>
      <c r="F28" s="1563"/>
      <c r="G28" s="1563"/>
      <c r="H28" s="1563"/>
      <c r="I28" s="1563"/>
      <c r="J28" s="1563"/>
    </row>
    <row r="29" spans="2:10" x14ac:dyDescent="0.25">
      <c r="B29" s="30"/>
      <c r="C29" s="1068"/>
      <c r="D29" s="1069" t="s">
        <v>75</v>
      </c>
      <c r="E29" s="1068">
        <v>100</v>
      </c>
      <c r="F29" s="908" t="s">
        <v>76</v>
      </c>
      <c r="G29" s="1069"/>
      <c r="H29" s="1069"/>
      <c r="I29" s="1069"/>
      <c r="J29" s="1069"/>
    </row>
    <row r="30" spans="2:10" x14ac:dyDescent="0.25">
      <c r="B30" s="27" t="s">
        <v>733</v>
      </c>
      <c r="C30" s="1562">
        <f>'Order Trade Checking'!L25</f>
        <v>30</v>
      </c>
      <c r="D30" s="1562"/>
      <c r="E30" s="1562"/>
      <c r="F30" s="1562"/>
      <c r="G30" s="1562"/>
      <c r="H30" s="1562"/>
      <c r="I30" s="1562"/>
      <c r="J30" s="1562"/>
    </row>
    <row r="31" spans="2:10" x14ac:dyDescent="0.25">
      <c r="B31" s="28" t="s">
        <v>69</v>
      </c>
      <c r="C31" s="1563" t="s">
        <v>2999</v>
      </c>
      <c r="D31" s="1563"/>
      <c r="E31" s="1563"/>
      <c r="F31" s="1563"/>
      <c r="G31" s="1563"/>
      <c r="H31" s="1563"/>
      <c r="I31" s="1563"/>
      <c r="J31" s="1563"/>
    </row>
    <row r="32" spans="2:10" ht="30" x14ac:dyDescent="0.25">
      <c r="B32" s="27" t="s">
        <v>59</v>
      </c>
      <c r="C32" s="1563" t="s">
        <v>8052</v>
      </c>
      <c r="D32" s="1563"/>
      <c r="E32" s="1563"/>
      <c r="F32" s="1563"/>
      <c r="G32" s="1563"/>
      <c r="H32" s="1563"/>
      <c r="I32" s="1563"/>
      <c r="J32" s="1563"/>
    </row>
    <row r="33" spans="2:10" x14ac:dyDescent="0.25">
      <c r="B33" s="27" t="s">
        <v>60</v>
      </c>
      <c r="C33" s="1563" t="s">
        <v>8053</v>
      </c>
      <c r="D33" s="1563"/>
      <c r="E33" s="1563"/>
      <c r="F33" s="1563"/>
      <c r="G33" s="1563"/>
      <c r="H33" s="1563"/>
      <c r="I33" s="1563"/>
      <c r="J33" s="1563"/>
    </row>
    <row r="34" spans="2:10" x14ac:dyDescent="0.25">
      <c r="B34" s="4"/>
      <c r="C34" s="1044" t="s">
        <v>65</v>
      </c>
      <c r="D34" s="1044"/>
      <c r="E34" s="1568"/>
      <c r="F34" s="1568"/>
      <c r="G34" s="1568"/>
      <c r="H34" s="1568"/>
      <c r="I34" s="1568"/>
      <c r="J34" s="1568"/>
    </row>
    <row r="35" spans="2:10" x14ac:dyDescent="0.25">
      <c r="B35" s="4"/>
      <c r="C35" s="1464"/>
      <c r="D35" s="1464"/>
      <c r="E35" s="1464"/>
      <c r="F35" s="1464"/>
      <c r="G35" s="1464"/>
      <c r="H35" s="1464"/>
      <c r="I35" s="1464"/>
      <c r="J35" s="1464"/>
    </row>
    <row r="36" spans="2:10" ht="15" customHeight="1" x14ac:dyDescent="0.25">
      <c r="B36" s="27"/>
      <c r="C36" s="30"/>
      <c r="D36" s="825"/>
      <c r="E36" s="825"/>
      <c r="F36" s="825"/>
      <c r="G36" s="825"/>
      <c r="H36" s="825"/>
      <c r="I36" s="825"/>
      <c r="J36" s="825"/>
    </row>
    <row r="37" spans="2:10" ht="15.75" x14ac:dyDescent="0.25">
      <c r="B37" s="1530" t="s">
        <v>213</v>
      </c>
      <c r="C37" s="1531"/>
      <c r="D37" s="1531"/>
      <c r="E37" s="1531"/>
      <c r="F37" s="1531"/>
      <c r="G37" s="1531"/>
      <c r="H37" s="1531"/>
      <c r="I37" s="1531"/>
      <c r="J37" s="1531"/>
    </row>
    <row r="38" spans="2:10" ht="5.0999999999999996" customHeight="1" x14ac:dyDescent="0.25">
      <c r="B38" s="63"/>
      <c r="C38" s="1067"/>
      <c r="D38" s="1067"/>
      <c r="E38" s="1067"/>
      <c r="F38" s="1067"/>
      <c r="G38" s="1067"/>
      <c r="H38" s="1067"/>
      <c r="I38" s="1067"/>
      <c r="J38" s="1067"/>
    </row>
    <row r="39" spans="2:10" x14ac:dyDescent="0.25">
      <c r="B39" s="27" t="s">
        <v>211</v>
      </c>
      <c r="C39" s="1562" t="str">
        <f>'Order Trade Checking'!B26</f>
        <v>PT Sumber Berlian Motor</v>
      </c>
      <c r="D39" s="1562"/>
      <c r="E39" s="1562"/>
      <c r="F39" s="1562"/>
      <c r="G39" s="1562"/>
      <c r="H39" s="1562"/>
      <c r="I39" s="1562"/>
      <c r="J39" s="1562"/>
    </row>
    <row r="40" spans="2:10" x14ac:dyDescent="0.25">
      <c r="B40" s="27" t="s">
        <v>45</v>
      </c>
      <c r="C40" s="1563" t="str">
        <f>'Informasi Debitur'!E208</f>
        <v>Dealer Mobil</v>
      </c>
      <c r="D40" s="1563"/>
      <c r="E40" s="1563"/>
      <c r="F40" s="1563"/>
      <c r="G40" s="1563"/>
      <c r="H40" s="1563"/>
      <c r="I40" s="1563"/>
      <c r="J40" s="1563"/>
    </row>
    <row r="41" spans="2:10" x14ac:dyDescent="0.25">
      <c r="B41" s="27" t="s">
        <v>66</v>
      </c>
      <c r="C41" s="1563" t="str">
        <f>'Order Trade Checking'!G26</f>
        <v>Edy Yustian 081349758941</v>
      </c>
      <c r="D41" s="1563"/>
      <c r="E41" s="1563"/>
      <c r="F41" s="1563"/>
      <c r="G41" s="1563"/>
      <c r="H41" s="1563"/>
      <c r="I41" s="1563"/>
      <c r="J41" s="1563"/>
    </row>
    <row r="42" spans="2:10" x14ac:dyDescent="0.25">
      <c r="B42" s="27" t="s">
        <v>67</v>
      </c>
      <c r="C42" s="1563" t="s">
        <v>8044</v>
      </c>
      <c r="D42" s="1563"/>
      <c r="E42" s="1563"/>
      <c r="F42" s="1563"/>
      <c r="G42" s="1563"/>
      <c r="H42" s="1563"/>
      <c r="I42" s="1563"/>
      <c r="J42" s="1563"/>
    </row>
    <row r="43" spans="2:10" x14ac:dyDescent="0.25">
      <c r="B43" s="27" t="s">
        <v>1</v>
      </c>
      <c r="C43" s="1563" t="str">
        <f>'Order Trade Checking'!C26</f>
        <v>Banjarmasin</v>
      </c>
      <c r="D43" s="1563"/>
      <c r="E43" s="1563"/>
      <c r="F43" s="1563"/>
      <c r="G43" s="1563"/>
      <c r="H43" s="1563"/>
      <c r="I43" s="1563"/>
      <c r="J43" s="1563"/>
    </row>
    <row r="44" spans="2:10" x14ac:dyDescent="0.25">
      <c r="B44" s="27" t="s">
        <v>742</v>
      </c>
      <c r="C44" s="1563" t="str">
        <f>'Order Trade Checking'!H26</f>
        <v>05114720552</v>
      </c>
      <c r="D44" s="1563"/>
      <c r="E44" s="1563"/>
      <c r="F44" s="1563"/>
      <c r="G44" s="1563"/>
      <c r="H44" s="1563"/>
      <c r="I44" s="1563"/>
      <c r="J44" s="1563"/>
    </row>
    <row r="45" spans="2:10" ht="5.0999999999999996" customHeight="1" x14ac:dyDescent="0.25">
      <c r="B45" s="27"/>
      <c r="C45" s="30"/>
      <c r="D45" s="825"/>
      <c r="E45" s="825"/>
      <c r="F45" s="825"/>
      <c r="G45" s="825"/>
      <c r="H45" s="825"/>
      <c r="I45" s="825"/>
      <c r="J45" s="825"/>
    </row>
    <row r="46" spans="2:10" ht="15.75" x14ac:dyDescent="0.25">
      <c r="B46" s="1530" t="s">
        <v>72</v>
      </c>
      <c r="C46" s="1531"/>
      <c r="D46" s="1531"/>
      <c r="E46" s="1531"/>
      <c r="F46" s="1531"/>
      <c r="G46" s="1531"/>
      <c r="H46" s="1531"/>
      <c r="I46" s="1531"/>
      <c r="J46" s="1531"/>
    </row>
    <row r="47" spans="2:10" x14ac:dyDescent="0.25">
      <c r="B47" s="27" t="s">
        <v>732</v>
      </c>
      <c r="C47" s="1562">
        <f>'Order Trade Checking'!M26</f>
        <v>10</v>
      </c>
      <c r="D47" s="1562"/>
      <c r="E47" s="1562"/>
      <c r="F47" s="1562"/>
      <c r="G47" s="1562"/>
      <c r="H47" s="1562"/>
      <c r="I47" s="1562"/>
      <c r="J47" s="1562"/>
    </row>
    <row r="48" spans="2:10" x14ac:dyDescent="0.25">
      <c r="B48" s="27" t="s">
        <v>70</v>
      </c>
      <c r="C48" s="1563" t="str">
        <f>'Order Trade Checking'!E26</f>
        <v>Dealer Mobil</v>
      </c>
      <c r="D48" s="1563"/>
      <c r="E48" s="1563"/>
      <c r="F48" s="1563"/>
      <c r="G48" s="1563"/>
      <c r="H48" s="1563"/>
      <c r="I48" s="1563"/>
      <c r="J48" s="1563"/>
    </row>
    <row r="49" spans="2:10" ht="15" customHeight="1" x14ac:dyDescent="0.25">
      <c r="B49" s="27" t="s">
        <v>71</v>
      </c>
      <c r="C49" s="1563" t="s">
        <v>8066</v>
      </c>
      <c r="D49" s="1563"/>
      <c r="E49" s="1563"/>
      <c r="F49" s="1563"/>
      <c r="G49" s="1563"/>
      <c r="H49" s="1563"/>
      <c r="I49" s="1563"/>
      <c r="J49" s="1563"/>
    </row>
    <row r="50" spans="2:10" ht="30" x14ac:dyDescent="0.25">
      <c r="B50" s="27" t="s">
        <v>753</v>
      </c>
      <c r="C50" s="1563" t="s">
        <v>8052</v>
      </c>
      <c r="D50" s="1563"/>
      <c r="E50" s="1563"/>
      <c r="F50" s="1563"/>
      <c r="G50" s="1563"/>
      <c r="H50" s="1563"/>
      <c r="I50" s="1563"/>
      <c r="J50" s="1563"/>
    </row>
    <row r="51" spans="2:10" x14ac:dyDescent="0.25">
      <c r="B51" s="27" t="s">
        <v>739</v>
      </c>
      <c r="C51" s="1565">
        <f>'Informasi Debitur'!J208</f>
        <v>300</v>
      </c>
      <c r="D51" s="1565"/>
      <c r="E51" s="1565"/>
      <c r="F51" s="1565"/>
      <c r="G51" s="1565"/>
      <c r="H51" s="1565"/>
      <c r="I51" s="1565"/>
      <c r="J51" s="1565"/>
    </row>
    <row r="52" spans="2:10" x14ac:dyDescent="0.25">
      <c r="B52" s="27" t="s">
        <v>738</v>
      </c>
      <c r="C52" s="1569">
        <f>C51/$D$162</f>
        <v>0.1918672790075345</v>
      </c>
      <c r="D52" s="1569"/>
      <c r="E52" s="1569"/>
      <c r="F52" s="1569"/>
      <c r="G52" s="1569"/>
      <c r="H52" s="1569"/>
      <c r="I52" s="1569"/>
      <c r="J52" s="1569"/>
    </row>
    <row r="53" spans="2:10" ht="21" customHeight="1" x14ac:dyDescent="0.25">
      <c r="B53" s="27" t="s">
        <v>741</v>
      </c>
      <c r="C53" s="1563" t="s">
        <v>27</v>
      </c>
      <c r="D53" s="1563"/>
      <c r="E53" s="1563"/>
      <c r="F53" s="1563"/>
      <c r="G53" s="1563"/>
      <c r="H53" s="1563"/>
      <c r="I53" s="1563"/>
      <c r="J53" s="1563"/>
    </row>
    <row r="54" spans="2:10" x14ac:dyDescent="0.25">
      <c r="B54" s="30" t="s">
        <v>77</v>
      </c>
      <c r="C54" s="1563" t="str">
        <f>'Order Trade Checking'!K26</f>
        <v>Kredit</v>
      </c>
      <c r="D54" s="1563"/>
      <c r="E54" s="1563"/>
      <c r="F54" s="1563"/>
      <c r="G54" s="1563"/>
      <c r="H54" s="1563"/>
      <c r="I54" s="1563"/>
      <c r="J54" s="1563"/>
    </row>
    <row r="55" spans="2:10" x14ac:dyDescent="0.25">
      <c r="B55" s="30"/>
      <c r="C55" s="1068"/>
      <c r="D55" s="1069" t="s">
        <v>75</v>
      </c>
      <c r="E55" s="1068">
        <v>100</v>
      </c>
      <c r="F55" s="908" t="s">
        <v>76</v>
      </c>
      <c r="G55" s="1069"/>
      <c r="H55" s="1069"/>
      <c r="I55" s="1069"/>
      <c r="J55" s="1069"/>
    </row>
    <row r="56" spans="2:10" x14ac:dyDescent="0.25">
      <c r="B56" s="27" t="s">
        <v>733</v>
      </c>
      <c r="C56" s="1562">
        <f>'Order Trade Checking'!L26</f>
        <v>30</v>
      </c>
      <c r="D56" s="1562"/>
      <c r="E56" s="1562"/>
      <c r="F56" s="1562"/>
      <c r="G56" s="1562"/>
      <c r="H56" s="1562"/>
      <c r="I56" s="1562"/>
      <c r="J56" s="1562"/>
    </row>
    <row r="57" spans="2:10" x14ac:dyDescent="0.25">
      <c r="B57" s="28" t="s">
        <v>69</v>
      </c>
      <c r="C57" s="1563" t="s">
        <v>2999</v>
      </c>
      <c r="D57" s="1563"/>
      <c r="E57" s="1563"/>
      <c r="F57" s="1563"/>
      <c r="G57" s="1563"/>
      <c r="H57" s="1563"/>
      <c r="I57" s="1563"/>
      <c r="J57" s="1563"/>
    </row>
    <row r="58" spans="2:10" ht="30" x14ac:dyDescent="0.25">
      <c r="B58" s="27" t="s">
        <v>59</v>
      </c>
      <c r="C58" s="1563" t="s">
        <v>8052</v>
      </c>
      <c r="D58" s="1563"/>
      <c r="E58" s="1563"/>
      <c r="F58" s="1563"/>
      <c r="G58" s="1563"/>
      <c r="H58" s="1563"/>
      <c r="I58" s="1563"/>
      <c r="J58" s="1563"/>
    </row>
    <row r="59" spans="2:10" x14ac:dyDescent="0.25">
      <c r="B59" s="27" t="s">
        <v>60</v>
      </c>
      <c r="C59" s="1563" t="s">
        <v>8053</v>
      </c>
      <c r="D59" s="1563"/>
      <c r="E59" s="1563"/>
      <c r="F59" s="1563"/>
      <c r="G59" s="1563"/>
      <c r="H59" s="1563"/>
      <c r="I59" s="1563"/>
      <c r="J59" s="1563"/>
    </row>
    <row r="60" spans="2:10" x14ac:dyDescent="0.25">
      <c r="B60" s="4"/>
      <c r="C60" s="1044" t="s">
        <v>65</v>
      </c>
      <c r="D60" s="1046"/>
      <c r="E60" s="1568"/>
      <c r="F60" s="1568"/>
      <c r="G60" s="1568"/>
      <c r="H60" s="1568"/>
      <c r="I60" s="1568"/>
      <c r="J60" s="1568"/>
    </row>
    <row r="61" spans="2:10" x14ac:dyDescent="0.25">
      <c r="B61" s="4"/>
      <c r="C61" s="1464"/>
      <c r="D61" s="1464"/>
      <c r="E61" s="1464"/>
      <c r="F61" s="1464"/>
      <c r="G61" s="1464"/>
      <c r="H61" s="1464"/>
      <c r="I61" s="1464"/>
      <c r="J61" s="1464"/>
    </row>
    <row r="62" spans="2:10" ht="15" customHeight="1" x14ac:dyDescent="0.25">
      <c r="B62" s="27"/>
      <c r="C62" s="30"/>
      <c r="D62" s="825"/>
      <c r="E62" s="825"/>
      <c r="F62" s="825"/>
      <c r="G62" s="825"/>
      <c r="H62" s="825"/>
      <c r="I62" s="825"/>
      <c r="J62" s="825"/>
    </row>
    <row r="63" spans="2:10" ht="15.75" x14ac:dyDescent="0.25">
      <c r="B63" s="1530" t="s">
        <v>214</v>
      </c>
      <c r="C63" s="1531"/>
      <c r="D63" s="1531"/>
      <c r="E63" s="1531"/>
      <c r="F63" s="1531"/>
      <c r="G63" s="1531"/>
      <c r="H63" s="1531"/>
      <c r="I63" s="1531"/>
      <c r="J63" s="1531"/>
    </row>
    <row r="64" spans="2:10" ht="5.0999999999999996" customHeight="1" x14ac:dyDescent="0.25">
      <c r="B64" s="63"/>
      <c r="C64" s="1067"/>
      <c r="D64" s="1067"/>
      <c r="E64" s="1067"/>
      <c r="F64" s="1067"/>
      <c r="G64" s="1067"/>
      <c r="H64" s="1067"/>
      <c r="I64" s="1067"/>
      <c r="J64" s="1067"/>
    </row>
    <row r="65" spans="2:10" x14ac:dyDescent="0.25">
      <c r="B65" s="27" t="s">
        <v>211</v>
      </c>
      <c r="C65" s="1562" t="str">
        <f>'Order Trade Checking'!B27</f>
        <v>PT Mitra Lintas Borneo</v>
      </c>
      <c r="D65" s="1562"/>
      <c r="E65" s="1562"/>
      <c r="F65" s="1562"/>
      <c r="G65" s="1562"/>
      <c r="H65" s="1562"/>
      <c r="I65" s="1562"/>
      <c r="J65" s="1562"/>
    </row>
    <row r="66" spans="2:10" x14ac:dyDescent="0.25">
      <c r="B66" s="27" t="s">
        <v>45</v>
      </c>
      <c r="C66" s="1563" t="str">
        <f>'Informasi Debitur'!E209</f>
        <v>Transportir BBM</v>
      </c>
      <c r="D66" s="1563"/>
      <c r="E66" s="1563"/>
      <c r="F66" s="1563"/>
      <c r="G66" s="1563"/>
      <c r="H66" s="1563"/>
      <c r="I66" s="1563"/>
      <c r="J66" s="1563"/>
    </row>
    <row r="67" spans="2:10" x14ac:dyDescent="0.25">
      <c r="B67" s="27" t="s">
        <v>66</v>
      </c>
      <c r="C67" s="1563" t="str">
        <f>'Order Trade Checking'!G27</f>
        <v>Edy</v>
      </c>
      <c r="D67" s="1563"/>
      <c r="E67" s="1563"/>
      <c r="F67" s="1563"/>
      <c r="G67" s="1563"/>
      <c r="H67" s="1563"/>
      <c r="I67" s="1563"/>
      <c r="J67" s="1563"/>
    </row>
    <row r="68" spans="2:10" x14ac:dyDescent="0.25">
      <c r="B68" s="27" t="s">
        <v>67</v>
      </c>
      <c r="C68" s="1563" t="s">
        <v>8180</v>
      </c>
      <c r="D68" s="1563"/>
      <c r="E68" s="1563"/>
      <c r="F68" s="1563"/>
      <c r="G68" s="1563"/>
      <c r="H68" s="1563"/>
      <c r="I68" s="1563"/>
      <c r="J68" s="1563"/>
    </row>
    <row r="69" spans="2:10" x14ac:dyDescent="0.25">
      <c r="B69" s="27" t="s">
        <v>1</v>
      </c>
      <c r="C69" s="1563" t="str">
        <f>'Order Trade Checking'!C27</f>
        <v>Sampit</v>
      </c>
      <c r="D69" s="1563"/>
      <c r="E69" s="1563"/>
      <c r="F69" s="1563"/>
      <c r="G69" s="1563"/>
      <c r="H69" s="1563"/>
      <c r="I69" s="1563"/>
      <c r="J69" s="1563"/>
    </row>
    <row r="70" spans="2:10" x14ac:dyDescent="0.25">
      <c r="B70" s="27" t="s">
        <v>742</v>
      </c>
      <c r="C70" s="1563" t="str">
        <f>'Order Trade Checking'!H27</f>
        <v>081294663878</v>
      </c>
      <c r="D70" s="1563"/>
      <c r="E70" s="1563"/>
      <c r="F70" s="1563"/>
      <c r="G70" s="1563"/>
      <c r="H70" s="1563"/>
      <c r="I70" s="1563"/>
      <c r="J70" s="1563"/>
    </row>
    <row r="71" spans="2:10" ht="5.0999999999999996" customHeight="1" x14ac:dyDescent="0.25">
      <c r="B71" s="27"/>
      <c r="C71" s="30"/>
      <c r="D71" s="825"/>
      <c r="E71" s="825"/>
      <c r="F71" s="825"/>
      <c r="G71" s="825"/>
      <c r="H71" s="825"/>
      <c r="I71" s="825"/>
      <c r="J71" s="825"/>
    </row>
    <row r="72" spans="2:10" ht="15.75" x14ac:dyDescent="0.25">
      <c r="B72" s="1530" t="s">
        <v>72</v>
      </c>
      <c r="C72" s="1531"/>
      <c r="D72" s="1531"/>
      <c r="E72" s="1531"/>
      <c r="F72" s="1531"/>
      <c r="G72" s="1531"/>
      <c r="H72" s="1531"/>
      <c r="I72" s="1531"/>
      <c r="J72" s="1531"/>
    </row>
    <row r="73" spans="2:10" x14ac:dyDescent="0.25">
      <c r="B73" s="27" t="s">
        <v>732</v>
      </c>
      <c r="C73" s="1562">
        <f>'Order Trade Checking'!M27</f>
        <v>5</v>
      </c>
      <c r="D73" s="1562"/>
      <c r="E73" s="1562"/>
      <c r="F73" s="1562"/>
      <c r="G73" s="1562"/>
      <c r="H73" s="1562"/>
      <c r="I73" s="1562"/>
      <c r="J73" s="1562"/>
    </row>
    <row r="74" spans="2:10" x14ac:dyDescent="0.25">
      <c r="B74" s="27" t="s">
        <v>70</v>
      </c>
      <c r="C74" s="1563" t="str">
        <f>'Order Trade Checking'!E27</f>
        <v>Transportir BBM</v>
      </c>
      <c r="D74" s="1563"/>
      <c r="E74" s="1563"/>
      <c r="F74" s="1563"/>
      <c r="G74" s="1563"/>
      <c r="H74" s="1563"/>
      <c r="I74" s="1563"/>
      <c r="J74" s="1563"/>
    </row>
    <row r="75" spans="2:10" x14ac:dyDescent="0.25">
      <c r="B75" s="27" t="s">
        <v>71</v>
      </c>
      <c r="C75" s="1563" t="s">
        <v>8066</v>
      </c>
      <c r="D75" s="1563"/>
      <c r="E75" s="1563"/>
      <c r="F75" s="1563"/>
      <c r="G75" s="1563"/>
      <c r="H75" s="1563"/>
      <c r="I75" s="1563"/>
      <c r="J75" s="1563"/>
    </row>
    <row r="76" spans="2:10" ht="30" x14ac:dyDescent="0.25">
      <c r="B76" s="27" t="s">
        <v>753</v>
      </c>
      <c r="C76" s="1563" t="s">
        <v>8052</v>
      </c>
      <c r="D76" s="1563"/>
      <c r="E76" s="1563"/>
      <c r="F76" s="1563"/>
      <c r="G76" s="1563"/>
      <c r="H76" s="1563"/>
      <c r="I76" s="1563"/>
      <c r="J76" s="1563"/>
    </row>
    <row r="77" spans="2:10" x14ac:dyDescent="0.25">
      <c r="B77" s="27" t="s">
        <v>739</v>
      </c>
      <c r="C77" s="1565">
        <f>'Informasi Debitur'!J209</f>
        <v>240</v>
      </c>
      <c r="D77" s="1565"/>
      <c r="E77" s="1565"/>
      <c r="F77" s="1565"/>
      <c r="G77" s="1565"/>
      <c r="H77" s="1565"/>
      <c r="I77" s="1565"/>
      <c r="J77" s="1565"/>
    </row>
    <row r="78" spans="2:10" x14ac:dyDescent="0.25">
      <c r="B78" s="27" t="s">
        <v>738</v>
      </c>
      <c r="C78" s="1569">
        <f>C77/$D$162</f>
        <v>0.15349382320602761</v>
      </c>
      <c r="D78" s="1569"/>
      <c r="E78" s="1569"/>
      <c r="F78" s="1569"/>
      <c r="G78" s="1569"/>
      <c r="H78" s="1569"/>
      <c r="I78" s="1569"/>
      <c r="J78" s="1569"/>
    </row>
    <row r="79" spans="2:10" ht="30" x14ac:dyDescent="0.25">
      <c r="B79" s="27" t="s">
        <v>741</v>
      </c>
      <c r="C79" s="1563" t="s">
        <v>27</v>
      </c>
      <c r="D79" s="1563"/>
      <c r="E79" s="1563"/>
      <c r="F79" s="1563"/>
      <c r="G79" s="1563"/>
      <c r="H79" s="1563"/>
      <c r="I79" s="1563"/>
      <c r="J79" s="1563"/>
    </row>
    <row r="80" spans="2:10" x14ac:dyDescent="0.25">
      <c r="B80" s="30" t="s">
        <v>77</v>
      </c>
      <c r="C80" s="1563" t="str">
        <f>'Order Trade Checking'!K27</f>
        <v>Kredit</v>
      </c>
      <c r="D80" s="1563"/>
      <c r="E80" s="1563"/>
      <c r="F80" s="1563"/>
      <c r="G80" s="1563"/>
      <c r="H80" s="1563"/>
      <c r="I80" s="1563"/>
      <c r="J80" s="1563"/>
    </row>
    <row r="81" spans="2:10" x14ac:dyDescent="0.25">
      <c r="B81" s="30"/>
      <c r="C81" s="1068"/>
      <c r="D81" s="1069" t="s">
        <v>75</v>
      </c>
      <c r="E81" s="1068">
        <v>100</v>
      </c>
      <c r="F81" s="908" t="s">
        <v>76</v>
      </c>
      <c r="G81" s="1069"/>
      <c r="H81" s="1069"/>
      <c r="I81" s="1069"/>
      <c r="J81" s="1069"/>
    </row>
    <row r="82" spans="2:10" x14ac:dyDescent="0.25">
      <c r="B82" s="27" t="s">
        <v>733</v>
      </c>
      <c r="C82" s="1562">
        <f>'Order Trade Checking'!L27</f>
        <v>30</v>
      </c>
      <c r="D82" s="1562"/>
      <c r="E82" s="1562"/>
      <c r="F82" s="1562"/>
      <c r="G82" s="1562"/>
      <c r="H82" s="1562"/>
      <c r="I82" s="1562"/>
      <c r="J82" s="1562"/>
    </row>
    <row r="83" spans="2:10" x14ac:dyDescent="0.25">
      <c r="B83" s="28" t="s">
        <v>69</v>
      </c>
      <c r="C83" s="1563" t="s">
        <v>2999</v>
      </c>
      <c r="D83" s="1563"/>
      <c r="E83" s="1563"/>
      <c r="F83" s="1563"/>
      <c r="G83" s="1563"/>
      <c r="H83" s="1563"/>
      <c r="I83" s="1563"/>
      <c r="J83" s="1563"/>
    </row>
    <row r="84" spans="2:10" ht="30" x14ac:dyDescent="0.25">
      <c r="B84" s="27" t="s">
        <v>59</v>
      </c>
      <c r="C84" s="1563" t="s">
        <v>8052</v>
      </c>
      <c r="D84" s="1563"/>
      <c r="E84" s="1563"/>
      <c r="F84" s="1563"/>
      <c r="G84" s="1563"/>
      <c r="H84" s="1563"/>
      <c r="I84" s="1563"/>
      <c r="J84" s="1563"/>
    </row>
    <row r="85" spans="2:10" x14ac:dyDescent="0.25">
      <c r="B85" s="27" t="s">
        <v>60</v>
      </c>
      <c r="C85" s="1563" t="s">
        <v>8053</v>
      </c>
      <c r="D85" s="1563"/>
      <c r="E85" s="1563"/>
      <c r="F85" s="1563"/>
      <c r="G85" s="1563"/>
      <c r="H85" s="1563"/>
      <c r="I85" s="1563"/>
      <c r="J85" s="1563"/>
    </row>
    <row r="86" spans="2:10" x14ac:dyDescent="0.25">
      <c r="B86" s="4"/>
      <c r="C86" s="1044" t="s">
        <v>65</v>
      </c>
      <c r="D86" s="1044"/>
      <c r="E86" s="1568"/>
      <c r="F86" s="1568"/>
      <c r="G86" s="1568"/>
      <c r="H86" s="1568"/>
      <c r="I86" s="1568"/>
      <c r="J86" s="1568"/>
    </row>
    <row r="87" spans="2:10" x14ac:dyDescent="0.25">
      <c r="B87" s="4"/>
      <c r="C87" s="1464"/>
      <c r="D87" s="1464"/>
      <c r="E87" s="1464"/>
      <c r="F87" s="1464"/>
      <c r="G87" s="1464"/>
      <c r="H87" s="1464"/>
      <c r="I87" s="1464"/>
      <c r="J87" s="1464"/>
    </row>
    <row r="88" spans="2:10" ht="15" customHeight="1" x14ac:dyDescent="0.25">
      <c r="B88" s="27"/>
      <c r="C88" s="30"/>
      <c r="D88" s="825"/>
      <c r="E88" s="825"/>
      <c r="F88" s="825"/>
      <c r="G88" s="825"/>
      <c r="H88" s="825"/>
      <c r="I88" s="825"/>
      <c r="J88" s="825"/>
    </row>
    <row r="89" spans="2:10" ht="15.75" x14ac:dyDescent="0.25">
      <c r="B89" s="1530" t="s">
        <v>215</v>
      </c>
      <c r="C89" s="1531"/>
      <c r="D89" s="1531"/>
      <c r="E89" s="1531"/>
      <c r="F89" s="1531"/>
      <c r="G89" s="1531"/>
      <c r="H89" s="1531"/>
      <c r="I89" s="1531"/>
      <c r="J89" s="1531"/>
    </row>
    <row r="90" spans="2:10" ht="5.0999999999999996" customHeight="1" x14ac:dyDescent="0.25">
      <c r="B90" s="63"/>
      <c r="C90" s="1067"/>
      <c r="D90" s="1067"/>
      <c r="E90" s="1067"/>
      <c r="F90" s="1067"/>
      <c r="G90" s="1067"/>
      <c r="H90" s="1067"/>
      <c r="I90" s="1067"/>
      <c r="J90" s="1067"/>
    </row>
    <row r="91" spans="2:10" x14ac:dyDescent="0.25">
      <c r="B91" s="27" t="s">
        <v>211</v>
      </c>
      <c r="C91" s="1562" t="str">
        <f>'Order Trade Checking'!B28</f>
        <v>PT Borneo Auto Cemerlang</v>
      </c>
      <c r="D91" s="1562"/>
      <c r="E91" s="1562"/>
      <c r="F91" s="1562"/>
      <c r="G91" s="1562"/>
      <c r="H91" s="1562"/>
      <c r="I91" s="1562"/>
      <c r="J91" s="1562"/>
    </row>
    <row r="92" spans="2:10" x14ac:dyDescent="0.25">
      <c r="B92" s="27" t="s">
        <v>45</v>
      </c>
      <c r="C92" s="1563" t="str">
        <f>'Informasi Debitur'!E210</f>
        <v>Dealer Mobil</v>
      </c>
      <c r="D92" s="1563"/>
      <c r="E92" s="1563"/>
      <c r="F92" s="1563"/>
      <c r="G92" s="1563"/>
      <c r="H92" s="1563"/>
      <c r="I92" s="1563"/>
      <c r="J92" s="1563"/>
    </row>
    <row r="93" spans="2:10" x14ac:dyDescent="0.25">
      <c r="B93" s="27" t="s">
        <v>66</v>
      </c>
      <c r="C93" s="1563" t="str">
        <f>'Order Trade Checking'!G28</f>
        <v>Engkiat</v>
      </c>
      <c r="D93" s="1563"/>
      <c r="E93" s="1563"/>
      <c r="F93" s="1563"/>
      <c r="G93" s="1563"/>
      <c r="H93" s="1563"/>
      <c r="I93" s="1563"/>
      <c r="J93" s="1563"/>
    </row>
    <row r="94" spans="2:10" x14ac:dyDescent="0.25">
      <c r="B94" s="27" t="s">
        <v>67</v>
      </c>
      <c r="C94" s="1563" t="s">
        <v>8058</v>
      </c>
      <c r="D94" s="1563"/>
      <c r="E94" s="1563"/>
      <c r="F94" s="1563"/>
      <c r="G94" s="1563"/>
      <c r="H94" s="1563"/>
      <c r="I94" s="1563"/>
      <c r="J94" s="1563"/>
    </row>
    <row r="95" spans="2:10" x14ac:dyDescent="0.25">
      <c r="B95" s="27" t="s">
        <v>1</v>
      </c>
      <c r="C95" s="1563" t="str">
        <f>'Order Trade Checking'!C28</f>
        <v>Palangkaraya</v>
      </c>
      <c r="D95" s="1563"/>
      <c r="E95" s="1563"/>
      <c r="F95" s="1563"/>
      <c r="G95" s="1563"/>
      <c r="H95" s="1563"/>
      <c r="I95" s="1563"/>
      <c r="J95" s="1563"/>
    </row>
    <row r="96" spans="2:10" x14ac:dyDescent="0.25">
      <c r="B96" s="27" t="s">
        <v>742</v>
      </c>
      <c r="C96" s="1563" t="str">
        <f>'Order Trade Checking'!H28</f>
        <v>081257145018</v>
      </c>
      <c r="D96" s="1563"/>
      <c r="E96" s="1563"/>
      <c r="F96" s="1563"/>
      <c r="G96" s="1563"/>
      <c r="H96" s="1563"/>
      <c r="I96" s="1563"/>
      <c r="J96" s="1563"/>
    </row>
    <row r="97" spans="2:10" ht="5.0999999999999996" customHeight="1" x14ac:dyDescent="0.25">
      <c r="B97" s="27"/>
      <c r="C97" s="30"/>
      <c r="D97" s="825"/>
      <c r="E97" s="825"/>
      <c r="F97" s="825"/>
      <c r="G97" s="825"/>
      <c r="H97" s="825"/>
      <c r="I97" s="825"/>
      <c r="J97" s="825"/>
    </row>
    <row r="98" spans="2:10" ht="15.75" x14ac:dyDescent="0.25">
      <c r="B98" s="1530" t="s">
        <v>72</v>
      </c>
      <c r="C98" s="1531"/>
      <c r="D98" s="1531"/>
      <c r="E98" s="1531"/>
      <c r="F98" s="1531"/>
      <c r="G98" s="1531"/>
      <c r="H98" s="1531"/>
      <c r="I98" s="1531"/>
      <c r="J98" s="1531"/>
    </row>
    <row r="99" spans="2:10" x14ac:dyDescent="0.25">
      <c r="B99" s="27" t="s">
        <v>732</v>
      </c>
      <c r="C99" s="1562">
        <f>'Order Trade Checking'!M28</f>
        <v>1</v>
      </c>
      <c r="D99" s="1562"/>
      <c r="E99" s="1562"/>
      <c r="F99" s="1562"/>
      <c r="G99" s="1562"/>
      <c r="H99" s="1562"/>
      <c r="I99" s="1562"/>
      <c r="J99" s="1562"/>
    </row>
    <row r="100" spans="2:10" x14ac:dyDescent="0.25">
      <c r="B100" s="27" t="s">
        <v>70</v>
      </c>
      <c r="C100" s="1563" t="str">
        <f>'Order Trade Checking'!E28</f>
        <v>Dealer Mobil</v>
      </c>
      <c r="D100" s="1563"/>
      <c r="E100" s="1563"/>
      <c r="F100" s="1563"/>
      <c r="G100" s="1563"/>
      <c r="H100" s="1563"/>
      <c r="I100" s="1563"/>
      <c r="J100" s="1563"/>
    </row>
    <row r="101" spans="2:10" x14ac:dyDescent="0.25">
      <c r="B101" s="27" t="s">
        <v>71</v>
      </c>
      <c r="C101" s="1563" t="s">
        <v>8059</v>
      </c>
      <c r="D101" s="1563"/>
      <c r="E101" s="1563"/>
      <c r="F101" s="1563"/>
      <c r="G101" s="1563"/>
      <c r="H101" s="1563"/>
      <c r="I101" s="1563"/>
      <c r="J101" s="1563"/>
    </row>
    <row r="102" spans="2:10" ht="30" x14ac:dyDescent="0.25">
      <c r="B102" s="27" t="s">
        <v>753</v>
      </c>
      <c r="C102" s="1563" t="s">
        <v>8052</v>
      </c>
      <c r="D102" s="1563"/>
      <c r="E102" s="1563"/>
      <c r="F102" s="1563"/>
      <c r="G102" s="1563"/>
      <c r="H102" s="1563"/>
      <c r="I102" s="1563"/>
      <c r="J102" s="1563"/>
    </row>
    <row r="103" spans="2:10" x14ac:dyDescent="0.25">
      <c r="B103" s="27" t="s">
        <v>739</v>
      </c>
      <c r="C103" s="1565">
        <f>'Informasi Debitur'!J210</f>
        <v>250</v>
      </c>
      <c r="D103" s="1565"/>
      <c r="E103" s="1565"/>
      <c r="F103" s="1565"/>
      <c r="G103" s="1565"/>
      <c r="H103" s="1565"/>
      <c r="I103" s="1565"/>
      <c r="J103" s="1565"/>
    </row>
    <row r="104" spans="2:10" x14ac:dyDescent="0.25">
      <c r="B104" s="27" t="s">
        <v>738</v>
      </c>
      <c r="C104" s="1569">
        <f>C103/$D$162</f>
        <v>0.15988939917294542</v>
      </c>
      <c r="D104" s="1569"/>
      <c r="E104" s="1569"/>
      <c r="F104" s="1569"/>
      <c r="G104" s="1569"/>
      <c r="H104" s="1569"/>
      <c r="I104" s="1569"/>
      <c r="J104" s="1569"/>
    </row>
    <row r="105" spans="2:10" ht="30" x14ac:dyDescent="0.25">
      <c r="B105" s="27" t="s">
        <v>741</v>
      </c>
      <c r="C105" s="1563" t="s">
        <v>27</v>
      </c>
      <c r="D105" s="1563"/>
      <c r="E105" s="1563"/>
      <c r="F105" s="1563"/>
      <c r="G105" s="1563"/>
      <c r="H105" s="1563"/>
      <c r="I105" s="1563"/>
      <c r="J105" s="1563"/>
    </row>
    <row r="106" spans="2:10" x14ac:dyDescent="0.25">
      <c r="B106" s="30" t="s">
        <v>77</v>
      </c>
      <c r="C106" s="1563" t="str">
        <f>'Order Trade Checking'!K28</f>
        <v>Kredit</v>
      </c>
      <c r="D106" s="1563"/>
      <c r="E106" s="1563"/>
      <c r="F106" s="1563"/>
      <c r="G106" s="1563"/>
      <c r="H106" s="1563"/>
      <c r="I106" s="1563"/>
      <c r="J106" s="1563"/>
    </row>
    <row r="107" spans="2:10" x14ac:dyDescent="0.25">
      <c r="B107" s="30"/>
      <c r="C107" s="1068"/>
      <c r="D107" s="1069" t="s">
        <v>75</v>
      </c>
      <c r="E107" s="1068">
        <v>100</v>
      </c>
      <c r="F107" s="908" t="s">
        <v>76</v>
      </c>
      <c r="G107" s="1069"/>
      <c r="H107" s="1069"/>
      <c r="I107" s="1069"/>
      <c r="J107" s="1069"/>
    </row>
    <row r="108" spans="2:10" x14ac:dyDescent="0.25">
      <c r="B108" s="27" t="s">
        <v>733</v>
      </c>
      <c r="C108" s="1562">
        <f>'Order Trade Checking'!L28</f>
        <v>30</v>
      </c>
      <c r="D108" s="1562"/>
      <c r="E108" s="1562"/>
      <c r="F108" s="1562"/>
      <c r="G108" s="1562"/>
      <c r="H108" s="1562"/>
      <c r="I108" s="1562"/>
      <c r="J108" s="1562"/>
    </row>
    <row r="109" spans="2:10" x14ac:dyDescent="0.25">
      <c r="B109" s="28" t="s">
        <v>69</v>
      </c>
      <c r="C109" s="1563" t="s">
        <v>2999</v>
      </c>
      <c r="D109" s="1563"/>
      <c r="E109" s="1563"/>
      <c r="F109" s="1563"/>
      <c r="G109" s="1563"/>
      <c r="H109" s="1563"/>
      <c r="I109" s="1563"/>
      <c r="J109" s="1563"/>
    </row>
    <row r="110" spans="2:10" ht="30" x14ac:dyDescent="0.25">
      <c r="B110" s="27" t="s">
        <v>59</v>
      </c>
      <c r="C110" s="1563" t="s">
        <v>8052</v>
      </c>
      <c r="D110" s="1563"/>
      <c r="E110" s="1563"/>
      <c r="F110" s="1563"/>
      <c r="G110" s="1563"/>
      <c r="H110" s="1563"/>
      <c r="I110" s="1563"/>
      <c r="J110" s="1563"/>
    </row>
    <row r="111" spans="2:10" x14ac:dyDescent="0.25">
      <c r="B111" s="27" t="s">
        <v>60</v>
      </c>
      <c r="C111" s="1563" t="s">
        <v>8053</v>
      </c>
      <c r="D111" s="1563"/>
      <c r="E111" s="1563"/>
      <c r="F111" s="1563"/>
      <c r="G111" s="1563"/>
      <c r="H111" s="1563"/>
      <c r="I111" s="1563"/>
      <c r="J111" s="1563"/>
    </row>
    <row r="112" spans="2:10" x14ac:dyDescent="0.25">
      <c r="B112" s="4"/>
      <c r="C112" s="1044" t="s">
        <v>65</v>
      </c>
      <c r="D112" s="1044"/>
      <c r="E112" s="1568"/>
      <c r="F112" s="1568"/>
      <c r="G112" s="1568"/>
      <c r="H112" s="1568"/>
      <c r="I112" s="1568"/>
      <c r="J112" s="1568"/>
    </row>
    <row r="113" spans="2:10" x14ac:dyDescent="0.25">
      <c r="B113" s="4"/>
      <c r="C113" s="1464"/>
      <c r="D113" s="1464"/>
      <c r="E113" s="1464"/>
      <c r="F113" s="1464"/>
      <c r="G113" s="1464"/>
      <c r="H113" s="1464"/>
      <c r="I113" s="1464"/>
      <c r="J113" s="1464"/>
    </row>
    <row r="114" spans="2:10" ht="15" customHeight="1" x14ac:dyDescent="0.25">
      <c r="B114" s="27"/>
      <c r="C114" s="30"/>
      <c r="D114" s="825"/>
      <c r="E114" s="825"/>
      <c r="F114" s="825"/>
      <c r="G114" s="825"/>
      <c r="H114" s="825"/>
      <c r="I114" s="825"/>
      <c r="J114" s="825"/>
    </row>
    <row r="115" spans="2:10" ht="15.75" x14ac:dyDescent="0.25">
      <c r="B115" s="1530" t="s">
        <v>216</v>
      </c>
      <c r="C115" s="1531"/>
      <c r="D115" s="1531"/>
      <c r="E115" s="1531"/>
      <c r="F115" s="1531"/>
      <c r="G115" s="1531"/>
      <c r="H115" s="1531"/>
      <c r="I115" s="1531"/>
      <c r="J115" s="1531"/>
    </row>
    <row r="116" spans="2:10" ht="5.0999999999999996" customHeight="1" x14ac:dyDescent="0.25">
      <c r="B116" s="63"/>
      <c r="C116" s="1067"/>
      <c r="D116" s="1067"/>
      <c r="E116" s="1067"/>
      <c r="F116" s="1067"/>
      <c r="G116" s="1067"/>
      <c r="H116" s="1067"/>
      <c r="I116" s="1067"/>
      <c r="J116" s="1067"/>
    </row>
    <row r="117" spans="2:10" x14ac:dyDescent="0.25">
      <c r="B117" s="27" t="s">
        <v>211</v>
      </c>
      <c r="C117" s="1562">
        <f>'Order Trade Checking'!B29</f>
        <v>0</v>
      </c>
      <c r="D117" s="1562"/>
      <c r="E117" s="1562"/>
      <c r="F117" s="1562"/>
      <c r="G117" s="1562"/>
      <c r="H117" s="1562"/>
      <c r="I117" s="1562"/>
      <c r="J117" s="1562"/>
    </row>
    <row r="118" spans="2:10" x14ac:dyDescent="0.25">
      <c r="B118" s="27" t="s">
        <v>45</v>
      </c>
      <c r="C118" s="1563">
        <f>'Informasi Debitur'!E211</f>
        <v>0</v>
      </c>
      <c r="D118" s="1563"/>
      <c r="E118" s="1563"/>
      <c r="F118" s="1563"/>
      <c r="G118" s="1563"/>
      <c r="H118" s="1563"/>
      <c r="I118" s="1563"/>
      <c r="J118" s="1563"/>
    </row>
    <row r="119" spans="2:10" x14ac:dyDescent="0.25">
      <c r="B119" s="27" t="s">
        <v>66</v>
      </c>
      <c r="C119" s="1563">
        <f>'Order Trade Checking'!G29</f>
        <v>0</v>
      </c>
      <c r="D119" s="1563"/>
      <c r="E119" s="1563"/>
      <c r="F119" s="1563"/>
      <c r="G119" s="1563"/>
      <c r="H119" s="1563"/>
      <c r="I119" s="1563"/>
      <c r="J119" s="1563"/>
    </row>
    <row r="120" spans="2:10" x14ac:dyDescent="0.25">
      <c r="B120" s="27" t="s">
        <v>67</v>
      </c>
      <c r="C120" s="1563"/>
      <c r="D120" s="1563"/>
      <c r="E120" s="1563"/>
      <c r="F120" s="1563"/>
      <c r="G120" s="1563"/>
      <c r="H120" s="1563"/>
      <c r="I120" s="1563"/>
      <c r="J120" s="1563"/>
    </row>
    <row r="121" spans="2:10" x14ac:dyDescent="0.25">
      <c r="B121" s="27" t="s">
        <v>1</v>
      </c>
      <c r="C121" s="1563">
        <f>'Order Trade Checking'!C29</f>
        <v>0</v>
      </c>
      <c r="D121" s="1563"/>
      <c r="E121" s="1563"/>
      <c r="F121" s="1563"/>
      <c r="G121" s="1563"/>
      <c r="H121" s="1563"/>
      <c r="I121" s="1563"/>
      <c r="J121" s="1563"/>
    </row>
    <row r="122" spans="2:10" x14ac:dyDescent="0.25">
      <c r="B122" s="27" t="s">
        <v>742</v>
      </c>
      <c r="C122" s="1563">
        <f>'Order Trade Checking'!H29</f>
        <v>0</v>
      </c>
      <c r="D122" s="1563"/>
      <c r="E122" s="1563"/>
      <c r="F122" s="1563"/>
      <c r="G122" s="1563"/>
      <c r="H122" s="1563"/>
      <c r="I122" s="1563"/>
      <c r="J122" s="1563"/>
    </row>
    <row r="123" spans="2:10" ht="5.0999999999999996" customHeight="1" x14ac:dyDescent="0.25">
      <c r="B123" s="27"/>
      <c r="C123" s="30"/>
      <c r="D123" s="825"/>
      <c r="E123" s="825"/>
      <c r="F123" s="825"/>
      <c r="G123" s="825"/>
      <c r="H123" s="825"/>
      <c r="I123" s="825"/>
      <c r="J123" s="825"/>
    </row>
    <row r="124" spans="2:10" ht="15.75" x14ac:dyDescent="0.25">
      <c r="B124" s="1530" t="s">
        <v>72</v>
      </c>
      <c r="C124" s="1531"/>
      <c r="D124" s="1531"/>
      <c r="E124" s="1531"/>
      <c r="F124" s="1531"/>
      <c r="G124" s="1531"/>
      <c r="H124" s="1531"/>
      <c r="I124" s="1531"/>
      <c r="J124" s="1531"/>
    </row>
    <row r="125" spans="2:10" x14ac:dyDescent="0.25">
      <c r="B125" s="27" t="s">
        <v>732</v>
      </c>
      <c r="C125" s="1562">
        <f>'Order Trade Checking'!M29</f>
        <v>0</v>
      </c>
      <c r="D125" s="1562"/>
      <c r="E125" s="1562"/>
      <c r="F125" s="1562"/>
      <c r="G125" s="1562"/>
      <c r="H125" s="1562"/>
      <c r="I125" s="1562"/>
      <c r="J125" s="1562"/>
    </row>
    <row r="126" spans="2:10" x14ac:dyDescent="0.25">
      <c r="B126" s="27" t="s">
        <v>70</v>
      </c>
      <c r="C126" s="1563">
        <f>'Order Trade Checking'!E29</f>
        <v>0</v>
      </c>
      <c r="D126" s="1563"/>
      <c r="E126" s="1563"/>
      <c r="F126" s="1563"/>
      <c r="G126" s="1563"/>
      <c r="H126" s="1563"/>
      <c r="I126" s="1563"/>
      <c r="J126" s="1563"/>
    </row>
    <row r="127" spans="2:10" x14ac:dyDescent="0.25">
      <c r="B127" s="27" t="s">
        <v>71</v>
      </c>
      <c r="C127" s="1563"/>
      <c r="D127" s="1563"/>
      <c r="E127" s="1563"/>
      <c r="F127" s="1563"/>
      <c r="G127" s="1563"/>
      <c r="H127" s="1563"/>
      <c r="I127" s="1563"/>
      <c r="J127" s="1563"/>
    </row>
    <row r="128" spans="2:10" ht="30" x14ac:dyDescent="0.25">
      <c r="B128" s="27" t="s">
        <v>753</v>
      </c>
      <c r="C128" s="1563"/>
      <c r="D128" s="1563"/>
      <c r="E128" s="1563"/>
      <c r="F128" s="1563"/>
      <c r="G128" s="1563"/>
      <c r="H128" s="1563"/>
      <c r="I128" s="1563"/>
      <c r="J128" s="1563"/>
    </row>
    <row r="129" spans="2:15" x14ac:dyDescent="0.25">
      <c r="B129" s="27" t="s">
        <v>739</v>
      </c>
      <c r="C129" s="1565">
        <f>'Informasi Debitur'!J211</f>
        <v>0</v>
      </c>
      <c r="D129" s="1565"/>
      <c r="E129" s="1565"/>
      <c r="F129" s="1565"/>
      <c r="G129" s="1565"/>
      <c r="H129" s="1565"/>
      <c r="I129" s="1565"/>
      <c r="J129" s="1565"/>
    </row>
    <row r="130" spans="2:15" x14ac:dyDescent="0.25">
      <c r="B130" s="27" t="s">
        <v>738</v>
      </c>
      <c r="C130" s="1569">
        <f>C129/$D$162</f>
        <v>0</v>
      </c>
      <c r="D130" s="1569"/>
      <c r="E130" s="1569"/>
      <c r="F130" s="1569"/>
      <c r="G130" s="1569"/>
      <c r="H130" s="1569"/>
      <c r="I130" s="1569"/>
      <c r="J130" s="1569"/>
    </row>
    <row r="131" spans="2:15" ht="30" x14ac:dyDescent="0.25">
      <c r="B131" s="27" t="s">
        <v>741</v>
      </c>
      <c r="C131" s="1563"/>
      <c r="D131" s="1563"/>
      <c r="E131" s="1563"/>
      <c r="F131" s="1563"/>
      <c r="G131" s="1563"/>
      <c r="H131" s="1563"/>
      <c r="I131" s="1563"/>
      <c r="J131" s="1563"/>
    </row>
    <row r="132" spans="2:15" x14ac:dyDescent="0.25">
      <c r="B132" s="30" t="s">
        <v>77</v>
      </c>
      <c r="C132" s="1563">
        <f>'Order Trade Checking'!K29</f>
        <v>0</v>
      </c>
      <c r="D132" s="1563"/>
      <c r="E132" s="1563"/>
      <c r="F132" s="1563"/>
      <c r="G132" s="1563"/>
      <c r="H132" s="1563"/>
      <c r="I132" s="1563"/>
      <c r="J132" s="1563"/>
    </row>
    <row r="133" spans="2:15" x14ac:dyDescent="0.25">
      <c r="B133" s="30"/>
      <c r="C133" s="1068"/>
      <c r="D133" s="1069" t="s">
        <v>75</v>
      </c>
      <c r="E133" s="1068"/>
      <c r="F133" s="908" t="s">
        <v>76</v>
      </c>
      <c r="G133" s="1069"/>
      <c r="H133" s="1069"/>
      <c r="I133" s="1069"/>
      <c r="J133" s="1069"/>
    </row>
    <row r="134" spans="2:15" x14ac:dyDescent="0.25">
      <c r="B134" s="27" t="s">
        <v>733</v>
      </c>
      <c r="C134" s="1562">
        <f>'Order Trade Checking'!L29</f>
        <v>0</v>
      </c>
      <c r="D134" s="1562"/>
      <c r="E134" s="1562"/>
      <c r="F134" s="1562"/>
      <c r="G134" s="1562"/>
      <c r="H134" s="1562"/>
      <c r="I134" s="1562"/>
      <c r="J134" s="1562"/>
    </row>
    <row r="135" spans="2:15" x14ac:dyDescent="0.25">
      <c r="B135" s="28" t="s">
        <v>69</v>
      </c>
      <c r="C135" s="1563" t="s">
        <v>2999</v>
      </c>
      <c r="D135" s="1563"/>
      <c r="E135" s="1563"/>
      <c r="F135" s="1563"/>
      <c r="G135" s="1563"/>
      <c r="H135" s="1563"/>
      <c r="I135" s="1563"/>
      <c r="J135" s="1563"/>
    </row>
    <row r="136" spans="2:15" ht="30" x14ac:dyDescent="0.25">
      <c r="B136" s="27" t="s">
        <v>59</v>
      </c>
      <c r="C136" s="1563"/>
      <c r="D136" s="1563"/>
      <c r="E136" s="1563"/>
      <c r="F136" s="1563"/>
      <c r="G136" s="1563"/>
      <c r="H136" s="1563"/>
      <c r="I136" s="1563"/>
      <c r="J136" s="1563"/>
    </row>
    <row r="137" spans="2:15" x14ac:dyDescent="0.25">
      <c r="B137" s="27" t="s">
        <v>60</v>
      </c>
      <c r="C137" s="1563"/>
      <c r="D137" s="1563"/>
      <c r="E137" s="1563"/>
      <c r="F137" s="1563"/>
      <c r="G137" s="1563"/>
      <c r="H137" s="1563"/>
      <c r="I137" s="1563"/>
      <c r="J137" s="1563"/>
    </row>
    <row r="138" spans="2:15" x14ac:dyDescent="0.25">
      <c r="B138" s="4"/>
      <c r="C138" s="1044" t="s">
        <v>65</v>
      </c>
      <c r="D138" s="1044"/>
      <c r="E138" s="1568"/>
      <c r="F138" s="1568"/>
      <c r="G138" s="1568"/>
      <c r="H138" s="1568"/>
      <c r="I138" s="1568"/>
      <c r="J138" s="1568"/>
    </row>
    <row r="139" spans="2:15" x14ac:dyDescent="0.25">
      <c r="B139" s="4"/>
      <c r="C139" s="1464"/>
      <c r="D139" s="1464"/>
      <c r="E139" s="1464"/>
      <c r="F139" s="1464"/>
      <c r="G139" s="1464"/>
      <c r="H139" s="1464"/>
      <c r="I139" s="1464"/>
      <c r="J139" s="1464"/>
      <c r="O139" s="385" t="s">
        <v>7379</v>
      </c>
    </row>
    <row r="140" spans="2:15" ht="15" customHeight="1" thickBot="1" x14ac:dyDescent="0.3">
      <c r="B140" s="27"/>
      <c r="C140" s="1070"/>
      <c r="D140" s="1044"/>
      <c r="E140" s="1044"/>
      <c r="F140" s="1044"/>
      <c r="G140" s="1044"/>
      <c r="H140" s="1044"/>
      <c r="I140" s="1044"/>
      <c r="J140" s="1044"/>
      <c r="O140" s="385" t="s">
        <v>7380</v>
      </c>
    </row>
    <row r="141" spans="2:15" ht="15.75" thickTop="1" x14ac:dyDescent="0.25">
      <c r="B141" s="108"/>
      <c r="C141" s="1048"/>
      <c r="D141" s="1049"/>
      <c r="E141" s="1049"/>
      <c r="F141" s="1049"/>
      <c r="G141" s="1049"/>
      <c r="H141" s="1049"/>
      <c r="I141" s="1049"/>
      <c r="J141" s="1049"/>
      <c r="O141" s="385" t="s">
        <v>7381</v>
      </c>
    </row>
    <row r="142" spans="2:15" x14ac:dyDescent="0.25">
      <c r="B142" s="107" t="s">
        <v>42</v>
      </c>
      <c r="C142" s="1050"/>
      <c r="D142" s="305"/>
      <c r="E142" s="305"/>
      <c r="F142" s="305"/>
      <c r="G142" s="305"/>
      <c r="H142" s="305"/>
      <c r="I142" s="305"/>
      <c r="J142" s="305"/>
    </row>
    <row r="143" spans="2:15" ht="30" x14ac:dyDescent="0.25">
      <c r="B143" s="109" t="s">
        <v>2938</v>
      </c>
      <c r="C143" s="1581">
        <f>IF(ISERROR(F174/D162),"",F174/D162)</f>
        <v>0.54362395718801448</v>
      </c>
      <c r="D143" s="1581"/>
      <c r="E143" s="305"/>
      <c r="F143" s="305"/>
      <c r="G143" s="305"/>
      <c r="H143" s="305"/>
      <c r="I143" s="305"/>
      <c r="J143" s="305"/>
    </row>
    <row r="144" spans="2:15" hidden="1" x14ac:dyDescent="0.25">
      <c r="B144" s="1582" t="s">
        <v>2945</v>
      </c>
      <c r="C144" s="1582"/>
      <c r="D144" s="1582"/>
      <c r="E144" s="1582"/>
      <c r="F144" s="1582"/>
      <c r="G144" s="1582"/>
      <c r="H144" s="1582"/>
      <c r="I144" s="1582"/>
      <c r="J144" s="1582"/>
    </row>
    <row r="145" spans="2:16" ht="31.5" customHeight="1" x14ac:dyDescent="0.25">
      <c r="B145" s="110" t="s">
        <v>487</v>
      </c>
      <c r="C145" s="1583"/>
      <c r="D145" s="1583"/>
      <c r="E145" s="1553" t="s">
        <v>673</v>
      </c>
      <c r="F145" s="1553"/>
      <c r="G145" s="1553"/>
      <c r="H145" s="1553"/>
      <c r="I145" s="1553"/>
      <c r="J145" s="1553"/>
    </row>
    <row r="146" spans="2:16" ht="30" x14ac:dyDescent="0.25">
      <c r="B146" s="8" t="s">
        <v>483</v>
      </c>
      <c r="C146" s="1554" t="s">
        <v>485</v>
      </c>
      <c r="D146" s="1554"/>
      <c r="E146" s="1554"/>
      <c r="F146" s="1554"/>
      <c r="G146" s="1554"/>
      <c r="H146" s="1554"/>
      <c r="I146" s="1554"/>
      <c r="J146" s="1554"/>
    </row>
    <row r="147" spans="2:16" ht="15" customHeight="1" x14ac:dyDescent="0.25">
      <c r="B147" s="8" t="s">
        <v>482</v>
      </c>
      <c r="C147" s="1555" t="s">
        <v>7379</v>
      </c>
      <c r="D147" s="1555"/>
      <c r="E147" s="1555"/>
      <c r="F147" s="1555"/>
      <c r="G147" s="1555"/>
      <c r="H147" s="1555"/>
      <c r="I147" s="1555"/>
      <c r="J147" s="1555"/>
      <c r="O147" s="385" t="str">
        <f>TRIM(MID(C147,29,18))</f>
        <v>Trade Checking</v>
      </c>
      <c r="P147" s="348" t="b">
        <f>ISBLANK(C147)</f>
        <v>0</v>
      </c>
    </row>
    <row r="148" spans="2:16" x14ac:dyDescent="0.25">
      <c r="B148" s="1589"/>
      <c r="C148" s="1589"/>
      <c r="D148" s="1589"/>
      <c r="E148" s="1589"/>
      <c r="F148" s="1589"/>
      <c r="G148" s="1589"/>
      <c r="H148" s="1589"/>
      <c r="I148" s="1589"/>
      <c r="J148" s="1589"/>
      <c r="O148" s="385" t="b">
        <f>ISBLANK(B148)</f>
        <v>1</v>
      </c>
    </row>
    <row r="149" spans="2:16" x14ac:dyDescent="0.25">
      <c r="B149" s="1588"/>
      <c r="C149" s="1588"/>
      <c r="D149" s="1588"/>
      <c r="E149" s="1588"/>
      <c r="F149" s="1588"/>
      <c r="G149" s="1588"/>
      <c r="H149" s="1588"/>
      <c r="I149" s="1588"/>
      <c r="J149" s="1588"/>
    </row>
    <row r="150" spans="2:16" x14ac:dyDescent="0.25">
      <c r="B150" s="1588"/>
      <c r="C150" s="1588"/>
      <c r="D150" s="1588"/>
      <c r="E150" s="1588"/>
      <c r="F150" s="1588"/>
      <c r="G150" s="1588"/>
      <c r="H150" s="1588"/>
      <c r="I150" s="1588"/>
      <c r="J150" s="1588"/>
    </row>
    <row r="151" spans="2:16" x14ac:dyDescent="0.25">
      <c r="B151" s="1587"/>
      <c r="C151" s="1587"/>
      <c r="D151" s="1587"/>
      <c r="E151" s="1587"/>
      <c r="F151" s="1587"/>
      <c r="G151" s="1587"/>
      <c r="H151" s="1587"/>
      <c r="I151" s="1587"/>
      <c r="J151" s="1587"/>
    </row>
    <row r="152" spans="2:16" s="385" customFormat="1" x14ac:dyDescent="0.25">
      <c r="B152" s="774"/>
      <c r="C152" s="1071"/>
      <c r="D152" s="1071"/>
      <c r="E152" s="1071"/>
      <c r="F152" s="1071"/>
      <c r="G152" s="1071"/>
      <c r="H152" s="1574" t="s">
        <v>4320</v>
      </c>
      <c r="I152" s="1575"/>
      <c r="J152" s="1576"/>
    </row>
    <row r="153" spans="2:16" s="385" customFormat="1" x14ac:dyDescent="0.25">
      <c r="B153" s="774"/>
      <c r="C153" s="1071"/>
      <c r="D153" s="1071"/>
      <c r="E153" s="1071"/>
      <c r="F153" s="1071"/>
      <c r="G153" s="1071"/>
      <c r="H153" s="1053"/>
      <c r="I153" s="1054"/>
      <c r="J153" s="1055"/>
    </row>
    <row r="154" spans="2:16" s="385" customFormat="1" x14ac:dyDescent="0.25">
      <c r="B154" s="774"/>
      <c r="C154" s="1071"/>
      <c r="D154" s="1071"/>
      <c r="E154" s="1071"/>
      <c r="F154" s="1071"/>
      <c r="G154" s="1071"/>
      <c r="H154" s="1056"/>
      <c r="I154" s="1057"/>
      <c r="J154" s="1058"/>
    </row>
    <row r="155" spans="2:16" s="385" customFormat="1" x14ac:dyDescent="0.25">
      <c r="B155" s="774"/>
      <c r="C155" s="1071"/>
      <c r="D155" s="1071"/>
      <c r="E155" s="1071"/>
      <c r="F155" s="1071"/>
      <c r="G155" s="1071"/>
      <c r="H155" s="1056"/>
      <c r="I155" s="1057"/>
      <c r="J155" s="1058"/>
    </row>
    <row r="156" spans="2:16" s="385" customFormat="1" x14ac:dyDescent="0.25">
      <c r="B156" s="774"/>
      <c r="C156" s="1071"/>
      <c r="D156" s="1071"/>
      <c r="E156" s="1071"/>
      <c r="F156" s="1071"/>
      <c r="G156" s="1071"/>
      <c r="H156" s="1059"/>
      <c r="I156" s="1060"/>
      <c r="J156" s="1061"/>
    </row>
    <row r="157" spans="2:16" s="385" customFormat="1" x14ac:dyDescent="0.25">
      <c r="B157" s="774"/>
      <c r="C157" s="1071"/>
      <c r="D157" s="1071"/>
      <c r="E157" s="1071"/>
      <c r="F157" s="1071"/>
      <c r="G157" s="1071"/>
      <c r="H157" s="1577" t="s">
        <v>8068</v>
      </c>
      <c r="I157" s="1578"/>
      <c r="J157" s="1579"/>
    </row>
    <row r="158" spans="2:16" s="385" customFormat="1" x14ac:dyDescent="0.25">
      <c r="B158" s="774"/>
      <c r="C158" s="1071"/>
      <c r="D158" s="1071"/>
      <c r="E158" s="1071"/>
      <c r="F158" s="1071"/>
      <c r="G158" s="1071"/>
      <c r="H158" s="1577" t="s">
        <v>7992</v>
      </c>
      <c r="I158" s="1578"/>
      <c r="J158" s="1579"/>
    </row>
    <row r="159" spans="2:16" s="385" customFormat="1" x14ac:dyDescent="0.25">
      <c r="B159" s="774"/>
      <c r="C159" s="1071"/>
      <c r="D159" s="1071"/>
      <c r="E159" s="1071"/>
      <c r="F159" s="1071"/>
      <c r="G159" s="1071"/>
      <c r="H159" s="1071"/>
      <c r="I159" s="1071"/>
      <c r="J159" s="1071"/>
    </row>
    <row r="160" spans="2:16" hidden="1" x14ac:dyDescent="0.25"/>
    <row r="161" spans="2:15" hidden="1" x14ac:dyDescent="0.25">
      <c r="B161" s="348" t="s">
        <v>806</v>
      </c>
      <c r="D161" s="1063">
        <f>'Analisa Lap Keu'!C68</f>
        <v>0</v>
      </c>
      <c r="F161" s="1063">
        <f>'Analisa Lap Keu'!E68</f>
        <v>0</v>
      </c>
      <c r="H161" s="1063">
        <f>'Analisa Lap Keu'!G68</f>
        <v>18762.97</v>
      </c>
      <c r="J161" s="364">
        <f>IF(H161&lt;&gt;0,H161,IF(F161&lt;&gt;0,F161,D161))</f>
        <v>18762.97</v>
      </c>
    </row>
    <row r="162" spans="2:15" hidden="1" x14ac:dyDescent="0.25">
      <c r="B162" s="348" t="s">
        <v>2936</v>
      </c>
      <c r="D162" s="1064">
        <f>J161/12</f>
        <v>1563.5808333333334</v>
      </c>
    </row>
    <row r="163" spans="2:15" ht="60" hidden="1" x14ac:dyDescent="0.25">
      <c r="D163" s="1072" t="s">
        <v>2934</v>
      </c>
      <c r="F163" s="1062" t="s">
        <v>739</v>
      </c>
    </row>
    <row r="164" spans="2:15" hidden="1" x14ac:dyDescent="0.25">
      <c r="B164" s="348" t="s">
        <v>2939</v>
      </c>
      <c r="D164" s="1072">
        <f>RANK(F164,$F$164:$F$168)</f>
        <v>1</v>
      </c>
      <c r="F164" s="892">
        <f>C25</f>
        <v>300</v>
      </c>
    </row>
    <row r="165" spans="2:15" hidden="1" x14ac:dyDescent="0.25">
      <c r="B165" s="348" t="s">
        <v>2940</v>
      </c>
      <c r="D165" s="1072">
        <f>RANK(F165,$F$164:$F$168)</f>
        <v>1</v>
      </c>
      <c r="F165" s="1073">
        <f>C51</f>
        <v>300</v>
      </c>
    </row>
    <row r="166" spans="2:15" hidden="1" x14ac:dyDescent="0.25">
      <c r="B166" s="348" t="s">
        <v>2941</v>
      </c>
      <c r="D166" s="1072">
        <f>RANK(F166,$F$164:$F$168)</f>
        <v>4</v>
      </c>
      <c r="F166" s="1073">
        <f>C77</f>
        <v>240</v>
      </c>
    </row>
    <row r="167" spans="2:15" hidden="1" x14ac:dyDescent="0.25">
      <c r="B167" s="348" t="s">
        <v>2942</v>
      </c>
      <c r="D167" s="1072">
        <f>RANK(F167,$F$164:$F$168)</f>
        <v>3</v>
      </c>
      <c r="F167" s="1073">
        <f>C103</f>
        <v>250</v>
      </c>
    </row>
    <row r="168" spans="2:15" hidden="1" x14ac:dyDescent="0.25">
      <c r="B168" s="348" t="s">
        <v>2943</v>
      </c>
      <c r="D168" s="1072">
        <f>RANK(F168,$F$164:$F$168)</f>
        <v>5</v>
      </c>
      <c r="F168" s="1073">
        <f>C129</f>
        <v>0</v>
      </c>
    </row>
    <row r="169" spans="2:15" hidden="1" x14ac:dyDescent="0.25"/>
    <row r="170" spans="2:15" hidden="1" x14ac:dyDescent="0.25">
      <c r="F170" s="364" t="s">
        <v>2944</v>
      </c>
    </row>
    <row r="171" spans="2:15" hidden="1" x14ac:dyDescent="0.25">
      <c r="D171" s="364">
        <v>1</v>
      </c>
      <c r="F171" s="364">
        <f>SUMIF($D$164:$D$168,D171,$F$164:$F$168)</f>
        <v>600</v>
      </c>
    </row>
    <row r="172" spans="2:15" hidden="1" x14ac:dyDescent="0.25">
      <c r="D172" s="364">
        <v>2</v>
      </c>
      <c r="F172" s="364">
        <f>SUMIF($D$164:$D$168,D172,$F$164:$F$168)</f>
        <v>0</v>
      </c>
    </row>
    <row r="173" spans="2:15" hidden="1" x14ac:dyDescent="0.25">
      <c r="D173" s="364">
        <v>3</v>
      </c>
      <c r="F173" s="364">
        <f>SUMIF($D$164:$D$168,D173,$F$164:$F$168)</f>
        <v>250</v>
      </c>
    </row>
    <row r="174" spans="2:15" hidden="1" x14ac:dyDescent="0.25">
      <c r="D174" s="364" t="s">
        <v>267</v>
      </c>
      <c r="F174" s="1064">
        <f>SUM(F171:F173)</f>
        <v>850</v>
      </c>
    </row>
    <row r="175" spans="2:15" hidden="1" x14ac:dyDescent="0.25"/>
    <row r="176" spans="2:15" hidden="1" x14ac:dyDescent="0.25">
      <c r="B176" s="365"/>
      <c r="C176" s="1062"/>
      <c r="D176" s="1580" t="s">
        <v>2939</v>
      </c>
      <c r="E176" s="1580"/>
      <c r="F176" s="1580" t="s">
        <v>2940</v>
      </c>
      <c r="G176" s="1580"/>
      <c r="H176" s="1580" t="s">
        <v>2941</v>
      </c>
      <c r="I176" s="1580"/>
      <c r="J176" s="1573" t="s">
        <v>2942</v>
      </c>
      <c r="K176" s="1573"/>
      <c r="L176" s="1573" t="s">
        <v>2943</v>
      </c>
      <c r="M176" s="1573"/>
      <c r="O176" s="370" t="s">
        <v>2993</v>
      </c>
    </row>
    <row r="177" spans="1:15" hidden="1" x14ac:dyDescent="0.25">
      <c r="B177" s="1571" t="s">
        <v>2994</v>
      </c>
      <c r="C177" s="1572"/>
      <c r="D177" s="1064" t="str">
        <f>C31</f>
        <v>Tepat Waktu</v>
      </c>
      <c r="E177" s="1064">
        <f>IF(ISERROR(VLOOKUP(D177,$B$184:$D$191,3,FALSE)),"",VLOOKUP(D177,$B$184:$D$191,3,FALSE))</f>
        <v>1</v>
      </c>
      <c r="F177" s="1064" t="str">
        <f>C57</f>
        <v>Tepat Waktu</v>
      </c>
      <c r="G177" s="1064">
        <f>IF(ISERROR(VLOOKUP(F177,$B$184:$D$191,3,FALSE)),"",VLOOKUP(F177,$B$184:$D$191,3,FALSE))</f>
        <v>1</v>
      </c>
      <c r="H177" s="1064" t="str">
        <f>C83</f>
        <v>Tepat Waktu</v>
      </c>
      <c r="I177" s="1064">
        <f>IF(ISERROR(VLOOKUP(H177,$B$184:$D$191,3,FALSE)),"",VLOOKUP(H177,$B$184:$D$191,3,FALSE))</f>
        <v>1</v>
      </c>
      <c r="J177" s="1064" t="str">
        <f>C109</f>
        <v>Tepat Waktu</v>
      </c>
      <c r="K177" s="371">
        <f>IF(ISERROR(VLOOKUP(J177,$B$184:$D$191,3,FALSE)),"",VLOOKUP(J177,$B$184:$D$191,3,FALSE))</f>
        <v>1</v>
      </c>
      <c r="L177" s="370" t="str">
        <f>C135</f>
        <v>Tepat Waktu</v>
      </c>
      <c r="M177" s="371">
        <f>IF(ISERROR(VLOOKUP(L177,$B$182:$D$188,3,FALSE)),"",VLOOKUP(L177,$B$182:$D$188,3,FALSE))</f>
        <v>1</v>
      </c>
      <c r="N177" s="348">
        <f>MAX(M177,K177,I177,G177,E177)</f>
        <v>1</v>
      </c>
      <c r="O177" s="370" t="str">
        <f>IF(ISERROR(VLOOKUP(N177,A183:B190,2,FALSE)),"",VLOOKUP(N177,A183:B190,2,FALSE))</f>
        <v>Tepat Waktu</v>
      </c>
    </row>
    <row r="178" spans="1:15" hidden="1" x14ac:dyDescent="0.25">
      <c r="B178" s="374" t="s">
        <v>2995</v>
      </c>
      <c r="C178" s="1074"/>
      <c r="D178" s="1064" t="str">
        <f>C23</f>
        <v>Bagus</v>
      </c>
      <c r="E178" s="1064">
        <f>IF(D178="Bagus",1,IF(D178="Cukup",5,IF(D178="Buruk",8,"")))</f>
        <v>1</v>
      </c>
      <c r="F178" s="1064" t="str">
        <f>C49</f>
        <v>Bagus</v>
      </c>
      <c r="G178" s="1064">
        <f>IF(F178="Bagus",1,IF(F178="Cukup",5,IF(F178="Buruk",8,"")))</f>
        <v>1</v>
      </c>
      <c r="H178" s="1064" t="str">
        <f>C75</f>
        <v>Bagus</v>
      </c>
      <c r="I178" s="1064">
        <f>IF(H178="Bagus",1,IF(H178="Cukup",5,IF(H178="Buruk",8,"")))</f>
        <v>1</v>
      </c>
      <c r="J178" s="1064" t="str">
        <f>C101</f>
        <v>Cukup</v>
      </c>
      <c r="K178" s="371">
        <f>IF(J178="Bagus",1,IF(J178="Cukup",5,IF(J178="Buruk",8,"")))</f>
        <v>5</v>
      </c>
      <c r="L178" s="370">
        <f>C127</f>
        <v>0</v>
      </c>
      <c r="M178" s="371" t="str">
        <f>IF(L178="Bagus",1,IF(L178="Cukup",5,IF(L178="Buruk",8,"")))</f>
        <v/>
      </c>
      <c r="N178" s="348">
        <f>MAX(M178,K178,I178,G178,E178)</f>
        <v>5</v>
      </c>
      <c r="O178" s="370" t="str">
        <f>IF(N178=1,"Baik",IF(N178=5,"Cukup",IF(N178=8,"Buruk","")))</f>
        <v>Cukup</v>
      </c>
    </row>
    <row r="179" spans="1:15" hidden="1" x14ac:dyDescent="0.25">
      <c r="B179" s="1571" t="s">
        <v>2984</v>
      </c>
      <c r="C179" s="1572"/>
      <c r="D179" s="1064" t="str">
        <f>C32</f>
        <v>Ya</v>
      </c>
      <c r="E179" s="1064">
        <f>IF(D179="Ya",1,IF(D179="Tidak",8,""))</f>
        <v>1</v>
      </c>
      <c r="F179" s="1064" t="str">
        <f>C58</f>
        <v>Ya</v>
      </c>
      <c r="G179" s="1064">
        <f>IF(F179="Ya",1,IF(F179="Tidak",8,""))</f>
        <v>1</v>
      </c>
      <c r="H179" s="1064" t="str">
        <f>C84</f>
        <v>Ya</v>
      </c>
      <c r="I179" s="1064">
        <f>IF(H179="Ya",1,IF(H179="Tidak",8,""))</f>
        <v>1</v>
      </c>
      <c r="J179" s="1064" t="str">
        <f>C110</f>
        <v>Ya</v>
      </c>
      <c r="K179" s="371">
        <f>IF(J179="Ya",1,IF(J179="Tidak",8,""))</f>
        <v>1</v>
      </c>
      <c r="L179" s="370">
        <f>C136</f>
        <v>0</v>
      </c>
      <c r="M179" s="371" t="str">
        <f>IF(L179="Ya",1,IF(L179="Tidak",8,""))</f>
        <v/>
      </c>
      <c r="N179" s="348">
        <f>MAX(M179,K179,I179,G179,E179)</f>
        <v>1</v>
      </c>
      <c r="O179" s="370" t="str">
        <f>IF(N179=1,"Ya",IF(N179=8,"Tidak",""))</f>
        <v>Ya</v>
      </c>
    </row>
    <row r="180" spans="1:15" ht="45" hidden="1" customHeight="1" x14ac:dyDescent="0.25">
      <c r="B180" s="1571" t="s">
        <v>2996</v>
      </c>
      <c r="C180" s="1572"/>
      <c r="D180" s="1064" t="str">
        <f>IF(C33&lt;&gt;"",IF(C33="Ya","Tidak","Ya"),"")</f>
        <v>Ya</v>
      </c>
      <c r="E180" s="1064">
        <f>IF(D180="Ya",1,IF(D180="Tidak",8,""))</f>
        <v>1</v>
      </c>
      <c r="F180" s="1064" t="str">
        <f>IF(C59&lt;&gt;"",IF(C59="Ya","Tidak","Ya"),"")</f>
        <v>Ya</v>
      </c>
      <c r="G180" s="1064">
        <f>IF(F180="Ya",1,IF(F180="Tidak",8,""))</f>
        <v>1</v>
      </c>
      <c r="H180" s="1064" t="str">
        <f>IF(C85&lt;&gt;"",IF(C85="Ya","Tidak","Ya"),"")</f>
        <v>Ya</v>
      </c>
      <c r="I180" s="1064">
        <f>IF(H180="Ya",1,IF(H180="Tidak",8,""))</f>
        <v>1</v>
      </c>
      <c r="J180" s="1064" t="str">
        <f>IF(C111&lt;&gt;"",IF(C111="Ya","Tidak","Ya"),"")</f>
        <v>Ya</v>
      </c>
      <c r="K180" s="371">
        <f>IF(J180="Ya",1,IF(J180="Tidak",8,""))</f>
        <v>1</v>
      </c>
      <c r="L180" s="370" t="str">
        <f>IF(C137&lt;&gt;"",IF(C137="Ya","Tidak","Ya"),"")</f>
        <v/>
      </c>
      <c r="M180" s="371" t="str">
        <f>IF(L180="Ya",1,IF(L180="Tidak",8,""))</f>
        <v/>
      </c>
      <c r="N180" s="348">
        <f>MAX(M180,K180,I180,G180,E180)</f>
        <v>1</v>
      </c>
      <c r="O180" s="370" t="str">
        <f>IF(N180=1,"Ya",IF(N180=8,"Tidak",""))</f>
        <v>Ya</v>
      </c>
    </row>
    <row r="181" spans="1:15" hidden="1" x14ac:dyDescent="0.25">
      <c r="B181" s="365"/>
      <c r="C181" s="1062"/>
      <c r="E181" s="1064">
        <f>MAX(E177:E180)</f>
        <v>1</v>
      </c>
      <c r="G181" s="1064">
        <f>MAX(G177:G180)</f>
        <v>1</v>
      </c>
      <c r="I181" s="1064">
        <f>MAX(I177:I180)</f>
        <v>1</v>
      </c>
      <c r="K181" s="370">
        <f>MAX(K177:K180)</f>
        <v>5</v>
      </c>
      <c r="M181" s="370">
        <f>MAX(M177:M180)</f>
        <v>1</v>
      </c>
      <c r="O181" s="370">
        <f>MAX(E181,G181,I181,K181,M181)</f>
        <v>5</v>
      </c>
    </row>
    <row r="182" spans="1:15" hidden="1" x14ac:dyDescent="0.25"/>
    <row r="183" spans="1:15" hidden="1" x14ac:dyDescent="0.25"/>
    <row r="184" spans="1:15" hidden="1" x14ac:dyDescent="0.25">
      <c r="A184" s="369">
        <v>1</v>
      </c>
      <c r="B184" s="375" t="s">
        <v>2999</v>
      </c>
      <c r="C184" s="1062"/>
      <c r="D184" s="1065">
        <v>1</v>
      </c>
    </row>
    <row r="185" spans="1:15" hidden="1" x14ac:dyDescent="0.25">
      <c r="A185" s="369">
        <v>3</v>
      </c>
      <c r="B185" s="375" t="s">
        <v>2986</v>
      </c>
      <c r="C185" s="1062"/>
      <c r="D185" s="1065">
        <v>3</v>
      </c>
    </row>
    <row r="186" spans="1:15" hidden="1" x14ac:dyDescent="0.25">
      <c r="A186" s="369">
        <v>4</v>
      </c>
      <c r="B186" s="375" t="s">
        <v>2987</v>
      </c>
      <c r="C186" s="1062"/>
      <c r="D186" s="1065">
        <v>4</v>
      </c>
    </row>
    <row r="187" spans="1:15" hidden="1" x14ac:dyDescent="0.25">
      <c r="A187" s="369">
        <v>5</v>
      </c>
      <c r="B187" s="375" t="s">
        <v>2988</v>
      </c>
      <c r="C187" s="1062"/>
      <c r="D187" s="1065">
        <v>5</v>
      </c>
    </row>
    <row r="188" spans="1:15" hidden="1" x14ac:dyDescent="0.25">
      <c r="A188" s="369">
        <v>7</v>
      </c>
      <c r="B188" s="375" t="s">
        <v>2989</v>
      </c>
      <c r="C188" s="1062"/>
      <c r="D188" s="1065">
        <v>7</v>
      </c>
    </row>
    <row r="189" spans="1:15" hidden="1" x14ac:dyDescent="0.25">
      <c r="A189" s="369">
        <v>8</v>
      </c>
      <c r="B189" s="375" t="s">
        <v>2990</v>
      </c>
      <c r="C189" s="1062"/>
      <c r="D189" s="1065">
        <v>8</v>
      </c>
    </row>
    <row r="190" spans="1:15" hidden="1" x14ac:dyDescent="0.25">
      <c r="A190" s="369">
        <v>9</v>
      </c>
      <c r="B190" s="375" t="s">
        <v>2991</v>
      </c>
      <c r="C190" s="1062"/>
      <c r="D190" s="1065">
        <v>9</v>
      </c>
    </row>
    <row r="191" spans="1:15" hidden="1" x14ac:dyDescent="0.25">
      <c r="A191" s="369">
        <v>10</v>
      </c>
      <c r="B191" s="375" t="s">
        <v>2992</v>
      </c>
      <c r="C191" s="1062"/>
      <c r="D191" s="1065">
        <v>10</v>
      </c>
    </row>
  </sheetData>
  <sheetProtection password="CCA9" sheet="1" formatRows="0" selectLockedCells="1"/>
  <mergeCells count="137">
    <mergeCell ref="B179:C179"/>
    <mergeCell ref="B180:C180"/>
    <mergeCell ref="D176:E176"/>
    <mergeCell ref="F176:G176"/>
    <mergeCell ref="H176:I176"/>
    <mergeCell ref="J176:K176"/>
    <mergeCell ref="H152:J152"/>
    <mergeCell ref="H157:J157"/>
    <mergeCell ref="H158:J158"/>
    <mergeCell ref="B177:C177"/>
    <mergeCell ref="C18:J18"/>
    <mergeCell ref="C44:J44"/>
    <mergeCell ref="C70:J70"/>
    <mergeCell ref="C96:J96"/>
    <mergeCell ref="C105:J105"/>
    <mergeCell ref="C130:J130"/>
    <mergeCell ref="C117:J117"/>
    <mergeCell ref="C118:J118"/>
    <mergeCell ref="C110:J110"/>
    <mergeCell ref="C111:J111"/>
    <mergeCell ref="C23:J23"/>
    <mergeCell ref="C33:J33"/>
    <mergeCell ref="C30:J30"/>
    <mergeCell ref="C39:J39"/>
    <mergeCell ref="C28:J28"/>
    <mergeCell ref="C54:J54"/>
    <mergeCell ref="C80:J80"/>
    <mergeCell ref="C76:J76"/>
    <mergeCell ref="B37:J37"/>
    <mergeCell ref="B89:J89"/>
    <mergeCell ref="C87:J87"/>
    <mergeCell ref="C84:J84"/>
    <mergeCell ref="C85:J85"/>
    <mergeCell ref="C108:J108"/>
    <mergeCell ref="B151:J151"/>
    <mergeCell ref="C102:J102"/>
    <mergeCell ref="C103:J103"/>
    <mergeCell ref="C91:J91"/>
    <mergeCell ref="C92:J92"/>
    <mergeCell ref="C95:J95"/>
    <mergeCell ref="C93:J93"/>
    <mergeCell ref="C94:J94"/>
    <mergeCell ref="C101:J101"/>
    <mergeCell ref="C106:J106"/>
    <mergeCell ref="B115:J115"/>
    <mergeCell ref="E112:J112"/>
    <mergeCell ref="B149:J149"/>
    <mergeCell ref="B150:J150"/>
    <mergeCell ref="C127:J127"/>
    <mergeCell ref="C134:J134"/>
    <mergeCell ref="C146:J146"/>
    <mergeCell ref="B148:J148"/>
    <mergeCell ref="C147:J147"/>
    <mergeCell ref="C131:J131"/>
    <mergeCell ref="E138:J138"/>
    <mergeCell ref="C139:J139"/>
    <mergeCell ref="C122:J122"/>
    <mergeCell ref="B124:J124"/>
    <mergeCell ref="L176:M176"/>
    <mergeCell ref="C17:J17"/>
    <mergeCell ref="B20:J20"/>
    <mergeCell ref="C21:J21"/>
    <mergeCell ref="C22:J22"/>
    <mergeCell ref="C77:J77"/>
    <mergeCell ref="C78:J78"/>
    <mergeCell ref="C79:J79"/>
    <mergeCell ref="C75:J75"/>
    <mergeCell ref="C83:J83"/>
    <mergeCell ref="C31:J31"/>
    <mergeCell ref="C61:J61"/>
    <mergeCell ref="B63:J63"/>
    <mergeCell ref="C48:J48"/>
    <mergeCell ref="C50:J50"/>
    <mergeCell ref="C51:J51"/>
    <mergeCell ref="C52:J52"/>
    <mergeCell ref="C53:J53"/>
    <mergeCell ref="E60:J60"/>
    <mergeCell ref="C56:J56"/>
    <mergeCell ref="C57:J57"/>
    <mergeCell ref="C58:J58"/>
    <mergeCell ref="C59:J59"/>
    <mergeCell ref="C49:J49"/>
    <mergeCell ref="B2:J2"/>
    <mergeCell ref="C6:J6"/>
    <mergeCell ref="C7:J7"/>
    <mergeCell ref="C4:J4"/>
    <mergeCell ref="B11:J11"/>
    <mergeCell ref="C15:J15"/>
    <mergeCell ref="C13:J13"/>
    <mergeCell ref="C14:J14"/>
    <mergeCell ref="C5:J5"/>
    <mergeCell ref="B9:J9"/>
    <mergeCell ref="C16:J16"/>
    <mergeCell ref="C35:J35"/>
    <mergeCell ref="C24:J24"/>
    <mergeCell ref="C25:J25"/>
    <mergeCell ref="C26:J26"/>
    <mergeCell ref="C27:J27"/>
    <mergeCell ref="C82:J82"/>
    <mergeCell ref="E34:J34"/>
    <mergeCell ref="C135:J135"/>
    <mergeCell ref="C32:J32"/>
    <mergeCell ref="C40:J40"/>
    <mergeCell ref="C43:J43"/>
    <mergeCell ref="B46:J46"/>
    <mergeCell ref="C47:J47"/>
    <mergeCell ref="C41:J41"/>
    <mergeCell ref="C42:J42"/>
    <mergeCell ref="C65:J65"/>
    <mergeCell ref="C66:J66"/>
    <mergeCell ref="C69:J69"/>
    <mergeCell ref="B72:J72"/>
    <mergeCell ref="C67:J67"/>
    <mergeCell ref="C68:J68"/>
    <mergeCell ref="C73:J73"/>
    <mergeCell ref="C74:J74"/>
    <mergeCell ref="C109:J109"/>
    <mergeCell ref="C104:J104"/>
    <mergeCell ref="E86:J86"/>
    <mergeCell ref="C143:D143"/>
    <mergeCell ref="B144:J144"/>
    <mergeCell ref="C145:D145"/>
    <mergeCell ref="E145:J145"/>
    <mergeCell ref="C136:J136"/>
    <mergeCell ref="C137:J137"/>
    <mergeCell ref="C132:J132"/>
    <mergeCell ref="C113:J113"/>
    <mergeCell ref="B98:J98"/>
    <mergeCell ref="C99:J99"/>
    <mergeCell ref="C100:J100"/>
    <mergeCell ref="C125:J125"/>
    <mergeCell ref="C126:J126"/>
    <mergeCell ref="C128:J128"/>
    <mergeCell ref="C129:J129"/>
    <mergeCell ref="C121:J121"/>
    <mergeCell ref="C119:J119"/>
    <mergeCell ref="C120:J120"/>
  </mergeCells>
  <dataValidations count="7">
    <dataValidation type="list" allowBlank="1" showInputMessage="1" showErrorMessage="1" sqref="C32:J33 C136:J137 C110:J111 C84:J85 C58:J59 C24:J24 C102:J102 C50:J50 C76:J76 C128:J128">
      <formula1>"Ya,Tidak"</formula1>
    </dataValidation>
    <dataValidation type="list" allowBlank="1" showInputMessage="1" showErrorMessage="1" sqref="C23:J23 C101:J101 C49:J49 C75:J75 C127:J127">
      <formula1>"Bagus,Cukup,Buruk"</formula1>
    </dataValidation>
    <dataValidation type="list" allowBlank="1" showInputMessage="1" showErrorMessage="1" sqref="C146:J146">
      <formula1>dependonpembeli</formula1>
    </dataValidation>
    <dataValidation type="list" allowBlank="1" showInputMessage="1" sqref="C27:J27 C53:J53 C79:J79 C105:J105 C131:J131">
      <formula1>frekuensi_order</formula1>
    </dataValidation>
    <dataValidation type="list" allowBlank="1" showInputMessage="1" sqref="C28:J28 C54:J54 C80:J80 C106:J106 C132:J132">
      <formula1>carabayar</formula1>
    </dataValidation>
    <dataValidation type="list" allowBlank="1" showInputMessage="1" showErrorMessage="1" sqref="C31:J31 C135:J135 C109:J109 C83:J83 C57:J57">
      <formula1>$B$184:$B$191</formula1>
    </dataValidation>
    <dataValidation type="list" allowBlank="1" showInputMessage="1" showErrorMessage="1" sqref="C147:J147">
      <formula1>$O$139:$O$141</formula1>
    </dataValidation>
  </dataValidations>
  <pageMargins left="0.27559055118110198" right="0.35433070866141703" top="0.47244094488188998" bottom="0.31496062992126" header="0.43307086614173201" footer="0.23622047244094499"/>
  <pageSetup paperSize="9" scale="70" orientation="portrait" r:id="rId1"/>
  <headerFooter>
    <oddFooter>&amp;RTemplate &amp;"-,Italic"small size&amp;"-,Regular" 2017 v.3 - Page &amp;P of &amp;N</oddFooter>
  </headerFooter>
  <rowBreaks count="2" manualBreakCount="2">
    <brk id="61" min="1" max="9" man="1"/>
    <brk id="113" min="1"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S80"/>
  <sheetViews>
    <sheetView showGridLines="0" showZeros="0" zoomScaleSheetLayoutView="90" workbookViewId="0">
      <selection activeCell="C20" sqref="C20:J20"/>
    </sheetView>
  </sheetViews>
  <sheetFormatPr defaultRowHeight="15" x14ac:dyDescent="0.25"/>
  <cols>
    <col min="1" max="1" width="9.140625" style="385"/>
    <col min="2" max="2" width="53.5703125" style="385" customWidth="1"/>
    <col min="3" max="3" width="5.7109375" style="385" customWidth="1"/>
    <col min="4" max="4" width="14.42578125" style="385" customWidth="1"/>
    <col min="5" max="5" width="5.7109375" style="385" customWidth="1"/>
    <col min="6" max="6" width="15" style="385" customWidth="1"/>
    <col min="7" max="7" width="3.7109375" style="385" customWidth="1"/>
    <col min="8" max="8" width="14.42578125" style="385" customWidth="1"/>
    <col min="9" max="9" width="3.7109375" style="385" customWidth="1"/>
    <col min="10" max="10" width="20.140625" style="385" customWidth="1"/>
    <col min="11" max="19" width="9.140625" style="385" hidden="1" customWidth="1"/>
    <col min="20" max="16384" width="9.140625" style="385"/>
  </cols>
  <sheetData>
    <row r="1" spans="2:10" x14ac:dyDescent="0.25">
      <c r="B1" s="365"/>
      <c r="C1" s="365"/>
    </row>
    <row r="2" spans="2:10" ht="43.5" customHeight="1" thickBot="1" x14ac:dyDescent="0.4">
      <c r="B2" s="1556" t="s">
        <v>7816</v>
      </c>
      <c r="C2" s="1556"/>
      <c r="D2" s="1556"/>
      <c r="E2" s="1556"/>
      <c r="F2" s="1556"/>
      <c r="G2" s="1556"/>
      <c r="H2" s="1556"/>
      <c r="I2" s="1556"/>
      <c r="J2" s="1556"/>
    </row>
    <row r="3" spans="2:10" ht="15.75" thickTop="1" x14ac:dyDescent="0.25">
      <c r="B3" s="27"/>
      <c r="C3" s="27"/>
      <c r="D3" s="4"/>
      <c r="E3" s="4"/>
      <c r="F3" s="4"/>
      <c r="G3" s="4"/>
      <c r="H3" s="4"/>
      <c r="I3" s="4"/>
      <c r="J3" s="4"/>
    </row>
    <row r="4" spans="2:10" x14ac:dyDescent="0.25">
      <c r="B4" s="27" t="s">
        <v>54</v>
      </c>
      <c r="C4" s="1591" t="str">
        <f>'Informasi Debitur'!J5</f>
        <v xml:space="preserve">OH NJEN LIENG </v>
      </c>
      <c r="D4" s="1591"/>
      <c r="E4" s="1591"/>
      <c r="F4" s="1591"/>
      <c r="G4" s="1591"/>
      <c r="H4" s="1591"/>
      <c r="I4" s="1591"/>
      <c r="J4" s="1591"/>
    </row>
    <row r="5" spans="2:10" x14ac:dyDescent="0.25">
      <c r="B5" s="27" t="s">
        <v>84</v>
      </c>
      <c r="C5" s="1592" t="str">
        <f>'Informasi Debitur'!J7</f>
        <v>0008C00010251</v>
      </c>
      <c r="D5" s="1592"/>
      <c r="E5" s="1592"/>
      <c r="F5" s="1592"/>
      <c r="G5" s="1592"/>
      <c r="H5" s="1592"/>
      <c r="I5" s="1592"/>
      <c r="J5" s="1592"/>
    </row>
    <row r="6" spans="2:10" x14ac:dyDescent="0.25">
      <c r="B6" s="27" t="s">
        <v>7817</v>
      </c>
      <c r="C6" s="1593"/>
      <c r="D6" s="1593"/>
      <c r="E6" s="1593"/>
      <c r="F6" s="1593"/>
      <c r="G6" s="1593"/>
      <c r="H6" s="1593"/>
      <c r="I6" s="1593"/>
      <c r="J6" s="1593"/>
    </row>
    <row r="7" spans="2:10" x14ac:dyDescent="0.25">
      <c r="B7" s="27" t="s">
        <v>53</v>
      </c>
      <c r="C7" s="1594"/>
      <c r="D7" s="1594"/>
      <c r="E7" s="1594"/>
      <c r="F7" s="1594"/>
      <c r="G7" s="1594"/>
      <c r="H7" s="1594"/>
      <c r="I7" s="1594"/>
      <c r="J7" s="1594"/>
    </row>
    <row r="8" spans="2:10" x14ac:dyDescent="0.25">
      <c r="B8" s="27"/>
      <c r="C8" s="467"/>
      <c r="D8" s="467"/>
      <c r="E8" s="467"/>
      <c r="F8" s="467"/>
      <c r="G8" s="467"/>
      <c r="H8" s="467"/>
      <c r="I8" s="467"/>
      <c r="J8" s="467"/>
    </row>
    <row r="9" spans="2:10" ht="15" customHeight="1" x14ac:dyDescent="0.25">
      <c r="B9" s="1586" t="s">
        <v>7818</v>
      </c>
      <c r="C9" s="1586"/>
      <c r="D9" s="1586"/>
      <c r="E9" s="1586"/>
      <c r="F9" s="1586"/>
      <c r="G9" s="1586"/>
      <c r="H9" s="1586"/>
      <c r="I9" s="1586"/>
      <c r="J9" s="1586"/>
    </row>
    <row r="10" spans="2:10" ht="5.0999999999999996" customHeight="1" x14ac:dyDescent="0.25">
      <c r="B10" s="27"/>
      <c r="C10" s="27"/>
      <c r="D10" s="4"/>
      <c r="E10" s="4"/>
      <c r="F10" s="4"/>
      <c r="G10" s="4"/>
      <c r="H10" s="4"/>
      <c r="I10" s="4"/>
      <c r="J10" s="4"/>
    </row>
    <row r="11" spans="2:10" ht="15.75" x14ac:dyDescent="0.25">
      <c r="B11" s="1531" t="s">
        <v>7819</v>
      </c>
      <c r="C11" s="1531"/>
      <c r="D11" s="1531"/>
      <c r="E11" s="1531"/>
      <c r="F11" s="1531"/>
      <c r="G11" s="1531"/>
      <c r="H11" s="1531"/>
      <c r="I11" s="1531"/>
      <c r="J11" s="1531"/>
    </row>
    <row r="12" spans="2:10" ht="5.0999999999999996" customHeight="1" x14ac:dyDescent="0.25">
      <c r="B12" s="63"/>
      <c r="C12" s="63"/>
      <c r="D12" s="63"/>
      <c r="E12" s="63"/>
      <c r="F12" s="63"/>
      <c r="G12" s="63"/>
      <c r="H12" s="63"/>
      <c r="I12" s="63"/>
      <c r="J12" s="63"/>
    </row>
    <row r="13" spans="2:10" x14ac:dyDescent="0.25">
      <c r="B13" s="27" t="s">
        <v>17</v>
      </c>
      <c r="C13" s="1590"/>
      <c r="D13" s="1590"/>
      <c r="E13" s="1590"/>
      <c r="F13" s="1590"/>
      <c r="G13" s="1590"/>
      <c r="H13" s="1590"/>
      <c r="I13" s="1590"/>
      <c r="J13" s="1590"/>
    </row>
    <row r="14" spans="2:10" x14ac:dyDescent="0.25">
      <c r="B14" s="27" t="s">
        <v>45</v>
      </c>
      <c r="C14" s="1595"/>
      <c r="D14" s="1595"/>
      <c r="E14" s="1595"/>
      <c r="F14" s="1595"/>
      <c r="G14" s="1595"/>
      <c r="H14" s="1595"/>
      <c r="I14" s="1595"/>
      <c r="J14" s="1595"/>
    </row>
    <row r="15" spans="2:10" x14ac:dyDescent="0.25">
      <c r="B15" s="27" t="s">
        <v>66</v>
      </c>
      <c r="C15" s="1595"/>
      <c r="D15" s="1595"/>
      <c r="E15" s="1595"/>
      <c r="F15" s="1595"/>
      <c r="G15" s="1595"/>
      <c r="H15" s="1595"/>
      <c r="I15" s="1595"/>
      <c r="J15" s="1595"/>
    </row>
    <row r="16" spans="2:10" x14ac:dyDescent="0.25">
      <c r="B16" s="27" t="s">
        <v>67</v>
      </c>
      <c r="C16" s="1595"/>
      <c r="D16" s="1595"/>
      <c r="E16" s="1595"/>
      <c r="F16" s="1595"/>
      <c r="G16" s="1595"/>
      <c r="H16" s="1595"/>
      <c r="I16" s="1595"/>
      <c r="J16" s="1595"/>
    </row>
    <row r="17" spans="2:10" x14ac:dyDescent="0.25">
      <c r="B17" s="27" t="s">
        <v>7820</v>
      </c>
      <c r="C17" s="1595"/>
      <c r="D17" s="1595"/>
      <c r="E17" s="1595"/>
      <c r="F17" s="1595"/>
      <c r="G17" s="1595"/>
      <c r="H17" s="1595"/>
      <c r="I17" s="1595"/>
      <c r="J17" s="1595"/>
    </row>
    <row r="18" spans="2:10" x14ac:dyDescent="0.25">
      <c r="B18" s="27" t="s">
        <v>7821</v>
      </c>
      <c r="C18" s="1595"/>
      <c r="D18" s="1595"/>
      <c r="E18" s="1595"/>
      <c r="F18" s="1595"/>
      <c r="G18" s="1595"/>
      <c r="H18" s="1595"/>
      <c r="I18" s="1595"/>
      <c r="J18" s="1595"/>
    </row>
    <row r="19" spans="2:10" x14ac:dyDescent="0.25">
      <c r="B19" s="636" t="s">
        <v>1</v>
      </c>
      <c r="C19" s="1599"/>
      <c r="D19" s="1599"/>
      <c r="E19" s="1599"/>
      <c r="F19" s="1599"/>
      <c r="G19" s="1599"/>
      <c r="H19" s="1599"/>
      <c r="I19" s="1599"/>
      <c r="J19" s="1599"/>
    </row>
    <row r="20" spans="2:10" x14ac:dyDescent="0.25">
      <c r="B20" s="636" t="s">
        <v>742</v>
      </c>
      <c r="C20" s="1599"/>
      <c r="D20" s="1599"/>
      <c r="E20" s="1599"/>
      <c r="F20" s="1599"/>
      <c r="G20" s="1599"/>
      <c r="H20" s="1599"/>
      <c r="I20" s="1599"/>
      <c r="J20" s="1599"/>
    </row>
    <row r="21" spans="2:10" x14ac:dyDescent="0.25">
      <c r="B21" s="27" t="s">
        <v>732</v>
      </c>
      <c r="C21" s="1590"/>
      <c r="D21" s="1590"/>
      <c r="E21" s="1590"/>
      <c r="F21" s="1590"/>
      <c r="G21" s="1590"/>
      <c r="H21" s="1590"/>
      <c r="I21" s="1590"/>
      <c r="J21" s="1590"/>
    </row>
    <row r="22" spans="2:10" x14ac:dyDescent="0.25">
      <c r="B22" s="27" t="s">
        <v>57</v>
      </c>
      <c r="C22" s="1595"/>
      <c r="D22" s="1595"/>
      <c r="E22" s="1595"/>
      <c r="F22" s="1595"/>
      <c r="G22" s="1595"/>
      <c r="H22" s="1595"/>
      <c r="I22" s="1595"/>
      <c r="J22" s="1595"/>
    </row>
    <row r="23" spans="2:10" ht="30" x14ac:dyDescent="0.25">
      <c r="B23" s="636" t="s">
        <v>752</v>
      </c>
      <c r="C23" s="1599"/>
      <c r="D23" s="1599"/>
      <c r="E23" s="1599"/>
      <c r="F23" s="1599"/>
      <c r="G23" s="1599"/>
      <c r="H23" s="1599"/>
      <c r="I23" s="1599"/>
      <c r="J23" s="1599"/>
    </row>
    <row r="24" spans="2:10" x14ac:dyDescent="0.25">
      <c r="B24" s="27" t="s">
        <v>7822</v>
      </c>
      <c r="C24" s="1596"/>
      <c r="D24" s="1596"/>
      <c r="E24" s="1596"/>
      <c r="F24" s="1596"/>
      <c r="G24" s="1596"/>
      <c r="H24" s="1596"/>
      <c r="I24" s="1596"/>
      <c r="J24" s="1596"/>
    </row>
    <row r="25" spans="2:10" x14ac:dyDescent="0.25">
      <c r="B25" s="27" t="s">
        <v>740</v>
      </c>
      <c r="C25" s="1597">
        <f>C24/'Supplier Checking'!$D$164</f>
        <v>0</v>
      </c>
      <c r="D25" s="1598"/>
      <c r="E25" s="1598"/>
      <c r="F25" s="1598"/>
      <c r="G25" s="1598"/>
      <c r="H25" s="1598"/>
      <c r="I25" s="1598"/>
      <c r="J25" s="1598"/>
    </row>
    <row r="26" spans="2:10" ht="30" x14ac:dyDescent="0.25">
      <c r="B26" s="30" t="s">
        <v>580</v>
      </c>
      <c r="C26" s="1595"/>
      <c r="D26" s="1595"/>
      <c r="E26" s="1595"/>
      <c r="F26" s="1595"/>
      <c r="G26" s="1595"/>
      <c r="H26" s="1595"/>
      <c r="I26" s="1595"/>
      <c r="J26" s="1595"/>
    </row>
    <row r="27" spans="2:10" x14ac:dyDescent="0.25">
      <c r="B27" s="27" t="s">
        <v>576</v>
      </c>
      <c r="C27" s="1595"/>
      <c r="D27" s="1595"/>
      <c r="E27" s="1595"/>
      <c r="F27" s="1595"/>
      <c r="G27" s="1595"/>
      <c r="H27" s="1595"/>
      <c r="I27" s="1595"/>
      <c r="J27" s="1595"/>
    </row>
    <row r="28" spans="2:10" x14ac:dyDescent="0.25">
      <c r="B28" s="30" t="s">
        <v>77</v>
      </c>
      <c r="C28" s="1595"/>
      <c r="D28" s="1595"/>
      <c r="E28" s="1595"/>
      <c r="F28" s="1595"/>
      <c r="G28" s="1595"/>
      <c r="H28" s="1595"/>
      <c r="I28" s="1595"/>
      <c r="J28" s="1595"/>
    </row>
    <row r="29" spans="2:10" x14ac:dyDescent="0.25">
      <c r="B29" s="30"/>
      <c r="C29" s="1066"/>
      <c r="D29" s="752" t="s">
        <v>75</v>
      </c>
      <c r="E29" s="1066"/>
      <c r="F29" s="753" t="s">
        <v>76</v>
      </c>
      <c r="G29" s="752"/>
      <c r="H29" s="752"/>
      <c r="I29" s="752"/>
      <c r="J29" s="752"/>
    </row>
    <row r="30" spans="2:10" x14ac:dyDescent="0.25">
      <c r="B30" s="27" t="s">
        <v>733</v>
      </c>
      <c r="C30" s="1590"/>
      <c r="D30" s="1590"/>
      <c r="E30" s="1590"/>
      <c r="F30" s="1590"/>
      <c r="G30" s="1590"/>
      <c r="H30" s="1590"/>
      <c r="I30" s="1590"/>
      <c r="J30" s="1590"/>
    </row>
    <row r="31" spans="2:10" x14ac:dyDescent="0.25">
      <c r="B31" s="28" t="s">
        <v>58</v>
      </c>
      <c r="C31" s="1600"/>
      <c r="D31" s="1600"/>
      <c r="E31" s="1600"/>
      <c r="F31" s="1600"/>
      <c r="G31" s="1600"/>
      <c r="H31" s="1600"/>
      <c r="I31" s="1600"/>
      <c r="J31" s="1600"/>
    </row>
    <row r="32" spans="2:10" ht="30" x14ac:dyDescent="0.25">
      <c r="B32" s="27" t="s">
        <v>59</v>
      </c>
      <c r="C32" s="1600"/>
      <c r="D32" s="1600"/>
      <c r="E32" s="1600"/>
      <c r="F32" s="1600"/>
      <c r="G32" s="1600"/>
      <c r="H32" s="1600"/>
      <c r="I32" s="1600"/>
      <c r="J32" s="1600"/>
    </row>
    <row r="33" spans="2:10" x14ac:dyDescent="0.25">
      <c r="B33" s="27" t="s">
        <v>60</v>
      </c>
      <c r="C33" s="1595"/>
      <c r="D33" s="1595"/>
      <c r="E33" s="1595"/>
      <c r="F33" s="1595"/>
      <c r="G33" s="1595"/>
      <c r="H33" s="1595"/>
      <c r="I33" s="1595"/>
      <c r="J33" s="1595"/>
    </row>
    <row r="34" spans="2:10" x14ac:dyDescent="0.25">
      <c r="B34" s="4"/>
      <c r="C34" s="751" t="s">
        <v>65</v>
      </c>
      <c r="D34" s="751"/>
      <c r="E34" s="1523"/>
      <c r="F34" s="1523"/>
      <c r="G34" s="1523"/>
      <c r="H34" s="1523"/>
      <c r="I34" s="1523"/>
      <c r="J34" s="1523"/>
    </row>
    <row r="35" spans="2:10" x14ac:dyDescent="0.25">
      <c r="B35" s="4"/>
      <c r="C35" s="1601"/>
      <c r="D35" s="1601"/>
      <c r="E35" s="1601"/>
      <c r="F35" s="1601"/>
      <c r="G35" s="1601"/>
      <c r="H35" s="1601"/>
      <c r="I35" s="1601"/>
      <c r="J35" s="1601"/>
    </row>
    <row r="36" spans="2:10" ht="15" customHeight="1" x14ac:dyDescent="0.25">
      <c r="B36" s="27"/>
      <c r="C36" s="27"/>
      <c r="D36" s="4"/>
      <c r="E36" s="4"/>
      <c r="F36" s="4"/>
      <c r="G36" s="4"/>
      <c r="H36" s="4"/>
      <c r="I36" s="4"/>
      <c r="J36" s="4"/>
    </row>
    <row r="37" spans="2:10" ht="15.75" x14ac:dyDescent="0.25">
      <c r="B37" s="1531" t="s">
        <v>7823</v>
      </c>
      <c r="C37" s="1531"/>
      <c r="D37" s="1531"/>
      <c r="E37" s="1531"/>
      <c r="F37" s="1531"/>
      <c r="G37" s="1531"/>
      <c r="H37" s="1531"/>
      <c r="I37" s="1531"/>
      <c r="J37" s="1531"/>
    </row>
    <row r="38" spans="2:10" ht="5.0999999999999996" customHeight="1" x14ac:dyDescent="0.25">
      <c r="B38" s="63"/>
      <c r="C38" s="63"/>
      <c r="D38" s="63"/>
      <c r="E38" s="63"/>
      <c r="F38" s="63"/>
      <c r="G38" s="63"/>
      <c r="H38" s="63"/>
      <c r="I38" s="63"/>
      <c r="J38" s="63"/>
    </row>
    <row r="39" spans="2:10" x14ac:dyDescent="0.25">
      <c r="B39" s="27" t="s">
        <v>211</v>
      </c>
      <c r="C39" s="1590"/>
      <c r="D39" s="1590"/>
      <c r="E39" s="1590"/>
      <c r="F39" s="1590"/>
      <c r="G39" s="1590"/>
      <c r="H39" s="1590"/>
      <c r="I39" s="1590"/>
      <c r="J39" s="1590"/>
    </row>
    <row r="40" spans="2:10" x14ac:dyDescent="0.25">
      <c r="B40" s="27" t="s">
        <v>45</v>
      </c>
      <c r="C40" s="1595"/>
      <c r="D40" s="1595"/>
      <c r="E40" s="1595"/>
      <c r="F40" s="1595"/>
      <c r="G40" s="1595"/>
      <c r="H40" s="1595"/>
      <c r="I40" s="1595"/>
      <c r="J40" s="1595"/>
    </row>
    <row r="41" spans="2:10" x14ac:dyDescent="0.25">
      <c r="B41" s="27" t="s">
        <v>66</v>
      </c>
      <c r="C41" s="1595"/>
      <c r="D41" s="1595"/>
      <c r="E41" s="1595"/>
      <c r="F41" s="1595"/>
      <c r="G41" s="1595"/>
      <c r="H41" s="1595"/>
      <c r="I41" s="1595"/>
      <c r="J41" s="1595"/>
    </row>
    <row r="42" spans="2:10" x14ac:dyDescent="0.25">
      <c r="B42" s="27" t="s">
        <v>67</v>
      </c>
      <c r="C42" s="1595"/>
      <c r="D42" s="1595"/>
      <c r="E42" s="1595"/>
      <c r="F42" s="1595"/>
      <c r="G42" s="1595"/>
      <c r="H42" s="1595"/>
      <c r="I42" s="1595"/>
      <c r="J42" s="1595"/>
    </row>
    <row r="43" spans="2:10" x14ac:dyDescent="0.25">
      <c r="B43" s="636" t="s">
        <v>1</v>
      </c>
      <c r="C43" s="1599"/>
      <c r="D43" s="1599"/>
      <c r="E43" s="1599"/>
      <c r="F43" s="1599"/>
      <c r="G43" s="1599"/>
      <c r="H43" s="1599"/>
      <c r="I43" s="1599"/>
      <c r="J43" s="1599"/>
    </row>
    <row r="44" spans="2:10" x14ac:dyDescent="0.25">
      <c r="B44" s="636" t="s">
        <v>742</v>
      </c>
      <c r="C44" s="1599"/>
      <c r="D44" s="1599"/>
      <c r="E44" s="1599"/>
      <c r="F44" s="1599"/>
      <c r="G44" s="1599"/>
      <c r="H44" s="1599"/>
      <c r="I44" s="1599"/>
      <c r="J44" s="1599"/>
    </row>
    <row r="45" spans="2:10" x14ac:dyDescent="0.25">
      <c r="B45" s="27" t="s">
        <v>732</v>
      </c>
      <c r="C45" s="1590"/>
      <c r="D45" s="1590"/>
      <c r="E45" s="1590"/>
      <c r="F45" s="1590"/>
      <c r="G45" s="1590"/>
      <c r="H45" s="1590"/>
      <c r="I45" s="1590"/>
      <c r="J45" s="1590"/>
    </row>
    <row r="46" spans="2:10" x14ac:dyDescent="0.25">
      <c r="B46" s="27" t="s">
        <v>70</v>
      </c>
      <c r="C46" s="1595"/>
      <c r="D46" s="1595"/>
      <c r="E46" s="1595"/>
      <c r="F46" s="1595"/>
      <c r="G46" s="1595"/>
      <c r="H46" s="1595"/>
      <c r="I46" s="1595"/>
      <c r="J46" s="1595"/>
    </row>
    <row r="47" spans="2:10" ht="15" customHeight="1" x14ac:dyDescent="0.25">
      <c r="B47" s="27" t="s">
        <v>71</v>
      </c>
      <c r="C47" s="1595"/>
      <c r="D47" s="1595"/>
      <c r="E47" s="1595"/>
      <c r="F47" s="1595"/>
      <c r="G47" s="1595"/>
      <c r="H47" s="1595"/>
      <c r="I47" s="1595"/>
      <c r="J47" s="1595"/>
    </row>
    <row r="48" spans="2:10" ht="30" x14ac:dyDescent="0.25">
      <c r="B48" s="636" t="s">
        <v>753</v>
      </c>
      <c r="C48" s="1599"/>
      <c r="D48" s="1599"/>
      <c r="E48" s="1599"/>
      <c r="F48" s="1599"/>
      <c r="G48" s="1599"/>
      <c r="H48" s="1599"/>
      <c r="I48" s="1599"/>
      <c r="J48" s="1599"/>
    </row>
    <row r="49" spans="2:10" x14ac:dyDescent="0.25">
      <c r="B49" s="27" t="s">
        <v>739</v>
      </c>
      <c r="C49" s="1596"/>
      <c r="D49" s="1596"/>
      <c r="E49" s="1596"/>
      <c r="F49" s="1596"/>
      <c r="G49" s="1596"/>
      <c r="H49" s="1596"/>
      <c r="I49" s="1596"/>
      <c r="J49" s="1596"/>
    </row>
    <row r="50" spans="2:10" x14ac:dyDescent="0.25">
      <c r="B50" s="636" t="s">
        <v>738</v>
      </c>
      <c r="C50" s="1602">
        <f>C49/'Buyer Checking'!$D$162</f>
        <v>0</v>
      </c>
      <c r="D50" s="1602"/>
      <c r="E50" s="1602"/>
      <c r="F50" s="1602"/>
      <c r="G50" s="1602"/>
      <c r="H50" s="1602"/>
      <c r="I50" s="1602"/>
      <c r="J50" s="1602"/>
    </row>
    <row r="51" spans="2:10" ht="30" x14ac:dyDescent="0.25">
      <c r="B51" s="27" t="s">
        <v>741</v>
      </c>
      <c r="C51" s="1595"/>
      <c r="D51" s="1595"/>
      <c r="E51" s="1595"/>
      <c r="F51" s="1595"/>
      <c r="G51" s="1595"/>
      <c r="H51" s="1595"/>
      <c r="I51" s="1595"/>
      <c r="J51" s="1595"/>
    </row>
    <row r="52" spans="2:10" x14ac:dyDescent="0.25">
      <c r="B52" s="27" t="s">
        <v>576</v>
      </c>
      <c r="C52" s="1595"/>
      <c r="D52" s="1595"/>
      <c r="E52" s="1595"/>
      <c r="F52" s="1595"/>
      <c r="G52" s="1595"/>
      <c r="H52" s="1595"/>
      <c r="I52" s="1595"/>
      <c r="J52" s="1595"/>
    </row>
    <row r="53" spans="2:10" x14ac:dyDescent="0.25">
      <c r="B53" s="30" t="s">
        <v>77</v>
      </c>
      <c r="C53" s="1595"/>
      <c r="D53" s="1595"/>
      <c r="E53" s="1595"/>
      <c r="F53" s="1595"/>
      <c r="G53" s="1595"/>
      <c r="H53" s="1595"/>
      <c r="I53" s="1595"/>
      <c r="J53" s="1595"/>
    </row>
    <row r="54" spans="2:10" x14ac:dyDescent="0.25">
      <c r="B54" s="30"/>
      <c r="C54" s="1066"/>
      <c r="D54" s="752" t="s">
        <v>75</v>
      </c>
      <c r="E54" s="1066"/>
      <c r="F54" s="753" t="s">
        <v>76</v>
      </c>
      <c r="G54" s="752"/>
      <c r="H54" s="752"/>
      <c r="I54" s="752"/>
      <c r="J54" s="752"/>
    </row>
    <row r="55" spans="2:10" x14ac:dyDescent="0.25">
      <c r="B55" s="27" t="s">
        <v>733</v>
      </c>
      <c r="C55" s="1590"/>
      <c r="D55" s="1590"/>
      <c r="E55" s="1590"/>
      <c r="F55" s="1590"/>
      <c r="G55" s="1590"/>
      <c r="H55" s="1590"/>
      <c r="I55" s="1590"/>
      <c r="J55" s="1590"/>
    </row>
    <row r="56" spans="2:10" x14ac:dyDescent="0.25">
      <c r="B56" s="28" t="s">
        <v>69</v>
      </c>
      <c r="C56" s="1600"/>
      <c r="D56" s="1600"/>
      <c r="E56" s="1600"/>
      <c r="F56" s="1600"/>
      <c r="G56" s="1600"/>
      <c r="H56" s="1600"/>
      <c r="I56" s="1600"/>
      <c r="J56" s="1600"/>
    </row>
    <row r="57" spans="2:10" ht="30" x14ac:dyDescent="0.25">
      <c r="B57" s="27" t="s">
        <v>59</v>
      </c>
      <c r="C57" s="1600"/>
      <c r="D57" s="1600"/>
      <c r="E57" s="1600"/>
      <c r="F57" s="1600"/>
      <c r="G57" s="1600"/>
      <c r="H57" s="1600"/>
      <c r="I57" s="1600"/>
      <c r="J57" s="1600"/>
    </row>
    <row r="58" spans="2:10" x14ac:dyDescent="0.25">
      <c r="B58" s="27" t="s">
        <v>60</v>
      </c>
      <c r="C58" s="1595"/>
      <c r="D58" s="1595"/>
      <c r="E58" s="1595"/>
      <c r="F58" s="1595"/>
      <c r="G58" s="1595"/>
      <c r="H58" s="1595"/>
      <c r="I58" s="1595"/>
      <c r="J58" s="1595"/>
    </row>
    <row r="59" spans="2:10" x14ac:dyDescent="0.25">
      <c r="B59" s="4"/>
      <c r="C59" s="751" t="s">
        <v>65</v>
      </c>
      <c r="D59" s="290"/>
      <c r="E59" s="1523"/>
      <c r="F59" s="1523"/>
      <c r="G59" s="1523"/>
      <c r="H59" s="1523"/>
      <c r="I59" s="1523"/>
      <c r="J59" s="1523"/>
    </row>
    <row r="60" spans="2:10" x14ac:dyDescent="0.25">
      <c r="B60" s="4"/>
      <c r="C60" s="1601"/>
      <c r="D60" s="1601"/>
      <c r="E60" s="1601"/>
      <c r="F60" s="1601"/>
      <c r="G60" s="1601"/>
      <c r="H60" s="1601"/>
      <c r="I60" s="1601"/>
      <c r="J60" s="1601"/>
    </row>
    <row r="61" spans="2:10" ht="15" customHeight="1" x14ac:dyDescent="0.25">
      <c r="B61" s="27"/>
      <c r="C61" s="27"/>
      <c r="D61" s="4"/>
      <c r="E61" s="4"/>
      <c r="F61" s="4"/>
      <c r="G61" s="4"/>
      <c r="H61" s="4"/>
      <c r="I61" s="4"/>
      <c r="J61" s="4"/>
    </row>
    <row r="62" spans="2:10" ht="15" customHeight="1" x14ac:dyDescent="0.25">
      <c r="B62" s="27"/>
      <c r="C62" s="27"/>
      <c r="D62" s="4"/>
      <c r="E62" s="4"/>
      <c r="F62" s="4"/>
      <c r="G62" s="4"/>
      <c r="H62" s="4"/>
      <c r="I62" s="4"/>
      <c r="J62" s="4"/>
    </row>
    <row r="63" spans="2:10" ht="15" customHeight="1" x14ac:dyDescent="0.25">
      <c r="B63" s="27"/>
      <c r="C63" s="27"/>
      <c r="D63" s="4"/>
      <c r="E63" s="4"/>
      <c r="F63" s="4"/>
      <c r="G63" s="4"/>
      <c r="H63" s="1603" t="s">
        <v>4320</v>
      </c>
      <c r="I63" s="1604"/>
      <c r="J63" s="1605"/>
    </row>
    <row r="64" spans="2:10" ht="15" customHeight="1" x14ac:dyDescent="0.25">
      <c r="B64" s="27"/>
      <c r="C64" s="27"/>
      <c r="D64" s="4"/>
      <c r="E64" s="4"/>
      <c r="F64" s="4"/>
      <c r="G64" s="4"/>
      <c r="H64" s="775"/>
      <c r="I64" s="776"/>
      <c r="J64" s="777"/>
    </row>
    <row r="65" spans="1:10" ht="15" customHeight="1" x14ac:dyDescent="0.25">
      <c r="B65" s="27"/>
      <c r="C65" s="27"/>
      <c r="D65" s="4"/>
      <c r="E65" s="4"/>
      <c r="F65" s="4"/>
      <c r="G65" s="4"/>
      <c r="H65" s="778"/>
      <c r="I65" s="779"/>
      <c r="J65" s="780"/>
    </row>
    <row r="66" spans="1:10" ht="15" customHeight="1" x14ac:dyDescent="0.25">
      <c r="B66" s="27"/>
      <c r="C66" s="27"/>
      <c r="D66" s="4"/>
      <c r="E66" s="4"/>
      <c r="F66" s="4"/>
      <c r="G66" s="4"/>
      <c r="H66" s="778"/>
      <c r="I66" s="779"/>
      <c r="J66" s="780"/>
    </row>
    <row r="67" spans="1:10" ht="15" customHeight="1" x14ac:dyDescent="0.25">
      <c r="B67" s="27"/>
      <c r="C67" s="27"/>
      <c r="D67" s="4"/>
      <c r="E67" s="4"/>
      <c r="F67" s="4"/>
      <c r="G67" s="4"/>
      <c r="H67" s="781"/>
      <c r="I67" s="782"/>
      <c r="J67" s="783"/>
    </row>
    <row r="68" spans="1:10" ht="15" customHeight="1" x14ac:dyDescent="0.25">
      <c r="B68" s="27"/>
      <c r="C68" s="27"/>
      <c r="D68" s="4"/>
      <c r="E68" s="4"/>
      <c r="F68" s="4"/>
      <c r="G68" s="4"/>
      <c r="H68" s="1606" t="s">
        <v>10</v>
      </c>
      <c r="I68" s="1607"/>
      <c r="J68" s="1608"/>
    </row>
    <row r="69" spans="1:10" ht="15" customHeight="1" x14ac:dyDescent="0.25">
      <c r="B69" s="27"/>
      <c r="C69" s="27"/>
      <c r="D69" s="4"/>
      <c r="E69" s="4"/>
      <c r="F69" s="4"/>
      <c r="G69" s="4"/>
      <c r="H69" s="1606" t="s">
        <v>651</v>
      </c>
      <c r="I69" s="1607"/>
      <c r="J69" s="1608"/>
    </row>
    <row r="70" spans="1:10" ht="15" customHeight="1" x14ac:dyDescent="0.25">
      <c r="B70" s="27"/>
      <c r="C70" s="27"/>
      <c r="D70" s="4"/>
      <c r="E70" s="4"/>
      <c r="F70" s="4"/>
      <c r="G70" s="4"/>
      <c r="H70" s="4"/>
      <c r="I70" s="4"/>
      <c r="J70" s="4"/>
    </row>
    <row r="73" spans="1:10" x14ac:dyDescent="0.25">
      <c r="A73" s="369"/>
      <c r="B73" s="375"/>
      <c r="C73" s="365"/>
      <c r="D73" s="369"/>
    </row>
    <row r="74" spans="1:10" x14ac:dyDescent="0.25">
      <c r="A74" s="369"/>
      <c r="B74" s="375"/>
      <c r="C74" s="365"/>
      <c r="D74" s="369"/>
    </row>
    <row r="75" spans="1:10" x14ac:dyDescent="0.25">
      <c r="A75" s="369"/>
      <c r="B75" s="375"/>
      <c r="C75" s="365"/>
      <c r="D75" s="369"/>
    </row>
    <row r="76" spans="1:10" x14ac:dyDescent="0.25">
      <c r="A76" s="369"/>
      <c r="B76" s="375"/>
      <c r="C76" s="365"/>
      <c r="D76" s="369"/>
    </row>
    <row r="77" spans="1:10" x14ac:dyDescent="0.25">
      <c r="A77" s="369"/>
      <c r="B77" s="375"/>
      <c r="C77" s="365"/>
      <c r="D77" s="369"/>
    </row>
    <row r="78" spans="1:10" x14ac:dyDescent="0.25">
      <c r="A78" s="369"/>
      <c r="B78" s="375"/>
      <c r="C78" s="365"/>
      <c r="D78" s="369"/>
    </row>
    <row r="79" spans="1:10" x14ac:dyDescent="0.25">
      <c r="A79" s="369"/>
      <c r="B79" s="375"/>
      <c r="C79" s="365"/>
      <c r="D79" s="369"/>
    </row>
    <row r="80" spans="1:10" x14ac:dyDescent="0.25">
      <c r="A80" s="369"/>
      <c r="B80" s="375"/>
      <c r="C80" s="365"/>
      <c r="D80" s="369"/>
    </row>
  </sheetData>
  <sheetProtection password="CCA9" sheet="1" formatRows="0" selectLockedCells="1"/>
  <mergeCells count="54">
    <mergeCell ref="H63:J63"/>
    <mergeCell ref="H68:J68"/>
    <mergeCell ref="H69:J69"/>
    <mergeCell ref="E59:J59"/>
    <mergeCell ref="C60:J60"/>
    <mergeCell ref="C41:J41"/>
    <mergeCell ref="C42:J42"/>
    <mergeCell ref="C43:J43"/>
    <mergeCell ref="C44:J44"/>
    <mergeCell ref="C49:J49"/>
    <mergeCell ref="C50:J50"/>
    <mergeCell ref="C58:J58"/>
    <mergeCell ref="C45:J45"/>
    <mergeCell ref="C46:J46"/>
    <mergeCell ref="C47:J47"/>
    <mergeCell ref="C48:J48"/>
    <mergeCell ref="C52:J52"/>
    <mergeCell ref="C51:J51"/>
    <mergeCell ref="C53:J53"/>
    <mergeCell ref="C55:J55"/>
    <mergeCell ref="C56:J56"/>
    <mergeCell ref="C57:J57"/>
    <mergeCell ref="C40:J40"/>
    <mergeCell ref="C26:J26"/>
    <mergeCell ref="C28:J28"/>
    <mergeCell ref="C30:J30"/>
    <mergeCell ref="C31:J31"/>
    <mergeCell ref="C27:J27"/>
    <mergeCell ref="C32:J32"/>
    <mergeCell ref="C33:J33"/>
    <mergeCell ref="E34:J34"/>
    <mergeCell ref="C35:J35"/>
    <mergeCell ref="B37:J37"/>
    <mergeCell ref="C39:J39"/>
    <mergeCell ref="C21:J21"/>
    <mergeCell ref="C22:J22"/>
    <mergeCell ref="C24:J24"/>
    <mergeCell ref="C25:J25"/>
    <mergeCell ref="C19:J19"/>
    <mergeCell ref="C20:J20"/>
    <mergeCell ref="C23:J23"/>
    <mergeCell ref="C14:J14"/>
    <mergeCell ref="C15:J15"/>
    <mergeCell ref="C16:J16"/>
    <mergeCell ref="C17:J17"/>
    <mergeCell ref="C18:J18"/>
    <mergeCell ref="B11:J11"/>
    <mergeCell ref="C13:J13"/>
    <mergeCell ref="B2:J2"/>
    <mergeCell ref="C4:J4"/>
    <mergeCell ref="C5:J5"/>
    <mergeCell ref="C6:J6"/>
    <mergeCell ref="C7:J7"/>
    <mergeCell ref="B9:J9"/>
  </mergeCells>
  <dataValidations count="7">
    <dataValidation type="list" allowBlank="1" showInputMessage="1" showErrorMessage="1" sqref="C56:J56 C31:J31">
      <formula1>Ketepatan_bayar</formula1>
    </dataValidation>
    <dataValidation type="list" allowBlank="1" showInputMessage="1" sqref="C53:J53 C28:J28">
      <formula1>carabayar</formula1>
    </dataValidation>
    <dataValidation type="list" allowBlank="1" showInputMessage="1" sqref="C51:J51 C26:J26">
      <formula1>frekuensi_order</formula1>
    </dataValidation>
    <dataValidation type="list" allowBlank="1" showInputMessage="1" showErrorMessage="1" sqref="C47:J47">
      <formula1>"Bagus,Cukup,Buruk"</formula1>
    </dataValidation>
    <dataValidation type="list" allowBlank="1" showInputMessage="1" showErrorMessage="1" sqref="C48:J48 C57:J58 C23:J23 C32:J33">
      <formula1>"Ya,Tidak"</formula1>
    </dataValidation>
    <dataValidation type="list" allowBlank="1" showInputMessage="1" sqref="C52:J52 C27:J27">
      <formula1>frekuensi</formula1>
    </dataValidation>
    <dataValidation type="list" allowBlank="1" showInputMessage="1" showErrorMessage="1" sqref="C17:J18">
      <formula1>"Trade Checking,Document Checking,Market Checking"</formula1>
    </dataValidation>
  </dataValidations>
  <pageMargins left="0.27559055118110198" right="0.35433070866141703" top="0.47244094488188998" bottom="0.31496062992126" header="0.43307086614173201" footer="0.23622047244094499"/>
  <pageSetup paperSize="9" scale="70" orientation="portrait" r:id="rId1"/>
  <headerFooter>
    <oddFooter>&amp;RTemplate &amp;"-,Italic"small size&amp;"-,Regular" 2017 - Page &amp;P of &amp;N</oddFooter>
  </headerFooter>
  <rowBreaks count="1" manualBreakCount="1">
    <brk id="60" min="1" max="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200</vt:i4>
      </vt:variant>
    </vt:vector>
  </HeadingPairs>
  <TitlesOfParts>
    <vt:vector size="224" baseType="lpstr">
      <vt:lpstr>Home</vt:lpstr>
      <vt:lpstr>Informasi Debitur</vt:lpstr>
      <vt:lpstr>Order appraisal</vt:lpstr>
      <vt:lpstr>Oder BI checking</vt:lpstr>
      <vt:lpstr>Order Trade Checking</vt:lpstr>
      <vt:lpstr>Supplier Checking</vt:lpstr>
      <vt:lpstr>Buyer Checking</vt:lpstr>
      <vt:lpstr>Random Checking</vt:lpstr>
      <vt:lpstr>Analisa Lap Keu</vt:lpstr>
      <vt:lpstr>Analisa Rek Koran</vt:lpstr>
      <vt:lpstr>RAC</vt:lpstr>
      <vt:lpstr>MKK</vt:lpstr>
      <vt:lpstr>Memo Review</vt:lpstr>
      <vt:lpstr>Pelaporan BI</vt:lpstr>
      <vt:lpstr>Sandi BI Existing Debitur</vt:lpstr>
      <vt:lpstr>Tabel Map Industry</vt:lpstr>
      <vt:lpstr>Surat Penawaran</vt:lpstr>
      <vt:lpstr>Surat Penawaran (2)</vt:lpstr>
      <vt:lpstr>Order Notaris</vt:lpstr>
      <vt:lpstr>Sheet2</vt:lpstr>
      <vt:lpstr>Database</vt:lpstr>
      <vt:lpstr>Mapping SIDLBU</vt:lpstr>
      <vt:lpstr>Value</vt:lpstr>
      <vt:lpstr>Cabang SME</vt:lpstr>
      <vt:lpstr>_reg2</vt:lpstr>
      <vt:lpstr>_reg3</vt:lpstr>
      <vt:lpstr>_reg4</vt:lpstr>
      <vt:lpstr>_reg5</vt:lpstr>
      <vt:lpstr>_reg6</vt:lpstr>
      <vt:lpstr>_reg7</vt:lpstr>
      <vt:lpstr>_reg8</vt:lpstr>
      <vt:lpstr>_SID860</vt:lpstr>
      <vt:lpstr>_SID891</vt:lpstr>
      <vt:lpstr>_SID892</vt:lpstr>
      <vt:lpstr>_SID893</vt:lpstr>
      <vt:lpstr>_SID894</vt:lpstr>
      <vt:lpstr>_SID895</vt:lpstr>
      <vt:lpstr>_SID896</vt:lpstr>
      <vt:lpstr>_SID897</vt:lpstr>
      <vt:lpstr>_SID898</vt:lpstr>
      <vt:lpstr>_SID900</vt:lpstr>
      <vt:lpstr>_SID901</vt:lpstr>
      <vt:lpstr>_SID902</vt:lpstr>
      <vt:lpstr>_SID907</vt:lpstr>
      <vt:lpstr>ANIMALS</vt:lpstr>
      <vt:lpstr>ANIMALS_2</vt:lpstr>
      <vt:lpstr>AUTOMOTIVE</vt:lpstr>
      <vt:lpstr>AUTOMOTIVE_2</vt:lpstr>
      <vt:lpstr>availability</vt:lpstr>
      <vt:lpstr>b</vt:lpstr>
      <vt:lpstr>branch_name2</vt:lpstr>
      <vt:lpstr>BUILDING</vt:lpstr>
      <vt:lpstr>BUILDING_2</vt:lpstr>
      <vt:lpstr>buyer_checking</vt:lpstr>
      <vt:lpstr>buyerchecking</vt:lpstr>
      <vt:lpstr>cab_sme1</vt:lpstr>
      <vt:lpstr>cab_sme2</vt:lpstr>
      <vt:lpstr>cabang</vt:lpstr>
      <vt:lpstr>Cabang_SME</vt:lpstr>
      <vt:lpstr>cabang_sme1</vt:lpstr>
      <vt:lpstr>Canvassing</vt:lpstr>
      <vt:lpstr>carabayar</vt:lpstr>
      <vt:lpstr>Cat_deb</vt:lpstr>
      <vt:lpstr>CHEMICAL</vt:lpstr>
      <vt:lpstr>CHEMICAL_2</vt:lpstr>
      <vt:lpstr>COAL</vt:lpstr>
      <vt:lpstr>COAL_2</vt:lpstr>
      <vt:lpstr>COMODITY</vt:lpstr>
      <vt:lpstr>COMODITY_2</vt:lpstr>
      <vt:lpstr>CONSTRUCTION</vt:lpstr>
      <vt:lpstr>CONSTRUCTION_2</vt:lpstr>
      <vt:lpstr>CONSULTING</vt:lpstr>
      <vt:lpstr>CONSULTING_2</vt:lpstr>
      <vt:lpstr>CONSUMABLE</vt:lpstr>
      <vt:lpstr>CONSUMABLE_2</vt:lpstr>
      <vt:lpstr>CRUMB</vt:lpstr>
      <vt:lpstr>CRUMB_2</vt:lpstr>
      <vt:lpstr>currency</vt:lpstr>
      <vt:lpstr>currency_2</vt:lpstr>
      <vt:lpstr>Dati</vt:lpstr>
      <vt:lpstr>debitur_perorangan</vt:lpstr>
      <vt:lpstr>debitur_perusahaan</vt:lpstr>
      <vt:lpstr>dependonpembeli</vt:lpstr>
      <vt:lpstr>dependonsupplier</vt:lpstr>
      <vt:lpstr>ditempati</vt:lpstr>
      <vt:lpstr>ditempatu</vt:lpstr>
      <vt:lpstr>dpd_3months</vt:lpstr>
      <vt:lpstr>DPD_3MTH</vt:lpstr>
      <vt:lpstr>ELECTRICITY</vt:lpstr>
      <vt:lpstr>ELECTRICITY_2</vt:lpstr>
      <vt:lpstr>emosi_corp</vt:lpstr>
      <vt:lpstr>emosi_ind</vt:lpstr>
      <vt:lpstr>FABRICATED</vt:lpstr>
      <vt:lpstr>FABRICATED_2</vt:lpstr>
      <vt:lpstr>fasilitas</vt:lpstr>
      <vt:lpstr>fasilitas_2</vt:lpstr>
      <vt:lpstr>fasilitas_3</vt:lpstr>
      <vt:lpstr>FOOD</vt:lpstr>
      <vt:lpstr>FOOD_2</vt:lpstr>
      <vt:lpstr>FORESTRY</vt:lpstr>
      <vt:lpstr>FORESTRY_2</vt:lpstr>
      <vt:lpstr>frekuensi</vt:lpstr>
      <vt:lpstr>frekuensi_order</vt:lpstr>
      <vt:lpstr>FS</vt:lpstr>
      <vt:lpstr>GARMEN</vt:lpstr>
      <vt:lpstr>GARMEN_2</vt:lpstr>
      <vt:lpstr>goldeb_LBU</vt:lpstr>
      <vt:lpstr>golkredit_SID</vt:lpstr>
      <vt:lpstr>golongandeb_SID</vt:lpstr>
      <vt:lpstr>guarantor</vt:lpstr>
      <vt:lpstr>HOME</vt:lpstr>
      <vt:lpstr>HOME_2</vt:lpstr>
      <vt:lpstr>HOSPITAL</vt:lpstr>
      <vt:lpstr>HOSPITAL_2</vt:lpstr>
      <vt:lpstr>HOTEL</vt:lpstr>
      <vt:lpstr>HOTEL_2</vt:lpstr>
      <vt:lpstr>hubdgnbank_SID</vt:lpstr>
      <vt:lpstr>industri_group</vt:lpstr>
      <vt:lpstr>Industry_Group</vt:lpstr>
      <vt:lpstr>jabatan</vt:lpstr>
      <vt:lpstr>jabatan1</vt:lpstr>
      <vt:lpstr>jaminan</vt:lpstr>
      <vt:lpstr>jenis_guarantor</vt:lpstr>
      <vt:lpstr>jenkre_LBU</vt:lpstr>
      <vt:lpstr>kat_portLBU</vt:lpstr>
      <vt:lpstr>katdeb_LBU</vt:lpstr>
      <vt:lpstr>katpeng_lbu</vt:lpstr>
      <vt:lpstr>katport_LBU</vt:lpstr>
      <vt:lpstr>ketepatan</vt:lpstr>
      <vt:lpstr>Ketepatan_bayar</vt:lpstr>
      <vt:lpstr>kolektabilitas</vt:lpstr>
      <vt:lpstr>LEATHER</vt:lpstr>
      <vt:lpstr>LEATHER_2</vt:lpstr>
      <vt:lpstr>legal</vt:lpstr>
      <vt:lpstr>lokasi_lbu</vt:lpstr>
      <vt:lpstr>lokasi_SID</vt:lpstr>
      <vt:lpstr>mata_uang</vt:lpstr>
      <vt:lpstr>number</vt:lpstr>
      <vt:lpstr>OIL</vt:lpstr>
      <vt:lpstr>OIL_2</vt:lpstr>
      <vt:lpstr>OTHERS</vt:lpstr>
      <vt:lpstr>OTHERS_2</vt:lpstr>
      <vt:lpstr>pejabat2</vt:lpstr>
      <vt:lpstr>pendiri_corp</vt:lpstr>
      <vt:lpstr>pendiri_ind</vt:lpstr>
      <vt:lpstr>pengikatan</vt:lpstr>
      <vt:lpstr>pengikatan_1</vt:lpstr>
      <vt:lpstr>pengurus</vt:lpstr>
      <vt:lpstr>penilai</vt:lpstr>
      <vt:lpstr>PLANTATION</vt:lpstr>
      <vt:lpstr>PLANTATION_2</vt:lpstr>
      <vt:lpstr>PLASTIC</vt:lpstr>
      <vt:lpstr>PLASTIC_2</vt:lpstr>
      <vt:lpstr>'Analisa Lap Keu'!Print_Area</vt:lpstr>
      <vt:lpstr>'Analisa Rek Koran'!Print_Area</vt:lpstr>
      <vt:lpstr>'Buyer Checking'!Print_Area</vt:lpstr>
      <vt:lpstr>Home!Print_Area</vt:lpstr>
      <vt:lpstr>'Informasi Debitur'!Print_Area</vt:lpstr>
      <vt:lpstr>'Memo Review'!Print_Area</vt:lpstr>
      <vt:lpstr>MKK!Print_Area</vt:lpstr>
      <vt:lpstr>'Oder BI checking'!Print_Area</vt:lpstr>
      <vt:lpstr>'Order appraisal'!Print_Area</vt:lpstr>
      <vt:lpstr>'Order Notaris'!Print_Area</vt:lpstr>
      <vt:lpstr>'Order Trade Checking'!Print_Area</vt:lpstr>
      <vt:lpstr>'Pelaporan BI'!Print_Area</vt:lpstr>
      <vt:lpstr>RAC!Print_Area</vt:lpstr>
      <vt:lpstr>'Random Checking'!Print_Area</vt:lpstr>
      <vt:lpstr>'Supplier Checking'!Print_Area</vt:lpstr>
      <vt:lpstr>'Surat Penawaran'!Print_Area</vt:lpstr>
      <vt:lpstr>'Surat Penawaran (2)'!Print_Area</vt:lpstr>
      <vt:lpstr>'Buyer Checking'!Print_Titles</vt:lpstr>
      <vt:lpstr>'Informasi Debitur'!Print_Titles</vt:lpstr>
      <vt:lpstr>MKK!Print_Titles</vt:lpstr>
      <vt:lpstr>'Oder BI checking'!Print_Titles</vt:lpstr>
      <vt:lpstr>'Order appraisal'!Print_Titles</vt:lpstr>
      <vt:lpstr>'Random Checking'!Print_Titles</vt:lpstr>
      <vt:lpstr>'Supplier Checking'!Print_Titles</vt:lpstr>
      <vt:lpstr>PRINTING</vt:lpstr>
      <vt:lpstr>PRINTING_2</vt:lpstr>
      <vt:lpstr>prod_mkk</vt:lpstr>
      <vt:lpstr>PROPERTIES</vt:lpstr>
      <vt:lpstr>PROPERTIES_2</vt:lpstr>
      <vt:lpstr>purpose</vt:lpstr>
      <vt:lpstr>purpose_1</vt:lpstr>
      <vt:lpstr>Referral</vt:lpstr>
      <vt:lpstr>reg1a</vt:lpstr>
      <vt:lpstr>reg1b</vt:lpstr>
      <vt:lpstr>region_name</vt:lpstr>
      <vt:lpstr>rekomendasi</vt:lpstr>
      <vt:lpstr>Rel_debbank</vt:lpstr>
      <vt:lpstr>Relationship</vt:lpstr>
      <vt:lpstr>RENTAL</vt:lpstr>
      <vt:lpstr>RENTAL_2</vt:lpstr>
      <vt:lpstr>riwayat_1</vt:lpstr>
      <vt:lpstr>riwayat_2</vt:lpstr>
      <vt:lpstr>sekeko_lbu</vt:lpstr>
      <vt:lpstr>sektoreko_SID</vt:lpstr>
      <vt:lpstr>SID</vt:lpstr>
      <vt:lpstr>sifatkre_LBU</vt:lpstr>
      <vt:lpstr>sifatkre_LBU2</vt:lpstr>
      <vt:lpstr>sifatkre_SID</vt:lpstr>
      <vt:lpstr>Sifatkredit_SID</vt:lpstr>
      <vt:lpstr>sifkre_lbu</vt:lpstr>
      <vt:lpstr>SPBU</vt:lpstr>
      <vt:lpstr>SPBU_2</vt:lpstr>
      <vt:lpstr>Stat_Deb</vt:lpstr>
      <vt:lpstr>status</vt:lpstr>
      <vt:lpstr>statusdeb_SID</vt:lpstr>
      <vt:lpstr>Strategi_bisnis</vt:lpstr>
      <vt:lpstr>supplier_checking</vt:lpstr>
      <vt:lpstr>supplierchecking</vt:lpstr>
      <vt:lpstr>TELECOM</vt:lpstr>
      <vt:lpstr>TELECOM_2</vt:lpstr>
      <vt:lpstr>tipe</vt:lpstr>
      <vt:lpstr>tipe_1</vt:lpstr>
      <vt:lpstr>tolakan</vt:lpstr>
      <vt:lpstr>tolakan_2</vt:lpstr>
      <vt:lpstr>TRANSPORT</vt:lpstr>
      <vt:lpstr>TRANSPORT_2</vt:lpstr>
      <vt:lpstr>tujuan</vt:lpstr>
      <vt:lpstr>typeuse_SID</vt:lpstr>
      <vt:lpstr>valuta_SID</vt:lpstr>
      <vt:lpstr>WOOD</vt:lpstr>
      <vt:lpstr>WOOD_2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13037477;13040257</dc:creator>
  <cp:lastModifiedBy>Nonie</cp:lastModifiedBy>
  <cp:lastPrinted>2018-07-30T07:04:15Z</cp:lastPrinted>
  <dcterms:created xsi:type="dcterms:W3CDTF">2013-07-15T03:50:18Z</dcterms:created>
  <dcterms:modified xsi:type="dcterms:W3CDTF">2018-08-01T03:51:05Z</dcterms:modified>
</cp:coreProperties>
</file>