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Z:\Inventarios 2023\Filtros\"/>
    </mc:Choice>
  </mc:AlternateContent>
  <xr:revisionPtr revIDLastSave="0" documentId="13_ncr:1_{0D932F87-0667-4BC2-9848-6919A711D323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Recepcion de Producto" sheetId="1" r:id="rId1"/>
    <sheet name="Salida de Producto" sheetId="2" r:id="rId2"/>
    <sheet name="Balance de Inventarios" sheetId="3" r:id="rId3"/>
    <sheet name="Inventario de Profit" sheetId="11" r:id="rId4"/>
    <sheet name="Hoja1" sheetId="9" r:id="rId5"/>
    <sheet name="Formato de inventario ciclico" sheetId="10" r:id="rId6"/>
    <sheet name="Indicador " sheetId="8" r:id="rId7"/>
  </sheets>
  <definedNames>
    <definedName name="_xlnm._FilterDatabase" localSheetId="2" hidden="1">'Balance de Inventarios'!$B$3:$AA$111</definedName>
    <definedName name="_xlnm._FilterDatabase" localSheetId="3" hidden="1">'Inventario de Profit'!$A$1:$K$543</definedName>
    <definedName name="_xlnm._FilterDatabase" localSheetId="0" hidden="1">'Recepcion de Producto'!$B$3:$W$111</definedName>
    <definedName name="_xlnm._FilterDatabase" localSheetId="1" hidden="1">'Salida de Producto'!$B$3:$DH$111</definedName>
    <definedName name="_xlnm.Print_Area" localSheetId="2">'Balance de Inventarios'!$B$3:$AA$111</definedName>
    <definedName name="_xlnm.Print_Titles" localSheetId="2">'Balance de Inventarios'!$3:$3</definedName>
    <definedName name="_xlnm.Print_Titles" localSheetId="5">'Formato de inventario ciclico'!$1:$6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3" l="1"/>
  <c r="W49" i="3"/>
  <c r="W45" i="3"/>
  <c r="W31" i="3"/>
  <c r="O110" i="3"/>
  <c r="N90" i="3"/>
  <c r="M89" i="3"/>
  <c r="O86" i="3"/>
  <c r="O84" i="3"/>
  <c r="O82" i="3"/>
  <c r="M82" i="3"/>
  <c r="O81" i="3"/>
  <c r="O77" i="3"/>
  <c r="O75" i="3"/>
  <c r="L75" i="3"/>
  <c r="K75" i="3"/>
  <c r="O74" i="3"/>
  <c r="N60" i="3"/>
  <c r="N59" i="3"/>
  <c r="M51" i="3"/>
  <c r="M43" i="3"/>
  <c r="M42" i="3"/>
  <c r="M29" i="3"/>
  <c r="O24" i="3"/>
  <c r="O9" i="3"/>
  <c r="O7" i="3"/>
  <c r="O6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1" i="3"/>
  <c r="G102" i="3"/>
  <c r="G103" i="3"/>
  <c r="G104" i="3"/>
  <c r="G105" i="3"/>
  <c r="G106" i="3"/>
  <c r="G107" i="3"/>
  <c r="G108" i="3"/>
  <c r="G109" i="3"/>
  <c r="G110" i="3"/>
  <c r="G111" i="3"/>
  <c r="G4" i="3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G80" i="3" s="1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G100" i="3" s="1"/>
  <c r="DH101" i="2"/>
  <c r="DH102" i="2"/>
  <c r="DH103" i="2"/>
  <c r="DH104" i="2"/>
  <c r="DH105" i="2"/>
  <c r="DH106" i="2"/>
  <c r="DH107" i="2"/>
  <c r="DH108" i="2"/>
  <c r="DH109" i="2"/>
  <c r="DH110" i="2"/>
  <c r="DH111" i="2"/>
  <c r="DH4" i="2"/>
  <c r="M74" i="3" l="1"/>
  <c r="CV81" i="2" l="1"/>
  <c r="CV78" i="2"/>
  <c r="CV46" i="2"/>
  <c r="CV43" i="2"/>
  <c r="CV27" i="2"/>
  <c r="CV25" i="2"/>
  <c r="CV12" i="2"/>
  <c r="CV10" i="2"/>
  <c r="CV9" i="2"/>
  <c r="O108" i="3"/>
  <c r="N105" i="3"/>
  <c r="N102" i="3"/>
  <c r="O89" i="3"/>
  <c r="N89" i="3"/>
  <c r="O88" i="3"/>
  <c r="O78" i="3"/>
  <c r="O76" i="3"/>
  <c r="K76" i="3"/>
  <c r="O67" i="3"/>
  <c r="N67" i="3"/>
  <c r="N66" i="3"/>
  <c r="N63" i="3"/>
  <c r="N57" i="3"/>
  <c r="N56" i="3"/>
  <c r="N55" i="3"/>
  <c r="M30" i="3"/>
  <c r="O25" i="3"/>
  <c r="N58" i="3" l="1"/>
  <c r="M76" i="3" l="1"/>
  <c r="N100" i="3" l="1"/>
  <c r="N97" i="3"/>
  <c r="N61" i="3" l="1"/>
  <c r="X76" i="3" l="1"/>
  <c r="X31" i="3" l="1"/>
  <c r="X43" i="3" l="1"/>
  <c r="X50" i="3" l="1"/>
  <c r="X49" i="3"/>
  <c r="X45" i="3"/>
  <c r="Y5" i="3" l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7" i="3"/>
  <c r="P49" i="3"/>
  <c r="P50" i="3"/>
  <c r="P51" i="3"/>
  <c r="P52" i="3"/>
  <c r="P53" i="3"/>
  <c r="P55" i="3"/>
  <c r="P56" i="3"/>
  <c r="P58" i="3"/>
  <c r="P59" i="3"/>
  <c r="P60" i="3"/>
  <c r="P61" i="3"/>
  <c r="P63" i="3"/>
  <c r="P64" i="3"/>
  <c r="P65" i="3"/>
  <c r="P66" i="3"/>
  <c r="P67" i="3"/>
  <c r="P68" i="3"/>
  <c r="P70" i="3"/>
  <c r="P71" i="3"/>
  <c r="P72" i="3"/>
  <c r="P73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4" i="3"/>
  <c r="P95" i="3"/>
  <c r="P96" i="3"/>
  <c r="P98" i="3"/>
  <c r="P99" i="3"/>
  <c r="P101" i="3"/>
  <c r="P102" i="3"/>
  <c r="P103" i="3"/>
  <c r="P104" i="3"/>
  <c r="P105" i="3"/>
  <c r="P107" i="3"/>
  <c r="P108" i="3"/>
  <c r="P109" i="3"/>
  <c r="P110" i="3"/>
  <c r="P111" i="3"/>
  <c r="P4" i="3"/>
  <c r="Z111" i="3"/>
  <c r="S4" i="3" l="1"/>
  <c r="W4" i="1"/>
  <c r="W110" i="1" l="1"/>
  <c r="CP109" i="2" l="1"/>
  <c r="CP80" i="2"/>
  <c r="CP75" i="2"/>
  <c r="CP111" i="2"/>
  <c r="CP74" i="2"/>
  <c r="CP73" i="2"/>
  <c r="CP37" i="2"/>
  <c r="CP36" i="2"/>
  <c r="CP23" i="2"/>
  <c r="CP26" i="2"/>
  <c r="CO86" i="2" l="1"/>
  <c r="P106" i="3" l="1"/>
  <c r="Z26" i="3" l="1"/>
  <c r="P93" i="3" l="1"/>
  <c r="M75" i="3"/>
  <c r="P69" i="3"/>
  <c r="P62" i="3"/>
  <c r="P57" i="3"/>
  <c r="P48" i="3"/>
  <c r="P46" i="3"/>
  <c r="P24" i="3"/>
  <c r="CN108" i="2" l="1"/>
  <c r="CL109" i="2"/>
  <c r="CL108" i="2"/>
  <c r="CL107" i="2"/>
  <c r="CL105" i="2"/>
  <c r="CL91" i="2"/>
  <c r="CL90" i="2"/>
  <c r="CL89" i="2"/>
  <c r="CL87" i="2"/>
  <c r="CL83" i="2"/>
  <c r="CL82" i="2"/>
  <c r="CL80" i="2"/>
  <c r="CL111" i="2"/>
  <c r="CL73" i="2"/>
  <c r="CL48" i="2" l="1"/>
  <c r="CL46" i="2"/>
  <c r="CL43" i="2"/>
  <c r="CL42" i="2"/>
  <c r="CL37" i="2"/>
  <c r="CL30" i="2"/>
  <c r="CL29" i="2"/>
  <c r="CL23" i="2"/>
  <c r="CL22" i="2"/>
  <c r="CL26" i="2"/>
  <c r="CL19" i="2"/>
  <c r="CL18" i="2"/>
  <c r="CL8" i="2"/>
  <c r="CL5" i="2"/>
  <c r="CL4" i="2"/>
  <c r="CL86" i="2"/>
  <c r="CL84" i="2"/>
  <c r="CL79" i="2"/>
  <c r="S111" i="3" l="1"/>
  <c r="S26" i="3"/>
  <c r="W111" i="1" l="1"/>
  <c r="F111" i="3" s="1"/>
  <c r="F110" i="3"/>
  <c r="W26" i="1"/>
  <c r="F26" i="3" s="1"/>
  <c r="H26" i="3" l="1"/>
  <c r="Q26" i="3" s="1"/>
  <c r="H111" i="3"/>
  <c r="Q111" i="3" s="1"/>
  <c r="CI50" i="2"/>
  <c r="CI46" i="2"/>
  <c r="CI43" i="2"/>
  <c r="CI29" i="2"/>
  <c r="CI48" i="2"/>
  <c r="CG60" i="2" l="1"/>
  <c r="CC50" i="2" l="1"/>
  <c r="CC25" i="2"/>
  <c r="P100" i="3"/>
  <c r="CG67" i="2" l="1"/>
  <c r="CG65" i="2"/>
  <c r="CG64" i="2"/>
  <c r="CG61" i="2"/>
  <c r="CG59" i="2"/>
  <c r="CG58" i="2"/>
  <c r="CG56" i="2"/>
  <c r="CG55" i="2"/>
  <c r="CG53" i="2"/>
  <c r="CG14" i="2"/>
  <c r="CG13" i="2"/>
  <c r="CG106" i="2"/>
  <c r="CG103" i="2"/>
  <c r="CG101" i="2"/>
  <c r="CG99" i="2"/>
  <c r="CG98" i="2"/>
  <c r="CG97" i="2"/>
  <c r="CG96" i="2"/>
  <c r="CG95" i="2"/>
  <c r="CG94" i="2"/>
  <c r="CG92" i="2"/>
  <c r="CG69" i="2"/>
  <c r="CG68" i="2"/>
  <c r="P54" i="3"/>
  <c r="P92" i="3" l="1"/>
  <c r="P97" i="3"/>
  <c r="CC89" i="2" l="1"/>
  <c r="CC82" i="2"/>
  <c r="CC77" i="2"/>
  <c r="CC43" i="2"/>
  <c r="CC33" i="2"/>
  <c r="CC46" i="2"/>
  <c r="CC40" i="2"/>
  <c r="CC29" i="2"/>
  <c r="CA106" i="2" l="1"/>
  <c r="CA104" i="2"/>
  <c r="CA103" i="2"/>
  <c r="CA101" i="2"/>
  <c r="CA100" i="2"/>
  <c r="CA99" i="2"/>
  <c r="CA98" i="2"/>
  <c r="CA97" i="2"/>
  <c r="CA96" i="2"/>
  <c r="CA95" i="2"/>
  <c r="CA94" i="2"/>
  <c r="CA93" i="2"/>
  <c r="CA92" i="2"/>
  <c r="CA85" i="2"/>
  <c r="CA72" i="2"/>
  <c r="CA70" i="2"/>
  <c r="CA64" i="2"/>
  <c r="CA65" i="2"/>
  <c r="CA69" i="2"/>
  <c r="CA68" i="2"/>
  <c r="CA67" i="2"/>
  <c r="CA66" i="2"/>
  <c r="CA62" i="2"/>
  <c r="CA61" i="2"/>
  <c r="CA60" i="2"/>
  <c r="CA59" i="2"/>
  <c r="CA58" i="2"/>
  <c r="CA57" i="2"/>
  <c r="CA56" i="2"/>
  <c r="CA55" i="2"/>
  <c r="CA54" i="2"/>
  <c r="CA53" i="2"/>
  <c r="CA14" i="2"/>
  <c r="CA13" i="2"/>
  <c r="Z98" i="3" l="1"/>
  <c r="Z94" i="3"/>
  <c r="Z93" i="3"/>
  <c r="Z104" i="3"/>
  <c r="Z106" i="3"/>
  <c r="Z96" i="3"/>
  <c r="Z101" i="3"/>
  <c r="Z103" i="3"/>
  <c r="Z100" i="3"/>
  <c r="Z97" i="3"/>
  <c r="Z102" i="3"/>
  <c r="Z95" i="3"/>
  <c r="Z92" i="3"/>
  <c r="Z4" i="3"/>
  <c r="Z12" i="3"/>
  <c r="Z5" i="3"/>
  <c r="Z6" i="3"/>
  <c r="Z7" i="3"/>
  <c r="Z8" i="3"/>
  <c r="Z9" i="3"/>
  <c r="Z10" i="3"/>
  <c r="Z11" i="3"/>
  <c r="Z15" i="3"/>
  <c r="Z16" i="3"/>
  <c r="Z17" i="3"/>
  <c r="Z18" i="3"/>
  <c r="Z19" i="3"/>
  <c r="Z20" i="3"/>
  <c r="Z21" i="3"/>
  <c r="Z22" i="3"/>
  <c r="Z23" i="3"/>
  <c r="Z24" i="3"/>
  <c r="Z25" i="3"/>
  <c r="Z13" i="3"/>
  <c r="Z14" i="3"/>
  <c r="Z32" i="3"/>
  <c r="Z42" i="3"/>
  <c r="Z43" i="3"/>
  <c r="Z27" i="3"/>
  <c r="Z28" i="3"/>
  <c r="Z29" i="3"/>
  <c r="Z30" i="3"/>
  <c r="Z31" i="3"/>
  <c r="Z33" i="3"/>
  <c r="Z34" i="3"/>
  <c r="Z35" i="3"/>
  <c r="Z36" i="3"/>
  <c r="Z37" i="3"/>
  <c r="Z38" i="3"/>
  <c r="Z40" i="3"/>
  <c r="Z39" i="3"/>
  <c r="Z41" i="3"/>
  <c r="Z44" i="3"/>
  <c r="Z45" i="3"/>
  <c r="Z46" i="3"/>
  <c r="Z47" i="3"/>
  <c r="Z48" i="3"/>
  <c r="Z49" i="3"/>
  <c r="Z50" i="3"/>
  <c r="Z51" i="3"/>
  <c r="Z52" i="3"/>
  <c r="Z70" i="3"/>
  <c r="Z71" i="3"/>
  <c r="Z72" i="3"/>
  <c r="Z58" i="3"/>
  <c r="Z69" i="3"/>
  <c r="Z65" i="3"/>
  <c r="Z67" i="3"/>
  <c r="Z66" i="3"/>
  <c r="Z61" i="3"/>
  <c r="Z68" i="3"/>
  <c r="Z60" i="3"/>
  <c r="Z59" i="3"/>
  <c r="Z62" i="3"/>
  <c r="Z53" i="3"/>
  <c r="Z54" i="3"/>
  <c r="Z57" i="3"/>
  <c r="Z63" i="3"/>
  <c r="Z64" i="3"/>
  <c r="Z56" i="3"/>
  <c r="Z55" i="3"/>
  <c r="Z99" i="3"/>
  <c r="S13" i="3"/>
  <c r="S14" i="3"/>
  <c r="S98" i="3"/>
  <c r="S94" i="3"/>
  <c r="S93" i="3"/>
  <c r="S99" i="3"/>
  <c r="S104" i="3"/>
  <c r="S106" i="3"/>
  <c r="S96" i="3"/>
  <c r="S101" i="3"/>
  <c r="S103" i="3"/>
  <c r="S100" i="3"/>
  <c r="S97" i="3"/>
  <c r="S102" i="3"/>
  <c r="S95" i="3"/>
  <c r="S92" i="3"/>
  <c r="S72" i="3"/>
  <c r="S58" i="3"/>
  <c r="S69" i="3"/>
  <c r="S65" i="3"/>
  <c r="S67" i="3"/>
  <c r="S66" i="3"/>
  <c r="S61" i="3"/>
  <c r="S68" i="3"/>
  <c r="S60" i="3"/>
  <c r="S59" i="3"/>
  <c r="S62" i="3"/>
  <c r="S53" i="3"/>
  <c r="S54" i="3"/>
  <c r="S57" i="3"/>
  <c r="S63" i="3"/>
  <c r="S64" i="3"/>
  <c r="S56" i="3"/>
  <c r="S55" i="3"/>
  <c r="V55" i="3" l="1"/>
  <c r="V64" i="3"/>
  <c r="V57" i="3"/>
  <c r="V53" i="3"/>
  <c r="V59" i="3"/>
  <c r="V68" i="3"/>
  <c r="V66" i="3"/>
  <c r="V65" i="3"/>
  <c r="V58" i="3"/>
  <c r="V56" i="3"/>
  <c r="V63" i="3"/>
  <c r="V54" i="3"/>
  <c r="V62" i="3"/>
  <c r="V60" i="3"/>
  <c r="V61" i="3"/>
  <c r="V67" i="3"/>
  <c r="V69" i="3"/>
  <c r="V72" i="3"/>
  <c r="S109" i="3"/>
  <c r="S78" i="3"/>
  <c r="S79" i="3"/>
  <c r="S73" i="3"/>
  <c r="S76" i="3"/>
  <c r="S77" i="3"/>
  <c r="S81" i="3"/>
  <c r="S82" i="3"/>
  <c r="S83" i="3"/>
  <c r="S85" i="3"/>
  <c r="S84" i="3"/>
  <c r="S86" i="3"/>
  <c r="S87" i="3"/>
  <c r="S88" i="3"/>
  <c r="S89" i="3"/>
  <c r="S91" i="3"/>
  <c r="S90" i="3"/>
  <c r="S105" i="3"/>
  <c r="S107" i="3"/>
  <c r="S108" i="3"/>
  <c r="S110" i="3"/>
  <c r="S12" i="3"/>
  <c r="S5" i="3"/>
  <c r="S6" i="3"/>
  <c r="S7" i="3"/>
  <c r="S8" i="3"/>
  <c r="S9" i="3"/>
  <c r="S10" i="3"/>
  <c r="S11" i="3"/>
  <c r="S15" i="3"/>
  <c r="S16" i="3"/>
  <c r="S17" i="3"/>
  <c r="S18" i="3"/>
  <c r="S19" i="3"/>
  <c r="S20" i="3"/>
  <c r="S21" i="3"/>
  <c r="S22" i="3"/>
  <c r="S23" i="3"/>
  <c r="S24" i="3"/>
  <c r="S25" i="3"/>
  <c r="S32" i="3"/>
  <c r="S42" i="3"/>
  <c r="S43" i="3"/>
  <c r="S27" i="3"/>
  <c r="S28" i="3"/>
  <c r="S29" i="3"/>
  <c r="S30" i="3"/>
  <c r="S31" i="3"/>
  <c r="S33" i="3"/>
  <c r="S34" i="3"/>
  <c r="S35" i="3"/>
  <c r="S36" i="3"/>
  <c r="S37" i="3"/>
  <c r="S38" i="3"/>
  <c r="S40" i="3"/>
  <c r="S39" i="3"/>
  <c r="S41" i="3"/>
  <c r="S44" i="3"/>
  <c r="S45" i="3"/>
  <c r="S46" i="3"/>
  <c r="S47" i="3"/>
  <c r="S48" i="3"/>
  <c r="S49" i="3"/>
  <c r="S50" i="3"/>
  <c r="S51" i="3"/>
  <c r="S52" i="3"/>
  <c r="S70" i="3"/>
  <c r="S71" i="3"/>
  <c r="W109" i="1"/>
  <c r="F109" i="3" s="1"/>
  <c r="W78" i="1"/>
  <c r="F78" i="3" s="1"/>
  <c r="W79" i="1"/>
  <c r="F79" i="3" s="1"/>
  <c r="W73" i="1"/>
  <c r="F73" i="3" s="1"/>
  <c r="W74" i="1"/>
  <c r="F74" i="3" s="1"/>
  <c r="W75" i="1"/>
  <c r="F75" i="3" s="1"/>
  <c r="W76" i="1"/>
  <c r="F76" i="3" s="1"/>
  <c r="W77" i="1"/>
  <c r="F77" i="3" s="1"/>
  <c r="W81" i="1"/>
  <c r="F81" i="3" s="1"/>
  <c r="W82" i="1"/>
  <c r="F82" i="3" s="1"/>
  <c r="W83" i="1"/>
  <c r="F83" i="3" s="1"/>
  <c r="W85" i="1"/>
  <c r="F85" i="3" s="1"/>
  <c r="W84" i="1"/>
  <c r="F84" i="3" s="1"/>
  <c r="W87" i="1"/>
  <c r="F87" i="3" s="1"/>
  <c r="W88" i="1"/>
  <c r="F88" i="3" s="1"/>
  <c r="W91" i="1"/>
  <c r="F91" i="3" s="1"/>
  <c r="W90" i="1"/>
  <c r="F90" i="3" s="1"/>
  <c r="W105" i="1"/>
  <c r="F105" i="3" s="1"/>
  <c r="W107" i="1"/>
  <c r="F107" i="3" s="1"/>
  <c r="W108" i="1"/>
  <c r="F108" i="3" s="1"/>
  <c r="W98" i="1"/>
  <c r="F98" i="3" s="1"/>
  <c r="W94" i="1"/>
  <c r="F94" i="3" s="1"/>
  <c r="W93" i="1"/>
  <c r="F93" i="3" s="1"/>
  <c r="W99" i="1"/>
  <c r="F99" i="3" s="1"/>
  <c r="W104" i="1"/>
  <c r="F104" i="3" s="1"/>
  <c r="W106" i="1"/>
  <c r="F106" i="3" s="1"/>
  <c r="W96" i="1"/>
  <c r="F96" i="3" s="1"/>
  <c r="W101" i="1"/>
  <c r="F101" i="3" s="1"/>
  <c r="W103" i="1"/>
  <c r="F103" i="3" s="1"/>
  <c r="W100" i="1"/>
  <c r="F100" i="3" s="1"/>
  <c r="W97" i="1"/>
  <c r="F97" i="3" s="1"/>
  <c r="W102" i="1"/>
  <c r="F102" i="3" s="1"/>
  <c r="W95" i="1"/>
  <c r="F95" i="3" s="1"/>
  <c r="W92" i="1"/>
  <c r="F92" i="3" s="1"/>
  <c r="F4" i="3"/>
  <c r="W13" i="1"/>
  <c r="F13" i="3" s="1"/>
  <c r="W14" i="1"/>
  <c r="F14" i="3" s="1"/>
  <c r="W12" i="1"/>
  <c r="F12" i="3" s="1"/>
  <c r="W5" i="1"/>
  <c r="F5" i="3" s="1"/>
  <c r="W6" i="1"/>
  <c r="F6" i="3" s="1"/>
  <c r="W7" i="1"/>
  <c r="F7" i="3" s="1"/>
  <c r="W8" i="1"/>
  <c r="F8" i="3" s="1"/>
  <c r="W9" i="1"/>
  <c r="F9" i="3" s="1"/>
  <c r="W10" i="1"/>
  <c r="F10" i="3" s="1"/>
  <c r="W11" i="1"/>
  <c r="F11" i="3" s="1"/>
  <c r="W15" i="1"/>
  <c r="F15" i="3" s="1"/>
  <c r="W16" i="1"/>
  <c r="F16" i="3" s="1"/>
  <c r="W17" i="1"/>
  <c r="F17" i="3" s="1"/>
  <c r="W18" i="1"/>
  <c r="F18" i="3" s="1"/>
  <c r="W19" i="1"/>
  <c r="F19" i="3" s="1"/>
  <c r="W20" i="1"/>
  <c r="F20" i="3" s="1"/>
  <c r="W21" i="1"/>
  <c r="F21" i="3" s="1"/>
  <c r="W22" i="1"/>
  <c r="F22" i="3" s="1"/>
  <c r="W23" i="1"/>
  <c r="F23" i="3" s="1"/>
  <c r="W24" i="1"/>
  <c r="F24" i="3" s="1"/>
  <c r="W25" i="1"/>
  <c r="F25" i="3" s="1"/>
  <c r="W32" i="1"/>
  <c r="F32" i="3" s="1"/>
  <c r="W42" i="1"/>
  <c r="F42" i="3" s="1"/>
  <c r="W43" i="1"/>
  <c r="F43" i="3" s="1"/>
  <c r="W27" i="1"/>
  <c r="F27" i="3" s="1"/>
  <c r="W28" i="1"/>
  <c r="F28" i="3" s="1"/>
  <c r="W29" i="1"/>
  <c r="F29" i="3" s="1"/>
  <c r="W30" i="1"/>
  <c r="F30" i="3" s="1"/>
  <c r="W31" i="1"/>
  <c r="F31" i="3" s="1"/>
  <c r="W33" i="1"/>
  <c r="F33" i="3" s="1"/>
  <c r="W34" i="1"/>
  <c r="F34" i="3" s="1"/>
  <c r="W35" i="1"/>
  <c r="F35" i="3" s="1"/>
  <c r="W36" i="1"/>
  <c r="F36" i="3" s="1"/>
  <c r="W37" i="1"/>
  <c r="F37" i="3" s="1"/>
  <c r="W38" i="1"/>
  <c r="F38" i="3" s="1"/>
  <c r="W40" i="1"/>
  <c r="F40" i="3" s="1"/>
  <c r="W39" i="1"/>
  <c r="F39" i="3" s="1"/>
  <c r="W41" i="1"/>
  <c r="F41" i="3" s="1"/>
  <c r="W44" i="1"/>
  <c r="F44" i="3" s="1"/>
  <c r="W45" i="1"/>
  <c r="F45" i="3" s="1"/>
  <c r="W46" i="1"/>
  <c r="F46" i="3" s="1"/>
  <c r="W47" i="1"/>
  <c r="F47" i="3" s="1"/>
  <c r="W48" i="1"/>
  <c r="F48" i="3" s="1"/>
  <c r="W49" i="1"/>
  <c r="F49" i="3" s="1"/>
  <c r="W50" i="1"/>
  <c r="F50" i="3" s="1"/>
  <c r="W51" i="1"/>
  <c r="F51" i="3" s="1"/>
  <c r="W52" i="1"/>
  <c r="F52" i="3" s="1"/>
  <c r="W70" i="1"/>
  <c r="F70" i="3" s="1"/>
  <c r="W71" i="1"/>
  <c r="F71" i="3" s="1"/>
  <c r="W72" i="1"/>
  <c r="F72" i="3" s="1"/>
  <c r="W58" i="1"/>
  <c r="F58" i="3" s="1"/>
  <c r="W69" i="1"/>
  <c r="F69" i="3" s="1"/>
  <c r="W65" i="1"/>
  <c r="F65" i="3" s="1"/>
  <c r="W67" i="1"/>
  <c r="F67" i="3" s="1"/>
  <c r="W66" i="1"/>
  <c r="F66" i="3" s="1"/>
  <c r="W61" i="1"/>
  <c r="F61" i="3" s="1"/>
  <c r="W68" i="1"/>
  <c r="F68" i="3" s="1"/>
  <c r="W60" i="1"/>
  <c r="F60" i="3" s="1"/>
  <c r="W59" i="1"/>
  <c r="F59" i="3" s="1"/>
  <c r="W62" i="1"/>
  <c r="F62" i="3" s="1"/>
  <c r="W53" i="1"/>
  <c r="F53" i="3" s="1"/>
  <c r="W54" i="1"/>
  <c r="F54" i="3" s="1"/>
  <c r="W57" i="1"/>
  <c r="F57" i="3" s="1"/>
  <c r="W63" i="1"/>
  <c r="F63" i="3" s="1"/>
  <c r="W64" i="1"/>
  <c r="F64" i="3" s="1"/>
  <c r="W56" i="1"/>
  <c r="F56" i="3" s="1"/>
  <c r="W55" i="1"/>
  <c r="F55" i="3" s="1"/>
  <c r="H54" i="3" l="1"/>
  <c r="Q54" i="3" s="1"/>
  <c r="H60" i="3"/>
  <c r="Q60" i="3" s="1"/>
  <c r="H67" i="3"/>
  <c r="Q67" i="3" s="1"/>
  <c r="H72" i="3"/>
  <c r="Q72" i="3" s="1"/>
  <c r="H14" i="3"/>
  <c r="Q14" i="3" s="1"/>
  <c r="H95" i="3"/>
  <c r="Q95" i="3" s="1"/>
  <c r="H97" i="3"/>
  <c r="Q97" i="3" s="1"/>
  <c r="H103" i="3"/>
  <c r="Q103" i="3" s="1"/>
  <c r="H96" i="3"/>
  <c r="Q96" i="3" s="1"/>
  <c r="H104" i="3"/>
  <c r="Q104" i="3" s="1"/>
  <c r="H93" i="3"/>
  <c r="Q93" i="3" s="1"/>
  <c r="H98" i="3"/>
  <c r="Q98" i="3" s="1"/>
  <c r="H13" i="3"/>
  <c r="Q13" i="3" s="1"/>
  <c r="H92" i="3"/>
  <c r="Q92" i="3" s="1"/>
  <c r="H102" i="3"/>
  <c r="Q102" i="3" s="1"/>
  <c r="H100" i="3"/>
  <c r="Q100" i="3" s="1"/>
  <c r="H101" i="3"/>
  <c r="Q101" i="3" s="1"/>
  <c r="H106" i="3"/>
  <c r="Q106" i="3" s="1"/>
  <c r="H99" i="3"/>
  <c r="Q99" i="3" s="1"/>
  <c r="H94" i="3"/>
  <c r="Q94" i="3" s="1"/>
  <c r="H55" i="3"/>
  <c r="Q55" i="3" s="1"/>
  <c r="H57" i="3"/>
  <c r="Q57" i="3" s="1"/>
  <c r="H59" i="3"/>
  <c r="Q59" i="3" s="1"/>
  <c r="H66" i="3"/>
  <c r="Q66" i="3" s="1"/>
  <c r="H58" i="3"/>
  <c r="Q58" i="3" s="1"/>
  <c r="H62" i="3"/>
  <c r="Q62" i="3" s="1"/>
  <c r="H61" i="3"/>
  <c r="Q61" i="3" s="1"/>
  <c r="H69" i="3"/>
  <c r="Q69" i="3" s="1"/>
  <c r="H65" i="3"/>
  <c r="Q65" i="3" s="1"/>
  <c r="H63" i="3"/>
  <c r="Q63" i="3" s="1"/>
  <c r="H56" i="3"/>
  <c r="Q56" i="3" s="1"/>
  <c r="H64" i="3"/>
  <c r="Q64" i="3" s="1"/>
  <c r="H53" i="3"/>
  <c r="Q53" i="3" s="1"/>
  <c r="H68" i="3"/>
  <c r="Q68" i="3" s="1"/>
  <c r="BT43" i="2"/>
  <c r="BT89" i="2"/>
  <c r="BT88" i="2"/>
  <c r="BT86" i="2"/>
  <c r="BT84" i="2"/>
  <c r="BT82" i="2"/>
  <c r="BT81" i="2"/>
  <c r="BT78" i="2"/>
  <c r="P75" i="3" l="1"/>
  <c r="L74" i="3"/>
  <c r="P74" i="3" l="1"/>
  <c r="S75" i="3"/>
  <c r="S80" i="3"/>
  <c r="S74" i="3" l="1"/>
  <c r="BQ89" i="2"/>
  <c r="BQ86" i="2"/>
  <c r="BQ84" i="2"/>
  <c r="BQ82" i="2"/>
  <c r="BQ81" i="2"/>
  <c r="BQ78" i="2"/>
  <c r="BQ71" i="2"/>
  <c r="BQ46" i="2"/>
  <c r="BQ44" i="2"/>
  <c r="BQ24" i="2"/>
  <c r="BQ7" i="2"/>
  <c r="BQ6" i="2"/>
  <c r="BQ88" i="2"/>
  <c r="BQ51" i="2"/>
  <c r="BL108" i="2" l="1"/>
  <c r="BL89" i="2"/>
  <c r="BL81" i="2"/>
  <c r="BL42" i="2"/>
  <c r="BL82" i="2"/>
  <c r="BI86" i="2" l="1"/>
  <c r="BI84" i="2"/>
  <c r="BI81" i="2"/>
  <c r="BI77" i="2"/>
  <c r="BI32" i="2"/>
  <c r="BI108" i="2" l="1"/>
  <c r="BI89" i="2"/>
  <c r="BI82" i="2"/>
  <c r="BI71" i="2"/>
  <c r="BI50" i="2"/>
  <c r="BI46" i="2"/>
  <c r="BI43" i="2"/>
  <c r="BI42" i="2"/>
  <c r="BI35" i="2"/>
  <c r="BF108" i="2" l="1"/>
  <c r="BF86" i="2"/>
  <c r="BF84" i="2"/>
  <c r="BF46" i="2"/>
  <c r="BF43" i="2"/>
  <c r="BF42" i="2"/>
  <c r="BF38" i="2"/>
  <c r="BF32" i="2"/>
  <c r="BF31" i="2"/>
  <c r="BF82" i="2"/>
  <c r="BF81" i="2"/>
  <c r="BF110" i="2"/>
  <c r="BF89" i="2"/>
  <c r="BF77" i="2"/>
  <c r="BF71" i="2"/>
  <c r="BF17" i="2"/>
  <c r="BF29" i="2"/>
  <c r="BF7" i="2"/>
  <c r="BD32" i="2" l="1"/>
  <c r="BD80" i="2"/>
  <c r="BD89" i="2" l="1"/>
  <c r="BD108" i="2"/>
  <c r="BD84" i="2"/>
  <c r="BD50" i="2"/>
  <c r="BD48" i="2"/>
  <c r="BD43" i="2"/>
  <c r="BD41" i="2"/>
  <c r="BD27" i="2"/>
  <c r="BD23" i="2"/>
  <c r="BD7" i="2"/>
  <c r="BD5" i="2"/>
  <c r="BD46" i="2"/>
  <c r="BD40" i="2"/>
  <c r="BD29" i="2"/>
  <c r="BD36" i="2"/>
  <c r="AX34" i="2" l="1"/>
  <c r="AX84" i="2"/>
  <c r="H34" i="3" l="1"/>
  <c r="Q34" i="3" s="1"/>
  <c r="AZ89" i="2"/>
  <c r="AZ84" i="2"/>
  <c r="AZ82" i="2"/>
  <c r="AZ81" i="2"/>
  <c r="AX48" i="2" l="1"/>
  <c r="AX47" i="2"/>
  <c r="AX45" i="2"/>
  <c r="AX44" i="2"/>
  <c r="AX43" i="2"/>
  <c r="AX40" i="2"/>
  <c r="AX39" i="2"/>
  <c r="AX38" i="2"/>
  <c r="AX37" i="2"/>
  <c r="AX35" i="2"/>
  <c r="AX33" i="2"/>
  <c r="AX30" i="2"/>
  <c r="AX29" i="2"/>
  <c r="AX23" i="2"/>
  <c r="AX17" i="2"/>
  <c r="AX108" i="2"/>
  <c r="AX89" i="2"/>
  <c r="AX87" i="2"/>
  <c r="AX86" i="2"/>
  <c r="AX85" i="2"/>
  <c r="AX82" i="2"/>
  <c r="AX81" i="2"/>
  <c r="AX80" i="2"/>
  <c r="AX79" i="2"/>
  <c r="AX77" i="2"/>
  <c r="AX73" i="2"/>
  <c r="AX71" i="2"/>
  <c r="AX70" i="2"/>
  <c r="AX52" i="2"/>
  <c r="AX51" i="2"/>
  <c r="H51" i="3" l="1"/>
  <c r="Q51" i="3" s="1"/>
  <c r="H40" i="3"/>
  <c r="Q40" i="3" s="1"/>
  <c r="H52" i="3"/>
  <c r="Q52" i="3" s="1"/>
  <c r="V34" i="3"/>
  <c r="V40" i="3"/>
  <c r="V39" i="3"/>
  <c r="V41" i="3"/>
  <c r="V44" i="3"/>
  <c r="V45" i="3"/>
  <c r="V46" i="3"/>
  <c r="V47" i="3"/>
  <c r="V48" i="3"/>
  <c r="V49" i="3"/>
  <c r="V50" i="3"/>
  <c r="V51" i="3"/>
  <c r="V52" i="3"/>
  <c r="V70" i="3"/>
  <c r="V71" i="3"/>
  <c r="Z109" i="3"/>
  <c r="Z78" i="3"/>
  <c r="Z79" i="3"/>
  <c r="Z73" i="3"/>
  <c r="Z74" i="3"/>
  <c r="Z75" i="3"/>
  <c r="Z76" i="3"/>
  <c r="Z77" i="3"/>
  <c r="Z81" i="3"/>
  <c r="Z82" i="3"/>
  <c r="Z83" i="3"/>
  <c r="Z85" i="3"/>
  <c r="Z84" i="3"/>
  <c r="Z86" i="3"/>
  <c r="Z87" i="3"/>
  <c r="Z88" i="3"/>
  <c r="Z89" i="3"/>
  <c r="Z91" i="3"/>
  <c r="Z90" i="3"/>
  <c r="Z105" i="3"/>
  <c r="Z107" i="3"/>
  <c r="Z108" i="3"/>
  <c r="Z110" i="3"/>
  <c r="AV19" i="2"/>
  <c r="AT109" i="2" l="1"/>
  <c r="AT108" i="2"/>
  <c r="AT107" i="2"/>
  <c r="AT105" i="2"/>
  <c r="AT90" i="2"/>
  <c r="AT89" i="2"/>
  <c r="AT88" i="2"/>
  <c r="AT87" i="2"/>
  <c r="AT86" i="2"/>
  <c r="AT84" i="2"/>
  <c r="AT83" i="2"/>
  <c r="AT82" i="2"/>
  <c r="AT81" i="2"/>
  <c r="AT79" i="2"/>
  <c r="AT78" i="2"/>
  <c r="AT73" i="2"/>
  <c r="AT24" i="2"/>
  <c r="AT23" i="2"/>
  <c r="AT22" i="2"/>
  <c r="AT21" i="2"/>
  <c r="AT19" i="2"/>
  <c r="AT17" i="2"/>
  <c r="AT12" i="2"/>
  <c r="AT11" i="2"/>
  <c r="AT9" i="2"/>
  <c r="AT8" i="2"/>
  <c r="AT7" i="2"/>
  <c r="AT6" i="2"/>
  <c r="AT5" i="2"/>
  <c r="AT4" i="2"/>
  <c r="AS108" i="2" l="1"/>
  <c r="AS91" i="2"/>
  <c r="AS90" i="2"/>
  <c r="AS89" i="2"/>
  <c r="AS86" i="2"/>
  <c r="AS84" i="2"/>
  <c r="AS82" i="2"/>
  <c r="AS109" i="2"/>
  <c r="AS107" i="2"/>
  <c r="AS105" i="2"/>
  <c r="AS88" i="2"/>
  <c r="AS87" i="2"/>
  <c r="AS83" i="2"/>
  <c r="AS80" i="2"/>
  <c r="AS78" i="2"/>
  <c r="AS73" i="2"/>
  <c r="AS71" i="2"/>
  <c r="AS42" i="2"/>
  <c r="AS31" i="2"/>
  <c r="AS25" i="2"/>
  <c r="AS24" i="2"/>
  <c r="AS23" i="2"/>
  <c r="AS22" i="2"/>
  <c r="AS21" i="2"/>
  <c r="AS19" i="2"/>
  <c r="AS7" i="2"/>
  <c r="AS5" i="2"/>
  <c r="AS4" i="2"/>
  <c r="V37" i="3" l="1"/>
  <c r="V35" i="3"/>
  <c r="V38" i="3"/>
  <c r="V36" i="3"/>
  <c r="AQ88" i="2"/>
  <c r="AQ87" i="2"/>
  <c r="AQ85" i="2"/>
  <c r="AQ84" i="2"/>
  <c r="AQ81" i="2"/>
  <c r="AQ80" i="2"/>
  <c r="AQ79" i="2"/>
  <c r="AQ78" i="2"/>
  <c r="AQ46" i="2"/>
  <c r="AQ43" i="2"/>
  <c r="AQ42" i="2"/>
  <c r="AQ12" i="2"/>
  <c r="AQ33" i="2"/>
  <c r="AN87" i="2" l="1"/>
  <c r="AN86" i="2"/>
  <c r="AN84" i="2"/>
  <c r="AN82" i="2"/>
  <c r="AN81" i="2"/>
  <c r="AN80" i="2"/>
  <c r="AN79" i="2"/>
  <c r="AN71" i="2"/>
  <c r="AN43" i="2"/>
  <c r="AN29" i="2"/>
  <c r="AN83" i="2"/>
  <c r="AN36" i="2"/>
  <c r="AN88" i="2"/>
  <c r="AN46" i="2"/>
  <c r="AN37" i="2"/>
  <c r="AN18" i="2"/>
  <c r="AN12" i="2"/>
  <c r="Z80" i="3" l="1"/>
  <c r="K86" i="1"/>
  <c r="W86" i="1" s="1"/>
  <c r="F86" i="3" s="1"/>
  <c r="AK110" i="2" l="1"/>
  <c r="AK109" i="2"/>
  <c r="AK108" i="2"/>
  <c r="AK89" i="2"/>
  <c r="AK87" i="2"/>
  <c r="AK86" i="2"/>
  <c r="AK85" i="2"/>
  <c r="AK84" i="2"/>
  <c r="AK83" i="2"/>
  <c r="AK82" i="2"/>
  <c r="AK81" i="2"/>
  <c r="AK80" i="2"/>
  <c r="AK79" i="2"/>
  <c r="AK78" i="2"/>
  <c r="AK76" i="2"/>
  <c r="AK75" i="2"/>
  <c r="AK74" i="2"/>
  <c r="AK73" i="2"/>
  <c r="AJ110" i="2" l="1"/>
  <c r="AJ109" i="2"/>
  <c r="AJ108" i="2"/>
  <c r="AJ89" i="2"/>
  <c r="AJ88" i="2"/>
  <c r="AJ86" i="2"/>
  <c r="AJ84" i="2"/>
  <c r="AJ83" i="2"/>
  <c r="AJ82" i="2"/>
  <c r="AJ81" i="2"/>
  <c r="AJ80" i="2"/>
  <c r="AJ79" i="2"/>
  <c r="AJ70" i="2"/>
  <c r="AJ43" i="2"/>
  <c r="AJ42" i="2"/>
  <c r="AJ31" i="2"/>
  <c r="AJ18" i="2"/>
  <c r="AJ87" i="2"/>
  <c r="AJ78" i="2"/>
  <c r="AJ73" i="2"/>
  <c r="AJ46" i="2"/>
  <c r="AJ29" i="2"/>
  <c r="AJ25" i="2"/>
  <c r="AJ12" i="2"/>
  <c r="K89" i="1" l="1"/>
  <c r="W89" i="1" s="1"/>
  <c r="F89" i="3" s="1"/>
  <c r="AI88" i="2" l="1"/>
  <c r="AI33" i="2"/>
  <c r="AH89" i="2" l="1"/>
  <c r="AH87" i="2"/>
  <c r="AH84" i="2"/>
  <c r="AH82" i="2"/>
  <c r="AH81" i="2"/>
  <c r="AH80" i="2"/>
  <c r="AH79" i="2"/>
  <c r="AH73" i="2"/>
  <c r="AH48" i="2"/>
  <c r="AH46" i="2"/>
  <c r="AH43" i="2"/>
  <c r="AH39" i="2"/>
  <c r="AH38" i="2"/>
  <c r="AH33" i="2"/>
  <c r="AH32" i="2"/>
  <c r="AH22" i="2"/>
  <c r="AH12" i="2"/>
  <c r="AH24" i="2"/>
  <c r="AF25" i="2" l="1"/>
  <c r="AF19" i="2"/>
  <c r="AF18" i="2"/>
  <c r="Y89" i="2" l="1"/>
  <c r="Y84" i="2"/>
  <c r="Y83" i="2"/>
  <c r="X38" i="2" l="1"/>
  <c r="X43" i="2"/>
  <c r="X84" i="2"/>
  <c r="T6" i="2" l="1"/>
  <c r="T71" i="2"/>
  <c r="T70" i="2"/>
  <c r="T50" i="2"/>
  <c r="T48" i="2"/>
  <c r="T47" i="2"/>
  <c r="T45" i="2"/>
  <c r="T44" i="2"/>
  <c r="T39" i="2"/>
  <c r="T38" i="2"/>
  <c r="T37" i="2"/>
  <c r="T36" i="2"/>
  <c r="T35" i="2"/>
  <c r="T33" i="2"/>
  <c r="T31" i="2"/>
  <c r="T29" i="2"/>
  <c r="T43" i="2"/>
  <c r="T42" i="2"/>
  <c r="T32" i="2"/>
  <c r="T25" i="2"/>
  <c r="T21" i="2"/>
  <c r="T18" i="2"/>
  <c r="T15" i="2"/>
  <c r="T12" i="2"/>
  <c r="T11" i="2"/>
  <c r="T9" i="2"/>
  <c r="T5" i="2"/>
  <c r="T4" i="2"/>
  <c r="T89" i="2"/>
  <c r="T87" i="2"/>
  <c r="T85" i="2"/>
  <c r="T84" i="2"/>
  <c r="T83" i="2"/>
  <c r="T82" i="2"/>
  <c r="T81" i="2"/>
  <c r="T74" i="2"/>
  <c r="T73" i="2"/>
  <c r="T79" i="2"/>
  <c r="T78" i="2"/>
  <c r="T80" i="2"/>
  <c r="S85" i="2" l="1"/>
  <c r="S18" i="2"/>
  <c r="H18" i="3" l="1"/>
  <c r="Q18" i="3" s="1"/>
  <c r="H85" i="3"/>
  <c r="Q85" i="3" s="1"/>
  <c r="S71" i="2"/>
  <c r="S70" i="2"/>
  <c r="S19" i="2"/>
  <c r="S17" i="2"/>
  <c r="S16" i="2"/>
  <c r="S15" i="2"/>
  <c r="S12" i="2"/>
  <c r="S89" i="2"/>
  <c r="S84" i="2"/>
  <c r="S82" i="2"/>
  <c r="S25" i="2"/>
  <c r="S11" i="2"/>
  <c r="S8" i="2"/>
  <c r="S88" i="2"/>
  <c r="S81" i="2"/>
  <c r="S9" i="2"/>
  <c r="S5" i="2"/>
  <c r="S87" i="2"/>
  <c r="S83" i="2"/>
  <c r="S73" i="2"/>
  <c r="H16" i="3" l="1"/>
  <c r="Q16" i="3" s="1"/>
  <c r="H71" i="3"/>
  <c r="Q71" i="3" s="1"/>
  <c r="H17" i="3"/>
  <c r="Q17" i="3" s="1"/>
  <c r="H12" i="3"/>
  <c r="Q12" i="3" s="1"/>
  <c r="H19" i="3"/>
  <c r="Q19" i="3" s="1"/>
  <c r="H15" i="3"/>
  <c r="Q15" i="3" s="1"/>
  <c r="H70" i="3"/>
  <c r="Q70" i="3" s="1"/>
  <c r="O50" i="2"/>
  <c r="O29" i="2"/>
  <c r="O43" i="2"/>
  <c r="O73" i="2"/>
  <c r="Q82" i="2" l="1"/>
  <c r="P89" i="2"/>
  <c r="P84" i="2"/>
  <c r="P81" i="2"/>
  <c r="V33" i="3" l="1"/>
  <c r="V30" i="3"/>
  <c r="V28" i="3"/>
  <c r="V43" i="3"/>
  <c r="V32" i="3"/>
  <c r="V24" i="3"/>
  <c r="V22" i="3"/>
  <c r="V20" i="3"/>
  <c r="V17" i="3"/>
  <c r="V15" i="3"/>
  <c r="V10" i="3"/>
  <c r="V8" i="3"/>
  <c r="V6" i="3"/>
  <c r="V12" i="3"/>
  <c r="V110" i="3"/>
  <c r="V107" i="3"/>
  <c r="V90" i="3"/>
  <c r="V89" i="3"/>
  <c r="V87" i="3"/>
  <c r="V84" i="3"/>
  <c r="V31" i="3"/>
  <c r="V29" i="3"/>
  <c r="V27" i="3"/>
  <c r="V42" i="3"/>
  <c r="V25" i="3"/>
  <c r="V23" i="3"/>
  <c r="V21" i="3"/>
  <c r="V18" i="3"/>
  <c r="V16" i="3"/>
  <c r="V11" i="3"/>
  <c r="V9" i="3"/>
  <c r="V7" i="3"/>
  <c r="V5" i="3"/>
  <c r="V4" i="3"/>
  <c r="V108" i="3"/>
  <c r="V105" i="3"/>
  <c r="V91" i="3"/>
  <c r="V88" i="3"/>
  <c r="V86" i="3"/>
  <c r="V85" i="3"/>
  <c r="O49" i="2"/>
  <c r="O48" i="2"/>
  <c r="O47" i="2"/>
  <c r="O46" i="2"/>
  <c r="O45" i="2"/>
  <c r="O44" i="2"/>
  <c r="O41" i="2"/>
  <c r="O39" i="2"/>
  <c r="O38" i="2"/>
  <c r="O37" i="2"/>
  <c r="O36" i="2"/>
  <c r="O35" i="2"/>
  <c r="O33" i="2"/>
  <c r="O31" i="2"/>
  <c r="O28" i="2"/>
  <c r="O27" i="2"/>
  <c r="O32" i="2"/>
  <c r="O42" i="2" l="1"/>
  <c r="O21" i="2"/>
  <c r="O11" i="2"/>
  <c r="O9" i="2"/>
  <c r="O8" i="2"/>
  <c r="O6" i="2"/>
  <c r="O5" i="2"/>
  <c r="O4" i="2"/>
  <c r="O110" i="2"/>
  <c r="O91" i="2"/>
  <c r="O88" i="2"/>
  <c r="O87" i="2"/>
  <c r="O81" i="2"/>
  <c r="O77" i="2"/>
  <c r="O76" i="2"/>
  <c r="O74" i="2"/>
  <c r="O79" i="2"/>
  <c r="O78" i="2"/>
  <c r="O109" i="2"/>
  <c r="O80" i="2"/>
  <c r="N27" i="2" l="1"/>
  <c r="N50" i="2" l="1"/>
  <c r="N49" i="2"/>
  <c r="N48" i="2"/>
  <c r="N47" i="2"/>
  <c r="N46" i="2"/>
  <c r="N45" i="2"/>
  <c r="N44" i="2"/>
  <c r="N41" i="2"/>
  <c r="N39" i="2"/>
  <c r="N38" i="2"/>
  <c r="N37" i="2"/>
  <c r="N36" i="2"/>
  <c r="N35" i="2"/>
  <c r="N33" i="2"/>
  <c r="N31" i="2"/>
  <c r="N30" i="2"/>
  <c r="N29" i="2"/>
  <c r="N28" i="2"/>
  <c r="N43" i="2"/>
  <c r="N42" i="2"/>
  <c r="N32" i="2"/>
  <c r="N88" i="2"/>
  <c r="N86" i="2"/>
  <c r="M50" i="2" l="1"/>
  <c r="M49" i="2"/>
  <c r="M48" i="2"/>
  <c r="M47" i="2"/>
  <c r="M46" i="2"/>
  <c r="M45" i="2"/>
  <c r="M44" i="2"/>
  <c r="M41" i="2"/>
  <c r="M39" i="2"/>
  <c r="M38" i="2"/>
  <c r="M37" i="2"/>
  <c r="M36" i="2"/>
  <c r="M35" i="2"/>
  <c r="M33" i="2"/>
  <c r="M31" i="2"/>
  <c r="M30" i="2"/>
  <c r="M29" i="2"/>
  <c r="M28" i="2"/>
  <c r="M27" i="2"/>
  <c r="M43" i="2"/>
  <c r="M42" i="2"/>
  <c r="M32" i="2"/>
  <c r="H30" i="3" l="1"/>
  <c r="Q30" i="3" s="1"/>
  <c r="H47" i="3"/>
  <c r="Q47" i="3" s="1"/>
  <c r="H31" i="3"/>
  <c r="Q31" i="3" s="1"/>
  <c r="H37" i="3"/>
  <c r="Q37" i="3" s="1"/>
  <c r="H44" i="3"/>
  <c r="Q44" i="3" s="1"/>
  <c r="H48" i="3"/>
  <c r="Q48" i="3" s="1"/>
  <c r="H43" i="3"/>
  <c r="Q43" i="3" s="1"/>
  <c r="H41" i="3"/>
  <c r="Q41" i="3" s="1"/>
  <c r="H32" i="3"/>
  <c r="Q32" i="3" s="1"/>
  <c r="H28" i="3"/>
  <c r="Q28" i="3" s="1"/>
  <c r="H33" i="3"/>
  <c r="Q33" i="3" s="1"/>
  <c r="H38" i="3"/>
  <c r="Q38" i="3" s="1"/>
  <c r="H45" i="3"/>
  <c r="Q45" i="3" s="1"/>
  <c r="H49" i="3"/>
  <c r="Q49" i="3" s="1"/>
  <c r="H36" i="3"/>
  <c r="Q36" i="3" s="1"/>
  <c r="H27" i="3"/>
  <c r="Q27" i="3" s="1"/>
  <c r="H42" i="3"/>
  <c r="Q42" i="3" s="1"/>
  <c r="H29" i="3"/>
  <c r="Q29" i="3" s="1"/>
  <c r="H35" i="3"/>
  <c r="Q35" i="3" s="1"/>
  <c r="H39" i="3"/>
  <c r="Q39" i="3" s="1"/>
  <c r="H46" i="3"/>
  <c r="Q46" i="3" s="1"/>
  <c r="H50" i="3"/>
  <c r="Q50" i="3" s="1"/>
  <c r="M25" i="2"/>
  <c r="M21" i="2"/>
  <c r="M11" i="2"/>
  <c r="M9" i="2"/>
  <c r="M8" i="2"/>
  <c r="M6" i="2"/>
  <c r="M5" i="2"/>
  <c r="M4" i="2"/>
  <c r="M110" i="2"/>
  <c r="M107" i="2"/>
  <c r="M105" i="2"/>
  <c r="M90" i="2"/>
  <c r="M91" i="2"/>
  <c r="M88" i="2"/>
  <c r="M87" i="2"/>
  <c r="M86" i="2"/>
  <c r="M84" i="2"/>
  <c r="M83" i="2"/>
  <c r="M81" i="2"/>
  <c r="M77" i="2"/>
  <c r="M76" i="2"/>
  <c r="M75" i="2"/>
  <c r="M74" i="2"/>
  <c r="M73" i="2"/>
  <c r="M78" i="2"/>
  <c r="M109" i="2"/>
  <c r="M80" i="2"/>
  <c r="W80" i="1" l="1"/>
  <c r="F80" i="3" s="1"/>
  <c r="V83" i="3" l="1"/>
  <c r="V82" i="3"/>
  <c r="K25" i="2"/>
  <c r="K22" i="2"/>
  <c r="K21" i="2"/>
  <c r="K11" i="2"/>
  <c r="K8" i="2"/>
  <c r="K6" i="2"/>
  <c r="K5" i="2"/>
  <c r="K4" i="2"/>
  <c r="K110" i="2"/>
  <c r="K107" i="2"/>
  <c r="K105" i="2"/>
  <c r="K90" i="2"/>
  <c r="K91" i="2"/>
  <c r="K89" i="2"/>
  <c r="K88" i="2"/>
  <c r="K87" i="2"/>
  <c r="K86" i="2"/>
  <c r="K84" i="2"/>
  <c r="K83" i="2"/>
  <c r="K82" i="2"/>
  <c r="K81" i="2"/>
  <c r="K77" i="2"/>
  <c r="K76" i="2"/>
  <c r="K75" i="2"/>
  <c r="K74" i="2"/>
  <c r="K73" i="2"/>
  <c r="K79" i="2"/>
  <c r="K78" i="2"/>
  <c r="K109" i="2"/>
  <c r="K80" i="2"/>
  <c r="I25" i="2" l="1"/>
  <c r="I24" i="2"/>
  <c r="I23" i="2"/>
  <c r="I22" i="2"/>
  <c r="I21" i="2"/>
  <c r="I20" i="2"/>
  <c r="I11" i="2"/>
  <c r="I9" i="2"/>
  <c r="I8" i="2"/>
  <c r="I7" i="2"/>
  <c r="I6" i="2"/>
  <c r="I5" i="2"/>
  <c r="I4" i="2"/>
  <c r="I110" i="2"/>
  <c r="I108" i="2"/>
  <c r="I107" i="2"/>
  <c r="I105" i="2"/>
  <c r="I90" i="2"/>
  <c r="I91" i="2"/>
  <c r="I89" i="2"/>
  <c r="I88" i="2"/>
  <c r="I87" i="2"/>
  <c r="I86" i="2"/>
  <c r="I84" i="2"/>
  <c r="I83" i="2"/>
  <c r="I82" i="2"/>
  <c r="I81" i="2"/>
  <c r="I77" i="2"/>
  <c r="I76" i="2"/>
  <c r="I75" i="2"/>
  <c r="I74" i="2"/>
  <c r="I73" i="2"/>
  <c r="I79" i="2"/>
  <c r="I78" i="2"/>
  <c r="I109" i="2"/>
  <c r="I80" i="2"/>
  <c r="H107" i="2" l="1"/>
  <c r="G80" i="2"/>
  <c r="G109" i="2"/>
  <c r="G78" i="2"/>
  <c r="G79" i="2"/>
  <c r="G73" i="2"/>
  <c r="G77" i="2"/>
  <c r="G81" i="2"/>
  <c r="G82" i="2"/>
  <c r="G83" i="2"/>
  <c r="G84" i="2"/>
  <c r="G86" i="2"/>
  <c r="G108" i="2"/>
  <c r="G87" i="2"/>
  <c r="G88" i="2"/>
  <c r="G89" i="2"/>
  <c r="G91" i="2"/>
  <c r="G90" i="2"/>
  <c r="G105" i="2"/>
  <c r="G107" i="2"/>
  <c r="G74" i="2"/>
  <c r="G75" i="2"/>
  <c r="G76" i="2"/>
  <c r="G110" i="2"/>
  <c r="G6" i="2"/>
  <c r="G7" i="2"/>
  <c r="G8" i="2"/>
  <c r="G9" i="2"/>
  <c r="G11" i="2"/>
  <c r="G4" i="2"/>
  <c r="G5" i="2"/>
  <c r="G10" i="2"/>
  <c r="G20" i="2"/>
  <c r="G21" i="2"/>
  <c r="G22" i="2"/>
  <c r="G23" i="2"/>
  <c r="G24" i="2"/>
  <c r="G25" i="2"/>
  <c r="F78" i="2" l="1"/>
  <c r="F108" i="2"/>
  <c r="F25" i="2"/>
  <c r="F24" i="2"/>
  <c r="F23" i="2"/>
  <c r="F22" i="2"/>
  <c r="F21" i="2"/>
  <c r="F20" i="2"/>
  <c r="F10" i="2"/>
  <c r="F5" i="2"/>
  <c r="F4" i="2"/>
  <c r="F11" i="2"/>
  <c r="F9" i="2"/>
  <c r="F8" i="2"/>
  <c r="F7" i="2"/>
  <c r="F6" i="2"/>
  <c r="F110" i="2"/>
  <c r="F107" i="2"/>
  <c r="F105" i="2"/>
  <c r="F90" i="2"/>
  <c r="F91" i="2"/>
  <c r="F89" i="2"/>
  <c r="F88" i="2"/>
  <c r="F87" i="2"/>
  <c r="F86" i="2"/>
  <c r="F84" i="2"/>
  <c r="F83" i="2"/>
  <c r="F82" i="2"/>
  <c r="F81" i="2"/>
  <c r="F77" i="2"/>
  <c r="F76" i="2"/>
  <c r="F75" i="2"/>
  <c r="F74" i="2"/>
  <c r="F73" i="2"/>
  <c r="F79" i="2"/>
  <c r="F109" i="2"/>
  <c r="F80" i="2"/>
  <c r="E25" i="2" l="1"/>
  <c r="E24" i="2"/>
  <c r="E23" i="2"/>
  <c r="E22" i="2"/>
  <c r="E21" i="2"/>
  <c r="E20" i="2"/>
  <c r="E11" i="2"/>
  <c r="E10" i="2"/>
  <c r="E9" i="2"/>
  <c r="E8" i="2"/>
  <c r="E7" i="2"/>
  <c r="E6" i="2"/>
  <c r="E5" i="2"/>
  <c r="E4" i="2"/>
  <c r="H4" i="3" s="1"/>
  <c r="Q4" i="3" s="1"/>
  <c r="E110" i="2"/>
  <c r="E108" i="2"/>
  <c r="E107" i="2"/>
  <c r="E105" i="2"/>
  <c r="E90" i="2"/>
  <c r="E91" i="2"/>
  <c r="E89" i="2"/>
  <c r="E88" i="2"/>
  <c r="E87" i="2"/>
  <c r="E86" i="2"/>
  <c r="E84" i="2"/>
  <c r="E83" i="2"/>
  <c r="E82" i="2"/>
  <c r="E81" i="2"/>
  <c r="E77" i="2"/>
  <c r="E76" i="2"/>
  <c r="E75" i="2"/>
  <c r="E74" i="2"/>
  <c r="E73" i="2"/>
  <c r="E79" i="2"/>
  <c r="E78" i="2"/>
  <c r="E109" i="2"/>
  <c r="E80" i="2"/>
  <c r="H6" i="3" l="1"/>
  <c r="Q6" i="3" s="1"/>
  <c r="H10" i="3"/>
  <c r="Q10" i="3" s="1"/>
  <c r="H22" i="3"/>
  <c r="Q22" i="3" s="1"/>
  <c r="H7" i="3"/>
  <c r="Q7" i="3" s="1"/>
  <c r="H11" i="3"/>
  <c r="Q11" i="3" s="1"/>
  <c r="H23" i="3"/>
  <c r="Q23" i="3" s="1"/>
  <c r="H8" i="3"/>
  <c r="Q8" i="3" s="1"/>
  <c r="H20" i="3"/>
  <c r="Q20" i="3" s="1"/>
  <c r="H24" i="3"/>
  <c r="Q24" i="3" s="1"/>
  <c r="H5" i="3"/>
  <c r="Q5" i="3" s="1"/>
  <c r="H9" i="3"/>
  <c r="Q9" i="3" s="1"/>
  <c r="H21" i="3"/>
  <c r="Q21" i="3" s="1"/>
  <c r="H25" i="3"/>
  <c r="Q25" i="3" s="1"/>
  <c r="H109" i="3"/>
  <c r="Q109" i="3" s="1"/>
  <c r="H91" i="3"/>
  <c r="Q91" i="3" s="1"/>
  <c r="H75" i="3"/>
  <c r="Q75" i="3" s="1"/>
  <c r="H82" i="3"/>
  <c r="Q82" i="3" s="1"/>
  <c r="H90" i="3"/>
  <c r="Q90" i="3" s="1"/>
  <c r="H79" i="3"/>
  <c r="Q79" i="3" s="1"/>
  <c r="H76" i="3"/>
  <c r="Q76" i="3" s="1"/>
  <c r="H83" i="3"/>
  <c r="Q83" i="3" s="1"/>
  <c r="H105" i="3"/>
  <c r="Q105" i="3" s="1"/>
  <c r="H74" i="3"/>
  <c r="Q74" i="3" s="1"/>
  <c r="H78" i="3"/>
  <c r="Q78" i="3" s="1"/>
  <c r="H87" i="3"/>
  <c r="Q87" i="3" s="1"/>
  <c r="H73" i="3"/>
  <c r="H89" i="3"/>
  <c r="Q89" i="3" s="1"/>
  <c r="H107" i="3"/>
  <c r="Q107" i="3" s="1"/>
  <c r="H84" i="3"/>
  <c r="Q84" i="3" s="1"/>
  <c r="H110" i="3"/>
  <c r="Q110" i="3" s="1"/>
  <c r="H108" i="3"/>
  <c r="Q108" i="3" s="1"/>
  <c r="H88" i="3"/>
  <c r="Q88" i="3" s="1"/>
  <c r="H86" i="3"/>
  <c r="Q86" i="3" s="1"/>
  <c r="H81" i="3"/>
  <c r="Q81" i="3" s="1"/>
  <c r="H77" i="3"/>
  <c r="Q77" i="3" s="1"/>
  <c r="V74" i="3"/>
  <c r="V75" i="3"/>
  <c r="V76" i="3"/>
  <c r="V81" i="3"/>
  <c r="V80" i="3"/>
  <c r="Q2" i="3" l="1"/>
  <c r="Q73" i="3"/>
  <c r="H80" i="3"/>
  <c r="Q80" i="3" s="1"/>
  <c r="V78" i="3" l="1"/>
  <c r="V79" i="3"/>
  <c r="V73" i="3"/>
  <c r="V77" i="3"/>
  <c r="V109" i="3" l="1"/>
  <c r="C4" i="8" l="1"/>
  <c r="DH3" i="2" l="1"/>
  <c r="W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 Orta</author>
    <author>Duglas Ledezma</author>
  </authors>
  <commentList>
    <comment ref="F10" authorId="0" shapeId="0" xr:uid="{65C77FE6-05EB-4472-A422-BDFF37250D28}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Caja de devolucion recibida de Disbattery Aragua procesada el 04-03-2022
</t>
        </r>
      </text>
    </comment>
    <comment ref="O18" authorId="1" shapeId="0" xr:uid="{EAFEFB67-D755-4546-864F-61622C6C5AA7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1 UNIDAD DEVOLUCION DE DILCOVICA 14-3-23</t>
        </r>
      </text>
    </comment>
    <comment ref="O20" authorId="1" shapeId="0" xr:uid="{10CCE70E-6BC7-49D2-B797-221026858ACE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UNIDAD DEVOLUCION DE DILCOVICA 14-3-23</t>
        </r>
      </text>
    </comment>
    <comment ref="O31" authorId="1" shapeId="0" xr:uid="{77AD5390-572F-4A1C-A240-AB397044F213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17 CAJAS + 1 CAJA INCOMPLETA DEVOLUCION DILCOVICA 14-03-23</t>
        </r>
      </text>
    </comment>
    <comment ref="O43" authorId="1" shapeId="0" xr:uid="{FA550A19-79D8-4CE7-8486-EF83229E30C0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UNIDADES DEVOLUCION DE DILCOVICA 14-3-23</t>
        </r>
      </text>
    </comment>
    <comment ref="O49" authorId="1" shapeId="0" xr:uid="{AE98527B-BE00-449A-8B0B-96FB944A7518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3 CAJAS + 1 CAJA INCOMPLETA DEVOLUCION DE DILCOVICA 14-3-23</t>
        </r>
      </text>
    </comment>
    <comment ref="O50" authorId="1" shapeId="0" xr:uid="{D9C6568F-545D-4CFD-8276-894F05D8BB23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6 CAJAS + 1 CAJA INCOMPLETA DEVOLUCION DE DILCOVICA 14-3-23</t>
        </r>
      </text>
    </comment>
    <comment ref="R72" authorId="1" shapeId="0" xr:uid="{A7B05E5C-45A5-450A-BB65-AB9EC8401821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5 CAJAS SE ENVIARON DE MAS DESPACHO DE BLITZ POR ERROR DE SISTEMA EN CANTIDAD  DEVOLUCION DE BLITZ AL DIA 12-04-23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Nesrely Rodríguez</author>
  </authors>
  <commentList>
    <comment ref="BS18" authorId="0" shapeId="0" xr:uid="{E5A7BFD8-AB4E-45C1-BE1B-F0ACC88EC761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 le entrego (1) filtro  a javier salas dia 16/03/23</t>
        </r>
      </text>
    </comment>
    <comment ref="BS20" authorId="0" shapeId="0" xr:uid="{95C225A9-F4A0-4FA7-8A89-B2AD90C52202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 le entrego (2) filtros  a javier salas dia 16/03/23</t>
        </r>
      </text>
    </comment>
    <comment ref="CA74" authorId="0" shapeId="0" xr:uid="{6936E144-21EB-44D9-94D6-8A4110F17BC8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 ENTREGARON LAS ULTIMAS 6 UNIDADES QUE QUEDABAN A MARIA DURAN. QUEDANDO LA CAJA VACÍA QUE FUE DESTRUIDA.</t>
        </r>
      </text>
    </comment>
    <comment ref="CY80" authorId="0" shapeId="0" xr:uid="{2A1C3FF9-AA39-44B7-8AE7-4C962ADBF875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 a comercial de 6 unidades, por ser las ultimas de esta caja se entregó con su empaque, es decir con la caja de carton.</t>
        </r>
      </text>
    </comment>
    <comment ref="CO86" authorId="0" shapeId="0" xr:uid="{BDD559B3-6408-4063-A7A8-0DCFAC027C45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2 cajas con faltantes por filtros entregados a comercial se unificaron en 1, y se le da de baja a la caja que quedo vacia</t>
        </r>
      </text>
    </comment>
    <comment ref="CO89" authorId="0" shapeId="0" xr:uid="{A5988FC5-387D-4682-BFD4-CD66E92532B3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2 cajas con faltantes por filtros entregados a comercial se unificaron en 1, y se le da de baja a la caja que quedo vacia</t>
        </r>
      </text>
    </comment>
    <comment ref="CY100" authorId="0" shapeId="0" xr:uid="{C3E05CAD-4725-4B62-A4D7-3FA4A862B1D7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 a comercial de 6 unidades, por ser las ultimas de esta caja se entregó con su empaque, es decir con la caja de carton.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Lugo</author>
    <author>Nesrely Rodríguez</author>
    <author>Denis Orta</author>
  </authors>
  <commentList>
    <comment ref="I3" authorId="0" shapeId="0" xr:uid="{5C5580DD-A527-4D33-B75A-FF555DF279F2}">
      <text>
        <r>
          <rPr>
            <b/>
            <sz val="9"/>
            <color indexed="81"/>
            <rFont val="Tahoma"/>
            <family val="2"/>
          </rPr>
          <t>Daniel Lugo:</t>
        </r>
        <r>
          <rPr>
            <sz val="9"/>
            <color indexed="81"/>
            <rFont val="Tahoma"/>
            <family val="2"/>
          </rPr>
          <t xml:space="preserve">
CONTEO DEL        25/02/2022</t>
        </r>
      </text>
    </comment>
    <comment ref="L3" authorId="1" shapeId="0" xr:uid="{EECFC14D-A9AD-41FB-9A87-2948DCDAEF89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Julio 2022- Naranja triangular</t>
        </r>
      </text>
    </comment>
    <comment ref="M3" authorId="1" shapeId="0" xr:uid="{0BC9824A-CCBB-459C-8F94-966E253429A9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Septiembre 2022- Triangular</t>
        </r>
      </text>
    </comment>
    <comment ref="N3" authorId="1" shapeId="0" xr:uid="{4239F5FE-2D28-4087-8C20-6EC723833287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Amarillo triangular Marzo-Abril 2023</t>
        </r>
      </text>
    </comment>
    <comment ref="W45" authorId="2" shapeId="0" xr:uid="{7FF6C132-116E-4457-8241-2977C7B6D1C8}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Cajas con doble codigo de identificacion:
QC-7194 y QC-6680 cuando corresponden al QC-6680</t>
        </r>
      </text>
    </comment>
    <comment ref="X45" authorId="2" shapeId="0" xr:uid="{BD4F4DBC-DC50-41DB-AD6D-86759CC6C089}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Cajas con doble codigo de identificacion:
QC-7194 y QC-6680 cuando corresponden al QC-6680</t>
        </r>
      </text>
    </comment>
  </commentList>
</comments>
</file>

<file path=xl/sharedStrings.xml><?xml version="1.0" encoding="utf-8"?>
<sst xmlns="http://schemas.openxmlformats.org/spreadsheetml/2006/main" count="2390" uniqueCount="667">
  <si>
    <t>Producto</t>
  </si>
  <si>
    <t>UMB</t>
  </si>
  <si>
    <t>Entrada</t>
  </si>
  <si>
    <t>Salidas</t>
  </si>
  <si>
    <t>Fecha</t>
  </si>
  <si>
    <t>Total Despachado</t>
  </si>
  <si>
    <t>Total Recibido</t>
  </si>
  <si>
    <t>Teórico</t>
  </si>
  <si>
    <t>Físico APLV</t>
  </si>
  <si>
    <t xml:space="preserve">Asertividad  del Inventario </t>
  </si>
  <si>
    <t xml:space="preserve">QL-2 </t>
  </si>
  <si>
    <t>QL-8</t>
  </si>
  <si>
    <t xml:space="preserve">QL-13 </t>
  </si>
  <si>
    <t>QL-16</t>
  </si>
  <si>
    <t>QL-10060</t>
  </si>
  <si>
    <t>QL-10575</t>
  </si>
  <si>
    <t>QL-2004</t>
  </si>
  <si>
    <t>QL-3387</t>
  </si>
  <si>
    <t>QL-3600</t>
  </si>
  <si>
    <t>QL-3614</t>
  </si>
  <si>
    <t>QL-3807</t>
  </si>
  <si>
    <t>QL-7317</t>
  </si>
  <si>
    <t>QL-3980</t>
  </si>
  <si>
    <t>QL-4558</t>
  </si>
  <si>
    <t>QL-4967</t>
  </si>
  <si>
    <t>QL-5113</t>
  </si>
  <si>
    <t>QL-5103</t>
  </si>
  <si>
    <t>QL-5548</t>
  </si>
  <si>
    <t>QL-6607</t>
  </si>
  <si>
    <t>QL-10158</t>
  </si>
  <si>
    <t>QL-10295</t>
  </si>
  <si>
    <t>QL-10358</t>
  </si>
  <si>
    <t>QL-9814</t>
  </si>
  <si>
    <t>QA-10242</t>
  </si>
  <si>
    <t>QA-10262</t>
  </si>
  <si>
    <t>QA-10755</t>
  </si>
  <si>
    <t>QA-10835</t>
  </si>
  <si>
    <t>QA-1211</t>
  </si>
  <si>
    <t>QA-1010</t>
  </si>
  <si>
    <t>QA-10190</t>
  </si>
  <si>
    <t>QA-1111</t>
  </si>
  <si>
    <t>QA-9074</t>
  </si>
  <si>
    <t>QA-91485</t>
  </si>
  <si>
    <t>QA-9430</t>
  </si>
  <si>
    <t>QA-9683</t>
  </si>
  <si>
    <t>QA-9687</t>
  </si>
  <si>
    <t>QA-9902</t>
  </si>
  <si>
    <t>Descripción</t>
  </si>
  <si>
    <t>Filtro de Lubricante</t>
  </si>
  <si>
    <t>Filtro de Aire</t>
  </si>
  <si>
    <t>24xCaja</t>
  </si>
  <si>
    <t>48xCaja</t>
  </si>
  <si>
    <t xml:space="preserve">peso por caja </t>
  </si>
  <si>
    <t>peso total</t>
  </si>
  <si>
    <t xml:space="preserve">UNDS ENTREGADAS </t>
  </si>
  <si>
    <t>6 UNDS</t>
  </si>
  <si>
    <t>2 UNDS</t>
  </si>
  <si>
    <t xml:space="preserve">Febrero </t>
  </si>
  <si>
    <t>Cantidad</t>
  </si>
  <si>
    <t>Total</t>
  </si>
  <si>
    <t>Fecha: ___________________</t>
  </si>
  <si>
    <t>Hora: ___________________</t>
  </si>
  <si>
    <t>Inventario cíclico de Filtros</t>
  </si>
  <si>
    <t>Firma: ________________________</t>
  </si>
  <si>
    <t>Marzo</t>
  </si>
  <si>
    <t>QC-2</t>
  </si>
  <si>
    <t>QC-618</t>
  </si>
  <si>
    <t>QC-619</t>
  </si>
  <si>
    <t>QC-1010</t>
  </si>
  <si>
    <t>QC-1036</t>
  </si>
  <si>
    <t>QC-1083</t>
  </si>
  <si>
    <t>QC-1100</t>
  </si>
  <si>
    <t>QC-1120</t>
  </si>
  <si>
    <t>QC-3583</t>
  </si>
  <si>
    <t>QC-3727</t>
  </si>
  <si>
    <t>QC-3802</t>
  </si>
  <si>
    <t>QC-3850</t>
  </si>
  <si>
    <t>QC-5010</t>
  </si>
  <si>
    <t>QC-5110</t>
  </si>
  <si>
    <t>QC-5961</t>
  </si>
  <si>
    <t>QC-645A</t>
  </si>
  <si>
    <t>QC-6680</t>
  </si>
  <si>
    <t>QC-7110</t>
  </si>
  <si>
    <t>QC-7194</t>
  </si>
  <si>
    <t>QC-7612</t>
  </si>
  <si>
    <t>QC-7729</t>
  </si>
  <si>
    <t>QC-9292</t>
  </si>
  <si>
    <t>Filtro de Combustible</t>
  </si>
  <si>
    <t>100x1</t>
  </si>
  <si>
    <t>50x1</t>
  </si>
  <si>
    <t>50x2</t>
  </si>
  <si>
    <t>50x3</t>
  </si>
  <si>
    <t>50x4</t>
  </si>
  <si>
    <t>50x5</t>
  </si>
  <si>
    <t>50x6</t>
  </si>
  <si>
    <t>50x7</t>
  </si>
  <si>
    <t>50x8</t>
  </si>
  <si>
    <t>50x9</t>
  </si>
  <si>
    <t>12xCaja</t>
  </si>
  <si>
    <t>QA-8000</t>
  </si>
  <si>
    <t>QA-8208</t>
  </si>
  <si>
    <t>QA-8004</t>
  </si>
  <si>
    <t>QA-2222</t>
  </si>
  <si>
    <t>QA-6558</t>
  </si>
  <si>
    <t>QA-5700</t>
  </si>
  <si>
    <t>QD-6905</t>
  </si>
  <si>
    <t>QD-6904</t>
  </si>
  <si>
    <t>QL-3690</t>
  </si>
  <si>
    <t>QL-2</t>
  </si>
  <si>
    <t>QL-13</t>
  </si>
  <si>
    <t>Filtro de Diesel</t>
  </si>
  <si>
    <t>SHELL HELIX HX8 PRO AG 0W-20 EXPO 12x1L</t>
  </si>
  <si>
    <t>SHELL HELIX HX8 PRO AG 0W-20 CX 12x1L</t>
  </si>
  <si>
    <t>SHELL HELIX ULTRA 5W-40 SN 12x1L</t>
  </si>
  <si>
    <t>SHELL HELIX HX5 15W-40 SL TB 209L</t>
  </si>
  <si>
    <t>SHELL HELIX HX5 15W-40 SL 12x1L</t>
  </si>
  <si>
    <t>SHELL SPIRAX S2 A 90 1x20L</t>
  </si>
  <si>
    <t>SHELL RIMULA R4X 15W-40 TB 209L EXPO</t>
  </si>
  <si>
    <t>SHELL RIMULA R4 X 15W-40 CI-4 1x20L</t>
  </si>
  <si>
    <t>SHELL RIMULA R2 50 TB 209L EXPO</t>
  </si>
  <si>
    <t>SHELL RIMULA R2 50 FR 1x20L EXPO</t>
  </si>
  <si>
    <t>SHELL RIMULA RT4 X 15W-40 CI-4 1x20L</t>
  </si>
  <si>
    <t>SHELL ADVANCE 4T AX7 10W-40 SM/MA2 CX 12x1L</t>
  </si>
  <si>
    <t>SHELL ADVANCE 4T AX5 20W-50 SL/MA CX 12x1L</t>
  </si>
  <si>
    <t>SHELL SPIRAX S2 A 85W-140 TB 209L EXPO</t>
  </si>
  <si>
    <t>SHELL SPIRAX S2 A 85W-140 1x20L</t>
  </si>
  <si>
    <t>SHELL SPIRAX S2 A 85W-140 12x1L EXPO</t>
  </si>
  <si>
    <t>SHELL SPIRAX S2 A 80W-90 12x1L EXPO</t>
  </si>
  <si>
    <t>SHELL OMALA S2 G 100 1x20L</t>
  </si>
  <si>
    <t>SHELL OMALA S2 G 220 1x20L</t>
  </si>
  <si>
    <t>SHELL OMALA S2 G 320 1x20L</t>
  </si>
  <si>
    <t>SHELL OMALA S2 G 220 EXPO TB 209L</t>
  </si>
  <si>
    <t>SHELL OMALA S2 G 320 EXPO TB 209L</t>
  </si>
  <si>
    <t>SHELL OMALA S2 G 460 1x20L</t>
  </si>
  <si>
    <t>SHELL CATENEX T 121 BULK</t>
  </si>
  <si>
    <t>SHELL CATENEX T 121 1x209L</t>
  </si>
  <si>
    <t>SHELL MELINA S 30 1x55GAL</t>
  </si>
  <si>
    <t>SHELL REFRIGERATION OIL S2 FR-A 68 1x20L</t>
  </si>
  <si>
    <t>SHELL REFRIGERATION OIL S4 FR-V 68 1x20L</t>
  </si>
  <si>
    <t>SHELL HEAT TRANSFER S2  1x209L</t>
  </si>
  <si>
    <t>SHELL CORENA S4 R 68 1x5GAL</t>
  </si>
  <si>
    <t>SHELL HYDRAULIC S1 M 68 1x5GAL</t>
  </si>
  <si>
    <t>SHELL HYDRAULIC S1 M 68 1x55GAL</t>
  </si>
  <si>
    <t>SHELL HYDRAULIC S1 M 46 1x5GAL</t>
  </si>
  <si>
    <t>SHELL HYDRAULIC S1 M 46 1x55GAL</t>
  </si>
  <si>
    <t>SHELL REFRIGERATION OIL S2 FR-A 68 1x55GAL</t>
  </si>
  <si>
    <t>SHELL SPIRAX S4 TXM 1x5GAL</t>
  </si>
  <si>
    <t>SHELL SPIRAX S4 CX 30 1x55GAL</t>
  </si>
  <si>
    <t>SHELL SPIRAX S4 CX 50 1x55GAL</t>
  </si>
  <si>
    <t>SHELL CORENA S4 P 100 1x20L</t>
  </si>
  <si>
    <t>SHELL GADUS S2 V220 2 AIWJ 10x0.4KG</t>
  </si>
  <si>
    <t>SHELL SPIRAX S2 A 80W-90 1x55GAL</t>
  </si>
  <si>
    <t>SHELL RISELLA X 415 1x209L</t>
  </si>
  <si>
    <t>SHELL MYSELLA S3 N 40 1x55GAL</t>
  </si>
  <si>
    <t>SHELL MYSELLA S2 Z 40 1x55GAL</t>
  </si>
  <si>
    <t>SHELL TURBO S4 GX 32 1x55GAL</t>
  </si>
  <si>
    <t>SHELL TELLUS S2 MX 68 1x5GAL</t>
  </si>
  <si>
    <t>SHELL RIMULA R4 X 15W-40 3x4L</t>
  </si>
  <si>
    <t>SHELL RIMULA R5 E 10W-40 3x4L</t>
  </si>
  <si>
    <t>SHELL HELIX HX5 20W-50 SN 3x4L</t>
  </si>
  <si>
    <t>SHELL HELIX HX5 20W-50 SN 6x1L</t>
  </si>
  <si>
    <t>SHELL HELIX HX7 10W-40 A1W9 6x1L</t>
  </si>
  <si>
    <t>SHELL GADINIA S3 40 1x55GAL</t>
  </si>
  <si>
    <t>SHELL ARGINA S4 40 1x55GAL</t>
  </si>
  <si>
    <t>SHELL HELIX HX8 PRO AG 0W-20 LATA 3x4L</t>
  </si>
  <si>
    <t>SHELL NAUTILUS PREMIUM OUTB 2T 6x1L</t>
  </si>
  <si>
    <t>SHELL SPIRAX S3 ATF MD3 6x1L</t>
  </si>
  <si>
    <t>SHELL SPIRAX S6 ATF X 6x1L</t>
  </si>
  <si>
    <t>SHELL HELIX HX8 PROFESSIONAL AG 5W-30 6x1L</t>
  </si>
  <si>
    <t>SHELL GADUS S2 V220AC 2 1x18KG</t>
  </si>
  <si>
    <t>SHELL GADUS S2 V220AD 2 1x18KG</t>
  </si>
  <si>
    <t>SHELL HELIX ULTRA 5W-40 SN CX 6x1L</t>
  </si>
  <si>
    <t>SHELL HELIX HX7 10W-30 SN PLUS 6x1L</t>
  </si>
  <si>
    <t>SHELL ALEXIA 40 1x55GAL</t>
  </si>
  <si>
    <t>SHELL ALEXIA 70 1x55GAL</t>
  </si>
  <si>
    <t>SHELL HELIX HX5 20W-50 SN 1x209L</t>
  </si>
  <si>
    <t>SHELL ARGINA S2 40 1x55GAL</t>
  </si>
  <si>
    <t>SHELL HELIX ULTRA 5W-40 6x1L</t>
  </si>
  <si>
    <t>SHELL HELIX HX7 SP 10W-30 6x1L</t>
  </si>
  <si>
    <t>SHELL HELIX HX7 SP 10W-40 6x1L</t>
  </si>
  <si>
    <t>SHELL TURBO OIL T 32 1x55GAL</t>
  </si>
  <si>
    <t>SHELL TURBO T OIL 68 1x55GAL</t>
  </si>
  <si>
    <t>QUALID ABRILLANTADOR DE CAUCHOS 12x1L</t>
  </si>
  <si>
    <t>QUALID DESENGRASANTE INDUSTRIAL 1x200L</t>
  </si>
  <si>
    <t>QUALID DESENGRASANTE MULTIPROPOSITO 4x3.785L</t>
  </si>
  <si>
    <t>QUALID DESENGRASANTE MULTIPROPOSITO 12x1L</t>
  </si>
  <si>
    <t>QUALID DESENGRASANTE MULTIPROPOSITO 1x200L</t>
  </si>
  <si>
    <t>QUALID LIQUIDO DE FRENOS DOT 3 12x290ML</t>
  </si>
  <si>
    <t>QUALID LIQUIDO DE FRENOS DOT 3 12x946ML</t>
  </si>
  <si>
    <t>QUALID LIQUIDO DE FRENOS DOT 4 12x290ML</t>
  </si>
  <si>
    <t>QUALID LIQUIDO DE FRENOS DOT 4 12x946ML</t>
  </si>
  <si>
    <t>QUALID ELEVADOR DE OCTANAJE 12x350ML</t>
  </si>
  <si>
    <t>QUALID FORMULA MARINA 4x3.785L</t>
  </si>
  <si>
    <t>QUALID FORMULA MARINA 12x1L</t>
  </si>
  <si>
    <t>QUALID REFRIGERANTE HIGH TEMP ROJO 4x3.785L</t>
  </si>
  <si>
    <t>QUALID REFRIGERANTE HIGH TEMP ROJO 1x200L</t>
  </si>
  <si>
    <t>QUALID REFRIGERANTE HIGH TEMP VERDE  4x3.785L</t>
  </si>
  <si>
    <t>QUALID REFRIGERANTE HIGH TEMP VERDE 1x200L</t>
  </si>
  <si>
    <t>QUALID REFRIGERANTE PREMIUM ROJO 50% 4x3.785L</t>
  </si>
  <si>
    <t>QUALID REFRIGERANTE PREMIUM ROJO 50% 1x200L</t>
  </si>
  <si>
    <t>QUALID SHAMPOO 4x3.785L</t>
  </si>
  <si>
    <t>QUALID SHAMPOO 12x1L</t>
  </si>
  <si>
    <t>QUALID SHAMPOO 1x200L</t>
  </si>
  <si>
    <t>ETQ QUALID REFRIGERANTE VERDE HIGH TEMP - G</t>
  </si>
  <si>
    <t>ETQ QUALID REFRIGERANTE ROJO HIGH TEMP - G</t>
  </si>
  <si>
    <t>ETQ QUALID REFRIGERANTE PREMIUM 50% - G</t>
  </si>
  <si>
    <t>ETQ QUALID SHAMPOO AUTOMOTRIZ CONCENTRADO - G</t>
  </si>
  <si>
    <t>ETQ QUALID FORMULA MARINA - G</t>
  </si>
  <si>
    <t>ETQ QUALID DESENGRASANTE MULTIPROPOSITO - G</t>
  </si>
  <si>
    <t>ETQ QUALID SHAMPOO AUTOMOTRIZ CONCENTRADO - L</t>
  </si>
  <si>
    <t>ETQ QUALID FORMULA MARINA - L</t>
  </si>
  <si>
    <t>ETQ QUALID DESENGRASANTE MULTIPROPOSITO - L</t>
  </si>
  <si>
    <t>ETQ QUALID ABRILLANTADOR DE CAUCHOS - L</t>
  </si>
  <si>
    <t>ETQ QUALID ELEVADOR DE OCTANAJE - 350</t>
  </si>
  <si>
    <t>CLISHE - LINEA QUALID</t>
  </si>
  <si>
    <t>GALONES CUADRADOS 3,785ML ROJOS - QUALID</t>
  </si>
  <si>
    <t>MINIGALON 1.000 CC (1 LTS) ROJOS - QUALID</t>
  </si>
  <si>
    <t>TAPA 28MMPP NEGRA P/ ENVASE DE 1  LTS- QUALID</t>
  </si>
  <si>
    <t>co_art</t>
  </si>
  <si>
    <t>art_des</t>
  </si>
  <si>
    <t>StockActual</t>
  </si>
  <si>
    <t>stock_unid_CAJA</t>
  </si>
  <si>
    <t>equivalencia_CAJA</t>
  </si>
  <si>
    <t>QAC-L</t>
  </si>
  <si>
    <t>QC-3641</t>
  </si>
  <si>
    <t>QC-511A</t>
  </si>
  <si>
    <t>QC-986</t>
  </si>
  <si>
    <t>QC-991</t>
  </si>
  <si>
    <t>QDI-T</t>
  </si>
  <si>
    <t>QDM-G</t>
  </si>
  <si>
    <t>QDM-L</t>
  </si>
  <si>
    <t>QDM-T</t>
  </si>
  <si>
    <t>QDOT3-290</t>
  </si>
  <si>
    <t>QDOT3-946</t>
  </si>
  <si>
    <t>QDOT4-290</t>
  </si>
  <si>
    <t>QDOT4-946</t>
  </si>
  <si>
    <t>QEO-350</t>
  </si>
  <si>
    <t>QFM-G</t>
  </si>
  <si>
    <t>QFM-L</t>
  </si>
  <si>
    <t>QRHTR-G</t>
  </si>
  <si>
    <t>QRHTR-T</t>
  </si>
  <si>
    <t>QRHTV-G</t>
  </si>
  <si>
    <t>QRHTV-T</t>
  </si>
  <si>
    <t>QRPR50-G</t>
  </si>
  <si>
    <t>QRPR50-T</t>
  </si>
  <si>
    <t>QSH-G</t>
  </si>
  <si>
    <t>QSH-L</t>
  </si>
  <si>
    <t>QSH-T</t>
  </si>
  <si>
    <t>Z0000157</t>
  </si>
  <si>
    <t>Z0000158</t>
  </si>
  <si>
    <t>Z0000159</t>
  </si>
  <si>
    <t>Z0000160</t>
  </si>
  <si>
    <t>Z0000161</t>
  </si>
  <si>
    <t>Z0000162</t>
  </si>
  <si>
    <t>Z0000163</t>
  </si>
  <si>
    <t>Z0000164</t>
  </si>
  <si>
    <t>Z0000165</t>
  </si>
  <si>
    <t>Z0000166</t>
  </si>
  <si>
    <t>Z0000167</t>
  </si>
  <si>
    <t>Z0000170</t>
  </si>
  <si>
    <t>Z0000173</t>
  </si>
  <si>
    <t>Z0000191</t>
  </si>
  <si>
    <t>Z0000192</t>
  </si>
  <si>
    <t>Junio</t>
  </si>
  <si>
    <t xml:space="preserve"> </t>
  </si>
  <si>
    <t>SHELL RIMULA R4 X 15W-40 1x5GAL</t>
  </si>
  <si>
    <t>SHELL TURBO OIL T 46 1x55GAL</t>
  </si>
  <si>
    <t>Naranja</t>
  </si>
  <si>
    <t>SHELL HELIX HX5 15W-40 SN 3x4L</t>
  </si>
  <si>
    <t>SHELL HELIX HX5 15W-40 SN 6x1L</t>
  </si>
  <si>
    <t>AOT185R14</t>
  </si>
  <si>
    <t>DK1856514</t>
  </si>
  <si>
    <t>DK1956015</t>
  </si>
  <si>
    <t>QBD29580</t>
  </si>
  <si>
    <t>QBD31580</t>
  </si>
  <si>
    <t>QPD29580</t>
  </si>
  <si>
    <t>QVU12R225</t>
  </si>
  <si>
    <t>QWK750</t>
  </si>
  <si>
    <t>Z0000228</t>
  </si>
  <si>
    <t>TAMBOR L-RING PLUS 208 LTS</t>
  </si>
  <si>
    <t>Morado</t>
  </si>
  <si>
    <t>24x1</t>
  </si>
  <si>
    <t>48x1</t>
  </si>
  <si>
    <t>12x1</t>
  </si>
  <si>
    <t>QFM-T</t>
  </si>
  <si>
    <t>QUALID FORMULA MARINA 1x200L</t>
  </si>
  <si>
    <t>1 CAJA DIFERENCIA DE RECEPCIÓN 04-10-22</t>
  </si>
  <si>
    <t>AOTELI 185/65R14 P307</t>
  </si>
  <si>
    <t>DOUBLE KING 185/65R14 DK298</t>
  </si>
  <si>
    <t>DOUBLE KING 195/60R15 DK558</t>
  </si>
  <si>
    <t>QUALID 295/80R22.5 18 PR BULLDOG</t>
  </si>
  <si>
    <t>QUALID 315/80R22.5 20PR  BULLDOG</t>
  </si>
  <si>
    <t>QUALID 295/80R22.5 18 PR PREDATOR</t>
  </si>
  <si>
    <t>QUALID 12R22.5 18PR VULCANO</t>
  </si>
  <si>
    <t>QAB70028X915</t>
  </si>
  <si>
    <t>QUALID 28X-9-15 16PR AB700</t>
  </si>
  <si>
    <t>QAB7005008</t>
  </si>
  <si>
    <t>QUALID 5.00-8 10PR AB700</t>
  </si>
  <si>
    <t>QAB7006009</t>
  </si>
  <si>
    <t>QUALID 6.00-9  12 PR AB700</t>
  </si>
  <si>
    <t>QAB70065010</t>
  </si>
  <si>
    <t>QUALID 6.50-10 12PR AB700</t>
  </si>
  <si>
    <t>QAB70070012</t>
  </si>
  <si>
    <t>QAE80317525</t>
  </si>
  <si>
    <t>QUALID 17.5-25 24PR AE803</t>
  </si>
  <si>
    <t>QAE80320525</t>
  </si>
  <si>
    <t>QUALID 20.5-25 24PR AE803</t>
  </si>
  <si>
    <t>QAE80323525</t>
  </si>
  <si>
    <t>QUALID 23.5-25 24PR AE803</t>
  </si>
  <si>
    <t>QAE80326525</t>
  </si>
  <si>
    <t>QUALID 26.5-25 32PR AE803</t>
  </si>
  <si>
    <t>QAE804140024</t>
  </si>
  <si>
    <t xml:space="preserve"> 14.00-24 36PR AE804</t>
  </si>
  <si>
    <t>QAE80623126</t>
  </si>
  <si>
    <t>QUALID 23.1-26 16PR AE806</t>
  </si>
  <si>
    <t>QAL70210165</t>
  </si>
  <si>
    <t>QAL70212165</t>
  </si>
  <si>
    <t>QUALID 12-16.5 14PR AL702</t>
  </si>
  <si>
    <t>QUALID 7.50R16 14PR WORKER SET</t>
  </si>
  <si>
    <t>QUALID 7.00-12 12PR AB700</t>
  </si>
  <si>
    <t>QUALID 10-16.5 12PR AL702</t>
  </si>
  <si>
    <t>QC18560R14</t>
  </si>
  <si>
    <t>QUALID 185/60R14 CITADINO</t>
  </si>
  <si>
    <t>QC19560R15</t>
  </si>
  <si>
    <t>QUALID 195/60R15 CITADINO</t>
  </si>
  <si>
    <t>QU18565R14</t>
  </si>
  <si>
    <t>QUALID 185/65 R14 URBANO</t>
  </si>
  <si>
    <t>SHELL SPIRAX S2 A 80W-90 6x1L</t>
  </si>
  <si>
    <t>SHELL SPIRAX S2 A 85W-140 6x1L</t>
  </si>
  <si>
    <t>SHELL ADVANCE 4T ULTRA 15W-50 12x1L</t>
  </si>
  <si>
    <t>SHELL RIMULA R2 50 TB 209L</t>
  </si>
  <si>
    <t>unidad_base</t>
  </si>
  <si>
    <t>StockActual 0000001</t>
  </si>
  <si>
    <t>Cajas 000001</t>
  </si>
  <si>
    <t>StockActual 000004</t>
  </si>
  <si>
    <t>Cajas 000004</t>
  </si>
  <si>
    <t>CAJA</t>
  </si>
  <si>
    <t>TAMBOR</t>
  </si>
  <si>
    <t>PAILA</t>
  </si>
  <si>
    <t>LITROS</t>
  </si>
  <si>
    <t>SHELL CORENA S2 P 100 1X5GAL</t>
  </si>
  <si>
    <t>SHELL SPIRAX S4 TXM 1x55GAL</t>
  </si>
  <si>
    <t>SHELL SPIRAX S3 ATF MD3 1x55GAL</t>
  </si>
  <si>
    <t>SHELL GADUS S3 V460D 2 1x180KG</t>
  </si>
  <si>
    <t>TOTE</t>
  </si>
  <si>
    <t>SHELL GADUS S2 OG 40 1x190KG</t>
  </si>
  <si>
    <t>SHELL HELIX HX7 SP 10W-30 1x209L</t>
  </si>
  <si>
    <t>SHELL ADVANCE 4T AX7 10W-40 SN/MA2 6x1L</t>
  </si>
  <si>
    <t>SHELL ADVANCE AX7 15W-50 SN/MA2 6x1L</t>
  </si>
  <si>
    <t>UND</t>
  </si>
  <si>
    <t>QAT28570R17</t>
  </si>
  <si>
    <t>QUALID LT285/70R17 ALL TERRAIN Q01</t>
  </si>
  <si>
    <t>WS175R13</t>
  </si>
  <si>
    <t>SAFEWAY 175/70R13</t>
  </si>
  <si>
    <t>Amarillo</t>
  </si>
  <si>
    <t>QL-51675</t>
  </si>
  <si>
    <t>QA-46932</t>
  </si>
  <si>
    <t>4x1</t>
  </si>
  <si>
    <t>QD-8429</t>
  </si>
  <si>
    <t>QD-33166</t>
  </si>
  <si>
    <t>QD-33777</t>
  </si>
  <si>
    <t>QD-33399</t>
  </si>
  <si>
    <t>QD-33588</t>
  </si>
  <si>
    <t>QD-33587</t>
  </si>
  <si>
    <t>QD-33242</t>
  </si>
  <si>
    <t>40x1</t>
  </si>
  <si>
    <t>QL-51602</t>
  </si>
  <si>
    <t>QL-51431</t>
  </si>
  <si>
    <t>QL-51748</t>
  </si>
  <si>
    <t>QL-51971</t>
  </si>
  <si>
    <t>QL-57746</t>
  </si>
  <si>
    <t>QL-51660</t>
  </si>
  <si>
    <t>QA-46357</t>
  </si>
  <si>
    <t>QD-33742</t>
  </si>
  <si>
    <t>QD-33219</t>
  </si>
  <si>
    <t>QD-33218</t>
  </si>
  <si>
    <t>QL-51791</t>
  </si>
  <si>
    <t>QL-51832</t>
  </si>
  <si>
    <t>QL-51749</t>
  </si>
  <si>
    <t>QL-51669</t>
  </si>
  <si>
    <t>QL-51810</t>
  </si>
  <si>
    <t>QL-51649</t>
  </si>
  <si>
    <t>QL-51429</t>
  </si>
  <si>
    <t>QD-33260</t>
  </si>
  <si>
    <t>QD-10224</t>
  </si>
  <si>
    <t>QD-10231</t>
  </si>
  <si>
    <t>QD-10416</t>
  </si>
  <si>
    <t>QD-33386</t>
  </si>
  <si>
    <t>QD-33393</t>
  </si>
  <si>
    <t>QD-10379</t>
  </si>
  <si>
    <t>QD-10372</t>
  </si>
  <si>
    <t>SHELL CAPRINUS XR 40 1x209L</t>
  </si>
  <si>
    <t>SHELL SPIRAX S5 CVT X 12x1L</t>
  </si>
  <si>
    <t>QAT28575R16</t>
  </si>
  <si>
    <t>QUALID LT285/75R16 ALL TERRAIN Q01</t>
  </si>
  <si>
    <t>QRHTR-L</t>
  </si>
  <si>
    <t>QUALID REFRIGERANTE HIGH TEMP ROJO 12x1</t>
  </si>
  <si>
    <t>QRHTV-L</t>
  </si>
  <si>
    <t>QUALID REFRIGERANTE HIGH TEMP VERDE 12x1</t>
  </si>
  <si>
    <t>QRPV50-G</t>
  </si>
  <si>
    <t>QUALID REFRIGERANTE PREMIUM VERDE 50% 4x3.785L</t>
  </si>
  <si>
    <t>QRPV50-T</t>
  </si>
  <si>
    <t>QUALID REFRIGERANTE PREMIUM VERDE 50% 1x200L</t>
  </si>
  <si>
    <t>SHELL OMALA S2 G 460 1x209L</t>
  </si>
  <si>
    <t>SHELL TELLUS S2 VX 68 1x975L</t>
  </si>
  <si>
    <t>TOYOTA TERIOS BE-GO</t>
  </si>
  <si>
    <t>TOYOTA COROLLA XEI / GLI 2008-2012</t>
  </si>
  <si>
    <t>FORD EXPLORER 2011-2013</t>
  </si>
  <si>
    <t>FORD EXPEDITION 2009/ F-150 / F-250 / F-350 2007-2012</t>
  </si>
  <si>
    <t>JEEP GRAND CHEROKEE 2011-2014, MITSUBISHI L200 DIESEL</t>
  </si>
  <si>
    <t>TOYOTA 4RUNNER 2014-2018</t>
  </si>
  <si>
    <t>CHERY ORINOCO 4L 1.8L (AUTOMÁTICO)</t>
  </si>
  <si>
    <t>CHERY ARAUCA A1 4L 1.3L</t>
  </si>
  <si>
    <t>FORD ECOSPORT 1.6L /FIESTA POWER 1.6L, MOVE, MAX</t>
  </si>
  <si>
    <t>NKR (SIN TURBO), NPR 3.9, NPR 66L CABIN</t>
  </si>
  <si>
    <t>NPR (CON TURBO), MITSUBISHI CANTER (CON TURBO)</t>
  </si>
  <si>
    <t>NISSAN FRONTIER 2005 - 2014</t>
  </si>
  <si>
    <t>MAZDA BT-50</t>
  </si>
  <si>
    <t>HYUNDAI TUCSON (2005-2009) / KIA SPORTAGE (2005-2009)</t>
  </si>
  <si>
    <t>FORD EXPEDITION / F-150 / F-350</t>
  </si>
  <si>
    <t>MITSUBISHI LANCER TOURING 2003-2015/ MIRAGE</t>
  </si>
  <si>
    <t>RENAULT LOGAN / KANGOO /SYMBOL</t>
  </si>
  <si>
    <t>CHEVROLET SPARK</t>
  </si>
  <si>
    <t>CHEVROLET LUV-DMAX (GASOLINA)</t>
  </si>
  <si>
    <t>TOYOTA 4RUNNER 2008/ FORTUNER / HILUX KAVAK / FJ CRUISER</t>
  </si>
  <si>
    <t>FORD EXPEDITION EDDIE PICK-UP F-SERIES SUPER DUTY (TODOS)</t>
  </si>
  <si>
    <t>CHEVROLET AVEO (TODOS)</t>
  </si>
  <si>
    <t>TOYOTA COROLLA 1.6 / 1.8 VVL-I</t>
  </si>
  <si>
    <t>FORD EXPLORER</t>
  </si>
  <si>
    <t>FORD F150/ FX4/ F350</t>
  </si>
  <si>
    <t>TOYOTA PRADO, 4RUNNER, FJ CRUISER</t>
  </si>
  <si>
    <t>TOYOTA HILUX / FORTUNER</t>
  </si>
  <si>
    <t>FILTRO UNIVERSAL</t>
  </si>
  <si>
    <t>JEEP CJ SERIES / WAGONEER / WRANGLER (CON RETORNO)</t>
  </si>
  <si>
    <t>DODGE PICK-UP RAM 2500. JEEP COMANCHE / CHEROKEE / WRANGLER</t>
  </si>
  <si>
    <t>CHEVROLET BLAZER / C - 1500 / CHEYENNE / CELEBRITY / CORVETTE / GRAND BLAZER / 2WD / 4WD / LUMINA / C10</t>
  </si>
  <si>
    <t>FORD BRONCO PICO CORTO</t>
  </si>
  <si>
    <t>FORD BRONCO / EXPLORER / F-150 / F-350</t>
  </si>
  <si>
    <t>TOYOTA STARLET, ARAYA, SKY, COROLLA CARBURADO</t>
  </si>
  <si>
    <t>TOYOTA HILUX (INYECCIÓN)</t>
  </si>
  <si>
    <t>VOLKSWAGEN, GOL / GOLF/ CROSSFOX / FOX/ SPACE FOX / POLO/ BORA</t>
  </si>
  <si>
    <t>RENAULT MEGANE, SCENIC, TWINGO, LOGAN, KANGOO, SYMBOL</t>
  </si>
  <si>
    <t>CHEVROLET CORSA / LUV D-MAX/ MONTANA/ MERIVA</t>
  </si>
  <si>
    <t>CHEVROLET OPTRA / AVEO / CAPTIVA (TESTIGO)</t>
  </si>
  <si>
    <t>CHEVROLET BLAZER (ROSCA PICO)</t>
  </si>
  <si>
    <t>HYUNDAI SONATA . TOYOTA 4 RUNNER / MERÚ / PRADO</t>
  </si>
  <si>
    <t>CHERY ORINOCO / ARAUCA / X1 / TIGGER / TIUNA</t>
  </si>
  <si>
    <t>MITSUBISHI ECLIPSE / LANCER / MF / MONTERO / MX . TOYOTA CAMRY / CELICA / PASEO</t>
  </si>
  <si>
    <t>TOYOTA COROLLA 1.8/1.6 (1994-2008)</t>
  </si>
  <si>
    <t>FIAT SIENA / PALIO (TODOS )</t>
  </si>
  <si>
    <t>FIESTA POWER 4L, 1.6 LT (00-07), ECOSPORT 4L, 1.6 (04-05) Y 2.0 LT (04-05), MAZDA 2</t>
  </si>
  <si>
    <t>FORD EXPLORER / FORTALEZA / RANGER</t>
  </si>
  <si>
    <t>FORD EXPLORER 1999-2002 / SPORT TRAC</t>
  </si>
  <si>
    <t>FORD RANGER, MAZDA BT50 W/ 2.2L AND 3.2L DIESEL, TOYOTA HILUX 2.5 DIESEL / MITSUBISHI L200</t>
  </si>
  <si>
    <t>TOYOYA LAND CRUISER DIESEL 70, HZJ7, 200, 202</t>
  </si>
  <si>
    <t>TOYOTA DYNA TURBO</t>
  </si>
  <si>
    <t>MITSUBISHI HINO 3.5T 155 195 FUEL FILTER ELEMENT OE 23304-78091  TOYOTA DYNA (23304-78090)</t>
  </si>
  <si>
    <t>MITSUBISHI, HINO, ISUZU, CHEVROLET FVR, TOYOTA DYNA 4.0</t>
  </si>
  <si>
    <t>JHON DEER / INGERSOLL RAND / MASSEY FERGUSON</t>
  </si>
  <si>
    <t>MACK 673 / 675 / 676 SECUNDARIO</t>
  </si>
  <si>
    <t>MACK 673 / 675 / 676 PRIMARIO</t>
  </si>
  <si>
    <t>TRAMPA CARGO 1721</t>
  </si>
  <si>
    <t>DAEWOO, HITACHI EQUIPMENT; HINO, ISUZU TRUCKS; KAWASAKI LOADERS</t>
  </si>
  <si>
    <t>CHEVROLET NPR / NKR</t>
  </si>
  <si>
    <t>CHEVROLET NPR / NKR / ENCAVA</t>
  </si>
  <si>
    <t>MITSUBISHI FUSO CANTER</t>
  </si>
  <si>
    <t>MACK GRANITE Y VISION</t>
  </si>
  <si>
    <t>CAT EQUIPMENT (CARTEPILLAR ENGINES)</t>
  </si>
  <si>
    <t>TRAMPA CUMMINS</t>
  </si>
  <si>
    <t>TOYOTA HILUX / HIACE / TACOMA</t>
  </si>
  <si>
    <t>CHEVROLET EXPRESS VAN/ AVALANCHE / TAHOE/  SILVERADO. DODGE CALIBER. JEEP LIBERTY KK/ COMPASS</t>
  </si>
  <si>
    <t>TOYOTA 4RUNNER 2010-2021 / TUNDRA V6 4.OL 2012-2014</t>
  </si>
  <si>
    <t>TOYOTA TUNDRA 2010-2021 / LAND CRUISER 2008-2021/ SEQUOIA 2001-2021</t>
  </si>
  <si>
    <t>TOYOTA COROLLA 2013-2018</t>
  </si>
  <si>
    <t>FORD EXPLORER 2011-2021 / F150 2011-2021 / JEEP CHEROKEE LIBERTY 2008 -2014</t>
  </si>
  <si>
    <t>CHEVROLET GRAND BLAZER / 2WD / 4WD / C-1500 / C30 / C3500 / GMC YUKON / PICK-UPS (TODAS) / SILVERADO</t>
  </si>
  <si>
    <t>DODGE INTREPID / PICK-UP RAM 2500 / SPIRIT / STRATUS / CARAVAN / DURANGO / CIRRUS</t>
  </si>
  <si>
    <t>FORD TRITON 8CIL / EXPEDITION V8 / ESCAPE 3.0L / EXPLORER SPORT / SPORT TRAC/ JEEP GRAND CHEROKEE 2010-2013</t>
  </si>
  <si>
    <t>TOYOTA PRADO/ HILUX/ FORTUNER / 4RUNNER HASTA 2009. DONGFENG RICH 6</t>
  </si>
  <si>
    <t>CHEVROLET AVEO (TODOS) /  OPTRA (TODOS) / CORSA (TODOS). FIAT PALIO 1.8 (2005-2009) / SIENA 1.8 (2005-2009). DAEWOO CIEL</t>
  </si>
  <si>
    <t>FORD FIESTA (TODOS) / RANGER / FOCUS. JEEP CHEROKEE LIBERTY 2007. MAZDA B-2300 /B-2500</t>
  </si>
  <si>
    <t>CHERY ARAUCA A1 / X1, CHEVROLET GRAND VITARA (TODAS) / JIMNY. FORD ECOSPORT</t>
  </si>
  <si>
    <t>CHEVROLET LUV D-MAX (TODAS). HONDA ACCORD / CIVIC / FIT / LEGEND / ODISSEY. HYUNDAI ACCENT / ELANTRA / TUCSON / GETZ</t>
  </si>
  <si>
    <t>CHEVROLET BLAZER / CELEBRITY / CORSICA / CORVETTE / IMPALA / LUMINA / C10</t>
  </si>
  <si>
    <t>FIAT BRAVA / PALIO / PREMIO / SIENA / UNO / FORZA</t>
  </si>
  <si>
    <t>TOYOTA CAMRY / CELICA / COROLLA / SKY / STARLET / TERIOS / YARIS. DAEWOO MATIZ / TICO. CHEVROLET SPARK(TODOS)</t>
  </si>
  <si>
    <t>CHERY ORINOCO (A3)</t>
  </si>
  <si>
    <t>RENAULT CLIO / GALA / KANGOO / TWINGO 1.2L / MEGANE / LOGAN / SCENIC</t>
  </si>
  <si>
    <t>IVECO EUROCARGO</t>
  </si>
  <si>
    <t>FIAT IVECO DAILY TURBO</t>
  </si>
  <si>
    <t>FORD CARGO 815 MOTOR CUMMINS 3.9L</t>
  </si>
  <si>
    <t>CHEVROLET FVR / FTR / FSR</t>
  </si>
  <si>
    <t>VOLVO / MACK BY PASS</t>
  </si>
  <si>
    <t>FORD MOTORES CUMMINS</t>
  </si>
  <si>
    <t>FORD F-9000 / CARGO 1721</t>
  </si>
  <si>
    <t>SUPERBRIGADIER 185 / 229</t>
  </si>
  <si>
    <t>CHEVROLET KODIAK CATERPILLAR 3126 ELECTRONICO</t>
  </si>
  <si>
    <t>FORD F-7000</t>
  </si>
  <si>
    <t>FREIGHTLINER CL120 / FDL120</t>
  </si>
  <si>
    <t>VOLKSWAGEN FOX / CROSSFOX 2006-2008 / GOL 1997-2018 / SPACE FOX 2006-2008.  SEAT IBIZA CORDOBA</t>
  </si>
  <si>
    <t>CUMMINS ISX</t>
  </si>
  <si>
    <t>FORD KA / LASER. MAZDA ALLEGRO / 323 / 626 KIA PICANTO</t>
  </si>
  <si>
    <t>HONDA ACCORD / CIVIC, LEGEND / FIT / DODGE BRISA. MITSUBISHI LANCER</t>
  </si>
  <si>
    <t>FORD MUSTANG 91-03 / FORD BRONCO 92-96 / EXPLORER 92-01 / PICK UP F150-350. TOYOTA LAND CRUISER / MACHO / PICK UP</t>
  </si>
  <si>
    <t>PEUGEOT 206/207/307/408, CENTAURO 1.6, DONGFENG S30</t>
  </si>
  <si>
    <t>10 CAJAS ERROR DE CONVERSION, LA CAJA TRAE 48 PIEZAS, SE PIDIERON 20 CAJAS PERO EN UNIDADES SE DIO DE BAJA 480 UNIDADES QUE CORRESPONDE A 10CJAS, POR LO QUE QUEDA PENDIENTE DESCONTAR 10 CAJAS MAS.</t>
  </si>
  <si>
    <t>QA-8756</t>
  </si>
  <si>
    <t>QL-10246</t>
  </si>
  <si>
    <t>40926905</t>
  </si>
  <si>
    <t>41051905</t>
  </si>
  <si>
    <t>41068905</t>
  </si>
  <si>
    <t>43509809</t>
  </si>
  <si>
    <t>43509905</t>
  </si>
  <si>
    <t>43512905</t>
  </si>
  <si>
    <t>43592855</t>
  </si>
  <si>
    <t>44243809</t>
  </si>
  <si>
    <t>44243855</t>
  </si>
  <si>
    <t>44245809</t>
  </si>
  <si>
    <t>44245855</t>
  </si>
  <si>
    <t>44414855</t>
  </si>
  <si>
    <t>44774905</t>
  </si>
  <si>
    <t>45312905</t>
  </si>
  <si>
    <t>45372809</t>
  </si>
  <si>
    <t>45372855</t>
  </si>
  <si>
    <t>45372905</t>
  </si>
  <si>
    <t>45387905</t>
  </si>
  <si>
    <t>45657855</t>
  </si>
  <si>
    <t>45659855</t>
  </si>
  <si>
    <t>45660855</t>
  </si>
  <si>
    <t>45683809</t>
  </si>
  <si>
    <t>45684809</t>
  </si>
  <si>
    <t>45685855</t>
  </si>
  <si>
    <t>500000214</t>
  </si>
  <si>
    <t>550014136</t>
  </si>
  <si>
    <t>550022409</t>
  </si>
  <si>
    <t>550022488</t>
  </si>
  <si>
    <t>550025692</t>
  </si>
  <si>
    <t>550025702</t>
  </si>
  <si>
    <t>550025731</t>
  </si>
  <si>
    <t>550026300</t>
  </si>
  <si>
    <t>550026301</t>
  </si>
  <si>
    <t>550026697</t>
  </si>
  <si>
    <t>550026699</t>
  </si>
  <si>
    <t>550026700</t>
  </si>
  <si>
    <t>550026710</t>
  </si>
  <si>
    <t>550026834</t>
  </si>
  <si>
    <t>550026891</t>
  </si>
  <si>
    <t>550026900</t>
  </si>
  <si>
    <t>550026902</t>
  </si>
  <si>
    <t>550026907</t>
  </si>
  <si>
    <t>550026919</t>
  </si>
  <si>
    <t>550027265</t>
  </si>
  <si>
    <t>550027631</t>
  </si>
  <si>
    <t>550027680</t>
  </si>
  <si>
    <t>550029925</t>
  </si>
  <si>
    <t>550032121</t>
  </si>
  <si>
    <t>550036183</t>
  </si>
  <si>
    <t>550036571</t>
  </si>
  <si>
    <t>550038020</t>
  </si>
  <si>
    <t>550043380</t>
  </si>
  <si>
    <t>550044601</t>
  </si>
  <si>
    <t>550045415</t>
  </si>
  <si>
    <t>550045436</t>
  </si>
  <si>
    <t>550045438</t>
  </si>
  <si>
    <t>550045838</t>
  </si>
  <si>
    <t>550045853</t>
  </si>
  <si>
    <t>550045885</t>
  </si>
  <si>
    <t>550045901</t>
  </si>
  <si>
    <t>550045905</t>
  </si>
  <si>
    <t>550047075</t>
  </si>
  <si>
    <t>550047079</t>
  </si>
  <si>
    <t>550047182</t>
  </si>
  <si>
    <t>SHELL OMALA S2 G 150 1x209L</t>
  </si>
  <si>
    <t>550047184</t>
  </si>
  <si>
    <t>550047744</t>
  </si>
  <si>
    <t>550049041</t>
  </si>
  <si>
    <t>550049771</t>
  </si>
  <si>
    <t>550049811</t>
  </si>
  <si>
    <t>550049812</t>
  </si>
  <si>
    <t>550049814</t>
  </si>
  <si>
    <t>550050052</t>
  </si>
  <si>
    <t>550050102</t>
  </si>
  <si>
    <t>550050706</t>
  </si>
  <si>
    <t>550050708</t>
  </si>
  <si>
    <t>550052035</t>
  </si>
  <si>
    <t>550052038</t>
  </si>
  <si>
    <t>550052219</t>
  </si>
  <si>
    <t>550052774</t>
  </si>
  <si>
    <t>550052775</t>
  </si>
  <si>
    <t>550053426</t>
  </si>
  <si>
    <t>550053587</t>
  </si>
  <si>
    <t>550054282</t>
  </si>
  <si>
    <t>550054547</t>
  </si>
  <si>
    <t>550056833</t>
  </si>
  <si>
    <t>550057742</t>
  </si>
  <si>
    <t>550057747</t>
  </si>
  <si>
    <t>550057749</t>
  </si>
  <si>
    <t>550057767</t>
  </si>
  <si>
    <t>550059865</t>
  </si>
  <si>
    <t>550059866</t>
  </si>
  <si>
    <t>6560200055</t>
  </si>
  <si>
    <t>6560300055</t>
  </si>
  <si>
    <t>6560500055</t>
  </si>
  <si>
    <t>Chevrolet C-1500 Cheyenne / Grand Blazer / Silverado</t>
  </si>
  <si>
    <t>Chevrolet Cruze</t>
  </si>
  <si>
    <t>Profit APLV</t>
  </si>
  <si>
    <t>Diferencia Físico APLV vs Profit</t>
  </si>
  <si>
    <t>Cielo</t>
  </si>
  <si>
    <t>Físico NAPLV Unidades</t>
  </si>
  <si>
    <t>Profit NAPLN Unidades</t>
  </si>
  <si>
    <t>DIF PROFIT VS NAPLN Unidades</t>
  </si>
  <si>
    <t>550057751</t>
  </si>
  <si>
    <t>2 CAJAS DIFERENCIA DE RECEPCIÓN 04-10-22</t>
  </si>
  <si>
    <t>PENDIENTE POR TRASLADO</t>
  </si>
  <si>
    <t>6 UND FALTANTE DE RECEPCION 23-05-2023</t>
  </si>
  <si>
    <t>36 UND REVISRA AJUSTE DEL 01-04-2022</t>
  </si>
  <si>
    <t>Observaciones De las cajas Disponible</t>
  </si>
  <si>
    <t>Observaciones de las unidades</t>
  </si>
  <si>
    <t>1 CAJA DE DEVOLUCION DE DILCOVICA</t>
  </si>
  <si>
    <t>2 UND ENTREGADAS A COMERCIAL</t>
  </si>
  <si>
    <t>Nombre: ______________________</t>
  </si>
  <si>
    <t>Diferencia</t>
  </si>
  <si>
    <t>Físico NAPLV cajas</t>
  </si>
  <si>
    <t>13239</t>
  </si>
  <si>
    <t>PNEUS 185/60R14 VANTAGE CLASSIC</t>
  </si>
  <si>
    <t>14970</t>
  </si>
  <si>
    <t>PNEUS P195/75R14 FORMULA GT</t>
  </si>
  <si>
    <t>14971</t>
  </si>
  <si>
    <t>PNEUS P225/75R15 FORMULA GT</t>
  </si>
  <si>
    <t>14972</t>
  </si>
  <si>
    <t>PNEUS P195/75R14 VANTAGE</t>
  </si>
  <si>
    <t>14973</t>
  </si>
  <si>
    <t>PNEUS P225/75R15</t>
  </si>
  <si>
    <t>15010</t>
  </si>
  <si>
    <t>PNEUS 195/65R15 VANTAGE EVOLUTION</t>
  </si>
  <si>
    <t>16236</t>
  </si>
  <si>
    <t>PNEUS LT265/75R16TL VANTAGE SUV A/T</t>
  </si>
  <si>
    <t>17010</t>
  </si>
  <si>
    <t>PNEUS 235/55R17 VANTAGE SPORT</t>
  </si>
  <si>
    <t>17020</t>
  </si>
  <si>
    <t>PNEUS P265/65R17 VANTAGE SUV A/T</t>
  </si>
  <si>
    <t>19503</t>
  </si>
  <si>
    <t>PNEUS 31X10.50R15LT VANTAGE SUV A/T</t>
  </si>
  <si>
    <t>20032</t>
  </si>
  <si>
    <t>PNEUS 90/90-18M/C 51P FORMULA</t>
  </si>
  <si>
    <t>20034</t>
  </si>
  <si>
    <t>20333</t>
  </si>
  <si>
    <t>PNEUS 205/55R14 VANTAGE SPORT</t>
  </si>
  <si>
    <t>21746</t>
  </si>
  <si>
    <t>PNEUS 165/60R13 F. SPIDER</t>
  </si>
  <si>
    <t>21748</t>
  </si>
  <si>
    <t>PNEUS 175/70R13 F. SPIDER</t>
  </si>
  <si>
    <t>27771</t>
  </si>
  <si>
    <t>PNEUS 195/60R13 VANTAGE SPORT</t>
  </si>
  <si>
    <t>27774</t>
  </si>
  <si>
    <t>PNEUS P255/60R15 VANTAGE SPORT</t>
  </si>
  <si>
    <t>27812</t>
  </si>
  <si>
    <t>PNEUS P235/60R16 VANTAGE SPORT</t>
  </si>
  <si>
    <t>34951</t>
  </si>
  <si>
    <t>PNEUS 205/55R16 VANTAGE EVOLUTION</t>
  </si>
  <si>
    <t>83290</t>
  </si>
  <si>
    <t>PNEUS 30X9.50R15TL VANTAGE SUV A/T</t>
  </si>
  <si>
    <t>83380</t>
  </si>
  <si>
    <t>PNEUS P235/75R15TL VANTAGE SUV A/T</t>
  </si>
  <si>
    <t>SHELL HELIX HX7 SP 5W-20 3x4L</t>
  </si>
  <si>
    <t>ERROR DE INVENTARIO DE UNIDADES SE DEBIAN AJUSTAR 3 NEGATIVAS Y SE AJUSTARON 11 UND</t>
  </si>
  <si>
    <t>8 CAJAS DIFERENCIA DE RECEPCIÓN 04-10-22 (SE AJUSTARON 8 UND Y ERAN 8 CAJAS)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</si>
</sst>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A276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2DA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7" xfId="0" applyFill="1" applyBorder="1"/>
    <xf numFmtId="0" fontId="0" fillId="0" borderId="0" xfId="0" applyBorder="1"/>
    <xf numFmtId="0" fontId="0" fillId="5" borderId="11" xfId="0" applyFill="1" applyBorder="1"/>
    <xf numFmtId="0" fontId="0" fillId="0" borderId="15" xfId="0" applyBorder="1"/>
    <xf numFmtId="0" fontId="0" fillId="0" borderId="11" xfId="0" applyFill="1" applyBorder="1"/>
    <xf numFmtId="164" fontId="0" fillId="0" borderId="0" xfId="1" applyNumberFormat="1" applyFont="1"/>
    <xf numFmtId="0" fontId="0" fillId="3" borderId="1" xfId="0" applyFill="1" applyBorder="1"/>
    <xf numFmtId="0" fontId="0" fillId="0" borderId="0" xfId="0" applyNumberFormat="1"/>
    <xf numFmtId="0" fontId="0" fillId="0" borderId="14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7" borderId="1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2" fontId="0" fillId="4" borderId="1" xfId="0" applyNumberForma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1" fillId="4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0" fillId="11" borderId="1" xfId="0" applyFill="1" applyBorder="1"/>
    <xf numFmtId="4" fontId="8" fillId="0" borderId="0" xfId="0" applyNumberFormat="1" applyFont="1"/>
    <xf numFmtId="0" fontId="6" fillId="7" borderId="0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center" vertical="center"/>
    </xf>
    <xf numFmtId="0" fontId="0" fillId="0" borderId="21" xfId="0" applyBorder="1"/>
    <xf numFmtId="0" fontId="9" fillId="1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2" fontId="0" fillId="0" borderId="1" xfId="0" applyNumberFormat="1" applyFill="1" applyBorder="1"/>
    <xf numFmtId="0" fontId="6" fillId="11" borderId="0" xfId="0" applyFont="1" applyFill="1" applyBorder="1" applyAlignment="1">
      <alignment horizontal="center" vertical="center" wrapText="1"/>
    </xf>
    <xf numFmtId="2" fontId="0" fillId="0" borderId="1" xfId="0" applyNumberFormat="1" applyBorder="1"/>
    <xf numFmtId="165" fontId="0" fillId="0" borderId="0" xfId="0" applyNumberFormat="1" applyFill="1" applyBorder="1"/>
    <xf numFmtId="0" fontId="0" fillId="3" borderId="22" xfId="0" applyFill="1" applyBorder="1"/>
    <xf numFmtId="0" fontId="0" fillId="7" borderId="22" xfId="0" applyFill="1" applyBorder="1"/>
    <xf numFmtId="165" fontId="1" fillId="2" borderId="21" xfId="0" applyNumberFormat="1" applyFont="1" applyFill="1" applyBorder="1" applyAlignment="1">
      <alignment horizontal="center" vertical="center" wrapText="1"/>
    </xf>
    <xf numFmtId="165" fontId="0" fillId="0" borderId="21" xfId="0" applyNumberFormat="1" applyFill="1" applyBorder="1"/>
    <xf numFmtId="0" fontId="0" fillId="0" borderId="21" xfId="0" applyFill="1" applyBorder="1"/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Fill="1" applyBorder="1"/>
    <xf numFmtId="2" fontId="0" fillId="0" borderId="27" xfId="0" applyNumberFormat="1" applyBorder="1"/>
    <xf numFmtId="165" fontId="0" fillId="0" borderId="27" xfId="0" applyNumberFormat="1" applyFill="1" applyBorder="1"/>
    <xf numFmtId="0" fontId="0" fillId="0" borderId="27" xfId="0" applyBorder="1"/>
    <xf numFmtId="0" fontId="0" fillId="0" borderId="28" xfId="0" applyFill="1" applyBorder="1"/>
    <xf numFmtId="2" fontId="0" fillId="0" borderId="29" xfId="0" applyNumberFormat="1" applyFill="1" applyBorder="1"/>
    <xf numFmtId="2" fontId="0" fillId="0" borderId="29" xfId="0" applyNumberFormat="1" applyBorder="1"/>
    <xf numFmtId="165" fontId="0" fillId="0" borderId="30" xfId="0" applyNumberFormat="1" applyFill="1" applyBorder="1"/>
    <xf numFmtId="0" fontId="1" fillId="2" borderId="22" xfId="0" applyNumberFormat="1" applyFont="1" applyFill="1" applyBorder="1" applyAlignment="1">
      <alignment horizontal="center" vertical="center" wrapText="1"/>
    </xf>
    <xf numFmtId="0" fontId="0" fillId="6" borderId="22" xfId="0" applyNumberFormat="1" applyFill="1" applyBorder="1"/>
    <xf numFmtId="0" fontId="0" fillId="4" borderId="26" xfId="0" applyFill="1" applyBorder="1"/>
    <xf numFmtId="0" fontId="0" fillId="0" borderId="27" xfId="0" applyFill="1" applyBorder="1"/>
    <xf numFmtId="0" fontId="11" fillId="0" borderId="27" xfId="0" applyFont="1" applyBorder="1" applyAlignment="1">
      <alignment wrapText="1"/>
    </xf>
    <xf numFmtId="0" fontId="11" fillId="0" borderId="27" xfId="0" applyFont="1" applyBorder="1"/>
    <xf numFmtId="0" fontId="0" fillId="4" borderId="28" xfId="0" applyFill="1" applyBorder="1"/>
    <xf numFmtId="2" fontId="0" fillId="4" borderId="29" xfId="0" applyNumberFormat="1" applyFill="1" applyBorder="1"/>
    <xf numFmtId="0" fontId="0" fillId="0" borderId="29" xfId="0" applyBorder="1"/>
    <xf numFmtId="0" fontId="11" fillId="0" borderId="30" xfId="0" applyFont="1" applyBorder="1" applyAlignment="1">
      <alignment wrapText="1"/>
    </xf>
    <xf numFmtId="0" fontId="0" fillId="11" borderId="22" xfId="0" applyFill="1" applyBorder="1"/>
    <xf numFmtId="0" fontId="1" fillId="2" borderId="1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" fontId="0" fillId="4" borderId="26" xfId="0" applyNumberFormat="1" applyFill="1" applyBorder="1"/>
    <xf numFmtId="1" fontId="0" fillId="0" borderId="21" xfId="0" applyNumberFormat="1" applyFill="1" applyBorder="1"/>
    <xf numFmtId="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Alignment="1">
      <alignment horizontal="center" wrapText="1"/>
    </xf>
  </cellXfs>
  <cellStyles count="2">
    <cellStyle name="Normal" xfId="0" builtinId="0"/>
    <cellStyle name="Porcentaje" xfId="1" builtinId="5"/>
  </cellStyles>
  <dxfs count="15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76B1D"/>
        </patternFill>
      </fill>
    </dxf>
    <dxf>
      <font>
        <color auto="1"/>
      </font>
      <fill>
        <gradientFill>
          <stop position="0">
            <color rgb="FFFFFF00"/>
          </stop>
          <stop position="1">
            <color rgb="FFFF6600"/>
          </stop>
        </gradientFill>
      </fill>
    </dxf>
    <dxf>
      <font>
        <color rgb="FF9C0006"/>
      </font>
      <fill>
        <gradientFill>
          <stop position="0">
            <color rgb="FFFFFF00"/>
          </stop>
          <stop position="1">
            <color rgb="FFF76B1D"/>
          </stop>
        </gradientFill>
      </fill>
    </dxf>
    <dxf>
      <font>
        <color auto="1"/>
      </font>
      <fill>
        <gradientFill>
          <stop position="0">
            <color rgb="FFFFFF00"/>
          </stop>
          <stop position="1">
            <color rgb="FFFF6600"/>
          </stop>
        </gradient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2DA3"/>
      <color rgb="FFF76B1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Z112"/>
  <sheetViews>
    <sheetView showGridLines="0" zoomScale="95" zoomScaleNormal="95" workbookViewId="0">
      <pane xSplit="4" ySplit="3" topLeftCell="P4" activePane="bottomRight" state="frozen"/>
      <selection pane="topRight" activeCell="E1" sqref="E1"/>
      <selection pane="bottomLeft" activeCell="A4" sqref="A4"/>
      <selection pane="bottomRight" activeCell="T89" sqref="T89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9.28515625" style="8" bestFit="1" customWidth="1"/>
    <col min="4" max="4" width="10" style="4" bestFit="1" customWidth="1"/>
    <col min="5" max="5" width="15.7109375" style="23" customWidth="1"/>
    <col min="6" max="22" width="15.7109375" style="8" customWidth="1"/>
    <col min="23" max="23" width="15.7109375" customWidth="1"/>
  </cols>
  <sheetData>
    <row r="1" spans="2:25" s="8" customFormat="1" ht="15.75" thickBot="1" x14ac:dyDescent="0.3">
      <c r="E1" s="23"/>
    </row>
    <row r="2" spans="2:25" x14ac:dyDescent="0.25"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55" t="s">
        <v>6</v>
      </c>
    </row>
    <row r="3" spans="2:25" x14ac:dyDescent="0.25">
      <c r="B3" s="36" t="s">
        <v>0</v>
      </c>
      <c r="C3" s="36" t="s">
        <v>47</v>
      </c>
      <c r="D3" s="36" t="s">
        <v>1</v>
      </c>
      <c r="E3" s="56">
        <v>44589</v>
      </c>
      <c r="F3" s="56">
        <v>44624</v>
      </c>
      <c r="G3" s="56">
        <v>44638</v>
      </c>
      <c r="H3" s="56">
        <v>44650</v>
      </c>
      <c r="I3" s="56">
        <v>44651</v>
      </c>
      <c r="J3" s="56">
        <v>44720</v>
      </c>
      <c r="K3" s="56">
        <v>44771</v>
      </c>
      <c r="L3" s="56">
        <v>44824</v>
      </c>
      <c r="M3" s="56">
        <v>44825</v>
      </c>
      <c r="N3" s="56">
        <v>44838</v>
      </c>
      <c r="O3" s="56">
        <v>44999</v>
      </c>
      <c r="P3" s="56">
        <v>45008</v>
      </c>
      <c r="Q3" s="56">
        <v>45009</v>
      </c>
      <c r="R3" s="56">
        <v>45028</v>
      </c>
      <c r="S3" s="56">
        <v>45068</v>
      </c>
      <c r="T3" s="56">
        <v>45069</v>
      </c>
      <c r="U3" s="56">
        <v>45082</v>
      </c>
      <c r="V3" s="56">
        <v>45083</v>
      </c>
      <c r="W3" s="56">
        <f ca="1">TODAY()</f>
        <v>45121</v>
      </c>
    </row>
    <row r="4" spans="2:25" s="8" customFormat="1" hidden="1" x14ac:dyDescent="0.25">
      <c r="B4" s="2" t="s">
        <v>38</v>
      </c>
      <c r="C4" s="2" t="s">
        <v>49</v>
      </c>
      <c r="D4" s="39" t="s">
        <v>281</v>
      </c>
      <c r="E4" s="57">
        <v>41</v>
      </c>
      <c r="F4" s="2">
        <v>5</v>
      </c>
      <c r="G4" s="2"/>
      <c r="H4" s="2"/>
      <c r="I4" s="2"/>
      <c r="J4" s="2">
        <v>1</v>
      </c>
      <c r="K4" s="2"/>
      <c r="L4" s="2">
        <v>21</v>
      </c>
      <c r="M4" s="2"/>
      <c r="N4" s="2"/>
      <c r="O4" s="2"/>
      <c r="P4" s="2"/>
      <c r="Q4" s="2"/>
      <c r="R4" s="2"/>
      <c r="S4" s="2">
        <v>42</v>
      </c>
      <c r="T4" s="2"/>
      <c r="U4" s="2"/>
      <c r="V4" s="2"/>
      <c r="W4" s="2">
        <f>SUM(E4:V4)</f>
        <v>110</v>
      </c>
    </row>
    <row r="5" spans="2:25" s="4" customFormat="1" hidden="1" x14ac:dyDescent="0.25">
      <c r="B5" s="2" t="s">
        <v>39</v>
      </c>
      <c r="C5" s="2" t="s">
        <v>49</v>
      </c>
      <c r="D5" s="39" t="s">
        <v>281</v>
      </c>
      <c r="E5" s="57">
        <v>41</v>
      </c>
      <c r="F5" s="2">
        <v>4</v>
      </c>
      <c r="G5" s="2"/>
      <c r="H5" s="2"/>
      <c r="I5" s="2"/>
      <c r="J5" s="2">
        <v>1</v>
      </c>
      <c r="K5" s="2"/>
      <c r="L5" s="2">
        <v>42</v>
      </c>
      <c r="M5" s="2"/>
      <c r="N5" s="2"/>
      <c r="O5" s="2"/>
      <c r="P5" s="2"/>
      <c r="Q5" s="2"/>
      <c r="R5" s="2"/>
      <c r="S5" s="2">
        <v>42</v>
      </c>
      <c r="T5" s="2"/>
      <c r="U5" s="2"/>
      <c r="V5" s="2"/>
      <c r="W5" s="2">
        <f t="shared" ref="W5:W35" si="0">SUM(E5:V5)</f>
        <v>130</v>
      </c>
    </row>
    <row r="6" spans="2:25" s="4" customFormat="1" hidden="1" x14ac:dyDescent="0.25">
      <c r="B6" s="2" t="s">
        <v>33</v>
      </c>
      <c r="C6" s="2" t="s">
        <v>49</v>
      </c>
      <c r="D6" s="39" t="s">
        <v>281</v>
      </c>
      <c r="E6" s="57">
        <v>42</v>
      </c>
      <c r="F6" s="2">
        <v>4</v>
      </c>
      <c r="G6" s="2"/>
      <c r="H6" s="2"/>
      <c r="I6" s="2"/>
      <c r="J6" s="2"/>
      <c r="K6" s="2"/>
      <c r="L6" s="2">
        <v>42</v>
      </c>
      <c r="M6" s="2"/>
      <c r="N6" s="2"/>
      <c r="O6" s="2"/>
      <c r="P6" s="2"/>
      <c r="Q6" s="2"/>
      <c r="R6" s="2"/>
      <c r="S6" s="2"/>
      <c r="T6" s="2"/>
      <c r="U6" s="2">
        <v>42</v>
      </c>
      <c r="V6" s="2"/>
      <c r="W6" s="2">
        <f t="shared" si="0"/>
        <v>130</v>
      </c>
    </row>
    <row r="7" spans="2:25" s="4" customFormat="1" hidden="1" x14ac:dyDescent="0.25">
      <c r="B7" s="2" t="s">
        <v>34</v>
      </c>
      <c r="C7" s="2" t="s">
        <v>49</v>
      </c>
      <c r="D7" s="39" t="s">
        <v>281</v>
      </c>
      <c r="E7" s="57">
        <v>21</v>
      </c>
      <c r="F7" s="2">
        <v>3</v>
      </c>
      <c r="G7" s="2"/>
      <c r="H7" s="2"/>
      <c r="I7" s="2"/>
      <c r="J7" s="2">
        <v>21</v>
      </c>
      <c r="K7" s="2"/>
      <c r="L7" s="2">
        <v>42</v>
      </c>
      <c r="M7" s="2"/>
      <c r="N7" s="2"/>
      <c r="O7" s="2"/>
      <c r="P7" s="2"/>
      <c r="Q7" s="2"/>
      <c r="R7" s="2"/>
      <c r="S7" s="2"/>
      <c r="T7" s="2"/>
      <c r="U7" s="2"/>
      <c r="V7" s="2">
        <v>42</v>
      </c>
      <c r="W7" s="2">
        <f t="shared" si="0"/>
        <v>129</v>
      </c>
    </row>
    <row r="8" spans="2:25" s="4" customFormat="1" hidden="1" x14ac:dyDescent="0.25">
      <c r="B8" s="2" t="s">
        <v>35</v>
      </c>
      <c r="C8" s="2" t="s">
        <v>49</v>
      </c>
      <c r="D8" s="39" t="s">
        <v>281</v>
      </c>
      <c r="E8" s="57">
        <v>42</v>
      </c>
      <c r="F8" s="2">
        <v>5</v>
      </c>
      <c r="G8" s="2"/>
      <c r="H8" s="2"/>
      <c r="I8" s="2"/>
      <c r="J8" s="2"/>
      <c r="K8" s="2"/>
      <c r="L8" s="2">
        <v>21</v>
      </c>
      <c r="M8" s="2"/>
      <c r="N8" s="2"/>
      <c r="O8" s="2"/>
      <c r="P8" s="2"/>
      <c r="Q8" s="2"/>
      <c r="R8" s="2"/>
      <c r="S8" s="2"/>
      <c r="T8" s="2">
        <v>42</v>
      </c>
      <c r="U8" s="2"/>
      <c r="V8" s="2"/>
      <c r="W8" s="2">
        <f t="shared" si="0"/>
        <v>110</v>
      </c>
    </row>
    <row r="9" spans="2:25" s="8" customFormat="1" hidden="1" x14ac:dyDescent="0.25">
      <c r="B9" s="2" t="s">
        <v>36</v>
      </c>
      <c r="C9" s="2" t="s">
        <v>49</v>
      </c>
      <c r="D9" s="39" t="s">
        <v>281</v>
      </c>
      <c r="E9" s="57">
        <v>42</v>
      </c>
      <c r="F9" s="2">
        <v>4</v>
      </c>
      <c r="G9" s="2"/>
      <c r="H9" s="2"/>
      <c r="I9" s="2"/>
      <c r="J9" s="2"/>
      <c r="K9" s="2"/>
      <c r="L9" s="2">
        <v>21</v>
      </c>
      <c r="M9" s="2"/>
      <c r="N9" s="2"/>
      <c r="O9" s="2"/>
      <c r="P9" s="2"/>
      <c r="Q9" s="2"/>
      <c r="R9" s="2"/>
      <c r="S9" s="2"/>
      <c r="T9" s="2"/>
      <c r="U9" s="2"/>
      <c r="V9" s="2">
        <v>42</v>
      </c>
      <c r="W9" s="2">
        <f t="shared" si="0"/>
        <v>109</v>
      </c>
    </row>
    <row r="10" spans="2:25" hidden="1" x14ac:dyDescent="0.25">
      <c r="B10" s="2" t="s">
        <v>40</v>
      </c>
      <c r="C10" s="2" t="s">
        <v>49</v>
      </c>
      <c r="D10" s="39" t="s">
        <v>281</v>
      </c>
      <c r="E10" s="57">
        <v>41</v>
      </c>
      <c r="F10" s="31">
        <v>1</v>
      </c>
      <c r="G10" s="2"/>
      <c r="H10" s="2"/>
      <c r="I10" s="2"/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f t="shared" si="0"/>
        <v>43</v>
      </c>
      <c r="Y10" s="4"/>
    </row>
    <row r="11" spans="2:25" s="4" customFormat="1" hidden="1" x14ac:dyDescent="0.25">
      <c r="B11" s="2" t="s">
        <v>37</v>
      </c>
      <c r="C11" s="2" t="s">
        <v>49</v>
      </c>
      <c r="D11" s="39" t="s">
        <v>281</v>
      </c>
      <c r="E11" s="57">
        <v>42</v>
      </c>
      <c r="F11" s="2">
        <v>5</v>
      </c>
      <c r="G11" s="2"/>
      <c r="H11" s="2"/>
      <c r="I11" s="2"/>
      <c r="J11" s="2"/>
      <c r="K11" s="2"/>
      <c r="L11" s="2">
        <v>21</v>
      </c>
      <c r="M11" s="2"/>
      <c r="N11" s="2"/>
      <c r="O11" s="2"/>
      <c r="P11" s="2"/>
      <c r="Q11" s="2"/>
      <c r="R11" s="2"/>
      <c r="S11" s="2"/>
      <c r="T11" s="2">
        <v>42</v>
      </c>
      <c r="U11" s="2"/>
      <c r="V11" s="2"/>
      <c r="W11" s="2">
        <f t="shared" si="0"/>
        <v>110</v>
      </c>
    </row>
    <row r="12" spans="2:25" s="8" customFormat="1" hidden="1" x14ac:dyDescent="0.25">
      <c r="B12" s="2" t="s">
        <v>102</v>
      </c>
      <c r="C12" s="2" t="s">
        <v>49</v>
      </c>
      <c r="D12" s="39" t="s">
        <v>281</v>
      </c>
      <c r="E12" s="57"/>
      <c r="F12" s="2"/>
      <c r="G12" s="2"/>
      <c r="H12" s="2">
        <v>100</v>
      </c>
      <c r="I12" s="2"/>
      <c r="J12" s="2"/>
      <c r="K12" s="2"/>
      <c r="L12" s="2">
        <v>21</v>
      </c>
      <c r="M12" s="2"/>
      <c r="N12" s="2"/>
      <c r="O12" s="2"/>
      <c r="P12" s="2"/>
      <c r="Q12" s="2"/>
      <c r="R12" s="2"/>
      <c r="S12" s="2"/>
      <c r="T12" s="2"/>
      <c r="U12" s="2">
        <v>42</v>
      </c>
      <c r="V12" s="2"/>
      <c r="W12" s="2">
        <f t="shared" si="0"/>
        <v>163</v>
      </c>
    </row>
    <row r="13" spans="2:25" hidden="1" x14ac:dyDescent="0.25">
      <c r="B13" s="2" t="s">
        <v>372</v>
      </c>
      <c r="C13" s="2" t="s">
        <v>49</v>
      </c>
      <c r="D13" s="39" t="s">
        <v>283</v>
      </c>
      <c r="E13" s="57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84</v>
      </c>
      <c r="Q13" s="2"/>
      <c r="R13" s="2"/>
      <c r="S13" s="2"/>
      <c r="T13" s="2"/>
      <c r="U13" s="2"/>
      <c r="V13" s="2"/>
      <c r="W13" s="2">
        <f t="shared" si="0"/>
        <v>84</v>
      </c>
    </row>
    <row r="14" spans="2:25" hidden="1" x14ac:dyDescent="0.25">
      <c r="B14" s="2" t="s">
        <v>356</v>
      </c>
      <c r="C14" s="2" t="s">
        <v>49</v>
      </c>
      <c r="D14" s="39" t="s">
        <v>357</v>
      </c>
      <c r="E14" s="57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252</v>
      </c>
      <c r="Q14" s="2"/>
      <c r="R14" s="2"/>
      <c r="S14" s="2"/>
      <c r="T14" s="2"/>
      <c r="U14" s="2"/>
      <c r="V14" s="2"/>
      <c r="W14" s="2">
        <f t="shared" si="0"/>
        <v>252</v>
      </c>
    </row>
    <row r="15" spans="2:25" s="8" customFormat="1" hidden="1" x14ac:dyDescent="0.25">
      <c r="B15" s="2" t="s">
        <v>104</v>
      </c>
      <c r="C15" s="2" t="s">
        <v>49</v>
      </c>
      <c r="D15" s="39" t="s">
        <v>281</v>
      </c>
      <c r="E15" s="57"/>
      <c r="F15" s="2"/>
      <c r="G15" s="2"/>
      <c r="H15" s="2"/>
      <c r="I15" s="2">
        <v>45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f t="shared" si="0"/>
        <v>45</v>
      </c>
    </row>
    <row r="16" spans="2:25" s="8" customFormat="1" hidden="1" x14ac:dyDescent="0.25">
      <c r="B16" s="2" t="s">
        <v>103</v>
      </c>
      <c r="C16" s="2" t="s">
        <v>49</v>
      </c>
      <c r="D16" s="39" t="s">
        <v>281</v>
      </c>
      <c r="E16" s="57"/>
      <c r="F16" s="2"/>
      <c r="G16" s="2"/>
      <c r="H16" s="2">
        <v>45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21</v>
      </c>
      <c r="W16" s="2">
        <f t="shared" si="0"/>
        <v>66</v>
      </c>
    </row>
    <row r="17" spans="2:26" s="8" customFormat="1" hidden="1" x14ac:dyDescent="0.25">
      <c r="B17" s="2" t="s">
        <v>99</v>
      </c>
      <c r="C17" s="2" t="s">
        <v>49</v>
      </c>
      <c r="D17" s="39" t="s">
        <v>281</v>
      </c>
      <c r="E17" s="57"/>
      <c r="F17" s="2"/>
      <c r="G17" s="2"/>
      <c r="H17" s="2">
        <v>50</v>
      </c>
      <c r="I17" s="2"/>
      <c r="J17" s="2"/>
      <c r="K17" s="2"/>
      <c r="L17" s="2"/>
      <c r="M17" s="2">
        <v>21</v>
      </c>
      <c r="N17" s="2"/>
      <c r="O17" s="2"/>
      <c r="P17" s="2"/>
      <c r="Q17" s="2"/>
      <c r="R17" s="2"/>
      <c r="S17" s="2">
        <v>63</v>
      </c>
      <c r="T17" s="2"/>
      <c r="U17" s="2"/>
      <c r="V17" s="2"/>
      <c r="W17" s="2">
        <f t="shared" si="0"/>
        <v>134</v>
      </c>
    </row>
    <row r="18" spans="2:26" s="8" customFormat="1" hidden="1" x14ac:dyDescent="0.25">
      <c r="B18" s="2" t="s">
        <v>101</v>
      </c>
      <c r="C18" s="2" t="s">
        <v>49</v>
      </c>
      <c r="D18" s="39" t="s">
        <v>283</v>
      </c>
      <c r="E18" s="57"/>
      <c r="F18" s="2"/>
      <c r="G18" s="2"/>
      <c r="H18" s="2">
        <v>55</v>
      </c>
      <c r="I18" s="2">
        <v>25</v>
      </c>
      <c r="J18" s="2">
        <v>120</v>
      </c>
      <c r="K18" s="2"/>
      <c r="L18" s="2"/>
      <c r="M18" s="2"/>
      <c r="N18" s="2"/>
      <c r="O18" s="2">
        <v>1</v>
      </c>
      <c r="P18" s="2"/>
      <c r="Q18" s="2"/>
      <c r="R18" s="2"/>
      <c r="S18" s="2"/>
      <c r="T18" s="2">
        <v>84</v>
      </c>
      <c r="U18" s="2"/>
      <c r="V18" s="2"/>
      <c r="W18" s="2">
        <f t="shared" si="0"/>
        <v>285</v>
      </c>
    </row>
    <row r="19" spans="2:26" s="8" customFormat="1" hidden="1" x14ac:dyDescent="0.25">
      <c r="B19" s="2" t="s">
        <v>100</v>
      </c>
      <c r="C19" s="2" t="s">
        <v>49</v>
      </c>
      <c r="D19" s="39" t="s">
        <v>281</v>
      </c>
      <c r="E19" s="57"/>
      <c r="F19" s="2"/>
      <c r="G19" s="2"/>
      <c r="H19" s="2">
        <v>50</v>
      </c>
      <c r="I19" s="2"/>
      <c r="J19" s="2"/>
      <c r="K19" s="2"/>
      <c r="L19" s="2"/>
      <c r="M19" s="2">
        <v>21</v>
      </c>
      <c r="N19" s="2"/>
      <c r="O19" s="2"/>
      <c r="P19" s="2"/>
      <c r="Q19" s="2"/>
      <c r="R19" s="2"/>
      <c r="S19" s="2">
        <v>42</v>
      </c>
      <c r="T19" s="2"/>
      <c r="U19" s="2"/>
      <c r="V19" s="2"/>
      <c r="W19" s="2">
        <f t="shared" si="0"/>
        <v>113</v>
      </c>
    </row>
    <row r="20" spans="2:26" s="4" customFormat="1" hidden="1" x14ac:dyDescent="0.25">
      <c r="B20" s="42" t="s">
        <v>41</v>
      </c>
      <c r="C20" s="2" t="s">
        <v>49</v>
      </c>
      <c r="D20" s="39" t="s">
        <v>281</v>
      </c>
      <c r="E20" s="57">
        <v>21</v>
      </c>
      <c r="F20" s="2">
        <v>3</v>
      </c>
      <c r="G20" s="2"/>
      <c r="H20" s="2"/>
      <c r="I20" s="2"/>
      <c r="J20" s="2">
        <v>21</v>
      </c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>
        <f t="shared" si="0"/>
        <v>46</v>
      </c>
    </row>
    <row r="21" spans="2:26" s="8" customFormat="1" hidden="1" x14ac:dyDescent="0.25">
      <c r="B21" s="42" t="s">
        <v>42</v>
      </c>
      <c r="C21" s="2" t="s">
        <v>49</v>
      </c>
      <c r="D21" s="39" t="s">
        <v>281</v>
      </c>
      <c r="E21" s="57">
        <v>41</v>
      </c>
      <c r="F21" s="2">
        <v>5</v>
      </c>
      <c r="G21" s="2"/>
      <c r="H21" s="2"/>
      <c r="I21" s="2"/>
      <c r="J21" s="2">
        <v>1</v>
      </c>
      <c r="K21" s="2"/>
      <c r="L21" s="2"/>
      <c r="M21" s="2">
        <v>42</v>
      </c>
      <c r="N21" s="2"/>
      <c r="O21" s="2"/>
      <c r="P21" s="2"/>
      <c r="Q21" s="2"/>
      <c r="R21" s="2"/>
      <c r="S21" s="2"/>
      <c r="T21" s="2"/>
      <c r="U21" s="2"/>
      <c r="V21" s="2">
        <v>42</v>
      </c>
      <c r="W21" s="2">
        <f t="shared" si="0"/>
        <v>131</v>
      </c>
    </row>
    <row r="22" spans="2:26" s="4" customFormat="1" hidden="1" x14ac:dyDescent="0.25">
      <c r="B22" s="2" t="s">
        <v>43</v>
      </c>
      <c r="C22" s="2" t="s">
        <v>49</v>
      </c>
      <c r="D22" s="39" t="s">
        <v>281</v>
      </c>
      <c r="E22" s="57">
        <v>26</v>
      </c>
      <c r="F22" s="2">
        <v>5</v>
      </c>
      <c r="G22" s="2"/>
      <c r="H22" s="2"/>
      <c r="I22" s="2"/>
      <c r="J22" s="2">
        <v>16</v>
      </c>
      <c r="K22" s="2"/>
      <c r="L22" s="2"/>
      <c r="M22" s="2">
        <v>21</v>
      </c>
      <c r="N22" s="2"/>
      <c r="O22" s="2"/>
      <c r="P22" s="2"/>
      <c r="Q22" s="2"/>
      <c r="R22" s="2"/>
      <c r="S22" s="2">
        <v>42</v>
      </c>
      <c r="T22" s="2"/>
      <c r="U22" s="2"/>
      <c r="V22" s="2"/>
      <c r="W22" s="2">
        <f t="shared" si="0"/>
        <v>110</v>
      </c>
    </row>
    <row r="23" spans="2:26" hidden="1" x14ac:dyDescent="0.25">
      <c r="B23" s="2" t="s">
        <v>44</v>
      </c>
      <c r="C23" s="2" t="s">
        <v>49</v>
      </c>
      <c r="D23" s="39" t="s">
        <v>281</v>
      </c>
      <c r="E23" s="57">
        <v>21</v>
      </c>
      <c r="F23" s="2">
        <v>3</v>
      </c>
      <c r="G23" s="2"/>
      <c r="H23" s="2"/>
      <c r="I23" s="2"/>
      <c r="J23" s="2">
        <v>21</v>
      </c>
      <c r="K23" s="2"/>
      <c r="L23" s="2"/>
      <c r="M23" s="2">
        <v>42</v>
      </c>
      <c r="N23" s="2"/>
      <c r="O23" s="2"/>
      <c r="P23" s="2"/>
      <c r="Q23" s="2"/>
      <c r="R23" s="2"/>
      <c r="S23" s="2"/>
      <c r="T23" s="2">
        <v>42</v>
      </c>
      <c r="U23" s="2"/>
      <c r="V23" s="2"/>
      <c r="W23" s="2">
        <f t="shared" si="0"/>
        <v>129</v>
      </c>
    </row>
    <row r="24" spans="2:26" s="4" customFormat="1" hidden="1" x14ac:dyDescent="0.25">
      <c r="B24" s="2" t="s">
        <v>45</v>
      </c>
      <c r="C24" s="2" t="s">
        <v>49</v>
      </c>
      <c r="D24" s="39" t="s">
        <v>281</v>
      </c>
      <c r="E24" s="57">
        <v>21</v>
      </c>
      <c r="F24" s="2">
        <v>3</v>
      </c>
      <c r="G24" s="2"/>
      <c r="H24" s="2"/>
      <c r="I24" s="2"/>
      <c r="J24" s="2">
        <v>21</v>
      </c>
      <c r="K24" s="2"/>
      <c r="L24" s="2"/>
      <c r="M24" s="2">
        <v>42</v>
      </c>
      <c r="N24" s="2"/>
      <c r="O24" s="2"/>
      <c r="P24" s="2"/>
      <c r="Q24" s="2"/>
      <c r="R24" s="2"/>
      <c r="S24" s="2"/>
      <c r="T24" s="2"/>
      <c r="U24" s="2">
        <v>42</v>
      </c>
      <c r="V24" s="2"/>
      <c r="W24" s="2">
        <f t="shared" si="0"/>
        <v>129</v>
      </c>
    </row>
    <row r="25" spans="2:26" s="4" customFormat="1" hidden="1" x14ac:dyDescent="0.25">
      <c r="B25" s="2" t="s">
        <v>46</v>
      </c>
      <c r="C25" s="2" t="s">
        <v>49</v>
      </c>
      <c r="D25" s="39" t="s">
        <v>281</v>
      </c>
      <c r="E25" s="57">
        <v>41</v>
      </c>
      <c r="F25" s="2">
        <v>5</v>
      </c>
      <c r="G25" s="2"/>
      <c r="H25" s="2">
        <v>100</v>
      </c>
      <c r="I25" s="2"/>
      <c r="J25" s="2">
        <v>1</v>
      </c>
      <c r="K25" s="2"/>
      <c r="L25" s="2"/>
      <c r="M25" s="2">
        <v>42</v>
      </c>
      <c r="N25" s="2"/>
      <c r="O25" s="2"/>
      <c r="P25" s="2"/>
      <c r="Q25" s="2"/>
      <c r="R25" s="2"/>
      <c r="S25" s="2"/>
      <c r="T25" s="2"/>
      <c r="U25" s="2"/>
      <c r="V25" s="2">
        <v>63</v>
      </c>
      <c r="W25" s="2">
        <f t="shared" si="0"/>
        <v>252</v>
      </c>
    </row>
    <row r="26" spans="2:26" s="8" customFormat="1" hidden="1" x14ac:dyDescent="0.25">
      <c r="B26" s="2" t="s">
        <v>506</v>
      </c>
      <c r="C26" s="2" t="s">
        <v>49</v>
      </c>
      <c r="D26" s="39" t="s">
        <v>281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42</v>
      </c>
      <c r="U26" s="2"/>
      <c r="V26" s="2"/>
      <c r="W26" s="2">
        <f t="shared" si="0"/>
        <v>42</v>
      </c>
    </row>
    <row r="27" spans="2:26" hidden="1" x14ac:dyDescent="0.25">
      <c r="B27" s="2" t="s">
        <v>68</v>
      </c>
      <c r="C27" s="2" t="s">
        <v>87</v>
      </c>
      <c r="D27" s="39" t="s">
        <v>89</v>
      </c>
      <c r="E27" s="57"/>
      <c r="F27" s="2"/>
      <c r="G27" s="2">
        <v>40</v>
      </c>
      <c r="H27" s="2"/>
      <c r="I27" s="2"/>
      <c r="J27" s="2"/>
      <c r="K27" s="2"/>
      <c r="L27" s="2"/>
      <c r="M27" s="2"/>
      <c r="N27" s="2">
        <v>20</v>
      </c>
      <c r="O27" s="2"/>
      <c r="P27" s="2"/>
      <c r="Q27" s="2"/>
      <c r="R27" s="2"/>
      <c r="S27" s="2"/>
      <c r="T27" s="2"/>
      <c r="U27" s="2"/>
      <c r="V27" s="2"/>
      <c r="W27" s="2">
        <f t="shared" si="0"/>
        <v>60</v>
      </c>
      <c r="Y27" s="4"/>
      <c r="Z27" s="4"/>
    </row>
    <row r="28" spans="2:26" s="8" customFormat="1" hidden="1" x14ac:dyDescent="0.25">
      <c r="B28" s="2" t="s">
        <v>69</v>
      </c>
      <c r="C28" s="2" t="s">
        <v>87</v>
      </c>
      <c r="D28" s="39" t="s">
        <v>89</v>
      </c>
      <c r="E28" s="57"/>
      <c r="F28" s="2"/>
      <c r="G28" s="2">
        <v>20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f t="shared" si="0"/>
        <v>20</v>
      </c>
    </row>
    <row r="29" spans="2:26" s="8" customFormat="1" hidden="1" x14ac:dyDescent="0.25">
      <c r="B29" s="2" t="s">
        <v>70</v>
      </c>
      <c r="C29" s="2" t="s">
        <v>87</v>
      </c>
      <c r="D29" s="39" t="s">
        <v>89</v>
      </c>
      <c r="E29" s="57"/>
      <c r="F29" s="2"/>
      <c r="G29" s="2">
        <v>120</v>
      </c>
      <c r="H29" s="2"/>
      <c r="I29" s="2"/>
      <c r="J29" s="2"/>
      <c r="K29" s="2"/>
      <c r="L29" s="2"/>
      <c r="M29" s="2"/>
      <c r="N29" s="2">
        <v>199</v>
      </c>
      <c r="O29" s="2"/>
      <c r="P29" s="2"/>
      <c r="Q29" s="2"/>
      <c r="R29" s="2"/>
      <c r="S29" s="2"/>
      <c r="T29" s="2"/>
      <c r="U29" s="2"/>
      <c r="V29" s="2"/>
      <c r="W29" s="2">
        <f t="shared" si="0"/>
        <v>319</v>
      </c>
    </row>
    <row r="30" spans="2:26" s="8" customFormat="1" hidden="1" x14ac:dyDescent="0.25">
      <c r="B30" s="2" t="s">
        <v>71</v>
      </c>
      <c r="C30" s="2" t="s">
        <v>87</v>
      </c>
      <c r="D30" s="39" t="s">
        <v>89</v>
      </c>
      <c r="E30" s="57"/>
      <c r="F30" s="2"/>
      <c r="G30" s="2">
        <v>12</v>
      </c>
      <c r="H30" s="2"/>
      <c r="I30" s="2"/>
      <c r="J30" s="2"/>
      <c r="K30" s="2"/>
      <c r="L30" s="2"/>
      <c r="M30" s="2"/>
      <c r="N30" s="2">
        <v>68</v>
      </c>
      <c r="O30" s="2"/>
      <c r="P30" s="2"/>
      <c r="Q30" s="2"/>
      <c r="R30" s="2"/>
      <c r="S30" s="2"/>
      <c r="T30" s="2"/>
      <c r="U30" s="2"/>
      <c r="V30" s="2"/>
      <c r="W30" s="2">
        <f t="shared" si="0"/>
        <v>80</v>
      </c>
    </row>
    <row r="31" spans="2:26" s="8" customFormat="1" hidden="1" x14ac:dyDescent="0.25">
      <c r="B31" s="2" t="s">
        <v>72</v>
      </c>
      <c r="C31" s="2" t="s">
        <v>87</v>
      </c>
      <c r="D31" s="39" t="s">
        <v>89</v>
      </c>
      <c r="E31" s="57"/>
      <c r="F31" s="2"/>
      <c r="G31" s="2">
        <v>60</v>
      </c>
      <c r="H31" s="2"/>
      <c r="I31" s="2"/>
      <c r="J31" s="2"/>
      <c r="K31" s="2"/>
      <c r="L31" s="2"/>
      <c r="M31" s="2"/>
      <c r="N31" s="2"/>
      <c r="O31" s="2">
        <v>18</v>
      </c>
      <c r="P31" s="2"/>
      <c r="Q31" s="2"/>
      <c r="R31" s="2"/>
      <c r="S31" s="2"/>
      <c r="T31" s="2"/>
      <c r="U31" s="2"/>
      <c r="V31" s="2"/>
      <c r="W31" s="2">
        <f t="shared" si="0"/>
        <v>78</v>
      </c>
    </row>
    <row r="32" spans="2:26" s="8" customFormat="1" hidden="1" x14ac:dyDescent="0.25">
      <c r="B32" s="2" t="s">
        <v>65</v>
      </c>
      <c r="C32" s="2" t="s">
        <v>87</v>
      </c>
      <c r="D32" s="39" t="s">
        <v>88</v>
      </c>
      <c r="E32" s="57"/>
      <c r="F32" s="2"/>
      <c r="G32" s="2">
        <v>100</v>
      </c>
      <c r="H32" s="2"/>
      <c r="I32" s="2"/>
      <c r="J32" s="2"/>
      <c r="K32" s="2"/>
      <c r="L32" s="2"/>
      <c r="M32" s="2"/>
      <c r="N32" s="2">
        <v>94</v>
      </c>
      <c r="O32" s="2"/>
      <c r="P32" s="2"/>
      <c r="Q32" s="2"/>
      <c r="R32" s="2"/>
      <c r="S32" s="2"/>
      <c r="T32" s="2"/>
      <c r="U32" s="2"/>
      <c r="V32" s="2"/>
      <c r="W32" s="2">
        <f t="shared" si="0"/>
        <v>194</v>
      </c>
    </row>
    <row r="33" spans="2:23" s="8" customFormat="1" hidden="1" x14ac:dyDescent="0.25">
      <c r="B33" s="2" t="s">
        <v>73</v>
      </c>
      <c r="C33" s="2" t="s">
        <v>87</v>
      </c>
      <c r="D33" s="39" t="s">
        <v>89</v>
      </c>
      <c r="E33" s="57"/>
      <c r="F33" s="2"/>
      <c r="G33" s="2">
        <v>60</v>
      </c>
      <c r="H33" s="2"/>
      <c r="I33" s="2"/>
      <c r="J33" s="2"/>
      <c r="K33" s="2"/>
      <c r="L33" s="2"/>
      <c r="M33" s="2"/>
      <c r="N33" s="2">
        <v>19</v>
      </c>
      <c r="O33" s="2"/>
      <c r="P33" s="2"/>
      <c r="Q33" s="2"/>
      <c r="R33" s="2"/>
      <c r="S33" s="2"/>
      <c r="T33" s="2"/>
      <c r="U33" s="2"/>
      <c r="V33" s="2"/>
      <c r="W33" s="2">
        <f t="shared" si="0"/>
        <v>79</v>
      </c>
    </row>
    <row r="34" spans="2:23" s="8" customFormat="1" hidden="1" x14ac:dyDescent="0.25">
      <c r="B34" s="2" t="s">
        <v>224</v>
      </c>
      <c r="C34" s="2" t="s">
        <v>87</v>
      </c>
      <c r="D34" s="39" t="s">
        <v>89</v>
      </c>
      <c r="E34" s="57"/>
      <c r="F34" s="2"/>
      <c r="G34" s="2"/>
      <c r="H34" s="2"/>
      <c r="I34" s="2"/>
      <c r="J34" s="2"/>
      <c r="K34" s="2"/>
      <c r="L34" s="2"/>
      <c r="M34" s="2"/>
      <c r="N34" s="2">
        <v>30</v>
      </c>
      <c r="O34" s="2"/>
      <c r="P34" s="2"/>
      <c r="Q34" s="2"/>
      <c r="R34" s="2"/>
      <c r="S34" s="2"/>
      <c r="T34" s="2"/>
      <c r="U34" s="2"/>
      <c r="V34" s="2"/>
      <c r="W34" s="2">
        <f t="shared" si="0"/>
        <v>30</v>
      </c>
    </row>
    <row r="35" spans="2:23" s="8" customFormat="1" hidden="1" x14ac:dyDescent="0.25">
      <c r="B35" s="2" t="s">
        <v>74</v>
      </c>
      <c r="C35" s="2" t="s">
        <v>87</v>
      </c>
      <c r="D35" s="39" t="s">
        <v>89</v>
      </c>
      <c r="E35" s="57"/>
      <c r="F35" s="2"/>
      <c r="G35" s="2">
        <v>30</v>
      </c>
      <c r="H35" s="2"/>
      <c r="I35" s="2"/>
      <c r="J35" s="2"/>
      <c r="K35" s="2"/>
      <c r="L35" s="2"/>
      <c r="M35" s="2"/>
      <c r="N35" s="2">
        <v>23</v>
      </c>
      <c r="O35" s="2"/>
      <c r="P35" s="2"/>
      <c r="Q35" s="2"/>
      <c r="R35" s="2"/>
      <c r="S35" s="2"/>
      <c r="T35" s="2"/>
      <c r="U35" s="2"/>
      <c r="V35" s="2"/>
      <c r="W35" s="2">
        <f t="shared" si="0"/>
        <v>53</v>
      </c>
    </row>
    <row r="36" spans="2:23" s="8" customFormat="1" hidden="1" x14ac:dyDescent="0.25">
      <c r="B36" s="2" t="s">
        <v>75</v>
      </c>
      <c r="C36" s="2" t="s">
        <v>87</v>
      </c>
      <c r="D36" s="39" t="s">
        <v>89</v>
      </c>
      <c r="E36" s="57"/>
      <c r="F36" s="2"/>
      <c r="G36" s="2">
        <v>40</v>
      </c>
      <c r="H36" s="2"/>
      <c r="I36" s="2"/>
      <c r="J36" s="2"/>
      <c r="K36" s="2"/>
      <c r="L36" s="2"/>
      <c r="M36" s="2"/>
      <c r="N36" s="2">
        <v>20</v>
      </c>
      <c r="O36" s="2"/>
      <c r="P36" s="2"/>
      <c r="Q36" s="2"/>
      <c r="R36" s="2"/>
      <c r="S36" s="2"/>
      <c r="T36" s="2"/>
      <c r="U36" s="2"/>
      <c r="V36" s="2"/>
      <c r="W36" s="2">
        <f t="shared" ref="W36:W67" si="1">SUM(E36:V36)</f>
        <v>60</v>
      </c>
    </row>
    <row r="37" spans="2:23" s="8" customFormat="1" hidden="1" x14ac:dyDescent="0.25">
      <c r="B37" s="2" t="s">
        <v>76</v>
      </c>
      <c r="C37" s="2" t="s">
        <v>87</v>
      </c>
      <c r="D37" s="39" t="s">
        <v>89</v>
      </c>
      <c r="E37" s="57"/>
      <c r="F37" s="2"/>
      <c r="G37" s="2">
        <v>40</v>
      </c>
      <c r="H37" s="2"/>
      <c r="I37" s="2"/>
      <c r="J37" s="2"/>
      <c r="K37" s="2"/>
      <c r="L37" s="2"/>
      <c r="M37" s="2"/>
      <c r="N37" s="2">
        <v>38</v>
      </c>
      <c r="O37" s="2"/>
      <c r="P37" s="2"/>
      <c r="Q37" s="2"/>
      <c r="R37" s="2"/>
      <c r="S37" s="2"/>
      <c r="T37" s="2"/>
      <c r="U37" s="2"/>
      <c r="V37" s="2"/>
      <c r="W37" s="2">
        <f t="shared" si="1"/>
        <v>78</v>
      </c>
    </row>
    <row r="38" spans="2:23" s="8" customFormat="1" hidden="1" x14ac:dyDescent="0.25">
      <c r="B38" s="2" t="s">
        <v>77</v>
      </c>
      <c r="C38" s="2" t="s">
        <v>87</v>
      </c>
      <c r="D38" s="39" t="s">
        <v>88</v>
      </c>
      <c r="E38" s="57"/>
      <c r="F38" s="2"/>
      <c r="G38" s="2">
        <v>20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/>
      <c r="R38" s="2"/>
      <c r="S38" s="2"/>
      <c r="T38" s="2"/>
      <c r="U38" s="2"/>
      <c r="V38" s="2"/>
      <c r="W38" s="2">
        <f t="shared" si="1"/>
        <v>30</v>
      </c>
    </row>
    <row r="39" spans="2:23" s="8" customFormat="1" hidden="1" x14ac:dyDescent="0.25">
      <c r="B39" s="2" t="s">
        <v>78</v>
      </c>
      <c r="C39" s="2" t="s">
        <v>87</v>
      </c>
      <c r="D39" s="39" t="s">
        <v>89</v>
      </c>
      <c r="E39" s="57"/>
      <c r="F39" s="2"/>
      <c r="G39" s="2">
        <v>30</v>
      </c>
      <c r="H39" s="2"/>
      <c r="I39" s="2"/>
      <c r="J39" s="2"/>
      <c r="K39" s="2"/>
      <c r="L39" s="2"/>
      <c r="M39" s="2"/>
      <c r="N39" s="2">
        <v>30</v>
      </c>
      <c r="O39" s="2"/>
      <c r="P39" s="2"/>
      <c r="Q39" s="2"/>
      <c r="R39" s="2"/>
      <c r="S39" s="2"/>
      <c r="T39" s="2"/>
      <c r="U39" s="2"/>
      <c r="V39" s="2"/>
      <c r="W39" s="2">
        <f t="shared" si="1"/>
        <v>60</v>
      </c>
    </row>
    <row r="40" spans="2:23" s="8" customFormat="1" hidden="1" x14ac:dyDescent="0.25">
      <c r="B40" s="2" t="s">
        <v>225</v>
      </c>
      <c r="C40" s="2" t="s">
        <v>87</v>
      </c>
      <c r="D40" s="39" t="s">
        <v>89</v>
      </c>
      <c r="E40" s="57"/>
      <c r="F40" s="2"/>
      <c r="G40" s="2"/>
      <c r="H40" s="2"/>
      <c r="I40" s="2"/>
      <c r="J40" s="2"/>
      <c r="K40" s="2"/>
      <c r="L40" s="2"/>
      <c r="M40" s="2"/>
      <c r="N40" s="2">
        <v>40</v>
      </c>
      <c r="O40" s="2"/>
      <c r="P40" s="2"/>
      <c r="Q40" s="2"/>
      <c r="R40" s="2"/>
      <c r="S40" s="2"/>
      <c r="T40" s="2"/>
      <c r="U40" s="2"/>
      <c r="V40" s="2"/>
      <c r="W40" s="2">
        <f t="shared" si="1"/>
        <v>40</v>
      </c>
    </row>
    <row r="41" spans="2:23" s="8" customFormat="1" hidden="1" x14ac:dyDescent="0.25">
      <c r="B41" s="2" t="s">
        <v>79</v>
      </c>
      <c r="C41" s="2" t="s">
        <v>87</v>
      </c>
      <c r="D41" s="39" t="s">
        <v>89</v>
      </c>
      <c r="E41" s="57"/>
      <c r="F41" s="2"/>
      <c r="G41" s="2">
        <v>30</v>
      </c>
      <c r="H41" s="2"/>
      <c r="I41" s="2"/>
      <c r="J41" s="2"/>
      <c r="K41" s="2"/>
      <c r="L41" s="2"/>
      <c r="M41" s="2"/>
      <c r="N41" s="2">
        <v>20</v>
      </c>
      <c r="O41" s="2"/>
      <c r="P41" s="2"/>
      <c r="Q41" s="2"/>
      <c r="R41" s="2"/>
      <c r="S41" s="2"/>
      <c r="T41" s="2"/>
      <c r="U41" s="2"/>
      <c r="V41" s="2"/>
      <c r="W41" s="2">
        <f t="shared" si="1"/>
        <v>50</v>
      </c>
    </row>
    <row r="42" spans="2:23" s="8" customFormat="1" hidden="1" x14ac:dyDescent="0.25">
      <c r="B42" s="2" t="s">
        <v>66</v>
      </c>
      <c r="C42" s="2" t="s">
        <v>87</v>
      </c>
      <c r="D42" s="39" t="s">
        <v>89</v>
      </c>
      <c r="E42" s="57"/>
      <c r="F42" s="2"/>
      <c r="G42" s="2">
        <v>210</v>
      </c>
      <c r="H42" s="2"/>
      <c r="I42" s="2"/>
      <c r="J42" s="2"/>
      <c r="K42" s="2"/>
      <c r="L42" s="2"/>
      <c r="M42" s="2"/>
      <c r="N42" s="2">
        <v>300</v>
      </c>
      <c r="O42" s="2"/>
      <c r="P42" s="2"/>
      <c r="Q42" s="2"/>
      <c r="R42" s="2"/>
      <c r="S42" s="2"/>
      <c r="T42" s="2"/>
      <c r="U42" s="2"/>
      <c r="V42" s="2"/>
      <c r="W42" s="2">
        <f t="shared" si="1"/>
        <v>510</v>
      </c>
    </row>
    <row r="43" spans="2:23" s="8" customFormat="1" hidden="1" x14ac:dyDescent="0.25">
      <c r="B43" s="2" t="s">
        <v>67</v>
      </c>
      <c r="C43" s="2" t="s">
        <v>87</v>
      </c>
      <c r="D43" s="39" t="s">
        <v>89</v>
      </c>
      <c r="E43" s="57"/>
      <c r="F43" s="2"/>
      <c r="G43" s="2">
        <v>200</v>
      </c>
      <c r="H43" s="2"/>
      <c r="I43" s="2"/>
      <c r="J43" s="2"/>
      <c r="K43" s="2"/>
      <c r="L43" s="2"/>
      <c r="M43" s="2"/>
      <c r="N43" s="2">
        <v>290</v>
      </c>
      <c r="O43" s="2">
        <v>1</v>
      </c>
      <c r="P43" s="2"/>
      <c r="Q43" s="2"/>
      <c r="R43" s="2"/>
      <c r="S43" s="2"/>
      <c r="T43" s="2"/>
      <c r="U43" s="2"/>
      <c r="V43" s="2"/>
      <c r="W43" s="2">
        <f t="shared" si="1"/>
        <v>491</v>
      </c>
    </row>
    <row r="44" spans="2:23" s="8" customFormat="1" hidden="1" x14ac:dyDescent="0.25">
      <c r="B44" s="2" t="s">
        <v>80</v>
      </c>
      <c r="C44" s="2" t="s">
        <v>87</v>
      </c>
      <c r="D44" s="39" t="s">
        <v>89</v>
      </c>
      <c r="E44" s="57"/>
      <c r="F44" s="2"/>
      <c r="G44" s="2">
        <v>30</v>
      </c>
      <c r="H44" s="2"/>
      <c r="I44" s="2"/>
      <c r="J44" s="2"/>
      <c r="K44" s="2"/>
      <c r="L44" s="2"/>
      <c r="M44" s="2"/>
      <c r="N44" s="2">
        <v>20</v>
      </c>
      <c r="O44" s="2"/>
      <c r="P44" s="2"/>
      <c r="Q44" s="2"/>
      <c r="R44" s="2"/>
      <c r="S44" s="2"/>
      <c r="T44" s="2"/>
      <c r="U44" s="2"/>
      <c r="V44" s="2"/>
      <c r="W44" s="2">
        <f t="shared" si="1"/>
        <v>50</v>
      </c>
    </row>
    <row r="45" spans="2:23" s="8" customFormat="1" hidden="1" x14ac:dyDescent="0.25">
      <c r="B45" s="2" t="s">
        <v>81</v>
      </c>
      <c r="C45" s="2" t="s">
        <v>87</v>
      </c>
      <c r="D45" s="39" t="s">
        <v>89</v>
      </c>
      <c r="E45" s="57"/>
      <c r="F45" s="2"/>
      <c r="G45" s="2">
        <v>30</v>
      </c>
      <c r="H45" s="2"/>
      <c r="I45" s="2"/>
      <c r="J45" s="2"/>
      <c r="K45" s="2"/>
      <c r="L45" s="2"/>
      <c r="M45" s="2"/>
      <c r="N45" s="2">
        <v>20</v>
      </c>
      <c r="O45" s="2"/>
      <c r="P45" s="2"/>
      <c r="Q45" s="2"/>
      <c r="R45" s="2"/>
      <c r="S45" s="2"/>
      <c r="T45" s="2"/>
      <c r="U45" s="2"/>
      <c r="V45" s="2"/>
      <c r="W45" s="2">
        <f t="shared" si="1"/>
        <v>50</v>
      </c>
    </row>
    <row r="46" spans="2:23" hidden="1" x14ac:dyDescent="0.25">
      <c r="B46" s="2" t="s">
        <v>82</v>
      </c>
      <c r="C46" s="2" t="s">
        <v>87</v>
      </c>
      <c r="D46" s="39" t="s">
        <v>89</v>
      </c>
      <c r="E46" s="57"/>
      <c r="F46" s="2"/>
      <c r="G46" s="2">
        <v>120</v>
      </c>
      <c r="H46" s="2"/>
      <c r="I46" s="2"/>
      <c r="J46" s="2"/>
      <c r="K46" s="2"/>
      <c r="L46" s="2"/>
      <c r="M46" s="2"/>
      <c r="N46" s="2">
        <v>40</v>
      </c>
      <c r="O46" s="2"/>
      <c r="P46" s="2"/>
      <c r="Q46" s="2"/>
      <c r="R46" s="2"/>
      <c r="S46" s="2"/>
      <c r="T46" s="2"/>
      <c r="U46" s="2"/>
      <c r="V46" s="2"/>
      <c r="W46" s="2">
        <f t="shared" si="1"/>
        <v>160</v>
      </c>
    </row>
    <row r="47" spans="2:23" hidden="1" x14ac:dyDescent="0.25">
      <c r="B47" s="2" t="s">
        <v>83</v>
      </c>
      <c r="C47" s="2" t="s">
        <v>87</v>
      </c>
      <c r="D47" s="39" t="s">
        <v>89</v>
      </c>
      <c r="E47" s="57"/>
      <c r="F47" s="2"/>
      <c r="G47" s="2">
        <v>20</v>
      </c>
      <c r="H47" s="2"/>
      <c r="I47" s="2"/>
      <c r="J47" s="2"/>
      <c r="K47" s="2"/>
      <c r="L47" s="2"/>
      <c r="M47" s="2"/>
      <c r="N47" s="2">
        <v>15</v>
      </c>
      <c r="O47" s="2"/>
      <c r="P47" s="2"/>
      <c r="Q47" s="2"/>
      <c r="R47" s="2"/>
      <c r="S47" s="2"/>
      <c r="T47" s="2"/>
      <c r="U47" s="2"/>
      <c r="V47" s="2"/>
      <c r="W47" s="2">
        <f t="shared" si="1"/>
        <v>35</v>
      </c>
    </row>
    <row r="48" spans="2:23" s="4" customFormat="1" hidden="1" x14ac:dyDescent="0.25">
      <c r="B48" s="2" t="s">
        <v>84</v>
      </c>
      <c r="C48" s="2" t="s">
        <v>87</v>
      </c>
      <c r="D48" s="39" t="s">
        <v>89</v>
      </c>
      <c r="E48" s="57"/>
      <c r="F48" s="2"/>
      <c r="G48" s="2">
        <v>40</v>
      </c>
      <c r="H48" s="2"/>
      <c r="I48" s="2"/>
      <c r="J48" s="2"/>
      <c r="K48" s="2"/>
      <c r="L48" s="2"/>
      <c r="M48" s="2"/>
      <c r="N48" s="2">
        <v>40</v>
      </c>
      <c r="O48" s="2"/>
      <c r="P48" s="2"/>
      <c r="Q48" s="2"/>
      <c r="R48" s="2"/>
      <c r="S48" s="2"/>
      <c r="T48" s="2"/>
      <c r="U48" s="2"/>
      <c r="V48" s="2"/>
      <c r="W48" s="2">
        <f t="shared" si="1"/>
        <v>80</v>
      </c>
    </row>
    <row r="49" spans="2:23" s="8" customFormat="1" hidden="1" x14ac:dyDescent="0.25">
      <c r="B49" s="2" t="s">
        <v>85</v>
      </c>
      <c r="C49" s="2" t="s">
        <v>87</v>
      </c>
      <c r="D49" s="39" t="s">
        <v>89</v>
      </c>
      <c r="E49" s="57"/>
      <c r="F49" s="2"/>
      <c r="G49" s="2">
        <v>20</v>
      </c>
      <c r="H49" s="2"/>
      <c r="I49" s="2"/>
      <c r="J49" s="2"/>
      <c r="K49" s="2"/>
      <c r="L49" s="2"/>
      <c r="M49" s="2"/>
      <c r="N49" s="2"/>
      <c r="O49" s="2">
        <v>4</v>
      </c>
      <c r="P49" s="2"/>
      <c r="Q49" s="2"/>
      <c r="R49" s="2"/>
      <c r="S49" s="2"/>
      <c r="T49" s="2"/>
      <c r="U49" s="2"/>
      <c r="V49" s="2"/>
      <c r="W49" s="2">
        <f t="shared" si="1"/>
        <v>24</v>
      </c>
    </row>
    <row r="50" spans="2:23" hidden="1" x14ac:dyDescent="0.25">
      <c r="B50" s="2" t="s">
        <v>86</v>
      </c>
      <c r="C50" s="2" t="s">
        <v>87</v>
      </c>
      <c r="D50" s="39" t="s">
        <v>89</v>
      </c>
      <c r="E50" s="57"/>
      <c r="F50" s="2"/>
      <c r="G50" s="2">
        <v>80</v>
      </c>
      <c r="H50" s="2"/>
      <c r="I50" s="2"/>
      <c r="J50" s="2"/>
      <c r="K50" s="2"/>
      <c r="L50" s="2"/>
      <c r="M50" s="2"/>
      <c r="N50" s="2"/>
      <c r="O50" s="2">
        <v>7</v>
      </c>
      <c r="P50" s="2"/>
      <c r="Q50" s="2"/>
      <c r="R50" s="2"/>
      <c r="S50" s="2"/>
      <c r="T50" s="2"/>
      <c r="U50" s="2"/>
      <c r="V50" s="2"/>
      <c r="W50" s="2">
        <f t="shared" si="1"/>
        <v>87</v>
      </c>
    </row>
    <row r="51" spans="2:23" s="4" customFormat="1" hidden="1" x14ac:dyDescent="0.25">
      <c r="B51" s="2" t="s">
        <v>226</v>
      </c>
      <c r="C51" s="2" t="s">
        <v>87</v>
      </c>
      <c r="D51" s="39" t="s">
        <v>89</v>
      </c>
      <c r="E51" s="57"/>
      <c r="F51" s="2"/>
      <c r="G51" s="2"/>
      <c r="H51" s="2"/>
      <c r="I51" s="2"/>
      <c r="J51" s="2"/>
      <c r="K51" s="2"/>
      <c r="L51" s="2"/>
      <c r="M51" s="2"/>
      <c r="N51" s="2">
        <v>106</v>
      </c>
      <c r="O51" s="2"/>
      <c r="P51" s="2"/>
      <c r="Q51" s="2"/>
      <c r="R51" s="2"/>
      <c r="S51" s="2"/>
      <c r="T51" s="2"/>
      <c r="U51" s="2"/>
      <c r="V51" s="2"/>
      <c r="W51" s="2">
        <f t="shared" si="1"/>
        <v>106</v>
      </c>
    </row>
    <row r="52" spans="2:23" hidden="1" x14ac:dyDescent="0.25">
      <c r="B52" s="2" t="s">
        <v>227</v>
      </c>
      <c r="C52" s="2" t="s">
        <v>87</v>
      </c>
      <c r="D52" s="39" t="s">
        <v>89</v>
      </c>
      <c r="E52" s="57"/>
      <c r="F52" s="2"/>
      <c r="G52" s="2"/>
      <c r="H52" s="2"/>
      <c r="I52" s="2"/>
      <c r="J52" s="2"/>
      <c r="K52" s="2"/>
      <c r="L52" s="2"/>
      <c r="M52" s="2"/>
      <c r="N52" s="2">
        <v>30</v>
      </c>
      <c r="O52" s="2"/>
      <c r="P52" s="2"/>
      <c r="Q52" s="2"/>
      <c r="R52" s="2"/>
      <c r="S52" s="2"/>
      <c r="T52" s="2"/>
      <c r="U52" s="2"/>
      <c r="V52" s="2"/>
      <c r="W52" s="2">
        <f t="shared" si="1"/>
        <v>30</v>
      </c>
    </row>
    <row r="53" spans="2:23" s="8" customFormat="1" hidden="1" x14ac:dyDescent="0.25">
      <c r="B53" s="42" t="s">
        <v>384</v>
      </c>
      <c r="C53" s="42" t="s">
        <v>110</v>
      </c>
      <c r="D53" s="39" t="s">
        <v>282</v>
      </c>
      <c r="E53" s="2"/>
      <c r="F53" s="2"/>
      <c r="G53" s="2"/>
      <c r="H53" s="2"/>
      <c r="I53" s="54"/>
      <c r="J53" s="2"/>
      <c r="K53" s="2"/>
      <c r="L53" s="2"/>
      <c r="M53" s="2"/>
      <c r="N53" s="2"/>
      <c r="O53" s="2"/>
      <c r="P53" s="54"/>
      <c r="Q53" s="2">
        <v>50</v>
      </c>
      <c r="R53" s="2"/>
      <c r="S53" s="2"/>
      <c r="T53" s="2"/>
      <c r="U53" s="2"/>
      <c r="V53" s="2"/>
      <c r="W53" s="2">
        <f t="shared" si="1"/>
        <v>50</v>
      </c>
    </row>
    <row r="54" spans="2:23" s="8" customFormat="1" hidden="1" x14ac:dyDescent="0.25">
      <c r="B54" s="42" t="s">
        <v>385</v>
      </c>
      <c r="C54" s="42" t="s">
        <v>110</v>
      </c>
      <c r="D54" s="39" t="s">
        <v>282</v>
      </c>
      <c r="E54" s="2"/>
      <c r="F54" s="2"/>
      <c r="G54" s="2"/>
      <c r="H54" s="2"/>
      <c r="I54" s="54"/>
      <c r="J54" s="2"/>
      <c r="K54" s="2"/>
      <c r="L54" s="2"/>
      <c r="M54" s="2"/>
      <c r="N54" s="2"/>
      <c r="O54" s="2"/>
      <c r="P54" s="54"/>
      <c r="Q54" s="2">
        <v>50</v>
      </c>
      <c r="R54" s="2"/>
      <c r="S54" s="2"/>
      <c r="T54" s="2"/>
      <c r="U54" s="2"/>
      <c r="V54" s="2"/>
      <c r="W54" s="2">
        <f t="shared" si="1"/>
        <v>50</v>
      </c>
    </row>
    <row r="55" spans="2:23" s="8" customFormat="1" hidden="1" x14ac:dyDescent="0.25">
      <c r="B55" s="42" t="s">
        <v>390</v>
      </c>
      <c r="C55" s="42" t="s">
        <v>110</v>
      </c>
      <c r="D55" s="39" t="s">
        <v>281</v>
      </c>
      <c r="E55" s="2"/>
      <c r="F55" s="2"/>
      <c r="G55" s="2"/>
      <c r="H55" s="2"/>
      <c r="I55" s="54"/>
      <c r="J55" s="2"/>
      <c r="K55" s="2"/>
      <c r="L55" s="2"/>
      <c r="M55" s="2"/>
      <c r="N55" s="2"/>
      <c r="O55" s="2"/>
      <c r="P55" s="54"/>
      <c r="Q55" s="2">
        <v>150</v>
      </c>
      <c r="R55" s="2"/>
      <c r="S55" s="2"/>
      <c r="T55" s="2"/>
      <c r="U55" s="2"/>
      <c r="V55" s="2"/>
      <c r="W55" s="2">
        <f t="shared" si="1"/>
        <v>150</v>
      </c>
    </row>
    <row r="56" spans="2:23" s="8" customFormat="1" hidden="1" x14ac:dyDescent="0.25">
      <c r="B56" s="42" t="s">
        <v>389</v>
      </c>
      <c r="C56" s="42" t="s">
        <v>110</v>
      </c>
      <c r="D56" s="39" t="s">
        <v>281</v>
      </c>
      <c r="E56" s="2"/>
      <c r="F56" s="2"/>
      <c r="G56" s="2"/>
      <c r="H56" s="2"/>
      <c r="I56" s="54"/>
      <c r="J56" s="2"/>
      <c r="K56" s="2"/>
      <c r="L56" s="2"/>
      <c r="M56" s="2"/>
      <c r="N56" s="2"/>
      <c r="O56" s="2"/>
      <c r="P56" s="54"/>
      <c r="Q56" s="2">
        <v>150</v>
      </c>
      <c r="R56" s="2"/>
      <c r="S56" s="2"/>
      <c r="T56" s="2"/>
      <c r="U56" s="2"/>
      <c r="V56" s="2"/>
      <c r="W56" s="2">
        <f t="shared" si="1"/>
        <v>150</v>
      </c>
    </row>
    <row r="57" spans="2:23" s="8" customFormat="1" hidden="1" x14ac:dyDescent="0.25">
      <c r="B57" s="42" t="s">
        <v>386</v>
      </c>
      <c r="C57" s="42" t="s">
        <v>110</v>
      </c>
      <c r="D57" s="39" t="s">
        <v>281</v>
      </c>
      <c r="E57" s="2"/>
      <c r="F57" s="2"/>
      <c r="G57" s="2"/>
      <c r="H57" s="2"/>
      <c r="I57" s="54"/>
      <c r="J57" s="2"/>
      <c r="K57" s="2"/>
      <c r="L57" s="2"/>
      <c r="M57" s="2"/>
      <c r="N57" s="2"/>
      <c r="O57" s="2"/>
      <c r="P57" s="54"/>
      <c r="Q57" s="2">
        <v>150</v>
      </c>
      <c r="R57" s="2"/>
      <c r="S57" s="2"/>
      <c r="T57" s="2"/>
      <c r="U57" s="2"/>
      <c r="V57" s="2"/>
      <c r="W57" s="2">
        <f t="shared" si="1"/>
        <v>150</v>
      </c>
    </row>
    <row r="58" spans="2:23" s="8" customFormat="1" hidden="1" x14ac:dyDescent="0.25">
      <c r="B58" s="42" t="s">
        <v>359</v>
      </c>
      <c r="C58" s="42" t="s">
        <v>110</v>
      </c>
      <c r="D58" s="39" t="s">
        <v>365</v>
      </c>
      <c r="E58" s="57"/>
      <c r="F58" s="2"/>
      <c r="G58" s="2"/>
      <c r="H58" s="2"/>
      <c r="I58" s="58"/>
      <c r="J58" s="2"/>
      <c r="K58" s="2"/>
      <c r="L58" s="2"/>
      <c r="M58" s="2"/>
      <c r="N58" s="2"/>
      <c r="O58" s="2"/>
      <c r="P58" s="54">
        <v>270</v>
      </c>
      <c r="Q58" s="2"/>
      <c r="R58" s="2"/>
      <c r="S58" s="2"/>
      <c r="T58" s="2"/>
      <c r="U58" s="2"/>
      <c r="V58" s="2"/>
      <c r="W58" s="2">
        <f t="shared" si="1"/>
        <v>270</v>
      </c>
    </row>
    <row r="59" spans="2:23" s="8" customFormat="1" hidden="1" x14ac:dyDescent="0.25">
      <c r="B59" s="42" t="s">
        <v>375</v>
      </c>
      <c r="C59" s="42" t="s">
        <v>110</v>
      </c>
      <c r="D59" s="39" t="s">
        <v>283</v>
      </c>
      <c r="E59" s="2"/>
      <c r="F59" s="2"/>
      <c r="G59" s="2"/>
      <c r="H59" s="2"/>
      <c r="I59" s="54"/>
      <c r="J59" s="2"/>
      <c r="K59" s="2"/>
      <c r="L59" s="2"/>
      <c r="M59" s="2"/>
      <c r="N59" s="2"/>
      <c r="O59" s="2"/>
      <c r="P59" s="54">
        <v>258</v>
      </c>
      <c r="Q59" s="2"/>
      <c r="R59" s="2"/>
      <c r="S59" s="2"/>
      <c r="T59" s="2"/>
      <c r="U59" s="2">
        <v>33</v>
      </c>
      <c r="V59" s="2"/>
      <c r="W59" s="2">
        <f t="shared" si="1"/>
        <v>291</v>
      </c>
    </row>
    <row r="60" spans="2:23" hidden="1" x14ac:dyDescent="0.25">
      <c r="B60" s="42" t="s">
        <v>374</v>
      </c>
      <c r="C60" s="42" t="s">
        <v>110</v>
      </c>
      <c r="D60" s="39" t="s">
        <v>283</v>
      </c>
      <c r="E60" s="2"/>
      <c r="F60" s="2"/>
      <c r="G60" s="2"/>
      <c r="H60" s="54"/>
      <c r="I60" s="2"/>
      <c r="J60" s="2"/>
      <c r="K60" s="2"/>
      <c r="L60" s="2"/>
      <c r="M60" s="2"/>
      <c r="N60" s="2"/>
      <c r="O60" s="2"/>
      <c r="P60" s="54">
        <v>300</v>
      </c>
      <c r="Q60" s="2"/>
      <c r="R60" s="2"/>
      <c r="S60" s="2"/>
      <c r="T60" s="2"/>
      <c r="U60" s="2"/>
      <c r="V60" s="2"/>
      <c r="W60" s="2">
        <f t="shared" si="1"/>
        <v>300</v>
      </c>
    </row>
    <row r="61" spans="2:23" s="8" customFormat="1" hidden="1" x14ac:dyDescent="0.25">
      <c r="B61" s="42" t="s">
        <v>364</v>
      </c>
      <c r="C61" s="42" t="s">
        <v>110</v>
      </c>
      <c r="D61" s="39" t="s">
        <v>283</v>
      </c>
      <c r="E61" s="57"/>
      <c r="F61" s="2"/>
      <c r="G61" s="2"/>
      <c r="H61" s="2"/>
      <c r="I61" s="58"/>
      <c r="J61" s="2"/>
      <c r="K61" s="2"/>
      <c r="L61" s="2"/>
      <c r="M61" s="2"/>
      <c r="N61" s="2"/>
      <c r="O61" s="2"/>
      <c r="P61" s="54">
        <v>200</v>
      </c>
      <c r="Q61" s="2"/>
      <c r="R61" s="2"/>
      <c r="S61" s="2"/>
      <c r="T61" s="2"/>
      <c r="U61" s="2"/>
      <c r="V61" s="2"/>
      <c r="W61" s="2">
        <f t="shared" si="1"/>
        <v>200</v>
      </c>
    </row>
    <row r="62" spans="2:23" s="8" customFormat="1" hidden="1" x14ac:dyDescent="0.25">
      <c r="B62" s="42" t="s">
        <v>383</v>
      </c>
      <c r="C62" s="42" t="s">
        <v>110</v>
      </c>
      <c r="D62" s="39" t="s">
        <v>365</v>
      </c>
      <c r="E62" s="2"/>
      <c r="F62" s="2"/>
      <c r="G62" s="2"/>
      <c r="H62" s="2"/>
      <c r="I62" s="54"/>
      <c r="J62" s="2"/>
      <c r="K62" s="2"/>
      <c r="L62" s="2"/>
      <c r="M62" s="2"/>
      <c r="N62" s="2"/>
      <c r="O62" s="2"/>
      <c r="P62" s="54"/>
      <c r="Q62" s="2">
        <v>60</v>
      </c>
      <c r="R62" s="2"/>
      <c r="S62" s="2"/>
      <c r="T62" s="2"/>
      <c r="U62" s="2"/>
      <c r="V62" s="2"/>
      <c r="W62" s="2">
        <f t="shared" si="1"/>
        <v>60</v>
      </c>
    </row>
    <row r="63" spans="2:23" s="8" customFormat="1" hidden="1" x14ac:dyDescent="0.25">
      <c r="B63" s="42" t="s">
        <v>387</v>
      </c>
      <c r="C63" s="42" t="s">
        <v>110</v>
      </c>
      <c r="D63" s="39" t="s">
        <v>281</v>
      </c>
      <c r="E63" s="2"/>
      <c r="F63" s="2"/>
      <c r="G63" s="2"/>
      <c r="H63" s="2"/>
      <c r="I63" s="54"/>
      <c r="J63" s="2"/>
      <c r="K63" s="2"/>
      <c r="L63" s="2"/>
      <c r="M63" s="2"/>
      <c r="N63" s="2"/>
      <c r="O63" s="2"/>
      <c r="P63" s="54"/>
      <c r="Q63" s="2">
        <v>200</v>
      </c>
      <c r="R63" s="2"/>
      <c r="S63" s="2"/>
      <c r="T63" s="2"/>
      <c r="U63" s="2"/>
      <c r="V63" s="2"/>
      <c r="W63" s="2">
        <f t="shared" si="1"/>
        <v>200</v>
      </c>
    </row>
    <row r="64" spans="2:23" hidden="1" x14ac:dyDescent="0.25">
      <c r="B64" s="42" t="s">
        <v>388</v>
      </c>
      <c r="C64" s="42" t="s">
        <v>110</v>
      </c>
      <c r="D64" s="39" t="s">
        <v>281</v>
      </c>
      <c r="E64" s="2"/>
      <c r="F64" s="2"/>
      <c r="G64" s="2"/>
      <c r="H64" s="2"/>
      <c r="I64" s="54"/>
      <c r="J64" s="2"/>
      <c r="K64" s="2"/>
      <c r="L64" s="2"/>
      <c r="M64" s="2"/>
      <c r="N64" s="2"/>
      <c r="O64" s="2"/>
      <c r="P64" s="54"/>
      <c r="Q64" s="2">
        <v>200</v>
      </c>
      <c r="R64" s="2"/>
      <c r="S64" s="2"/>
      <c r="T64" s="2"/>
      <c r="U64" s="2"/>
      <c r="V64" s="2"/>
      <c r="W64" s="2">
        <f t="shared" si="1"/>
        <v>200</v>
      </c>
    </row>
    <row r="65" spans="2:23" hidden="1" x14ac:dyDescent="0.25">
      <c r="B65" s="42" t="s">
        <v>361</v>
      </c>
      <c r="C65" s="42" t="s">
        <v>110</v>
      </c>
      <c r="D65" s="39" t="s">
        <v>281</v>
      </c>
      <c r="E65" s="57"/>
      <c r="F65" s="2"/>
      <c r="G65" s="2"/>
      <c r="H65" s="2"/>
      <c r="I65" s="58"/>
      <c r="J65" s="2"/>
      <c r="K65" s="2"/>
      <c r="L65" s="2"/>
      <c r="M65" s="2"/>
      <c r="N65" s="2"/>
      <c r="O65" s="2"/>
      <c r="P65" s="54">
        <v>150</v>
      </c>
      <c r="Q65" s="2"/>
      <c r="R65" s="2"/>
      <c r="S65" s="2"/>
      <c r="T65" s="2"/>
      <c r="U65" s="2"/>
      <c r="V65" s="2"/>
      <c r="W65" s="2">
        <f t="shared" si="1"/>
        <v>150</v>
      </c>
    </row>
    <row r="66" spans="2:23" hidden="1" x14ac:dyDescent="0.25">
      <c r="B66" s="42" t="s">
        <v>363</v>
      </c>
      <c r="C66" s="42" t="s">
        <v>110</v>
      </c>
      <c r="D66" s="39" t="s">
        <v>283</v>
      </c>
      <c r="E66" s="57"/>
      <c r="F66" s="2"/>
      <c r="G66" s="2"/>
      <c r="H66" s="2"/>
      <c r="I66" s="58"/>
      <c r="J66" s="2"/>
      <c r="K66" s="2"/>
      <c r="L66" s="2"/>
      <c r="M66" s="2"/>
      <c r="N66" s="2"/>
      <c r="O66" s="2"/>
      <c r="P66" s="54">
        <v>250</v>
      </c>
      <c r="Q66" s="2"/>
      <c r="R66" s="2"/>
      <c r="S66" s="2"/>
      <c r="T66" s="2"/>
      <c r="U66" s="2"/>
      <c r="V66" s="2"/>
      <c r="W66" s="2">
        <f t="shared" si="1"/>
        <v>250</v>
      </c>
    </row>
    <row r="67" spans="2:23" hidden="1" x14ac:dyDescent="0.25">
      <c r="B67" s="42" t="s">
        <v>362</v>
      </c>
      <c r="C67" s="42" t="s">
        <v>110</v>
      </c>
      <c r="D67" s="39" t="s">
        <v>283</v>
      </c>
      <c r="E67" s="57"/>
      <c r="F67" s="2"/>
      <c r="G67" s="2"/>
      <c r="H67" s="2"/>
      <c r="I67" s="58"/>
      <c r="J67" s="2"/>
      <c r="K67" s="2"/>
      <c r="L67" s="2"/>
      <c r="M67" s="2"/>
      <c r="N67" s="2"/>
      <c r="O67" s="2"/>
      <c r="P67" s="54">
        <v>145</v>
      </c>
      <c r="Q67" s="2"/>
      <c r="R67" s="2"/>
      <c r="S67" s="2"/>
      <c r="T67" s="2"/>
      <c r="U67" s="2">
        <v>45</v>
      </c>
      <c r="V67" s="2">
        <v>18</v>
      </c>
      <c r="W67" s="2">
        <f t="shared" si="1"/>
        <v>208</v>
      </c>
    </row>
    <row r="68" spans="2:23" hidden="1" x14ac:dyDescent="0.25">
      <c r="B68" s="42" t="s">
        <v>373</v>
      </c>
      <c r="C68" s="42" t="s">
        <v>110</v>
      </c>
      <c r="D68" s="39" t="s">
        <v>281</v>
      </c>
      <c r="E68" s="2"/>
      <c r="F68" s="2"/>
      <c r="G68" s="54"/>
      <c r="H68" s="2"/>
      <c r="I68" s="2"/>
      <c r="J68" s="2"/>
      <c r="K68" s="2"/>
      <c r="L68" s="2"/>
      <c r="M68" s="2"/>
      <c r="N68" s="2"/>
      <c r="O68" s="2"/>
      <c r="P68" s="54">
        <v>50</v>
      </c>
      <c r="Q68" s="2"/>
      <c r="R68" s="2"/>
      <c r="S68" s="2"/>
      <c r="T68" s="2"/>
      <c r="U68" s="2"/>
      <c r="V68" s="2"/>
      <c r="W68" s="2">
        <f t="shared" ref="W68:W99" si="2">SUM(E68:V68)</f>
        <v>50</v>
      </c>
    </row>
    <row r="69" spans="2:23" hidden="1" x14ac:dyDescent="0.25">
      <c r="B69" s="42" t="s">
        <v>360</v>
      </c>
      <c r="C69" s="42" t="s">
        <v>110</v>
      </c>
      <c r="D69" s="39" t="s">
        <v>281</v>
      </c>
      <c r="E69" s="57"/>
      <c r="F69" s="2"/>
      <c r="G69" s="2"/>
      <c r="H69" s="2"/>
      <c r="I69" s="58"/>
      <c r="J69" s="2"/>
      <c r="K69" s="2"/>
      <c r="L69" s="2"/>
      <c r="M69" s="2"/>
      <c r="N69" s="2"/>
      <c r="O69" s="2"/>
      <c r="P69" s="54">
        <v>150</v>
      </c>
      <c r="Q69" s="2"/>
      <c r="R69" s="2"/>
      <c r="S69" s="2"/>
      <c r="T69" s="2"/>
      <c r="U69" s="2"/>
      <c r="V69" s="2"/>
      <c r="W69" s="2">
        <f t="shared" si="2"/>
        <v>150</v>
      </c>
    </row>
    <row r="70" spans="2:23" hidden="1" x14ac:dyDescent="0.25">
      <c r="B70" s="42" t="s">
        <v>106</v>
      </c>
      <c r="C70" s="2" t="s">
        <v>110</v>
      </c>
      <c r="D70" s="39" t="s">
        <v>281</v>
      </c>
      <c r="E70" s="57"/>
      <c r="F70" s="2"/>
      <c r="G70" s="2"/>
      <c r="H70" s="2"/>
      <c r="I70" s="2">
        <v>300</v>
      </c>
      <c r="J70" s="2"/>
      <c r="K70" s="2">
        <v>150</v>
      </c>
      <c r="L70" s="2">
        <v>150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f t="shared" si="2"/>
        <v>600</v>
      </c>
    </row>
    <row r="71" spans="2:23" hidden="1" x14ac:dyDescent="0.25">
      <c r="B71" s="42" t="s">
        <v>105</v>
      </c>
      <c r="C71" s="42" t="s">
        <v>110</v>
      </c>
      <c r="D71" s="39" t="s">
        <v>281</v>
      </c>
      <c r="E71" s="57"/>
      <c r="F71" s="2"/>
      <c r="G71" s="2"/>
      <c r="H71" s="2"/>
      <c r="I71" s="2">
        <v>300</v>
      </c>
      <c r="J71" s="2"/>
      <c r="K71" s="2">
        <v>150</v>
      </c>
      <c r="L71" s="2">
        <v>150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f t="shared" si="2"/>
        <v>600</v>
      </c>
    </row>
    <row r="72" spans="2:23" hidden="1" x14ac:dyDescent="0.25">
      <c r="B72" s="42" t="s">
        <v>358</v>
      </c>
      <c r="C72" s="42" t="s">
        <v>110</v>
      </c>
      <c r="D72" s="39" t="s">
        <v>282</v>
      </c>
      <c r="E72" s="57"/>
      <c r="F72" s="2"/>
      <c r="G72" s="2"/>
      <c r="H72" s="2"/>
      <c r="I72" s="54"/>
      <c r="J72" s="2"/>
      <c r="K72" s="2"/>
      <c r="L72" s="2"/>
      <c r="M72" s="2"/>
      <c r="N72" s="2"/>
      <c r="O72" s="2"/>
      <c r="P72" s="54">
        <v>75</v>
      </c>
      <c r="Q72" s="2"/>
      <c r="R72" s="31">
        <v>5</v>
      </c>
      <c r="S72" s="2"/>
      <c r="T72" s="2"/>
      <c r="U72" s="2"/>
      <c r="V72" s="2"/>
      <c r="W72" s="2">
        <f t="shared" si="2"/>
        <v>80</v>
      </c>
    </row>
    <row r="73" spans="2:23" s="8" customFormat="1" hidden="1" x14ac:dyDescent="0.25">
      <c r="B73" s="2" t="s">
        <v>14</v>
      </c>
      <c r="C73" s="2" t="s">
        <v>48</v>
      </c>
      <c r="D73" s="39" t="s">
        <v>281</v>
      </c>
      <c r="E73" s="57">
        <v>200</v>
      </c>
      <c r="F73" s="2">
        <v>20</v>
      </c>
      <c r="G73" s="2"/>
      <c r="H73" s="2"/>
      <c r="I73" s="2">
        <v>150</v>
      </c>
      <c r="J73" s="2"/>
      <c r="K73" s="2">
        <v>100</v>
      </c>
      <c r="L73" s="2">
        <v>150</v>
      </c>
      <c r="M73" s="2"/>
      <c r="N73" s="2"/>
      <c r="O73" s="2"/>
      <c r="P73" s="2"/>
      <c r="Q73" s="2"/>
      <c r="R73" s="2"/>
      <c r="S73" s="2"/>
      <c r="T73" s="2">
        <v>150</v>
      </c>
      <c r="U73" s="2"/>
      <c r="V73" s="2"/>
      <c r="W73" s="2">
        <f t="shared" si="2"/>
        <v>770</v>
      </c>
    </row>
    <row r="74" spans="2:23" hidden="1" x14ac:dyDescent="0.25">
      <c r="B74" s="2" t="s">
        <v>29</v>
      </c>
      <c r="C74" s="2" t="s">
        <v>48</v>
      </c>
      <c r="D74" s="39" t="s">
        <v>282</v>
      </c>
      <c r="E74" s="57">
        <v>84</v>
      </c>
      <c r="F74" s="2">
        <v>5</v>
      </c>
      <c r="G74" s="2"/>
      <c r="H74" s="2"/>
      <c r="I74" s="2">
        <v>32</v>
      </c>
      <c r="J74" s="2">
        <v>41</v>
      </c>
      <c r="K74" s="2">
        <v>50</v>
      </c>
      <c r="L74" s="2">
        <v>75</v>
      </c>
      <c r="M74" s="2"/>
      <c r="N74" s="2"/>
      <c r="O74" s="2"/>
      <c r="P74" s="2"/>
      <c r="Q74" s="2"/>
      <c r="R74" s="2"/>
      <c r="S74" s="2"/>
      <c r="T74" s="2"/>
      <c r="U74" s="2"/>
      <c r="V74" s="2">
        <v>75</v>
      </c>
      <c r="W74" s="2">
        <f t="shared" si="2"/>
        <v>362</v>
      </c>
    </row>
    <row r="75" spans="2:23" hidden="1" x14ac:dyDescent="0.25">
      <c r="B75" s="2" t="s">
        <v>30</v>
      </c>
      <c r="C75" s="2" t="s">
        <v>48</v>
      </c>
      <c r="D75" s="39" t="s">
        <v>282</v>
      </c>
      <c r="E75" s="57">
        <v>62</v>
      </c>
      <c r="F75" s="2">
        <v>5</v>
      </c>
      <c r="G75" s="2"/>
      <c r="H75" s="2"/>
      <c r="I75" s="2">
        <v>32</v>
      </c>
      <c r="J75" s="2">
        <v>63</v>
      </c>
      <c r="K75" s="2">
        <v>50</v>
      </c>
      <c r="L75" s="2">
        <v>75</v>
      </c>
      <c r="M75" s="2"/>
      <c r="N75" s="2"/>
      <c r="O75" s="2"/>
      <c r="P75" s="2"/>
      <c r="Q75" s="2"/>
      <c r="R75" s="2"/>
      <c r="S75" s="2"/>
      <c r="T75" s="2"/>
      <c r="U75" s="2"/>
      <c r="V75" s="2">
        <v>75</v>
      </c>
      <c r="W75" s="2">
        <f t="shared" si="2"/>
        <v>362</v>
      </c>
    </row>
    <row r="76" spans="2:23" hidden="1" x14ac:dyDescent="0.25">
      <c r="B76" s="2" t="s">
        <v>31</v>
      </c>
      <c r="C76" s="2" t="s">
        <v>48</v>
      </c>
      <c r="D76" s="39" t="s">
        <v>282</v>
      </c>
      <c r="E76" s="57">
        <v>84</v>
      </c>
      <c r="F76" s="2">
        <v>5</v>
      </c>
      <c r="G76" s="2"/>
      <c r="H76" s="2">
        <v>32</v>
      </c>
      <c r="I76" s="2"/>
      <c r="J76" s="2">
        <v>41</v>
      </c>
      <c r="K76" s="2">
        <v>50</v>
      </c>
      <c r="L76" s="2"/>
      <c r="M76" s="2">
        <v>75</v>
      </c>
      <c r="N76" s="2"/>
      <c r="O76" s="2"/>
      <c r="P76" s="2"/>
      <c r="Q76" s="2"/>
      <c r="R76" s="2"/>
      <c r="S76" s="2"/>
      <c r="T76" s="2"/>
      <c r="U76" s="2">
        <v>75</v>
      </c>
      <c r="V76" s="2"/>
      <c r="W76" s="2">
        <f t="shared" si="2"/>
        <v>362</v>
      </c>
    </row>
    <row r="77" spans="2:23" hidden="1" x14ac:dyDescent="0.25">
      <c r="B77" s="2" t="s">
        <v>15</v>
      </c>
      <c r="C77" s="2" t="s">
        <v>48</v>
      </c>
      <c r="D77" s="39" t="s">
        <v>281</v>
      </c>
      <c r="E77" s="57">
        <v>125</v>
      </c>
      <c r="F77" s="2">
        <v>10</v>
      </c>
      <c r="G77" s="2"/>
      <c r="H77" s="2"/>
      <c r="I77" s="2"/>
      <c r="J77" s="2">
        <v>55</v>
      </c>
      <c r="K77" s="2"/>
      <c r="L77" s="2">
        <v>100</v>
      </c>
      <c r="M77" s="2"/>
      <c r="N77" s="2"/>
      <c r="O77" s="2"/>
      <c r="P77" s="2"/>
      <c r="Q77" s="2"/>
      <c r="R77" s="2"/>
      <c r="S77" s="2"/>
      <c r="T77" s="2"/>
      <c r="U77" s="2">
        <v>250</v>
      </c>
      <c r="V77" s="2"/>
      <c r="W77" s="2">
        <f t="shared" si="2"/>
        <v>540</v>
      </c>
    </row>
    <row r="78" spans="2:23" s="8" customFormat="1" hidden="1" x14ac:dyDescent="0.25">
      <c r="B78" s="2" t="s">
        <v>109</v>
      </c>
      <c r="C78" s="2" t="s">
        <v>48</v>
      </c>
      <c r="D78" s="39" t="s">
        <v>281</v>
      </c>
      <c r="E78" s="57">
        <v>150</v>
      </c>
      <c r="F78" s="2">
        <v>20</v>
      </c>
      <c r="G78" s="2"/>
      <c r="H78" s="2"/>
      <c r="I78" s="2">
        <v>120</v>
      </c>
      <c r="J78" s="2"/>
      <c r="K78" s="2">
        <v>100</v>
      </c>
      <c r="L78" s="2">
        <v>100</v>
      </c>
      <c r="M78" s="2"/>
      <c r="N78" s="2"/>
      <c r="O78" s="2"/>
      <c r="P78" s="2"/>
      <c r="Q78" s="2"/>
      <c r="R78" s="2"/>
      <c r="S78" s="2"/>
      <c r="T78" s="2"/>
      <c r="U78" s="2">
        <v>150</v>
      </c>
      <c r="V78" s="2"/>
      <c r="W78" s="2">
        <f t="shared" si="2"/>
        <v>640</v>
      </c>
    </row>
    <row r="79" spans="2:23" hidden="1" x14ac:dyDescent="0.25">
      <c r="B79" s="2" t="s">
        <v>13</v>
      </c>
      <c r="C79" s="2" t="s">
        <v>48</v>
      </c>
      <c r="D79" s="39" t="s">
        <v>281</v>
      </c>
      <c r="E79" s="57">
        <v>150</v>
      </c>
      <c r="F79" s="2">
        <v>20</v>
      </c>
      <c r="G79" s="2"/>
      <c r="H79" s="2"/>
      <c r="I79" s="2">
        <v>120</v>
      </c>
      <c r="J79" s="2"/>
      <c r="K79" s="2">
        <v>100</v>
      </c>
      <c r="L79" s="2">
        <v>100</v>
      </c>
      <c r="M79" s="2"/>
      <c r="N79" s="2"/>
      <c r="O79" s="2"/>
      <c r="P79" s="2"/>
      <c r="Q79" s="2"/>
      <c r="R79" s="2"/>
      <c r="S79" s="2">
        <v>150</v>
      </c>
      <c r="T79" s="2"/>
      <c r="U79" s="2"/>
      <c r="V79" s="2"/>
      <c r="W79" s="2">
        <f t="shared" si="2"/>
        <v>640</v>
      </c>
    </row>
    <row r="80" spans="2:23" hidden="1" x14ac:dyDescent="0.25">
      <c r="B80" s="2" t="s">
        <v>108</v>
      </c>
      <c r="C80" s="2" t="s">
        <v>48</v>
      </c>
      <c r="D80" s="39" t="s">
        <v>281</v>
      </c>
      <c r="E80" s="57">
        <v>330</v>
      </c>
      <c r="F80" s="2">
        <v>40</v>
      </c>
      <c r="G80" s="2"/>
      <c r="H80" s="2"/>
      <c r="I80" s="2">
        <v>250</v>
      </c>
      <c r="J80" s="2"/>
      <c r="K80" s="2">
        <v>400</v>
      </c>
      <c r="L80" s="2">
        <v>240</v>
      </c>
      <c r="M80" s="2"/>
      <c r="N80" s="2"/>
      <c r="O80" s="2"/>
      <c r="P80" s="2"/>
      <c r="Q80" s="2"/>
      <c r="R80" s="2"/>
      <c r="S80" s="2">
        <v>500</v>
      </c>
      <c r="T80" s="2"/>
      <c r="U80" s="2"/>
      <c r="V80" s="2"/>
      <c r="W80" s="2">
        <f t="shared" si="2"/>
        <v>1760</v>
      </c>
    </row>
    <row r="81" spans="2:23" hidden="1" x14ac:dyDescent="0.25">
      <c r="B81" s="2" t="s">
        <v>16</v>
      </c>
      <c r="C81" s="2" t="s">
        <v>48</v>
      </c>
      <c r="D81" s="39" t="s">
        <v>281</v>
      </c>
      <c r="E81" s="57">
        <v>250</v>
      </c>
      <c r="F81" s="2">
        <v>15</v>
      </c>
      <c r="G81" s="2"/>
      <c r="H81" s="2">
        <v>400</v>
      </c>
      <c r="I81" s="2"/>
      <c r="J81" s="2"/>
      <c r="K81" s="2">
        <v>500</v>
      </c>
      <c r="L81" s="2">
        <v>500</v>
      </c>
      <c r="M81" s="2"/>
      <c r="N81" s="2"/>
      <c r="O81" s="2"/>
      <c r="P81" s="2"/>
      <c r="Q81" s="2"/>
      <c r="R81" s="2"/>
      <c r="S81" s="2"/>
      <c r="T81" s="2"/>
      <c r="U81" s="2">
        <v>500</v>
      </c>
      <c r="V81" s="2"/>
      <c r="W81" s="2">
        <f t="shared" si="2"/>
        <v>2165</v>
      </c>
    </row>
    <row r="82" spans="2:23" hidden="1" x14ac:dyDescent="0.25">
      <c r="B82" s="2" t="s">
        <v>17</v>
      </c>
      <c r="C82" s="2" t="s">
        <v>48</v>
      </c>
      <c r="D82" s="39" t="s">
        <v>281</v>
      </c>
      <c r="E82" s="57">
        <v>250</v>
      </c>
      <c r="F82" s="2">
        <v>40</v>
      </c>
      <c r="G82" s="2"/>
      <c r="H82" s="2">
        <v>500</v>
      </c>
      <c r="I82" s="2"/>
      <c r="J82" s="2">
        <v>1067</v>
      </c>
      <c r="K82" s="2">
        <v>834</v>
      </c>
      <c r="L82" s="2">
        <v>3348</v>
      </c>
      <c r="M82" s="2">
        <v>38</v>
      </c>
      <c r="N82" s="2"/>
      <c r="O82" s="2"/>
      <c r="P82" s="2"/>
      <c r="Q82" s="2"/>
      <c r="R82" s="2"/>
      <c r="S82" s="2"/>
      <c r="T82" s="2"/>
      <c r="U82" s="2">
        <v>1350</v>
      </c>
      <c r="V82" s="2"/>
      <c r="W82" s="2">
        <f t="shared" si="2"/>
        <v>7427</v>
      </c>
    </row>
    <row r="83" spans="2:23" hidden="1" x14ac:dyDescent="0.25">
      <c r="B83" s="2" t="s">
        <v>18</v>
      </c>
      <c r="C83" s="2" t="s">
        <v>48</v>
      </c>
      <c r="D83" s="39" t="s">
        <v>281</v>
      </c>
      <c r="E83" s="57">
        <v>250</v>
      </c>
      <c r="F83" s="2">
        <v>20</v>
      </c>
      <c r="G83" s="2"/>
      <c r="H83" s="2">
        <v>200</v>
      </c>
      <c r="I83" s="2"/>
      <c r="J83" s="2"/>
      <c r="K83" s="2">
        <v>300</v>
      </c>
      <c r="L83" s="2"/>
      <c r="M83" s="2">
        <v>200</v>
      </c>
      <c r="N83" s="2"/>
      <c r="O83" s="2"/>
      <c r="P83" s="2"/>
      <c r="Q83" s="2"/>
      <c r="R83" s="2"/>
      <c r="S83" s="2">
        <v>375</v>
      </c>
      <c r="T83" s="2"/>
      <c r="U83" s="2"/>
      <c r="V83" s="2"/>
      <c r="W83" s="2">
        <f t="shared" si="2"/>
        <v>1345</v>
      </c>
    </row>
    <row r="84" spans="2:23" hidden="1" x14ac:dyDescent="0.25">
      <c r="B84" s="2" t="s">
        <v>19</v>
      </c>
      <c r="C84" s="2" t="s">
        <v>48</v>
      </c>
      <c r="D84" s="39" t="s">
        <v>281</v>
      </c>
      <c r="E84" s="57">
        <v>250</v>
      </c>
      <c r="F84" s="2">
        <v>30</v>
      </c>
      <c r="G84" s="2"/>
      <c r="H84" s="2"/>
      <c r="I84" s="2">
        <v>500</v>
      </c>
      <c r="J84" s="2">
        <v>150</v>
      </c>
      <c r="K84" s="2">
        <v>500</v>
      </c>
      <c r="L84" s="2"/>
      <c r="M84" s="2">
        <v>1000</v>
      </c>
      <c r="N84" s="2"/>
      <c r="O84" s="2"/>
      <c r="P84" s="2"/>
      <c r="Q84" s="2"/>
      <c r="R84" s="2"/>
      <c r="S84" s="2">
        <v>209</v>
      </c>
      <c r="T84" s="2"/>
      <c r="U84" s="2"/>
      <c r="V84" s="2">
        <v>791</v>
      </c>
      <c r="W84" s="2">
        <f t="shared" si="2"/>
        <v>3430</v>
      </c>
    </row>
    <row r="85" spans="2:23" hidden="1" x14ac:dyDescent="0.25">
      <c r="B85" s="2" t="s">
        <v>107</v>
      </c>
      <c r="C85" s="2" t="s">
        <v>48</v>
      </c>
      <c r="D85" s="39" t="s">
        <v>283</v>
      </c>
      <c r="E85" s="57"/>
      <c r="F85" s="2"/>
      <c r="G85" s="2"/>
      <c r="H85" s="2"/>
      <c r="I85" s="2">
        <v>500</v>
      </c>
      <c r="J85" s="2"/>
      <c r="K85" s="2">
        <v>800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f t="shared" si="2"/>
        <v>1300</v>
      </c>
    </row>
    <row r="86" spans="2:23" hidden="1" x14ac:dyDescent="0.25">
      <c r="B86" s="2" t="s">
        <v>20</v>
      </c>
      <c r="C86" s="2" t="s">
        <v>48</v>
      </c>
      <c r="D86" s="39" t="s">
        <v>281</v>
      </c>
      <c r="E86" s="57">
        <v>220</v>
      </c>
      <c r="F86" s="2">
        <v>20</v>
      </c>
      <c r="G86" s="2"/>
      <c r="H86" s="2">
        <v>100</v>
      </c>
      <c r="I86" s="2"/>
      <c r="J86" s="2"/>
      <c r="K86" s="2">
        <f>488+12</f>
        <v>500</v>
      </c>
      <c r="L86" s="2"/>
      <c r="M86" s="2">
        <v>1000</v>
      </c>
      <c r="N86" s="2"/>
      <c r="O86" s="2"/>
      <c r="P86" s="2"/>
      <c r="Q86" s="2"/>
      <c r="R86" s="2"/>
      <c r="S86" s="2"/>
      <c r="T86" s="2">
        <v>209</v>
      </c>
      <c r="U86" s="2"/>
      <c r="V86" s="2">
        <v>791</v>
      </c>
      <c r="W86" s="2">
        <f t="shared" si="2"/>
        <v>2840</v>
      </c>
    </row>
    <row r="87" spans="2:23" hidden="1" x14ac:dyDescent="0.25">
      <c r="B87" s="2" t="s">
        <v>22</v>
      </c>
      <c r="C87" s="2" t="s">
        <v>48</v>
      </c>
      <c r="D87" s="39" t="s">
        <v>281</v>
      </c>
      <c r="E87" s="57">
        <v>150</v>
      </c>
      <c r="F87" s="2">
        <v>10</v>
      </c>
      <c r="G87" s="2"/>
      <c r="H87" s="2">
        <v>60</v>
      </c>
      <c r="I87" s="2"/>
      <c r="J87" s="2"/>
      <c r="K87" s="2">
        <v>100</v>
      </c>
      <c r="L87" s="2"/>
      <c r="M87" s="2">
        <v>100</v>
      </c>
      <c r="N87" s="2"/>
      <c r="O87" s="2"/>
      <c r="P87" s="2"/>
      <c r="Q87" s="2"/>
      <c r="R87" s="2"/>
      <c r="S87" s="2"/>
      <c r="T87" s="2">
        <v>150</v>
      </c>
      <c r="U87" s="2"/>
      <c r="V87" s="2"/>
      <c r="W87" s="2">
        <f t="shared" si="2"/>
        <v>570</v>
      </c>
    </row>
    <row r="88" spans="2:23" s="8" customFormat="1" hidden="1" x14ac:dyDescent="0.25">
      <c r="B88" s="2" t="s">
        <v>23</v>
      </c>
      <c r="C88" s="2" t="s">
        <v>48</v>
      </c>
      <c r="D88" s="39" t="s">
        <v>281</v>
      </c>
      <c r="E88" s="57">
        <v>120</v>
      </c>
      <c r="F88" s="2">
        <v>10</v>
      </c>
      <c r="G88" s="2"/>
      <c r="H88" s="2">
        <v>60</v>
      </c>
      <c r="I88" s="2"/>
      <c r="J88" s="2"/>
      <c r="K88" s="2">
        <v>100</v>
      </c>
      <c r="L88" s="2"/>
      <c r="M88" s="2">
        <v>150</v>
      </c>
      <c r="N88" s="2"/>
      <c r="O88" s="2"/>
      <c r="P88" s="2"/>
      <c r="Q88" s="2"/>
      <c r="R88" s="2"/>
      <c r="S88" s="2"/>
      <c r="T88" s="2"/>
      <c r="U88" s="2">
        <v>200</v>
      </c>
      <c r="V88" s="2"/>
      <c r="W88" s="2">
        <f t="shared" si="2"/>
        <v>640</v>
      </c>
    </row>
    <row r="89" spans="2:23" s="8" customFormat="1" x14ac:dyDescent="0.25">
      <c r="B89" s="2" t="s">
        <v>24</v>
      </c>
      <c r="C89" s="2" t="s">
        <v>48</v>
      </c>
      <c r="D89" s="39" t="s">
        <v>281</v>
      </c>
      <c r="E89" s="57">
        <v>250</v>
      </c>
      <c r="F89" s="2">
        <v>40</v>
      </c>
      <c r="G89" s="2"/>
      <c r="H89" s="2">
        <v>500</v>
      </c>
      <c r="I89" s="2"/>
      <c r="J89" s="2">
        <v>837</v>
      </c>
      <c r="K89" s="2">
        <f>260+304</f>
        <v>564</v>
      </c>
      <c r="L89" s="2"/>
      <c r="M89" s="2">
        <v>3702</v>
      </c>
      <c r="N89" s="2"/>
      <c r="O89" s="2"/>
      <c r="P89" s="2"/>
      <c r="Q89" s="2"/>
      <c r="R89" s="2"/>
      <c r="S89" s="2">
        <v>78</v>
      </c>
      <c r="T89" s="2">
        <v>907</v>
      </c>
      <c r="U89" s="2">
        <v>365</v>
      </c>
      <c r="V89" s="2"/>
      <c r="W89" s="2">
        <f t="shared" si="2"/>
        <v>7243</v>
      </c>
    </row>
    <row r="90" spans="2:23" hidden="1" x14ac:dyDescent="0.25">
      <c r="B90" s="2" t="s">
        <v>26</v>
      </c>
      <c r="C90" s="2" t="s">
        <v>48</v>
      </c>
      <c r="D90" s="39" t="s">
        <v>281</v>
      </c>
      <c r="E90" s="57">
        <v>120</v>
      </c>
      <c r="F90" s="2">
        <v>13</v>
      </c>
      <c r="G90" s="2"/>
      <c r="H90" s="2"/>
      <c r="I90" s="2"/>
      <c r="J90" s="2"/>
      <c r="K90" s="2"/>
      <c r="L90" s="2">
        <v>200</v>
      </c>
      <c r="M90" s="2"/>
      <c r="N90" s="2"/>
      <c r="O90" s="2"/>
      <c r="P90" s="2"/>
      <c r="Q90" s="2"/>
      <c r="R90" s="2"/>
      <c r="S90" s="2"/>
      <c r="T90" s="2">
        <v>200</v>
      </c>
      <c r="U90" s="2"/>
      <c r="V90" s="2"/>
      <c r="W90" s="2">
        <f t="shared" si="2"/>
        <v>533</v>
      </c>
    </row>
    <row r="91" spans="2:23" hidden="1" x14ac:dyDescent="0.25">
      <c r="B91" s="2" t="s">
        <v>25</v>
      </c>
      <c r="C91" s="2" t="s">
        <v>48</v>
      </c>
      <c r="D91" s="39" t="s">
        <v>281</v>
      </c>
      <c r="E91" s="57">
        <v>200</v>
      </c>
      <c r="F91" s="2">
        <v>10</v>
      </c>
      <c r="G91" s="2"/>
      <c r="H91" s="2"/>
      <c r="I91" s="2"/>
      <c r="J91" s="2"/>
      <c r="K91" s="2"/>
      <c r="L91" s="2"/>
      <c r="M91" s="2">
        <v>150</v>
      </c>
      <c r="N91" s="2"/>
      <c r="O91" s="2"/>
      <c r="P91" s="2"/>
      <c r="Q91" s="2"/>
      <c r="R91" s="2"/>
      <c r="S91" s="2"/>
      <c r="T91" s="2">
        <v>250</v>
      </c>
      <c r="U91" s="2"/>
      <c r="V91" s="2"/>
      <c r="W91" s="2">
        <f t="shared" si="2"/>
        <v>610</v>
      </c>
    </row>
    <row r="92" spans="2:23" hidden="1" x14ac:dyDescent="0.25">
      <c r="B92" s="2" t="s">
        <v>382</v>
      </c>
      <c r="C92" s="2" t="s">
        <v>48</v>
      </c>
      <c r="D92" s="54" t="s">
        <v>283</v>
      </c>
      <c r="E92" s="5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>
        <v>100</v>
      </c>
      <c r="R92" s="2"/>
      <c r="S92" s="2"/>
      <c r="T92" s="2"/>
      <c r="U92" s="2"/>
      <c r="V92" s="2"/>
      <c r="W92" s="2">
        <f t="shared" si="2"/>
        <v>100</v>
      </c>
    </row>
    <row r="93" spans="2:23" hidden="1" x14ac:dyDescent="0.25">
      <c r="B93" s="2" t="s">
        <v>367</v>
      </c>
      <c r="C93" s="2" t="s">
        <v>48</v>
      </c>
      <c r="D93" s="54" t="s">
        <v>281</v>
      </c>
      <c r="E93" s="57"/>
      <c r="F93" s="2"/>
      <c r="G93" s="2"/>
      <c r="H93" s="2"/>
      <c r="I93" s="2"/>
      <c r="J93" s="2"/>
      <c r="K93" s="2"/>
      <c r="L93" s="2"/>
      <c r="M93" s="2"/>
      <c r="N93" s="2"/>
      <c r="O93" s="2"/>
      <c r="P93" s="2">
        <v>50</v>
      </c>
      <c r="Q93" s="2"/>
      <c r="R93" s="2"/>
      <c r="S93" s="2"/>
      <c r="T93" s="2"/>
      <c r="U93" s="2"/>
      <c r="V93" s="2"/>
      <c r="W93" s="2">
        <f t="shared" si="2"/>
        <v>50</v>
      </c>
    </row>
    <row r="94" spans="2:23" hidden="1" x14ac:dyDescent="0.25">
      <c r="B94" s="2" t="s">
        <v>366</v>
      </c>
      <c r="C94" s="2" t="s">
        <v>48</v>
      </c>
      <c r="D94" s="54" t="s">
        <v>281</v>
      </c>
      <c r="E94" s="57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100</v>
      </c>
      <c r="Q94" s="2"/>
      <c r="R94" s="2"/>
      <c r="S94" s="2"/>
      <c r="T94" s="2"/>
      <c r="U94" s="2"/>
      <c r="V94" s="2"/>
      <c r="W94" s="2">
        <f t="shared" si="2"/>
        <v>100</v>
      </c>
    </row>
    <row r="95" spans="2:23" hidden="1" x14ac:dyDescent="0.25">
      <c r="B95" s="2" t="s">
        <v>381</v>
      </c>
      <c r="C95" s="2" t="s">
        <v>48</v>
      </c>
      <c r="D95" s="54" t="s">
        <v>283</v>
      </c>
      <c r="E95" s="5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>
        <v>68</v>
      </c>
      <c r="R95" s="2"/>
      <c r="S95" s="2"/>
      <c r="T95" s="2"/>
      <c r="U95" s="2"/>
      <c r="V95" s="2">
        <v>32</v>
      </c>
      <c r="W95" s="2">
        <f t="shared" si="2"/>
        <v>100</v>
      </c>
    </row>
    <row r="96" spans="2:23" hidden="1" x14ac:dyDescent="0.25">
      <c r="B96" s="2" t="s">
        <v>371</v>
      </c>
      <c r="C96" s="2" t="s">
        <v>48</v>
      </c>
      <c r="D96" s="54" t="s">
        <v>283</v>
      </c>
      <c r="E96" s="57"/>
      <c r="F96" s="2"/>
      <c r="G96" s="2"/>
      <c r="H96" s="2"/>
      <c r="I96" s="2"/>
      <c r="J96" s="2"/>
      <c r="K96" s="2"/>
      <c r="L96" s="2"/>
      <c r="M96" s="2"/>
      <c r="N96" s="2"/>
      <c r="O96" s="2"/>
      <c r="P96" s="2">
        <v>100</v>
      </c>
      <c r="Q96" s="2"/>
      <c r="R96" s="2"/>
      <c r="S96" s="2"/>
      <c r="T96" s="2"/>
      <c r="U96" s="2"/>
      <c r="V96" s="2"/>
      <c r="W96" s="2">
        <f t="shared" si="2"/>
        <v>100</v>
      </c>
    </row>
    <row r="97" spans="1:23" hidden="1" x14ac:dyDescent="0.25">
      <c r="B97" s="2" t="s">
        <v>379</v>
      </c>
      <c r="C97" s="2" t="s">
        <v>48</v>
      </c>
      <c r="D97" s="54" t="s">
        <v>283</v>
      </c>
      <c r="E97" s="5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>
        <v>100</v>
      </c>
      <c r="R97" s="2"/>
      <c r="S97" s="2"/>
      <c r="T97" s="2"/>
      <c r="U97" s="2"/>
      <c r="V97" s="2"/>
      <c r="W97" s="2">
        <f t="shared" si="2"/>
        <v>100</v>
      </c>
    </row>
    <row r="98" spans="1:23" hidden="1" x14ac:dyDescent="0.25">
      <c r="B98" s="2" t="s">
        <v>355</v>
      </c>
      <c r="C98" s="2" t="s">
        <v>48</v>
      </c>
      <c r="D98" s="39" t="s">
        <v>281</v>
      </c>
      <c r="E98" s="57"/>
      <c r="F98" s="2"/>
      <c r="G98" s="2"/>
      <c r="H98" s="2"/>
      <c r="I98" s="2"/>
      <c r="J98" s="2"/>
      <c r="K98" s="2"/>
      <c r="L98" s="2"/>
      <c r="M98" s="2"/>
      <c r="N98" s="2"/>
      <c r="O98" s="2"/>
      <c r="P98" s="2">
        <v>59</v>
      </c>
      <c r="Q98" s="2">
        <v>1</v>
      </c>
      <c r="R98" s="2"/>
      <c r="S98" s="2"/>
      <c r="T98" s="2"/>
      <c r="U98" s="2"/>
      <c r="V98" s="2"/>
      <c r="W98" s="2">
        <f t="shared" si="2"/>
        <v>60</v>
      </c>
    </row>
    <row r="99" spans="1:23" hidden="1" x14ac:dyDescent="0.25">
      <c r="A99" s="52"/>
      <c r="B99" s="2" t="s">
        <v>368</v>
      </c>
      <c r="C99" s="2" t="s">
        <v>48</v>
      </c>
      <c r="D99" s="54" t="s">
        <v>283</v>
      </c>
      <c r="E99" s="57"/>
      <c r="F99" s="2"/>
      <c r="G99" s="2"/>
      <c r="H99" s="2"/>
      <c r="I99" s="2"/>
      <c r="J99" s="2"/>
      <c r="K99" s="2"/>
      <c r="L99" s="2"/>
      <c r="M99" s="2"/>
      <c r="N99" s="2"/>
      <c r="O99" s="2"/>
      <c r="P99" s="2">
        <v>100</v>
      </c>
      <c r="Q99" s="2"/>
      <c r="R99" s="2"/>
      <c r="S99" s="2"/>
      <c r="T99" s="2"/>
      <c r="U99" s="2"/>
      <c r="V99" s="2"/>
      <c r="W99" s="2">
        <f t="shared" si="2"/>
        <v>100</v>
      </c>
    </row>
    <row r="100" spans="1:23" hidden="1" x14ac:dyDescent="0.25">
      <c r="A100" s="14"/>
      <c r="B100" s="2" t="s">
        <v>378</v>
      </c>
      <c r="C100" s="2" t="s">
        <v>48</v>
      </c>
      <c r="D100" s="54" t="s">
        <v>283</v>
      </c>
      <c r="E100" s="5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>
        <v>100</v>
      </c>
      <c r="R100" s="2"/>
      <c r="S100" s="2"/>
      <c r="T100" s="2"/>
      <c r="U100" s="2"/>
      <c r="V100" s="2"/>
      <c r="W100" s="2">
        <f t="shared" ref="W100:W111" si="3">SUM(E100:V100)</f>
        <v>100</v>
      </c>
    </row>
    <row r="101" spans="1:23" hidden="1" x14ac:dyDescent="0.25">
      <c r="A101" s="14"/>
      <c r="B101" s="2" t="s">
        <v>376</v>
      </c>
      <c r="C101" s="2" t="s">
        <v>48</v>
      </c>
      <c r="D101" s="54" t="s">
        <v>283</v>
      </c>
      <c r="E101" s="5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>
        <v>100</v>
      </c>
      <c r="R101" s="2"/>
      <c r="S101" s="2"/>
      <c r="T101" s="2"/>
      <c r="U101" s="2"/>
      <c r="V101" s="2"/>
      <c r="W101" s="2">
        <f t="shared" si="3"/>
        <v>100</v>
      </c>
    </row>
    <row r="102" spans="1:23" hidden="1" x14ac:dyDescent="0.25">
      <c r="A102" s="14"/>
      <c r="B102" s="2" t="s">
        <v>380</v>
      </c>
      <c r="C102" s="2" t="s">
        <v>48</v>
      </c>
      <c r="D102" s="54" t="s">
        <v>283</v>
      </c>
      <c r="E102" s="5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>
        <v>250</v>
      </c>
      <c r="R102" s="2"/>
      <c r="S102" s="2"/>
      <c r="T102" s="2"/>
      <c r="U102" s="2"/>
      <c r="V102" s="2"/>
      <c r="W102" s="2">
        <f t="shared" si="3"/>
        <v>250</v>
      </c>
    </row>
    <row r="103" spans="1:23" hidden="1" x14ac:dyDescent="0.25">
      <c r="A103" s="8"/>
      <c r="B103" s="2" t="s">
        <v>377</v>
      </c>
      <c r="C103" s="2" t="s">
        <v>48</v>
      </c>
      <c r="D103" s="54" t="s">
        <v>283</v>
      </c>
      <c r="E103" s="5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>
        <v>100</v>
      </c>
      <c r="R103" s="2"/>
      <c r="S103" s="2"/>
      <c r="T103" s="2"/>
      <c r="U103" s="2"/>
      <c r="V103" s="2"/>
      <c r="W103" s="2">
        <f t="shared" si="3"/>
        <v>100</v>
      </c>
    </row>
    <row r="104" spans="1:23" hidden="1" x14ac:dyDescent="0.25">
      <c r="B104" s="2" t="s">
        <v>369</v>
      </c>
      <c r="C104" s="2" t="s">
        <v>48</v>
      </c>
      <c r="D104" s="54" t="s">
        <v>283</v>
      </c>
      <c r="E104" s="5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>
        <v>100</v>
      </c>
      <c r="Q104" s="2"/>
      <c r="R104" s="2"/>
      <c r="S104" s="2"/>
      <c r="T104" s="2"/>
      <c r="U104" s="2"/>
      <c r="V104" s="2"/>
      <c r="W104" s="2">
        <f t="shared" si="3"/>
        <v>100</v>
      </c>
    </row>
    <row r="105" spans="1:23" hidden="1" x14ac:dyDescent="0.25">
      <c r="B105" s="2" t="s">
        <v>27</v>
      </c>
      <c r="C105" s="2" t="s">
        <v>48</v>
      </c>
      <c r="D105" s="39" t="s">
        <v>281</v>
      </c>
      <c r="E105" s="57">
        <v>120</v>
      </c>
      <c r="F105" s="2">
        <v>10</v>
      </c>
      <c r="G105" s="2"/>
      <c r="H105" s="2"/>
      <c r="I105" s="2"/>
      <c r="J105" s="2"/>
      <c r="K105" s="2"/>
      <c r="L105" s="2">
        <v>100</v>
      </c>
      <c r="M105" s="2"/>
      <c r="N105" s="2"/>
      <c r="O105" s="2"/>
      <c r="P105" s="2"/>
      <c r="Q105" s="2"/>
      <c r="R105" s="2"/>
      <c r="S105" s="2"/>
      <c r="T105" s="2">
        <v>200</v>
      </c>
      <c r="U105" s="2"/>
      <c r="V105" s="2"/>
      <c r="W105" s="2">
        <f t="shared" si="3"/>
        <v>430</v>
      </c>
    </row>
    <row r="106" spans="1:23" hidden="1" x14ac:dyDescent="0.25">
      <c r="B106" s="2" t="s">
        <v>370</v>
      </c>
      <c r="C106" s="2" t="s">
        <v>48</v>
      </c>
      <c r="D106" s="54" t="s">
        <v>283</v>
      </c>
      <c r="E106" s="5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>
        <v>100</v>
      </c>
      <c r="Q106" s="2"/>
      <c r="R106" s="2"/>
      <c r="S106" s="2"/>
      <c r="T106" s="2"/>
      <c r="U106" s="2"/>
      <c r="V106" s="2"/>
      <c r="W106" s="2">
        <f t="shared" si="3"/>
        <v>100</v>
      </c>
    </row>
    <row r="107" spans="1:23" hidden="1" x14ac:dyDescent="0.25">
      <c r="B107" s="2" t="s">
        <v>28</v>
      </c>
      <c r="C107" s="2" t="s">
        <v>48</v>
      </c>
      <c r="D107" s="39" t="s">
        <v>281</v>
      </c>
      <c r="E107" s="57">
        <v>120</v>
      </c>
      <c r="F107" s="2">
        <v>10</v>
      </c>
      <c r="G107" s="2"/>
      <c r="H107" s="2"/>
      <c r="I107" s="2"/>
      <c r="J107" s="2"/>
      <c r="K107" s="2"/>
      <c r="L107" s="2">
        <v>100</v>
      </c>
      <c r="M107" s="2"/>
      <c r="N107" s="2"/>
      <c r="O107" s="2"/>
      <c r="P107" s="2"/>
      <c r="Q107" s="2"/>
      <c r="R107" s="2"/>
      <c r="S107" s="2"/>
      <c r="T107" s="2">
        <v>200</v>
      </c>
      <c r="U107" s="2"/>
      <c r="V107" s="2"/>
      <c r="W107" s="2">
        <f t="shared" si="3"/>
        <v>430</v>
      </c>
    </row>
    <row r="108" spans="1:23" hidden="1" x14ac:dyDescent="0.25">
      <c r="B108" s="2" t="s">
        <v>21</v>
      </c>
      <c r="C108" s="2" t="s">
        <v>48</v>
      </c>
      <c r="D108" s="39" t="s">
        <v>281</v>
      </c>
      <c r="E108" s="57">
        <v>110</v>
      </c>
      <c r="F108" s="2"/>
      <c r="G108" s="2"/>
      <c r="H108" s="2">
        <v>250</v>
      </c>
      <c r="I108" s="2"/>
      <c r="J108" s="2"/>
      <c r="K108" s="2">
        <v>500</v>
      </c>
      <c r="L108" s="2"/>
      <c r="M108" s="2">
        <v>1000</v>
      </c>
      <c r="N108" s="2"/>
      <c r="O108" s="2"/>
      <c r="P108" s="2"/>
      <c r="Q108" s="2"/>
      <c r="R108" s="2"/>
      <c r="S108" s="2"/>
      <c r="T108" s="2">
        <v>209</v>
      </c>
      <c r="U108" s="2"/>
      <c r="V108" s="2">
        <v>791</v>
      </c>
      <c r="W108" s="2">
        <f t="shared" si="3"/>
        <v>2860</v>
      </c>
    </row>
    <row r="109" spans="1:23" hidden="1" x14ac:dyDescent="0.25">
      <c r="B109" s="2" t="s">
        <v>11</v>
      </c>
      <c r="C109" s="2" t="s">
        <v>48</v>
      </c>
      <c r="D109" s="39" t="s">
        <v>281</v>
      </c>
      <c r="E109" s="57">
        <v>220</v>
      </c>
      <c r="F109" s="2">
        <v>20</v>
      </c>
      <c r="G109" s="2"/>
      <c r="H109" s="2"/>
      <c r="I109" s="2"/>
      <c r="J109" s="2"/>
      <c r="K109" s="2">
        <v>100</v>
      </c>
      <c r="L109" s="2">
        <v>240</v>
      </c>
      <c r="M109" s="2"/>
      <c r="N109" s="2"/>
      <c r="O109" s="2"/>
      <c r="P109" s="2"/>
      <c r="Q109" s="2"/>
      <c r="R109" s="2"/>
      <c r="S109" s="2">
        <v>500</v>
      </c>
      <c r="T109" s="2"/>
      <c r="U109" s="2"/>
      <c r="V109" s="2"/>
      <c r="W109" s="2">
        <f t="shared" si="3"/>
        <v>1080</v>
      </c>
    </row>
    <row r="110" spans="1:23" hidden="1" x14ac:dyDescent="0.25">
      <c r="B110" s="2" t="s">
        <v>32</v>
      </c>
      <c r="C110" s="2" t="s">
        <v>48</v>
      </c>
      <c r="D110" s="39" t="s">
        <v>282</v>
      </c>
      <c r="E110" s="57">
        <v>84</v>
      </c>
      <c r="F110" s="2">
        <v>10</v>
      </c>
      <c r="G110" s="2"/>
      <c r="H110" s="2">
        <v>21</v>
      </c>
      <c r="I110" s="2"/>
      <c r="J110" s="2">
        <v>20</v>
      </c>
      <c r="K110" s="2">
        <v>75</v>
      </c>
      <c r="L110" s="2">
        <v>75</v>
      </c>
      <c r="M110" s="2"/>
      <c r="N110" s="2"/>
      <c r="O110" s="2"/>
      <c r="P110" s="2"/>
      <c r="Q110" s="2"/>
      <c r="R110" s="2"/>
      <c r="S110" s="2"/>
      <c r="T110" s="2"/>
      <c r="U110" s="2">
        <v>125</v>
      </c>
      <c r="V110" s="2"/>
      <c r="W110" s="2">
        <f t="shared" si="3"/>
        <v>410</v>
      </c>
    </row>
    <row r="111" spans="1:23" hidden="1" x14ac:dyDescent="0.25">
      <c r="B111" s="2" t="s">
        <v>507</v>
      </c>
      <c r="C111" s="2" t="s">
        <v>48</v>
      </c>
      <c r="D111" s="39" t="s">
        <v>282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>
        <v>50</v>
      </c>
      <c r="U111" s="2"/>
      <c r="V111" s="2"/>
      <c r="W111" s="2">
        <f t="shared" si="3"/>
        <v>50</v>
      </c>
    </row>
    <row r="112" spans="1:23" x14ac:dyDescent="0.25">
      <c r="D112" s="23"/>
      <c r="E112" s="8"/>
      <c r="V112"/>
    </row>
  </sheetData>
  <autoFilter ref="B3:W111" xr:uid="{CAC2D902-20DE-47F3-B309-4D5757EC6DF5}">
    <filterColumn colId="0">
      <filters>
        <filter val="QL-4967"/>
      </filters>
    </filterColumn>
    <sortState ref="B4:W111">
      <sortCondition ref="C3:C109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H111"/>
  <sheetViews>
    <sheetView showGridLines="0" zoomScale="120" zoomScaleNormal="120" workbookViewId="0">
      <pane xSplit="4" ySplit="3" topLeftCell="CV93" activePane="bottomRight" state="frozen"/>
      <selection pane="topRight" activeCell="E1" sqref="E1"/>
      <selection pane="bottomLeft" activeCell="A4" sqref="A4"/>
      <selection pane="bottomRight" activeCell="CY100" sqref="CY100"/>
    </sheetView>
  </sheetViews>
  <sheetFormatPr baseColWidth="10" defaultRowHeight="15" x14ac:dyDescent="0.25"/>
  <cols>
    <col min="1" max="1" width="1.42578125" customWidth="1"/>
    <col min="2" max="2" width="16.5703125" customWidth="1"/>
    <col min="3" max="3" width="20.7109375" style="8" customWidth="1"/>
    <col min="5" max="9" width="11.42578125" style="8"/>
    <col min="10" max="10" width="14.28515625" style="8" bestFit="1" customWidth="1"/>
    <col min="11" max="44" width="11.42578125" style="8"/>
    <col min="45" max="47" width="14.28515625" style="8" bestFit="1" customWidth="1"/>
    <col min="48" max="100" width="14.28515625" style="8" customWidth="1"/>
    <col min="101" max="101" width="14.28515625" style="8" bestFit="1" customWidth="1"/>
    <col min="102" max="111" width="14.28515625" style="8" customWidth="1"/>
    <col min="112" max="112" width="11.85546875" bestFit="1" customWidth="1"/>
  </cols>
  <sheetData>
    <row r="1" spans="2:112" ht="15.75" thickBot="1" x14ac:dyDescent="0.3"/>
    <row r="2" spans="2:112" ht="30" x14ac:dyDescent="0.25">
      <c r="B2" s="4"/>
      <c r="D2" s="4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  <c r="BU2" s="1" t="s">
        <v>4</v>
      </c>
      <c r="BV2" s="1" t="s">
        <v>4</v>
      </c>
      <c r="BW2" s="1" t="s">
        <v>4</v>
      </c>
      <c r="BX2" s="1" t="s">
        <v>4</v>
      </c>
      <c r="BY2" s="1" t="s">
        <v>4</v>
      </c>
      <c r="BZ2" s="1" t="s">
        <v>4</v>
      </c>
      <c r="CA2" s="1" t="s">
        <v>4</v>
      </c>
      <c r="CB2" s="1" t="s">
        <v>4</v>
      </c>
      <c r="CC2" s="1" t="s">
        <v>4</v>
      </c>
      <c r="CD2" s="1" t="s">
        <v>4</v>
      </c>
      <c r="CE2" s="1" t="s">
        <v>4</v>
      </c>
      <c r="CF2" s="1" t="s">
        <v>4</v>
      </c>
      <c r="CG2" s="1" t="s">
        <v>4</v>
      </c>
      <c r="CH2" s="1" t="s">
        <v>4</v>
      </c>
      <c r="CI2" s="1" t="s">
        <v>4</v>
      </c>
      <c r="CJ2" s="1" t="s">
        <v>4</v>
      </c>
      <c r="CK2" s="1" t="s">
        <v>4</v>
      </c>
      <c r="CL2" s="1" t="s">
        <v>4</v>
      </c>
      <c r="CM2" s="1" t="s">
        <v>4</v>
      </c>
      <c r="CN2" s="1" t="s">
        <v>4</v>
      </c>
      <c r="CO2" s="1" t="s">
        <v>4</v>
      </c>
      <c r="CP2" s="1" t="s">
        <v>4</v>
      </c>
      <c r="CQ2" s="1" t="s">
        <v>4</v>
      </c>
      <c r="CR2" s="1" t="s">
        <v>4</v>
      </c>
      <c r="CS2" s="1" t="s">
        <v>4</v>
      </c>
      <c r="CT2" s="1" t="s">
        <v>4</v>
      </c>
      <c r="CU2" s="1" t="s">
        <v>4</v>
      </c>
      <c r="CV2" s="1" t="s">
        <v>4</v>
      </c>
      <c r="CW2" s="1" t="s">
        <v>4</v>
      </c>
      <c r="CX2" s="1" t="s">
        <v>4</v>
      </c>
      <c r="CY2" s="1" t="s">
        <v>4</v>
      </c>
      <c r="CZ2" s="90"/>
      <c r="DA2" s="90"/>
      <c r="DB2" s="90"/>
      <c r="DC2" s="90"/>
      <c r="DD2" s="90"/>
      <c r="DE2" s="90"/>
      <c r="DF2" s="90"/>
      <c r="DG2" s="90"/>
      <c r="DH2" s="55" t="s">
        <v>5</v>
      </c>
    </row>
    <row r="3" spans="2:112" x14ac:dyDescent="0.25">
      <c r="B3" s="36" t="s">
        <v>0</v>
      </c>
      <c r="C3" s="36" t="s">
        <v>47</v>
      </c>
      <c r="D3" s="36" t="s">
        <v>1</v>
      </c>
      <c r="E3" s="56">
        <v>44595</v>
      </c>
      <c r="F3" s="56">
        <v>44599</v>
      </c>
      <c r="G3" s="56">
        <v>44600</v>
      </c>
      <c r="H3" s="56">
        <v>44601</v>
      </c>
      <c r="I3" s="56">
        <v>44607</v>
      </c>
      <c r="J3" s="56">
        <v>44609</v>
      </c>
      <c r="K3" s="56">
        <v>44623</v>
      </c>
      <c r="L3" s="56">
        <v>44627</v>
      </c>
      <c r="M3" s="56">
        <v>44643</v>
      </c>
      <c r="N3" s="56">
        <v>44648</v>
      </c>
      <c r="O3" s="56">
        <v>44649</v>
      </c>
      <c r="P3" s="56">
        <v>44657</v>
      </c>
      <c r="Q3" s="56">
        <v>44658</v>
      </c>
      <c r="R3" s="56">
        <v>44659</v>
      </c>
      <c r="S3" s="56">
        <v>44662</v>
      </c>
      <c r="T3" s="56">
        <v>44686</v>
      </c>
      <c r="U3" s="56">
        <v>44691</v>
      </c>
      <c r="V3" s="56">
        <v>44705</v>
      </c>
      <c r="W3" s="56">
        <v>44706</v>
      </c>
      <c r="X3" s="56">
        <v>44707</v>
      </c>
      <c r="Y3" s="56">
        <v>44712</v>
      </c>
      <c r="Z3" s="56">
        <v>44713</v>
      </c>
      <c r="AA3" s="56">
        <v>44714</v>
      </c>
      <c r="AB3" s="56">
        <v>44725</v>
      </c>
      <c r="AC3" s="56">
        <v>44726</v>
      </c>
      <c r="AD3" s="56">
        <v>44727</v>
      </c>
      <c r="AE3" s="56">
        <v>44732</v>
      </c>
      <c r="AF3" s="56">
        <v>44733</v>
      </c>
      <c r="AG3" s="56">
        <v>44734</v>
      </c>
      <c r="AH3" s="56">
        <v>44735</v>
      </c>
      <c r="AI3" s="56">
        <v>44760</v>
      </c>
      <c r="AJ3" s="56">
        <v>44775</v>
      </c>
      <c r="AK3" s="56">
        <v>44777</v>
      </c>
      <c r="AL3" s="56">
        <v>44781</v>
      </c>
      <c r="AM3" s="56">
        <v>44788</v>
      </c>
      <c r="AN3" s="56">
        <v>44790</v>
      </c>
      <c r="AO3" s="56">
        <v>44804</v>
      </c>
      <c r="AP3" s="56">
        <v>44805</v>
      </c>
      <c r="AQ3" s="56">
        <v>44816</v>
      </c>
      <c r="AR3" s="56">
        <v>44826</v>
      </c>
      <c r="AS3" s="56">
        <v>44831</v>
      </c>
      <c r="AT3" s="56">
        <v>44832</v>
      </c>
      <c r="AU3" s="56">
        <v>44837</v>
      </c>
      <c r="AV3" s="56">
        <v>44840</v>
      </c>
      <c r="AW3" s="56">
        <v>44854</v>
      </c>
      <c r="AX3" s="56">
        <v>44859</v>
      </c>
      <c r="AY3" s="56">
        <v>44861</v>
      </c>
      <c r="AZ3" s="56">
        <v>44865</v>
      </c>
      <c r="BA3" s="56">
        <v>44873</v>
      </c>
      <c r="BB3" s="56">
        <v>44889</v>
      </c>
      <c r="BC3" s="56">
        <v>44896</v>
      </c>
      <c r="BD3" s="56">
        <v>44904</v>
      </c>
      <c r="BE3" s="56">
        <v>44915</v>
      </c>
      <c r="BF3" s="56">
        <v>44943</v>
      </c>
      <c r="BG3" s="56">
        <v>44952</v>
      </c>
      <c r="BH3" s="56">
        <v>44958</v>
      </c>
      <c r="BI3" s="56">
        <v>44963</v>
      </c>
      <c r="BJ3" s="56">
        <v>44970</v>
      </c>
      <c r="BK3" s="56">
        <v>44971</v>
      </c>
      <c r="BL3" s="56">
        <v>44974</v>
      </c>
      <c r="BM3" s="56">
        <v>44979</v>
      </c>
      <c r="BN3" s="56">
        <v>44985</v>
      </c>
      <c r="BO3" s="56">
        <v>44986</v>
      </c>
      <c r="BP3" s="56">
        <v>44987</v>
      </c>
      <c r="BQ3" s="56">
        <v>44991</v>
      </c>
      <c r="BR3" s="56">
        <v>44998</v>
      </c>
      <c r="BS3" s="56">
        <v>45001</v>
      </c>
      <c r="BT3" s="56">
        <v>45002</v>
      </c>
      <c r="BU3" s="56">
        <v>45006</v>
      </c>
      <c r="BV3" s="56">
        <v>45013</v>
      </c>
      <c r="BW3" s="56">
        <v>45026</v>
      </c>
      <c r="BX3" s="56">
        <v>45027</v>
      </c>
      <c r="BY3" s="56">
        <v>45028</v>
      </c>
      <c r="BZ3" s="56">
        <v>45029</v>
      </c>
      <c r="CA3" s="56">
        <v>45030</v>
      </c>
      <c r="CB3" s="56">
        <v>45034</v>
      </c>
      <c r="CC3" s="56">
        <v>45036</v>
      </c>
      <c r="CD3" s="56">
        <v>45041</v>
      </c>
      <c r="CE3" s="56">
        <v>45044</v>
      </c>
      <c r="CF3" s="56">
        <v>45049</v>
      </c>
      <c r="CG3" s="56">
        <v>45050</v>
      </c>
      <c r="CH3" s="56">
        <v>45057</v>
      </c>
      <c r="CI3" s="56">
        <v>45061</v>
      </c>
      <c r="CJ3" s="56">
        <v>45062</v>
      </c>
      <c r="CK3" s="56">
        <v>45070</v>
      </c>
      <c r="CL3" s="56">
        <v>45071</v>
      </c>
      <c r="CM3" s="56">
        <v>45072</v>
      </c>
      <c r="CN3" s="56">
        <v>45075</v>
      </c>
      <c r="CO3" s="56">
        <v>45076</v>
      </c>
      <c r="CP3" s="56">
        <v>45077</v>
      </c>
      <c r="CQ3" s="56">
        <v>45083</v>
      </c>
      <c r="CR3" s="56">
        <v>45089</v>
      </c>
      <c r="CS3" s="56">
        <v>45090</v>
      </c>
      <c r="CT3" s="56">
        <v>45091</v>
      </c>
      <c r="CU3" s="56">
        <v>45092</v>
      </c>
      <c r="CV3" s="56">
        <v>45093</v>
      </c>
      <c r="CW3" s="56">
        <v>45097</v>
      </c>
      <c r="CX3" s="56">
        <v>45111</v>
      </c>
      <c r="CY3" s="56">
        <v>45117</v>
      </c>
      <c r="CZ3" s="56"/>
      <c r="DA3" s="56"/>
      <c r="DB3" s="56"/>
      <c r="DC3" s="56"/>
      <c r="DD3" s="56"/>
      <c r="DE3" s="56"/>
      <c r="DF3" s="56"/>
      <c r="DG3" s="56"/>
      <c r="DH3" s="56">
        <f ca="1">TODAY()</f>
        <v>45121</v>
      </c>
    </row>
    <row r="4" spans="2:112" s="4" customFormat="1" x14ac:dyDescent="0.25">
      <c r="B4" s="2" t="s">
        <v>38</v>
      </c>
      <c r="C4" s="2" t="s">
        <v>49</v>
      </c>
      <c r="D4" s="39" t="s">
        <v>281</v>
      </c>
      <c r="E4" s="2">
        <f>6</f>
        <v>6</v>
      </c>
      <c r="F4" s="2">
        <f t="shared" ref="F4:F11" si="0">2+1</f>
        <v>3</v>
      </c>
      <c r="G4" s="2">
        <f>5</f>
        <v>5</v>
      </c>
      <c r="H4" s="2">
        <v>5</v>
      </c>
      <c r="I4" s="2">
        <f>2+1</f>
        <v>3</v>
      </c>
      <c r="J4" s="2"/>
      <c r="K4" s="2">
        <f>3+5</f>
        <v>8</v>
      </c>
      <c r="L4" s="2"/>
      <c r="M4" s="2">
        <f>2+1</f>
        <v>3</v>
      </c>
      <c r="N4" s="2"/>
      <c r="O4" s="2">
        <f>1+1</f>
        <v>2</v>
      </c>
      <c r="P4" s="2">
        <v>2</v>
      </c>
      <c r="Q4" s="2"/>
      <c r="R4" s="2"/>
      <c r="S4" s="2">
        <v>2</v>
      </c>
      <c r="T4" s="2">
        <f>144/24</f>
        <v>6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>
        <v>1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>
        <v>5</v>
      </c>
      <c r="AS4" s="2">
        <f>1+3</f>
        <v>4</v>
      </c>
      <c r="AT4" s="2">
        <f>5+1</f>
        <v>6</v>
      </c>
      <c r="AU4" s="2">
        <v>4</v>
      </c>
      <c r="AV4" s="2">
        <v>2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>
        <f>5+2</f>
        <v>7</v>
      </c>
      <c r="CM4" s="2">
        <v>10</v>
      </c>
      <c r="CN4" s="2">
        <v>3</v>
      </c>
      <c r="CO4" s="2">
        <v>3</v>
      </c>
      <c r="CP4" s="2">
        <v>2</v>
      </c>
      <c r="CQ4" s="2"/>
      <c r="CR4" s="2"/>
      <c r="CS4" s="2"/>
      <c r="CT4" s="2"/>
      <c r="CU4" s="2"/>
      <c r="CV4" s="2">
        <v>2</v>
      </c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>
        <f>SUM(E4:DG4)</f>
        <v>94</v>
      </c>
    </row>
    <row r="5" spans="2:112" s="8" customFormat="1" x14ac:dyDescent="0.25">
      <c r="B5" s="2" t="s">
        <v>39</v>
      </c>
      <c r="C5" s="2" t="s">
        <v>49</v>
      </c>
      <c r="D5" s="39" t="s">
        <v>281</v>
      </c>
      <c r="E5" s="2">
        <f>5</f>
        <v>5</v>
      </c>
      <c r="F5" s="2">
        <f t="shared" si="0"/>
        <v>3</v>
      </c>
      <c r="G5" s="2">
        <f>4</f>
        <v>4</v>
      </c>
      <c r="H5" s="2">
        <v>4</v>
      </c>
      <c r="I5" s="2">
        <f>1+1</f>
        <v>2</v>
      </c>
      <c r="J5" s="2"/>
      <c r="K5" s="2">
        <f>3+4</f>
        <v>7</v>
      </c>
      <c r="L5" s="2">
        <v>4</v>
      </c>
      <c r="M5" s="2">
        <f>2+1</f>
        <v>3</v>
      </c>
      <c r="N5" s="2"/>
      <c r="O5" s="2">
        <f>1+1</f>
        <v>2</v>
      </c>
      <c r="P5" s="2">
        <v>3</v>
      </c>
      <c r="Q5" s="2"/>
      <c r="R5" s="2"/>
      <c r="S5" s="2">
        <f>2+2</f>
        <v>4</v>
      </c>
      <c r="T5" s="2">
        <f>72/24</f>
        <v>3</v>
      </c>
      <c r="U5" s="2"/>
      <c r="V5" s="2"/>
      <c r="W5" s="2"/>
      <c r="X5" s="2"/>
      <c r="Y5" s="2"/>
      <c r="Z5" s="2"/>
      <c r="AA5" s="2"/>
      <c r="AB5" s="2"/>
      <c r="AC5" s="2"/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>
        <v>8</v>
      </c>
      <c r="AS5" s="2">
        <f>2+1</f>
        <v>3</v>
      </c>
      <c r="AT5" s="2">
        <f>5+2</f>
        <v>7</v>
      </c>
      <c r="AU5" s="2">
        <v>5</v>
      </c>
      <c r="AV5" s="2">
        <v>5</v>
      </c>
      <c r="AW5" s="2">
        <v>5</v>
      </c>
      <c r="AX5" s="2"/>
      <c r="AY5" s="2">
        <v>5</v>
      </c>
      <c r="AZ5" s="2"/>
      <c r="BA5" s="2"/>
      <c r="BB5" s="2"/>
      <c r="BC5" s="2"/>
      <c r="BD5" s="2">
        <f>1+1+1+1</f>
        <v>4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>
        <f>5+2</f>
        <v>7</v>
      </c>
      <c r="CM5" s="2">
        <v>10</v>
      </c>
      <c r="CN5" s="2">
        <v>3</v>
      </c>
      <c r="CO5" s="2">
        <v>3</v>
      </c>
      <c r="CP5" s="2">
        <v>4</v>
      </c>
      <c r="CQ5" s="2"/>
      <c r="CR5" s="2"/>
      <c r="CS5" s="2"/>
      <c r="CT5" s="2"/>
      <c r="CU5" s="2"/>
      <c r="CV5" s="2">
        <v>5</v>
      </c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>
        <f t="shared" ref="DH5:DH68" si="1">SUM(E5:DG5)</f>
        <v>119</v>
      </c>
    </row>
    <row r="6" spans="2:112" s="4" customFormat="1" x14ac:dyDescent="0.25">
      <c r="B6" s="2" t="s">
        <v>33</v>
      </c>
      <c r="C6" s="2" t="s">
        <v>49</v>
      </c>
      <c r="D6" s="39" t="s">
        <v>281</v>
      </c>
      <c r="E6" s="2">
        <f>5</f>
        <v>5</v>
      </c>
      <c r="F6" s="2">
        <f t="shared" si="0"/>
        <v>3</v>
      </c>
      <c r="G6" s="2">
        <f>4</f>
        <v>4</v>
      </c>
      <c r="H6" s="2">
        <v>4</v>
      </c>
      <c r="I6" s="2">
        <f>1+1</f>
        <v>2</v>
      </c>
      <c r="J6" s="2"/>
      <c r="K6" s="2">
        <f>3+4</f>
        <v>7</v>
      </c>
      <c r="L6" s="2"/>
      <c r="M6" s="2">
        <f>2+1</f>
        <v>3</v>
      </c>
      <c r="N6" s="2"/>
      <c r="O6" s="2">
        <f>1+1</f>
        <v>2</v>
      </c>
      <c r="P6" s="2"/>
      <c r="Q6" s="2"/>
      <c r="R6" s="2"/>
      <c r="S6" s="2"/>
      <c r="T6" s="2">
        <f>240/24</f>
        <v>10</v>
      </c>
      <c r="U6" s="2"/>
      <c r="V6" s="2">
        <v>1</v>
      </c>
      <c r="W6" s="2">
        <v>3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>
        <v>5</v>
      </c>
      <c r="AS6" s="2">
        <v>3</v>
      </c>
      <c r="AT6" s="2">
        <f>5+2</f>
        <v>7</v>
      </c>
      <c r="AU6" s="2">
        <v>5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1</v>
      </c>
      <c r="BG6" s="2"/>
      <c r="BH6" s="2"/>
      <c r="BI6" s="2"/>
      <c r="BJ6" s="2"/>
      <c r="BK6" s="2"/>
      <c r="BL6" s="2"/>
      <c r="BM6" s="2"/>
      <c r="BN6" s="2"/>
      <c r="BO6" s="2"/>
      <c r="BP6" s="2">
        <v>3</v>
      </c>
      <c r="BQ6" s="2">
        <f>1+1</f>
        <v>2</v>
      </c>
      <c r="BR6" s="2"/>
      <c r="BS6" s="2"/>
      <c r="BT6" s="2">
        <v>1</v>
      </c>
      <c r="BU6" s="2"/>
      <c r="BV6" s="2"/>
      <c r="BW6" s="2"/>
      <c r="BX6" s="2"/>
      <c r="BY6" s="2"/>
      <c r="BZ6" s="2"/>
      <c r="CA6" s="2"/>
      <c r="CB6" s="2"/>
      <c r="CC6" s="2">
        <v>1</v>
      </c>
      <c r="CD6" s="2"/>
      <c r="CE6" s="2"/>
      <c r="CF6" s="2">
        <v>4</v>
      </c>
      <c r="CG6" s="2"/>
      <c r="CH6" s="2"/>
      <c r="CI6" s="2"/>
      <c r="CJ6" s="2"/>
      <c r="CK6" s="2"/>
      <c r="CL6" s="2">
        <v>2</v>
      </c>
      <c r="CM6" s="2">
        <v>5</v>
      </c>
      <c r="CN6" s="2">
        <v>1</v>
      </c>
      <c r="CO6" s="2">
        <v>2</v>
      </c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>
        <f t="shared" si="1"/>
        <v>87</v>
      </c>
    </row>
    <row r="7" spans="2:112" s="4" customFormat="1" x14ac:dyDescent="0.25">
      <c r="B7" s="2" t="s">
        <v>34</v>
      </c>
      <c r="C7" s="2" t="s">
        <v>49</v>
      </c>
      <c r="D7" s="39" t="s">
        <v>281</v>
      </c>
      <c r="E7" s="2">
        <f>5</f>
        <v>5</v>
      </c>
      <c r="F7" s="2">
        <f t="shared" si="0"/>
        <v>3</v>
      </c>
      <c r="G7" s="2">
        <f>4</f>
        <v>4</v>
      </c>
      <c r="H7" s="2">
        <v>4</v>
      </c>
      <c r="I7" s="2">
        <f>1+1</f>
        <v>2</v>
      </c>
      <c r="J7" s="2"/>
      <c r="K7" s="2">
        <v>3</v>
      </c>
      <c r="L7" s="2"/>
      <c r="M7" s="2"/>
      <c r="N7" s="2"/>
      <c r="O7" s="2"/>
      <c r="P7" s="2">
        <v>1</v>
      </c>
      <c r="Q7" s="2"/>
      <c r="R7" s="2"/>
      <c r="S7" s="2">
        <v>1</v>
      </c>
      <c r="T7" s="2"/>
      <c r="U7" s="2"/>
      <c r="V7" s="2"/>
      <c r="W7" s="2"/>
      <c r="X7" s="2"/>
      <c r="Y7" s="2"/>
      <c r="Z7" s="2"/>
      <c r="AA7" s="2"/>
      <c r="AB7" s="2">
        <v>10</v>
      </c>
      <c r="AC7" s="2"/>
      <c r="AD7" s="2">
        <v>4</v>
      </c>
      <c r="AE7" s="2"/>
      <c r="AF7" s="2">
        <v>4</v>
      </c>
      <c r="AG7" s="2">
        <v>2</v>
      </c>
      <c r="AH7" s="2">
        <v>1</v>
      </c>
      <c r="AI7" s="2"/>
      <c r="AJ7" s="2"/>
      <c r="AK7" s="2"/>
      <c r="AL7" s="2"/>
      <c r="AM7" s="2"/>
      <c r="AN7" s="2"/>
      <c r="AO7" s="2"/>
      <c r="AP7" s="2"/>
      <c r="AQ7" s="2"/>
      <c r="AR7" s="2">
        <v>5</v>
      </c>
      <c r="AS7" s="2">
        <f>2+1+1</f>
        <v>4</v>
      </c>
      <c r="AT7" s="2">
        <f>5+1</f>
        <v>6</v>
      </c>
      <c r="AU7" s="2">
        <v>5</v>
      </c>
      <c r="AV7" s="2"/>
      <c r="AW7" s="2">
        <v>3</v>
      </c>
      <c r="AX7" s="2"/>
      <c r="AY7" s="2"/>
      <c r="AZ7" s="2"/>
      <c r="BA7" s="2"/>
      <c r="BB7" s="2"/>
      <c r="BC7" s="2"/>
      <c r="BD7" s="2">
        <f>1+1+1</f>
        <v>3</v>
      </c>
      <c r="BE7" s="2"/>
      <c r="BF7" s="2">
        <f>1+1</f>
        <v>2</v>
      </c>
      <c r="BG7" s="2">
        <v>3</v>
      </c>
      <c r="BH7" s="2"/>
      <c r="BI7" s="2"/>
      <c r="BJ7" s="2"/>
      <c r="BK7" s="2"/>
      <c r="BL7" s="2"/>
      <c r="BM7" s="2"/>
      <c r="BN7" s="2"/>
      <c r="BO7" s="2"/>
      <c r="BP7" s="2">
        <v>4</v>
      </c>
      <c r="BQ7" s="2">
        <f>1+1+2</f>
        <v>4</v>
      </c>
      <c r="BR7" s="2"/>
      <c r="BS7" s="2"/>
      <c r="BT7" s="2">
        <v>1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>
        <v>2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>
        <v>4</v>
      </c>
      <c r="CS7" s="2">
        <v>2</v>
      </c>
      <c r="CT7" s="2">
        <v>15</v>
      </c>
      <c r="CU7" s="2"/>
      <c r="CV7" s="2">
        <v>1</v>
      </c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>
        <f t="shared" si="1"/>
        <v>108</v>
      </c>
    </row>
    <row r="8" spans="2:112" s="4" customFormat="1" x14ac:dyDescent="0.25">
      <c r="B8" s="2" t="s">
        <v>35</v>
      </c>
      <c r="C8" s="2" t="s">
        <v>49</v>
      </c>
      <c r="D8" s="39" t="s">
        <v>281</v>
      </c>
      <c r="E8" s="2">
        <f>5</f>
        <v>5</v>
      </c>
      <c r="F8" s="2">
        <f t="shared" si="0"/>
        <v>3</v>
      </c>
      <c r="G8" s="2">
        <f>5</f>
        <v>5</v>
      </c>
      <c r="H8" s="2">
        <v>4</v>
      </c>
      <c r="I8" s="2">
        <f>1+1</f>
        <v>2</v>
      </c>
      <c r="J8" s="2"/>
      <c r="K8" s="2">
        <f>3+5</f>
        <v>8</v>
      </c>
      <c r="L8" s="2"/>
      <c r="M8" s="2">
        <f>2+1</f>
        <v>3</v>
      </c>
      <c r="N8" s="2">
        <v>5</v>
      </c>
      <c r="O8" s="2">
        <f>1+1</f>
        <v>2</v>
      </c>
      <c r="P8" s="2">
        <v>3</v>
      </c>
      <c r="Q8" s="2"/>
      <c r="R8" s="2"/>
      <c r="S8" s="2">
        <f>2+2+2</f>
        <v>6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>
        <v>8</v>
      </c>
      <c r="AS8" s="2">
        <v>1</v>
      </c>
      <c r="AT8" s="2">
        <f>5+4</f>
        <v>9</v>
      </c>
      <c r="AU8" s="2">
        <v>3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>
        <f>5+5</f>
        <v>10</v>
      </c>
      <c r="CM8" s="2">
        <v>10</v>
      </c>
      <c r="CN8" s="2">
        <v>4</v>
      </c>
      <c r="CO8" s="2">
        <v>3</v>
      </c>
      <c r="CP8" s="2">
        <v>3</v>
      </c>
      <c r="CQ8" s="2"/>
      <c r="CR8" s="2"/>
      <c r="CS8" s="2">
        <v>5</v>
      </c>
      <c r="CT8" s="2">
        <v>5</v>
      </c>
      <c r="CU8" s="2"/>
      <c r="CV8" s="2">
        <v>2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>
        <f t="shared" si="1"/>
        <v>109</v>
      </c>
    </row>
    <row r="9" spans="2:112" s="8" customFormat="1" x14ac:dyDescent="0.25">
      <c r="B9" s="2" t="s">
        <v>36</v>
      </c>
      <c r="C9" s="2" t="s">
        <v>49</v>
      </c>
      <c r="D9" s="39" t="s">
        <v>281</v>
      </c>
      <c r="E9" s="2">
        <f>5</f>
        <v>5</v>
      </c>
      <c r="F9" s="2">
        <f t="shared" si="0"/>
        <v>3</v>
      </c>
      <c r="G9" s="2">
        <f>4</f>
        <v>4</v>
      </c>
      <c r="H9" s="2">
        <v>4</v>
      </c>
      <c r="I9" s="2">
        <f>1+1</f>
        <v>2</v>
      </c>
      <c r="J9" s="2"/>
      <c r="K9" s="2">
        <v>4</v>
      </c>
      <c r="L9" s="2"/>
      <c r="M9" s="2">
        <f>2+1</f>
        <v>3</v>
      </c>
      <c r="N9" s="2"/>
      <c r="O9" s="2">
        <f>1+1</f>
        <v>2</v>
      </c>
      <c r="P9" s="2">
        <v>2</v>
      </c>
      <c r="Q9" s="2"/>
      <c r="R9" s="2"/>
      <c r="S9" s="2">
        <f>2+2</f>
        <v>4</v>
      </c>
      <c r="T9" s="2">
        <f>240/24</f>
        <v>10</v>
      </c>
      <c r="U9" s="2"/>
      <c r="V9" s="2"/>
      <c r="W9" s="2">
        <v>2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>
        <v>5</v>
      </c>
      <c r="AS9" s="2">
        <v>2</v>
      </c>
      <c r="AT9" s="2">
        <f>5+3</f>
        <v>8</v>
      </c>
      <c r="AU9" s="2">
        <v>5</v>
      </c>
      <c r="AV9" s="2"/>
      <c r="AW9" s="2"/>
      <c r="AX9" s="2"/>
      <c r="AY9" s="2"/>
      <c r="AZ9" s="2"/>
      <c r="BA9" s="2"/>
      <c r="BB9" s="2"/>
      <c r="BC9" s="2"/>
      <c r="BD9" s="2">
        <v>1</v>
      </c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>
        <v>4</v>
      </c>
      <c r="CS9" s="2"/>
      <c r="CT9" s="2">
        <v>15</v>
      </c>
      <c r="CU9" s="2"/>
      <c r="CV9" s="2">
        <f>2+2+2</f>
        <v>6</v>
      </c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>
        <f t="shared" si="1"/>
        <v>91</v>
      </c>
    </row>
    <row r="10" spans="2:112" x14ac:dyDescent="0.25">
      <c r="B10" s="2" t="s">
        <v>40</v>
      </c>
      <c r="C10" s="2" t="s">
        <v>49</v>
      </c>
      <c r="D10" s="39" t="s">
        <v>281</v>
      </c>
      <c r="E10" s="2">
        <f>6</f>
        <v>6</v>
      </c>
      <c r="F10" s="2">
        <f t="shared" si="0"/>
        <v>3</v>
      </c>
      <c r="G10" s="2">
        <f>4</f>
        <v>4</v>
      </c>
      <c r="H10" s="2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v>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>
        <f>2+2+2</f>
        <v>6</v>
      </c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>
        <f t="shared" si="1"/>
        <v>25</v>
      </c>
    </row>
    <row r="11" spans="2:112" s="4" customFormat="1" x14ac:dyDescent="0.25">
      <c r="B11" s="2" t="s">
        <v>37</v>
      </c>
      <c r="C11" s="2" t="s">
        <v>49</v>
      </c>
      <c r="D11" s="39" t="s">
        <v>281</v>
      </c>
      <c r="E11" s="2">
        <f>6</f>
        <v>6</v>
      </c>
      <c r="F11" s="2">
        <f t="shared" si="0"/>
        <v>3</v>
      </c>
      <c r="G11" s="2">
        <f>5</f>
        <v>5</v>
      </c>
      <c r="H11" s="2">
        <v>5</v>
      </c>
      <c r="I11" s="2">
        <f>1+2</f>
        <v>3</v>
      </c>
      <c r="J11" s="2"/>
      <c r="K11" s="2">
        <f>3+5</f>
        <v>8</v>
      </c>
      <c r="L11" s="2"/>
      <c r="M11" s="2">
        <f>2+1</f>
        <v>3</v>
      </c>
      <c r="N11" s="2"/>
      <c r="O11" s="2">
        <f>1+1</f>
        <v>2</v>
      </c>
      <c r="P11" s="2">
        <v>2</v>
      </c>
      <c r="Q11" s="2"/>
      <c r="R11" s="2"/>
      <c r="S11" s="2">
        <f>3+1</f>
        <v>4</v>
      </c>
      <c r="T11" s="2">
        <f>120/24</f>
        <v>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>
        <v>5</v>
      </c>
      <c r="AS11" s="2">
        <v>1</v>
      </c>
      <c r="AT11" s="2">
        <f>5+4</f>
        <v>9</v>
      </c>
      <c r="AU11" s="2">
        <v>5</v>
      </c>
      <c r="AV11" s="2">
        <v>1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>
        <v>5</v>
      </c>
      <c r="CM11" s="2">
        <v>10</v>
      </c>
      <c r="CN11" s="2"/>
      <c r="CO11" s="2">
        <v>3</v>
      </c>
      <c r="CP11" s="2">
        <v>3</v>
      </c>
      <c r="CQ11" s="2"/>
      <c r="CR11" s="2"/>
      <c r="CS11" s="2"/>
      <c r="CT11" s="2">
        <v>5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>
        <f t="shared" si="1"/>
        <v>93</v>
      </c>
    </row>
    <row r="12" spans="2:112" s="8" customFormat="1" x14ac:dyDescent="0.25">
      <c r="B12" s="2" t="s">
        <v>102</v>
      </c>
      <c r="C12" s="2" t="s">
        <v>49</v>
      </c>
      <c r="D12" s="39" t="s">
        <v>281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5</v>
      </c>
      <c r="Q12" s="2">
        <v>8</v>
      </c>
      <c r="R12" s="2">
        <v>4</v>
      </c>
      <c r="S12" s="2">
        <f>2+2+1+1</f>
        <v>6</v>
      </c>
      <c r="T12" s="2">
        <f>120/24</f>
        <v>5</v>
      </c>
      <c r="U12" s="2"/>
      <c r="V12" s="2">
        <v>1</v>
      </c>
      <c r="W12" s="2">
        <v>6</v>
      </c>
      <c r="X12" s="2">
        <v>1</v>
      </c>
      <c r="Y12" s="2"/>
      <c r="Z12" s="2"/>
      <c r="AA12" s="2">
        <v>3</v>
      </c>
      <c r="AB12" s="2">
        <v>5</v>
      </c>
      <c r="AC12" s="2"/>
      <c r="AD12" s="2">
        <v>2</v>
      </c>
      <c r="AE12" s="2"/>
      <c r="AF12" s="2"/>
      <c r="AG12" s="2">
        <v>1</v>
      </c>
      <c r="AH12" s="2">
        <f>1+1</f>
        <v>2</v>
      </c>
      <c r="AI12" s="2"/>
      <c r="AJ12" s="2">
        <f>3+5</f>
        <v>8</v>
      </c>
      <c r="AK12" s="2">
        <v>5</v>
      </c>
      <c r="AL12" s="2">
        <v>2</v>
      </c>
      <c r="AM12" s="2">
        <v>10</v>
      </c>
      <c r="AN12" s="2">
        <f>5+2</f>
        <v>7</v>
      </c>
      <c r="AO12" s="2">
        <v>5</v>
      </c>
      <c r="AP12" s="2">
        <v>2</v>
      </c>
      <c r="AQ12" s="2">
        <f>3+4+3</f>
        <v>10</v>
      </c>
      <c r="AR12" s="2"/>
      <c r="AS12" s="2"/>
      <c r="AT12" s="2">
        <f>5+2</f>
        <v>7</v>
      </c>
      <c r="AU12" s="2"/>
      <c r="AV12" s="2">
        <v>3</v>
      </c>
      <c r="AW12" s="2"/>
      <c r="AX12" s="2"/>
      <c r="AY12" s="2">
        <v>5</v>
      </c>
      <c r="AZ12" s="2"/>
      <c r="BA12" s="2"/>
      <c r="BB12" s="2"/>
      <c r="BC12" s="2"/>
      <c r="BD12" s="2"/>
      <c r="BE12" s="2"/>
      <c r="BF12" s="2">
        <v>3</v>
      </c>
      <c r="BG12" s="2"/>
      <c r="BH12" s="2"/>
      <c r="BI12" s="2"/>
      <c r="BJ12" s="2"/>
      <c r="BK12" s="2"/>
      <c r="BL12" s="2"/>
      <c r="BM12" s="2"/>
      <c r="BN12" s="2"/>
      <c r="BO12" s="2"/>
      <c r="BP12" s="2">
        <v>4</v>
      </c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>
        <v>20</v>
      </c>
      <c r="CU12" s="2"/>
      <c r="CV12" s="2">
        <f>1+3</f>
        <v>4</v>
      </c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>
        <f t="shared" si="1"/>
        <v>144</v>
      </c>
    </row>
    <row r="13" spans="2:112" x14ac:dyDescent="0.25">
      <c r="B13" s="2" t="s">
        <v>372</v>
      </c>
      <c r="C13" s="2" t="s">
        <v>49</v>
      </c>
      <c r="D13" s="39" t="s">
        <v>283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>
        <v>10</v>
      </c>
      <c r="BX13" s="2"/>
      <c r="BY13" s="2">
        <v>15</v>
      </c>
      <c r="BZ13" s="2">
        <v>1</v>
      </c>
      <c r="CA13" s="2">
        <f>7+10+4+4</f>
        <v>25</v>
      </c>
      <c r="CB13" s="2">
        <v>18</v>
      </c>
      <c r="CC13" s="2"/>
      <c r="CD13" s="2"/>
      <c r="CE13" s="2">
        <v>4</v>
      </c>
      <c r="CF13" s="2"/>
      <c r="CG13" s="2">
        <f>1+10</f>
        <v>11</v>
      </c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>
        <f t="shared" si="1"/>
        <v>84</v>
      </c>
    </row>
    <row r="14" spans="2:112" x14ac:dyDescent="0.25">
      <c r="B14" s="2" t="s">
        <v>356</v>
      </c>
      <c r="C14" s="2" t="s">
        <v>49</v>
      </c>
      <c r="D14" s="39" t="s">
        <v>357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>
        <v>30</v>
      </c>
      <c r="BX14" s="2"/>
      <c r="BY14" s="2">
        <v>30</v>
      </c>
      <c r="BZ14" s="2">
        <v>2</v>
      </c>
      <c r="CA14" s="2">
        <f>25+30+5</f>
        <v>60</v>
      </c>
      <c r="CB14" s="2">
        <v>69</v>
      </c>
      <c r="CC14" s="2"/>
      <c r="CD14" s="2"/>
      <c r="CE14" s="2">
        <v>18</v>
      </c>
      <c r="CF14" s="2"/>
      <c r="CG14" s="2">
        <f>4+30</f>
        <v>34</v>
      </c>
      <c r="CH14" s="2"/>
      <c r="CI14" s="2"/>
      <c r="CJ14" s="2"/>
      <c r="CK14" s="2"/>
      <c r="CL14" s="2"/>
      <c r="CM14" s="2"/>
      <c r="CN14" s="2"/>
      <c r="CO14" s="2"/>
      <c r="CP14" s="2">
        <v>1</v>
      </c>
      <c r="CQ14" s="2"/>
      <c r="CR14" s="2"/>
      <c r="CS14" s="2"/>
      <c r="CT14" s="2">
        <v>7</v>
      </c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>
        <f t="shared" si="1"/>
        <v>251</v>
      </c>
    </row>
    <row r="15" spans="2:112" s="8" customFormat="1" x14ac:dyDescent="0.25">
      <c r="B15" s="2" t="s">
        <v>104</v>
      </c>
      <c r="C15" s="2" t="s">
        <v>49</v>
      </c>
      <c r="D15" s="39" t="s">
        <v>281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5</v>
      </c>
      <c r="Q15" s="2">
        <v>5</v>
      </c>
      <c r="R15" s="2">
        <v>4</v>
      </c>
      <c r="S15" s="2">
        <f>2+2+1+1</f>
        <v>6</v>
      </c>
      <c r="T15" s="2">
        <f>96/24</f>
        <v>4</v>
      </c>
      <c r="U15" s="2"/>
      <c r="V15" s="2">
        <v>1</v>
      </c>
      <c r="W15" s="2">
        <v>10</v>
      </c>
      <c r="X15" s="2"/>
      <c r="Y15" s="2"/>
      <c r="Z15" s="2"/>
      <c r="AA15" s="2"/>
      <c r="AB15" s="2">
        <v>5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>
        <v>2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>
        <v>2</v>
      </c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>
        <f t="shared" si="1"/>
        <v>44</v>
      </c>
    </row>
    <row r="16" spans="2:112" s="8" customFormat="1" x14ac:dyDescent="0.25">
      <c r="B16" s="2" t="s">
        <v>103</v>
      </c>
      <c r="C16" s="2" t="s">
        <v>49</v>
      </c>
      <c r="D16" s="39" t="s">
        <v>281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5</v>
      </c>
      <c r="R16" s="2">
        <v>4</v>
      </c>
      <c r="S16" s="2">
        <f>2+2+1+1</f>
        <v>6</v>
      </c>
      <c r="T16" s="2"/>
      <c r="U16" s="2"/>
      <c r="V16" s="2">
        <v>1</v>
      </c>
      <c r="W16" s="2">
        <v>8</v>
      </c>
      <c r="X16" s="2"/>
      <c r="Y16" s="2"/>
      <c r="Z16" s="2"/>
      <c r="AA16" s="2">
        <v>1</v>
      </c>
      <c r="AB16" s="2">
        <v>5</v>
      </c>
      <c r="AC16" s="2"/>
      <c r="AD16" s="2"/>
      <c r="AE16" s="2"/>
      <c r="AF16" s="2"/>
      <c r="AG16" s="2">
        <v>1</v>
      </c>
      <c r="AH16" s="2"/>
      <c r="AI16" s="2"/>
      <c r="AJ16" s="2"/>
      <c r="AK16" s="2"/>
      <c r="AL16" s="2"/>
      <c r="AM16" s="2">
        <v>8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>
        <v>4</v>
      </c>
      <c r="CS16" s="2">
        <v>2</v>
      </c>
      <c r="CT16" s="2">
        <v>15</v>
      </c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>
        <f t="shared" si="1"/>
        <v>65</v>
      </c>
    </row>
    <row r="17" spans="2:112" s="8" customFormat="1" x14ac:dyDescent="0.25">
      <c r="B17" s="2" t="s">
        <v>99</v>
      </c>
      <c r="C17" s="2" t="s">
        <v>49</v>
      </c>
      <c r="D17" s="39" t="s">
        <v>281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5</v>
      </c>
      <c r="Q17" s="2">
        <v>8</v>
      </c>
      <c r="R17" s="2">
        <v>4</v>
      </c>
      <c r="S17" s="2">
        <f>2+2+1+1</f>
        <v>6</v>
      </c>
      <c r="T17" s="2"/>
      <c r="U17" s="2"/>
      <c r="V17" s="2">
        <v>1</v>
      </c>
      <c r="W17" s="2">
        <v>8</v>
      </c>
      <c r="X17" s="2">
        <v>1</v>
      </c>
      <c r="Y17" s="2"/>
      <c r="Z17" s="2"/>
      <c r="AA17" s="2">
        <v>1</v>
      </c>
      <c r="AB17" s="2">
        <v>5</v>
      </c>
      <c r="AC17" s="2"/>
      <c r="AD17" s="2"/>
      <c r="AE17" s="2"/>
      <c r="AF17" s="2"/>
      <c r="AG17" s="2">
        <v>1</v>
      </c>
      <c r="AH17" s="2">
        <v>1</v>
      </c>
      <c r="AI17" s="2">
        <v>2</v>
      </c>
      <c r="AJ17" s="2"/>
      <c r="AK17" s="2"/>
      <c r="AL17" s="2"/>
      <c r="AM17" s="2">
        <v>6</v>
      </c>
      <c r="AN17" s="2"/>
      <c r="AO17" s="2"/>
      <c r="AP17" s="2"/>
      <c r="AQ17" s="2"/>
      <c r="AR17" s="2"/>
      <c r="AS17" s="2">
        <v>2</v>
      </c>
      <c r="AT17" s="2">
        <f>5+3</f>
        <v>8</v>
      </c>
      <c r="AU17" s="2">
        <v>5</v>
      </c>
      <c r="AV17" s="2"/>
      <c r="AW17" s="2"/>
      <c r="AX17" s="2">
        <f>1+1</f>
        <v>2</v>
      </c>
      <c r="AY17" s="2">
        <v>2</v>
      </c>
      <c r="AZ17" s="2"/>
      <c r="BA17" s="2"/>
      <c r="BB17" s="2"/>
      <c r="BC17" s="2"/>
      <c r="BD17" s="2"/>
      <c r="BE17" s="2"/>
      <c r="BF17" s="2">
        <f>1+1</f>
        <v>2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>
        <v>7</v>
      </c>
      <c r="CM17" s="2">
        <v>5</v>
      </c>
      <c r="CN17" s="2">
        <v>3</v>
      </c>
      <c r="CO17" s="2">
        <v>4</v>
      </c>
      <c r="CP17" s="2">
        <v>3</v>
      </c>
      <c r="CQ17" s="2"/>
      <c r="CR17" s="2"/>
      <c r="CS17" s="2">
        <v>2</v>
      </c>
      <c r="CT17" s="2">
        <v>15</v>
      </c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>
        <f t="shared" si="1"/>
        <v>109</v>
      </c>
    </row>
    <row r="18" spans="2:112" s="8" customFormat="1" x14ac:dyDescent="0.25">
      <c r="B18" s="2" t="s">
        <v>101</v>
      </c>
      <c r="C18" s="2" t="s">
        <v>49</v>
      </c>
      <c r="D18" s="39" t="s">
        <v>283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10</v>
      </c>
      <c r="Q18" s="2">
        <v>20</v>
      </c>
      <c r="R18" s="2">
        <v>10</v>
      </c>
      <c r="S18" s="2">
        <f>20-12+10+5+2+12</f>
        <v>37</v>
      </c>
      <c r="T18" s="2">
        <f>24/12</f>
        <v>2</v>
      </c>
      <c r="U18" s="2"/>
      <c r="V18" s="2"/>
      <c r="W18" s="2"/>
      <c r="X18" s="2"/>
      <c r="Y18" s="2"/>
      <c r="Z18" s="2"/>
      <c r="AA18" s="2"/>
      <c r="AB18" s="2"/>
      <c r="AC18" s="2"/>
      <c r="AD18" s="2">
        <v>5</v>
      </c>
      <c r="AE18" s="2"/>
      <c r="AF18" s="2">
        <f>17+10</f>
        <v>27</v>
      </c>
      <c r="AG18" s="2"/>
      <c r="AH18" s="2">
        <v>1</v>
      </c>
      <c r="AI18" s="2">
        <v>7</v>
      </c>
      <c r="AJ18" s="2">
        <f>15+1</f>
        <v>16</v>
      </c>
      <c r="AK18" s="2">
        <v>10</v>
      </c>
      <c r="AL18" s="2">
        <v>9</v>
      </c>
      <c r="AM18" s="2">
        <v>20</v>
      </c>
      <c r="AN18" s="2">
        <f>10+2</f>
        <v>12</v>
      </c>
      <c r="AO18" s="2">
        <v>10</v>
      </c>
      <c r="AP18" s="2">
        <v>3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>
        <v>1</v>
      </c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>
        <f>20+8</f>
        <v>28</v>
      </c>
      <c r="CM18" s="2">
        <v>30</v>
      </c>
      <c r="CN18" s="2">
        <v>12</v>
      </c>
      <c r="CO18" s="2">
        <v>5</v>
      </c>
      <c r="CP18" s="2">
        <v>3</v>
      </c>
      <c r="CQ18" s="2"/>
      <c r="CR18" s="2"/>
      <c r="CS18" s="2"/>
      <c r="CT18" s="2">
        <v>6</v>
      </c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>
        <f t="shared" si="1"/>
        <v>284</v>
      </c>
    </row>
    <row r="19" spans="2:112" s="8" customFormat="1" x14ac:dyDescent="0.25">
      <c r="B19" s="2" t="s">
        <v>100</v>
      </c>
      <c r="C19" s="2" t="s">
        <v>49</v>
      </c>
      <c r="D19" s="39" t="s">
        <v>281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5</v>
      </c>
      <c r="Q19" s="2">
        <v>8</v>
      </c>
      <c r="R19" s="2">
        <v>5</v>
      </c>
      <c r="S19" s="2">
        <f>2+2+1+1</f>
        <v>6</v>
      </c>
      <c r="T19" s="2"/>
      <c r="U19" s="2"/>
      <c r="V19" s="2">
        <v>1</v>
      </c>
      <c r="W19" s="2">
        <v>8</v>
      </c>
      <c r="X19" s="2">
        <v>2</v>
      </c>
      <c r="Y19" s="2"/>
      <c r="Z19" s="2"/>
      <c r="AA19" s="2">
        <v>1</v>
      </c>
      <c r="AB19" s="2"/>
      <c r="AC19" s="2"/>
      <c r="AD19" s="2">
        <v>3</v>
      </c>
      <c r="AE19" s="2"/>
      <c r="AF19" s="2">
        <f>5+2</f>
        <v>7</v>
      </c>
      <c r="AG19" s="2">
        <v>2</v>
      </c>
      <c r="AH19" s="2">
        <v>1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>
        <f>2+1</f>
        <v>3</v>
      </c>
      <c r="AT19" s="2">
        <f>5+2</f>
        <v>7</v>
      </c>
      <c r="AU19" s="2">
        <v>5</v>
      </c>
      <c r="AV19" s="2">
        <f>1+4</f>
        <v>5</v>
      </c>
      <c r="AW19" s="2"/>
      <c r="AX19" s="2"/>
      <c r="AY19" s="2"/>
      <c r="AZ19" s="2"/>
      <c r="BA19" s="2"/>
      <c r="BB19" s="2"/>
      <c r="BC19" s="2"/>
      <c r="BD19" s="2">
        <v>1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>
        <f>10+5</f>
        <v>15</v>
      </c>
      <c r="CM19" s="2">
        <v>10</v>
      </c>
      <c r="CN19" s="2">
        <v>3</v>
      </c>
      <c r="CO19" s="2">
        <v>4</v>
      </c>
      <c r="CP19" s="2">
        <v>3</v>
      </c>
      <c r="CQ19" s="2"/>
      <c r="CR19" s="2"/>
      <c r="CS19" s="2">
        <v>1</v>
      </c>
      <c r="CT19" s="2">
        <v>5</v>
      </c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>
        <f t="shared" si="1"/>
        <v>111</v>
      </c>
    </row>
    <row r="20" spans="2:112" s="4" customFormat="1" x14ac:dyDescent="0.25">
      <c r="B20" s="42" t="s">
        <v>41</v>
      </c>
      <c r="C20" s="2" t="s">
        <v>49</v>
      </c>
      <c r="D20" s="39" t="s">
        <v>281</v>
      </c>
      <c r="E20" s="2">
        <f>5</f>
        <v>5</v>
      </c>
      <c r="F20" s="2">
        <f t="shared" ref="F20:F25" si="2">2+1</f>
        <v>3</v>
      </c>
      <c r="G20" s="2">
        <f>4</f>
        <v>4</v>
      </c>
      <c r="H20" s="2">
        <v>4</v>
      </c>
      <c r="I20" s="2">
        <f>1+1</f>
        <v>2</v>
      </c>
      <c r="J20" s="2"/>
      <c r="K20" s="2">
        <v>3</v>
      </c>
      <c r="L20" s="2"/>
      <c r="M20" s="2"/>
      <c r="N20" s="2"/>
      <c r="O20" s="2"/>
      <c r="P20" s="2">
        <v>1</v>
      </c>
      <c r="Q20" s="2"/>
      <c r="R20" s="2"/>
      <c r="S20" s="2">
        <v>1</v>
      </c>
      <c r="T20" s="2"/>
      <c r="U20" s="2"/>
      <c r="V20" s="2"/>
      <c r="W20" s="2"/>
      <c r="X20" s="2"/>
      <c r="Y20" s="2"/>
      <c r="Z20" s="2"/>
      <c r="AA20" s="2"/>
      <c r="AB20" s="2">
        <v>10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>
        <v>11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>
        <v>1</v>
      </c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>
        <f t="shared" si="1"/>
        <v>45</v>
      </c>
    </row>
    <row r="21" spans="2:112" s="8" customFormat="1" x14ac:dyDescent="0.25">
      <c r="B21" s="42" t="s">
        <v>42</v>
      </c>
      <c r="C21" s="2" t="s">
        <v>49</v>
      </c>
      <c r="D21" s="39" t="s">
        <v>281</v>
      </c>
      <c r="E21" s="2">
        <f>6</f>
        <v>6</v>
      </c>
      <c r="F21" s="2">
        <f t="shared" si="2"/>
        <v>3</v>
      </c>
      <c r="G21" s="2">
        <f>5</f>
        <v>5</v>
      </c>
      <c r="H21" s="2">
        <v>5</v>
      </c>
      <c r="I21" s="2">
        <f>2+1</f>
        <v>3</v>
      </c>
      <c r="J21" s="2"/>
      <c r="K21" s="2">
        <f>3+5</f>
        <v>8</v>
      </c>
      <c r="L21" s="2"/>
      <c r="M21" s="2">
        <f>2+1</f>
        <v>3</v>
      </c>
      <c r="N21" s="2"/>
      <c r="O21" s="2">
        <f>1+1</f>
        <v>2</v>
      </c>
      <c r="P21" s="2"/>
      <c r="Q21" s="2">
        <v>4</v>
      </c>
      <c r="R21" s="2"/>
      <c r="S21" s="2"/>
      <c r="T21" s="2">
        <f>144/24</f>
        <v>6</v>
      </c>
      <c r="U21" s="2"/>
      <c r="V21" s="2"/>
      <c r="W21" s="2"/>
      <c r="X21" s="2"/>
      <c r="Y21" s="2"/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>
        <v>3</v>
      </c>
      <c r="AS21" s="2">
        <f>2+1</f>
        <v>3</v>
      </c>
      <c r="AT21" s="2">
        <f>5+2</f>
        <v>7</v>
      </c>
      <c r="AU21" s="2">
        <v>5</v>
      </c>
      <c r="AV21" s="2"/>
      <c r="AW21" s="2">
        <v>3</v>
      </c>
      <c r="AX21" s="2"/>
      <c r="AY21" s="2">
        <v>5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>
        <v>3</v>
      </c>
      <c r="CG21" s="2"/>
      <c r="CH21" s="2"/>
      <c r="CI21" s="2"/>
      <c r="CJ21" s="2"/>
      <c r="CK21" s="2"/>
      <c r="CL21" s="2"/>
      <c r="CM21" s="2"/>
      <c r="CN21" s="2"/>
      <c r="CO21" s="2">
        <v>2</v>
      </c>
      <c r="CP21" s="2"/>
      <c r="CQ21" s="2"/>
      <c r="CR21" s="2"/>
      <c r="CS21" s="2"/>
      <c r="CT21" s="2">
        <v>10</v>
      </c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>
        <f t="shared" si="1"/>
        <v>87</v>
      </c>
    </row>
    <row r="22" spans="2:112" s="4" customFormat="1" x14ac:dyDescent="0.25">
      <c r="B22" s="2" t="s">
        <v>43</v>
      </c>
      <c r="C22" s="2" t="s">
        <v>49</v>
      </c>
      <c r="D22" s="39" t="s">
        <v>281</v>
      </c>
      <c r="E22" s="2">
        <f>5</f>
        <v>5</v>
      </c>
      <c r="F22" s="2">
        <f t="shared" si="2"/>
        <v>3</v>
      </c>
      <c r="G22" s="2">
        <f>5</f>
        <v>5</v>
      </c>
      <c r="H22" s="2">
        <v>4</v>
      </c>
      <c r="I22" s="2">
        <f>1+1</f>
        <v>2</v>
      </c>
      <c r="J22" s="2"/>
      <c r="K22" s="2">
        <f>2+5</f>
        <v>7</v>
      </c>
      <c r="L22" s="2"/>
      <c r="M22" s="2"/>
      <c r="N22" s="2">
        <v>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10</v>
      </c>
      <c r="AC22" s="2"/>
      <c r="AD22" s="2">
        <v>2</v>
      </c>
      <c r="AE22" s="2"/>
      <c r="AF22" s="2"/>
      <c r="AG22" s="2">
        <v>1</v>
      </c>
      <c r="AH22" s="2">
        <f>1+1+1</f>
        <v>3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>
        <f>2+1</f>
        <v>3</v>
      </c>
      <c r="AT22" s="2">
        <f>5+2</f>
        <v>7</v>
      </c>
      <c r="AU22" s="2">
        <v>1</v>
      </c>
      <c r="AV22" s="2">
        <v>10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>
        <f>3+3</f>
        <v>6</v>
      </c>
      <c r="CM22" s="2">
        <v>15</v>
      </c>
      <c r="CN22" s="2">
        <v>3</v>
      </c>
      <c r="CO22" s="2">
        <v>4</v>
      </c>
      <c r="CP22" s="2">
        <v>3</v>
      </c>
      <c r="CQ22" s="2"/>
      <c r="CR22" s="2"/>
      <c r="CS22" s="2"/>
      <c r="CT22" s="2">
        <v>10</v>
      </c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>
        <f t="shared" si="1"/>
        <v>109</v>
      </c>
    </row>
    <row r="23" spans="2:112" x14ac:dyDescent="0.25">
      <c r="B23" s="2" t="s">
        <v>44</v>
      </c>
      <c r="C23" s="2" t="s">
        <v>49</v>
      </c>
      <c r="D23" s="39" t="s">
        <v>281</v>
      </c>
      <c r="E23" s="2">
        <f>5</f>
        <v>5</v>
      </c>
      <c r="F23" s="2">
        <f t="shared" si="2"/>
        <v>3</v>
      </c>
      <c r="G23" s="2">
        <f>4</f>
        <v>4</v>
      </c>
      <c r="H23" s="2">
        <v>4</v>
      </c>
      <c r="I23" s="2">
        <f>1+1</f>
        <v>2</v>
      </c>
      <c r="J23" s="2"/>
      <c r="K23" s="2">
        <v>3</v>
      </c>
      <c r="L23" s="2">
        <v>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10</v>
      </c>
      <c r="AC23" s="2"/>
      <c r="AD23" s="2">
        <v>5</v>
      </c>
      <c r="AE23" s="2"/>
      <c r="AF23" s="2">
        <v>3</v>
      </c>
      <c r="AG23" s="2">
        <v>2</v>
      </c>
      <c r="AH23" s="2">
        <v>1</v>
      </c>
      <c r="AI23" s="2"/>
      <c r="AJ23" s="2"/>
      <c r="AK23" s="2"/>
      <c r="AL23" s="2"/>
      <c r="AM23" s="2"/>
      <c r="AN23" s="2"/>
      <c r="AO23" s="2"/>
      <c r="AP23" s="2"/>
      <c r="AQ23" s="2"/>
      <c r="AR23" s="2">
        <v>8</v>
      </c>
      <c r="AS23" s="2">
        <f>2+1</f>
        <v>3</v>
      </c>
      <c r="AT23" s="2">
        <f>5+2</f>
        <v>7</v>
      </c>
      <c r="AU23" s="2">
        <v>5</v>
      </c>
      <c r="AV23" s="2"/>
      <c r="AW23" s="2">
        <v>3</v>
      </c>
      <c r="AX23" s="2">
        <f>2+2</f>
        <v>4</v>
      </c>
      <c r="AY23" s="2">
        <v>5</v>
      </c>
      <c r="AZ23" s="2"/>
      <c r="BA23" s="2"/>
      <c r="BB23" s="2"/>
      <c r="BC23" s="2"/>
      <c r="BD23" s="2">
        <f>2+2+1+2</f>
        <v>7</v>
      </c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>
        <f>3+10</f>
        <v>13</v>
      </c>
      <c r="CM23" s="2">
        <v>10</v>
      </c>
      <c r="CN23" s="2">
        <v>3</v>
      </c>
      <c r="CO23" s="2"/>
      <c r="CP23" s="2">
        <f>2+3+2</f>
        <v>7</v>
      </c>
      <c r="CQ23" s="2"/>
      <c r="CR23" s="2">
        <v>4</v>
      </c>
      <c r="CS23" s="2"/>
      <c r="CT23" s="2">
        <v>5</v>
      </c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>
        <f t="shared" si="1"/>
        <v>129</v>
      </c>
    </row>
    <row r="24" spans="2:112" s="4" customFormat="1" x14ac:dyDescent="0.25">
      <c r="B24" s="2" t="s">
        <v>45</v>
      </c>
      <c r="C24" s="2" t="s">
        <v>49</v>
      </c>
      <c r="D24" s="39" t="s">
        <v>281</v>
      </c>
      <c r="E24" s="2">
        <f>5</f>
        <v>5</v>
      </c>
      <c r="F24" s="2">
        <f t="shared" si="2"/>
        <v>3</v>
      </c>
      <c r="G24" s="2">
        <f>4</f>
        <v>4</v>
      </c>
      <c r="H24" s="2">
        <v>4</v>
      </c>
      <c r="I24" s="2">
        <f>1+1</f>
        <v>2</v>
      </c>
      <c r="J24" s="2"/>
      <c r="K24" s="2">
        <v>3</v>
      </c>
      <c r="L24" s="2"/>
      <c r="M24" s="2"/>
      <c r="N24" s="2"/>
      <c r="O24" s="2"/>
      <c r="P24" s="2">
        <v>1</v>
      </c>
      <c r="Q24" s="2">
        <v>1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v>10</v>
      </c>
      <c r="AC24" s="2"/>
      <c r="AD24" s="2">
        <v>2</v>
      </c>
      <c r="AE24" s="2"/>
      <c r="AF24" s="2"/>
      <c r="AG24" s="2">
        <v>1</v>
      </c>
      <c r="AH24" s="2">
        <f>4+1</f>
        <v>5</v>
      </c>
      <c r="AI24" s="2">
        <v>1</v>
      </c>
      <c r="AJ24" s="2"/>
      <c r="AK24" s="2"/>
      <c r="AL24" s="2"/>
      <c r="AM24" s="2">
        <v>2</v>
      </c>
      <c r="AN24" s="2"/>
      <c r="AO24" s="2"/>
      <c r="AP24" s="2"/>
      <c r="AQ24" s="2"/>
      <c r="AR24" s="2">
        <v>3</v>
      </c>
      <c r="AS24" s="2">
        <f>1+1</f>
        <v>2</v>
      </c>
      <c r="AT24" s="2">
        <f>5+3</f>
        <v>8</v>
      </c>
      <c r="AU24" s="2">
        <v>5</v>
      </c>
      <c r="AV24" s="2">
        <v>4</v>
      </c>
      <c r="AW24" s="2"/>
      <c r="AX24" s="2"/>
      <c r="AY24" s="2"/>
      <c r="AZ24" s="2"/>
      <c r="BA24" s="2"/>
      <c r="BB24" s="2"/>
      <c r="BC24" s="2"/>
      <c r="BD24" s="2"/>
      <c r="BE24" s="2"/>
      <c r="BF24" s="2">
        <v>1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>
        <f>1+2</f>
        <v>3</v>
      </c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>
        <v>4</v>
      </c>
      <c r="CG24" s="2"/>
      <c r="CH24" s="2"/>
      <c r="CI24" s="2"/>
      <c r="CJ24" s="2"/>
      <c r="CK24" s="2"/>
      <c r="CL24" s="2"/>
      <c r="CM24" s="2"/>
      <c r="CN24" s="2">
        <v>1</v>
      </c>
      <c r="CO24" s="2">
        <v>2</v>
      </c>
      <c r="CP24" s="2"/>
      <c r="CQ24" s="2"/>
      <c r="CR24" s="2">
        <v>5</v>
      </c>
      <c r="CS24" s="2"/>
      <c r="CT24" s="2">
        <v>5</v>
      </c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>
        <f t="shared" si="1"/>
        <v>87</v>
      </c>
    </row>
    <row r="25" spans="2:112" s="4" customFormat="1" x14ac:dyDescent="0.25">
      <c r="B25" s="2" t="s">
        <v>46</v>
      </c>
      <c r="C25" s="2" t="s">
        <v>49</v>
      </c>
      <c r="D25" s="39" t="s">
        <v>281</v>
      </c>
      <c r="E25" s="2">
        <f>6</f>
        <v>6</v>
      </c>
      <c r="F25" s="2">
        <f t="shared" si="2"/>
        <v>3</v>
      </c>
      <c r="G25" s="2">
        <f>5</f>
        <v>5</v>
      </c>
      <c r="H25" s="2">
        <v>5</v>
      </c>
      <c r="I25" s="2">
        <f>1+2</f>
        <v>3</v>
      </c>
      <c r="J25" s="2"/>
      <c r="K25" s="2">
        <f>5+5</f>
        <v>10</v>
      </c>
      <c r="L25" s="2">
        <v>5</v>
      </c>
      <c r="M25" s="2">
        <f>2+1</f>
        <v>3</v>
      </c>
      <c r="N25" s="2">
        <v>5</v>
      </c>
      <c r="O25" s="2"/>
      <c r="P25" s="2">
        <v>3</v>
      </c>
      <c r="Q25" s="2">
        <v>4</v>
      </c>
      <c r="R25" s="2"/>
      <c r="S25" s="2">
        <f>3+4</f>
        <v>7</v>
      </c>
      <c r="T25" s="2">
        <f>192/24</f>
        <v>8</v>
      </c>
      <c r="U25" s="2"/>
      <c r="V25" s="2"/>
      <c r="W25" s="2">
        <v>8</v>
      </c>
      <c r="X25" s="2">
        <v>4</v>
      </c>
      <c r="Y25" s="2"/>
      <c r="Z25" s="2"/>
      <c r="AA25" s="2">
        <v>6</v>
      </c>
      <c r="AB25" s="2"/>
      <c r="AC25" s="2"/>
      <c r="AD25" s="2">
        <v>5</v>
      </c>
      <c r="AE25" s="2"/>
      <c r="AF25" s="2">
        <f>10+10</f>
        <v>20</v>
      </c>
      <c r="AG25" s="2">
        <v>2</v>
      </c>
      <c r="AH25" s="2">
        <v>1</v>
      </c>
      <c r="AI25" s="2">
        <v>1</v>
      </c>
      <c r="AJ25" s="2">
        <f>10+5</f>
        <v>15</v>
      </c>
      <c r="AK25" s="2"/>
      <c r="AL25" s="2">
        <v>5</v>
      </c>
      <c r="AM25" s="2">
        <v>6</v>
      </c>
      <c r="AN25" s="2">
        <v>5</v>
      </c>
      <c r="AO25" s="2">
        <v>1</v>
      </c>
      <c r="AP25" s="2"/>
      <c r="AQ25" s="2"/>
      <c r="AR25" s="2"/>
      <c r="AS25" s="2">
        <f>1+2</f>
        <v>3</v>
      </c>
      <c r="AT25" s="2">
        <v>2</v>
      </c>
      <c r="AU25" s="2">
        <v>5</v>
      </c>
      <c r="AV25" s="2">
        <v>5</v>
      </c>
      <c r="AW25" s="2">
        <v>3</v>
      </c>
      <c r="AX25" s="2"/>
      <c r="AY25" s="2"/>
      <c r="AZ25" s="2"/>
      <c r="BA25" s="2"/>
      <c r="BB25" s="2"/>
      <c r="BC25" s="2"/>
      <c r="BD25" s="2"/>
      <c r="BE25" s="2"/>
      <c r="BF25" s="2">
        <v>2</v>
      </c>
      <c r="BG25" s="2">
        <v>3</v>
      </c>
      <c r="BH25" s="2"/>
      <c r="BI25" s="2">
        <v>2</v>
      </c>
      <c r="BJ25" s="2"/>
      <c r="BK25" s="2"/>
      <c r="BL25" s="2"/>
      <c r="BM25" s="2"/>
      <c r="BN25" s="2"/>
      <c r="BO25" s="2">
        <v>3</v>
      </c>
      <c r="BP25" s="2">
        <v>5</v>
      </c>
      <c r="BQ25" s="2">
        <v>2</v>
      </c>
      <c r="BR25" s="2"/>
      <c r="BS25" s="2"/>
      <c r="BT25" s="2">
        <v>2</v>
      </c>
      <c r="BU25" s="2"/>
      <c r="BV25" s="2"/>
      <c r="BW25" s="2"/>
      <c r="BX25" s="2"/>
      <c r="BY25" s="2"/>
      <c r="BZ25" s="2"/>
      <c r="CA25" s="2"/>
      <c r="CB25" s="2"/>
      <c r="CC25" s="2">
        <f>1+2</f>
        <v>3</v>
      </c>
      <c r="CD25" s="2"/>
      <c r="CE25" s="2">
        <v>1</v>
      </c>
      <c r="CF25" s="2"/>
      <c r="CG25" s="2"/>
      <c r="CH25" s="2"/>
      <c r="CI25" s="2">
        <v>1</v>
      </c>
      <c r="CJ25" s="2"/>
      <c r="CK25" s="2"/>
      <c r="CL25" s="2"/>
      <c r="CM25" s="2"/>
      <c r="CN25" s="2"/>
      <c r="CO25" s="2"/>
      <c r="CP25" s="2"/>
      <c r="CQ25" s="2"/>
      <c r="CR25" s="2"/>
      <c r="CS25" s="2">
        <v>2</v>
      </c>
      <c r="CT25" s="2">
        <v>30</v>
      </c>
      <c r="CU25" s="2"/>
      <c r="CV25" s="2">
        <f>2+4</f>
        <v>6</v>
      </c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>
        <f t="shared" si="1"/>
        <v>226</v>
      </c>
    </row>
    <row r="26" spans="2:112" s="8" customFormat="1" x14ac:dyDescent="0.25">
      <c r="B26" s="2" t="s">
        <v>506</v>
      </c>
      <c r="C26" s="2" t="s">
        <v>49</v>
      </c>
      <c r="D26" s="39" t="s">
        <v>281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>
        <f>5+2</f>
        <v>7</v>
      </c>
      <c r="CM26" s="2">
        <v>5</v>
      </c>
      <c r="CN26" s="2">
        <v>3</v>
      </c>
      <c r="CO26" s="2"/>
      <c r="CP26" s="2">
        <f>2+4+1</f>
        <v>7</v>
      </c>
      <c r="CQ26" s="2"/>
      <c r="CR26" s="2"/>
      <c r="CS26" s="2">
        <v>4</v>
      </c>
      <c r="CT26" s="2">
        <v>15</v>
      </c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>
        <f t="shared" si="1"/>
        <v>41</v>
      </c>
    </row>
    <row r="27" spans="2:112" x14ac:dyDescent="0.25">
      <c r="B27" s="2" t="s">
        <v>68</v>
      </c>
      <c r="C27" s="2" t="s">
        <v>87</v>
      </c>
      <c r="D27" s="39" t="s">
        <v>89</v>
      </c>
      <c r="E27" s="2"/>
      <c r="F27" s="2"/>
      <c r="G27" s="2"/>
      <c r="H27" s="2"/>
      <c r="I27" s="2"/>
      <c r="J27" s="2"/>
      <c r="K27" s="2"/>
      <c r="L27" s="2"/>
      <c r="M27" s="2">
        <f>1+1</f>
        <v>2</v>
      </c>
      <c r="N27" s="2">
        <f>4+8</f>
        <v>12</v>
      </c>
      <c r="O27" s="2">
        <f>1+1+2</f>
        <v>4</v>
      </c>
      <c r="P27" s="2"/>
      <c r="Q27" s="2"/>
      <c r="R27" s="2"/>
      <c r="S27" s="2"/>
      <c r="T27" s="2"/>
      <c r="U27" s="2"/>
      <c r="V27" s="2"/>
      <c r="W27" s="2">
        <v>4</v>
      </c>
      <c r="X27" s="2"/>
      <c r="Y27" s="2"/>
      <c r="Z27" s="2"/>
      <c r="AA27" s="2">
        <v>3</v>
      </c>
      <c r="AB27" s="2"/>
      <c r="AC27" s="2"/>
      <c r="AD27" s="2">
        <v>1</v>
      </c>
      <c r="AE27" s="2"/>
      <c r="AF27" s="2"/>
      <c r="AG27" s="2"/>
      <c r="AH27" s="2"/>
      <c r="AI27" s="2"/>
      <c r="AJ27" s="2"/>
      <c r="AK27" s="2"/>
      <c r="AL27" s="2"/>
      <c r="AM27" s="2">
        <v>3</v>
      </c>
      <c r="AN27" s="2"/>
      <c r="AO27" s="2"/>
      <c r="AP27" s="2">
        <v>1</v>
      </c>
      <c r="AQ27" s="2"/>
      <c r="AR27" s="2"/>
      <c r="AS27" s="2">
        <v>1</v>
      </c>
      <c r="AT27" s="2"/>
      <c r="AU27" s="2"/>
      <c r="AV27" s="2"/>
      <c r="AW27" s="2">
        <v>2</v>
      </c>
      <c r="AX27" s="2">
        <v>1</v>
      </c>
      <c r="AY27" s="2"/>
      <c r="AZ27" s="2"/>
      <c r="BA27" s="2"/>
      <c r="BB27" s="2"/>
      <c r="BC27" s="2"/>
      <c r="BD27" s="2">
        <f>1+1</f>
        <v>2</v>
      </c>
      <c r="BE27" s="2"/>
      <c r="BF27" s="2">
        <v>1</v>
      </c>
      <c r="BG27" s="2"/>
      <c r="BH27" s="2"/>
      <c r="BI27" s="2"/>
      <c r="BJ27" s="2"/>
      <c r="BK27" s="2"/>
      <c r="BL27" s="2"/>
      <c r="BM27" s="2"/>
      <c r="BN27" s="2"/>
      <c r="BO27" s="2"/>
      <c r="BP27" s="2">
        <v>4</v>
      </c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>
        <v>1</v>
      </c>
      <c r="CJ27" s="2"/>
      <c r="CK27" s="2"/>
      <c r="CL27" s="2"/>
      <c r="CM27" s="2">
        <v>3</v>
      </c>
      <c r="CN27" s="2"/>
      <c r="CO27" s="2">
        <v>1</v>
      </c>
      <c r="CP27" s="2">
        <v>2</v>
      </c>
      <c r="CQ27" s="2"/>
      <c r="CR27" s="2"/>
      <c r="CS27" s="2">
        <v>1</v>
      </c>
      <c r="CT27" s="2"/>
      <c r="CU27" s="2"/>
      <c r="CV27" s="2">
        <f>1+1</f>
        <v>2</v>
      </c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>
        <f t="shared" si="1"/>
        <v>51</v>
      </c>
    </row>
    <row r="28" spans="2:112" s="8" customFormat="1" x14ac:dyDescent="0.25">
      <c r="B28" s="2" t="s">
        <v>69</v>
      </c>
      <c r="C28" s="2" t="s">
        <v>87</v>
      </c>
      <c r="D28" s="39" t="s">
        <v>89</v>
      </c>
      <c r="E28" s="2"/>
      <c r="F28" s="2"/>
      <c r="G28" s="2"/>
      <c r="H28" s="2"/>
      <c r="I28" s="2"/>
      <c r="J28" s="2"/>
      <c r="K28" s="2"/>
      <c r="L28" s="2"/>
      <c r="M28" s="2">
        <f>1+1</f>
        <v>2</v>
      </c>
      <c r="N28" s="2">
        <f>2+6</f>
        <v>8</v>
      </c>
      <c r="O28" s="2">
        <f>1+1+2</f>
        <v>4</v>
      </c>
      <c r="P28" s="2"/>
      <c r="Q28" s="2"/>
      <c r="R28" s="2"/>
      <c r="S28" s="2"/>
      <c r="T28" s="2"/>
      <c r="U28" s="2"/>
      <c r="V28" s="2"/>
      <c r="W28" s="2">
        <v>2</v>
      </c>
      <c r="X28" s="2"/>
      <c r="Y28" s="2"/>
      <c r="Z28" s="2"/>
      <c r="AA28" s="2">
        <v>2</v>
      </c>
      <c r="AB28" s="2"/>
      <c r="AC28" s="2"/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>
        <f t="shared" si="1"/>
        <v>19</v>
      </c>
    </row>
    <row r="29" spans="2:112" s="8" customFormat="1" x14ac:dyDescent="0.25">
      <c r="B29" s="2" t="s">
        <v>70</v>
      </c>
      <c r="C29" s="2" t="s">
        <v>87</v>
      </c>
      <c r="D29" s="39" t="s">
        <v>89</v>
      </c>
      <c r="E29" s="2"/>
      <c r="F29" s="2"/>
      <c r="G29" s="2"/>
      <c r="H29" s="2"/>
      <c r="I29" s="2"/>
      <c r="J29" s="2"/>
      <c r="K29" s="2"/>
      <c r="L29" s="2"/>
      <c r="M29" s="2">
        <f>6+2</f>
        <v>8</v>
      </c>
      <c r="N29" s="2">
        <f>12+15</f>
        <v>27</v>
      </c>
      <c r="O29" s="2">
        <f>3+5+6</f>
        <v>14</v>
      </c>
      <c r="P29" s="2"/>
      <c r="Q29" s="2">
        <v>5</v>
      </c>
      <c r="R29" s="2"/>
      <c r="S29" s="2"/>
      <c r="T29" s="2">
        <f>100/50</f>
        <v>2</v>
      </c>
      <c r="U29" s="2"/>
      <c r="V29" s="2"/>
      <c r="W29" s="2">
        <v>3</v>
      </c>
      <c r="X29" s="2">
        <v>1</v>
      </c>
      <c r="Y29" s="2"/>
      <c r="Z29" s="2"/>
      <c r="AA29" s="2">
        <v>1</v>
      </c>
      <c r="AB29" s="2">
        <v>5</v>
      </c>
      <c r="AC29" s="2"/>
      <c r="AD29" s="2"/>
      <c r="AE29" s="2"/>
      <c r="AF29" s="2"/>
      <c r="AG29" s="2"/>
      <c r="AH29" s="2">
        <v>1</v>
      </c>
      <c r="AI29" s="2"/>
      <c r="AJ29" s="2">
        <f>1+1</f>
        <v>2</v>
      </c>
      <c r="AK29" s="2"/>
      <c r="AL29" s="2">
        <v>1</v>
      </c>
      <c r="AM29" s="2">
        <v>5</v>
      </c>
      <c r="AN29" s="2">
        <f>4+2+2</f>
        <v>8</v>
      </c>
      <c r="AO29" s="2">
        <v>6</v>
      </c>
      <c r="AP29" s="2">
        <v>6</v>
      </c>
      <c r="AQ29" s="2">
        <v>1</v>
      </c>
      <c r="AR29" s="2"/>
      <c r="AS29" s="2"/>
      <c r="AT29" s="2"/>
      <c r="AU29" s="2"/>
      <c r="AV29" s="2">
        <v>6</v>
      </c>
      <c r="AW29" s="2">
        <v>3</v>
      </c>
      <c r="AX29" s="2">
        <f>1+1</f>
        <v>2</v>
      </c>
      <c r="AY29" s="2"/>
      <c r="AZ29" s="2"/>
      <c r="BA29" s="2"/>
      <c r="BB29" s="2"/>
      <c r="BC29" s="2"/>
      <c r="BD29" s="2">
        <f>1+1</f>
        <v>2</v>
      </c>
      <c r="BE29" s="2"/>
      <c r="BF29" s="2">
        <f>1+2</f>
        <v>3</v>
      </c>
      <c r="BG29" s="2">
        <v>4</v>
      </c>
      <c r="BH29" s="2"/>
      <c r="BI29" s="2">
        <v>1</v>
      </c>
      <c r="BJ29" s="2"/>
      <c r="BK29" s="2"/>
      <c r="BL29" s="2"/>
      <c r="BM29" s="2"/>
      <c r="BN29" s="2"/>
      <c r="BO29" s="2"/>
      <c r="BP29" s="2">
        <v>6</v>
      </c>
      <c r="BQ29" s="2">
        <v>1</v>
      </c>
      <c r="BR29" s="2"/>
      <c r="BS29" s="2"/>
      <c r="BT29" s="2">
        <v>1</v>
      </c>
      <c r="BU29" s="2"/>
      <c r="BV29" s="2"/>
      <c r="BW29" s="2">
        <v>2</v>
      </c>
      <c r="BX29" s="2"/>
      <c r="BY29" s="2"/>
      <c r="BZ29" s="2"/>
      <c r="CA29" s="2"/>
      <c r="CB29" s="2"/>
      <c r="CC29" s="2">
        <f>1+1</f>
        <v>2</v>
      </c>
      <c r="CD29" s="2"/>
      <c r="CE29" s="2"/>
      <c r="CF29" s="2">
        <v>10</v>
      </c>
      <c r="CG29" s="2"/>
      <c r="CH29" s="2"/>
      <c r="CI29" s="2">
        <f>1+1+1</f>
        <v>3</v>
      </c>
      <c r="CJ29" s="2"/>
      <c r="CK29" s="2"/>
      <c r="CL29" s="2">
        <f>2+2</f>
        <v>4</v>
      </c>
      <c r="CM29" s="2">
        <v>8</v>
      </c>
      <c r="CN29" s="2">
        <v>3</v>
      </c>
      <c r="CO29" s="2">
        <v>3</v>
      </c>
      <c r="CP29" s="2"/>
      <c r="CQ29" s="2"/>
      <c r="CR29" s="2"/>
      <c r="CS29" s="2"/>
      <c r="CT29" s="2">
        <v>5</v>
      </c>
      <c r="CU29" s="2"/>
      <c r="CV29" s="2">
        <v>2</v>
      </c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>
        <f t="shared" si="1"/>
        <v>167</v>
      </c>
    </row>
    <row r="30" spans="2:112" s="8" customFormat="1" x14ac:dyDescent="0.25">
      <c r="B30" s="2" t="s">
        <v>71</v>
      </c>
      <c r="C30" s="2" t="s">
        <v>87</v>
      </c>
      <c r="D30" s="39" t="s">
        <v>89</v>
      </c>
      <c r="E30" s="2"/>
      <c r="F30" s="2"/>
      <c r="G30" s="2"/>
      <c r="H30" s="2"/>
      <c r="I30" s="2"/>
      <c r="J30" s="2"/>
      <c r="K30" s="2"/>
      <c r="L30" s="2"/>
      <c r="M30" s="2">
        <f>1+1</f>
        <v>2</v>
      </c>
      <c r="N30" s="2">
        <f>3+6</f>
        <v>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>
        <v>4</v>
      </c>
      <c r="AX30" s="2">
        <f>2+1+1+2</f>
        <v>6</v>
      </c>
      <c r="AY30" s="2">
        <v>6</v>
      </c>
      <c r="AZ30" s="2">
        <v>2</v>
      </c>
      <c r="BA30" s="2"/>
      <c r="BB30" s="2"/>
      <c r="BC30" s="2"/>
      <c r="BD30" s="2"/>
      <c r="BE30" s="2"/>
      <c r="BF30" s="2"/>
      <c r="BG30" s="2">
        <v>4</v>
      </c>
      <c r="BH30" s="2"/>
      <c r="BI30" s="2">
        <v>1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>
        <v>1</v>
      </c>
      <c r="CJ30" s="2"/>
      <c r="CK30" s="2"/>
      <c r="CL30" s="2">
        <f>2+2</f>
        <v>4</v>
      </c>
      <c r="CM30" s="2">
        <v>6</v>
      </c>
      <c r="CN30" s="2">
        <v>1</v>
      </c>
      <c r="CO30" s="2">
        <v>2</v>
      </c>
      <c r="CP30" s="2">
        <v>1</v>
      </c>
      <c r="CQ30" s="2"/>
      <c r="CR30" s="2"/>
      <c r="CS30" s="2"/>
      <c r="CT30" s="2">
        <v>4</v>
      </c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>
        <f t="shared" si="1"/>
        <v>53</v>
      </c>
    </row>
    <row r="31" spans="2:112" s="8" customFormat="1" x14ac:dyDescent="0.25">
      <c r="B31" s="2" t="s">
        <v>72</v>
      </c>
      <c r="C31" s="2" t="s">
        <v>87</v>
      </c>
      <c r="D31" s="39" t="s">
        <v>89</v>
      </c>
      <c r="E31" s="2"/>
      <c r="F31" s="2"/>
      <c r="G31" s="2"/>
      <c r="H31" s="2"/>
      <c r="I31" s="2"/>
      <c r="J31" s="2"/>
      <c r="K31" s="2"/>
      <c r="L31" s="2"/>
      <c r="M31" s="2">
        <f>1+1</f>
        <v>2</v>
      </c>
      <c r="N31" s="2">
        <f>6+15</f>
        <v>21</v>
      </c>
      <c r="O31" s="2">
        <f>1+1+2</f>
        <v>4</v>
      </c>
      <c r="P31" s="2"/>
      <c r="Q31" s="2">
        <v>5</v>
      </c>
      <c r="R31" s="2"/>
      <c r="S31" s="2"/>
      <c r="T31" s="2">
        <f>500/50</f>
        <v>10</v>
      </c>
      <c r="U31" s="2"/>
      <c r="V31" s="2"/>
      <c r="W31" s="2">
        <v>3</v>
      </c>
      <c r="X31" s="2">
        <v>1</v>
      </c>
      <c r="Y31" s="2"/>
      <c r="Z31" s="2"/>
      <c r="AA31" s="2">
        <v>3</v>
      </c>
      <c r="AB31" s="2"/>
      <c r="AC31" s="2"/>
      <c r="AD31" s="2">
        <v>1</v>
      </c>
      <c r="AE31" s="2"/>
      <c r="AF31" s="2"/>
      <c r="AG31" s="2"/>
      <c r="AH31" s="2"/>
      <c r="AI31" s="2"/>
      <c r="AJ31" s="2">
        <f>1+1</f>
        <v>2</v>
      </c>
      <c r="AK31" s="2"/>
      <c r="AL31" s="2">
        <v>2</v>
      </c>
      <c r="AM31" s="2"/>
      <c r="AN31" s="2"/>
      <c r="AO31" s="2"/>
      <c r="AP31" s="2"/>
      <c r="AQ31" s="2"/>
      <c r="AR31" s="2"/>
      <c r="AS31" s="2">
        <f>1+1</f>
        <v>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>
        <v>1</v>
      </c>
      <c r="BE31" s="2"/>
      <c r="BF31" s="2">
        <f>1+1</f>
        <v>2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>
        <f t="shared" si="1"/>
        <v>59</v>
      </c>
    </row>
    <row r="32" spans="2:112" s="8" customFormat="1" x14ac:dyDescent="0.25">
      <c r="B32" s="2" t="s">
        <v>65</v>
      </c>
      <c r="C32" s="2" t="s">
        <v>87</v>
      </c>
      <c r="D32" s="39" t="s">
        <v>88</v>
      </c>
      <c r="E32" s="2"/>
      <c r="F32" s="2"/>
      <c r="G32" s="2"/>
      <c r="H32" s="2"/>
      <c r="I32" s="2"/>
      <c r="J32" s="2"/>
      <c r="K32" s="2"/>
      <c r="L32" s="2"/>
      <c r="M32" s="2">
        <f>10+3</f>
        <v>13</v>
      </c>
      <c r="N32" s="2">
        <f>15+20</f>
        <v>35</v>
      </c>
      <c r="O32" s="2">
        <f>3+4+15</f>
        <v>22</v>
      </c>
      <c r="P32" s="2"/>
      <c r="Q32" s="2">
        <v>10</v>
      </c>
      <c r="R32" s="2"/>
      <c r="S32" s="2"/>
      <c r="T32" s="2">
        <f>600/100</f>
        <v>6</v>
      </c>
      <c r="U32" s="2"/>
      <c r="V32" s="2"/>
      <c r="W32" s="2">
        <v>10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f>1+2</f>
        <v>3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>
        <f>1+1+1+2</f>
        <v>5</v>
      </c>
      <c r="BE32" s="2"/>
      <c r="BF32" s="2">
        <f>1+1+7</f>
        <v>9</v>
      </c>
      <c r="BG32" s="2">
        <v>20</v>
      </c>
      <c r="BH32" s="2">
        <v>1</v>
      </c>
      <c r="BI32" s="2">
        <f>10+3+45</f>
        <v>58</v>
      </c>
      <c r="BJ32" s="2"/>
      <c r="BK32" s="2"/>
      <c r="BL32" s="2">
        <v>1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>
        <f t="shared" si="1"/>
        <v>193</v>
      </c>
    </row>
    <row r="33" spans="1:112" s="8" customFormat="1" x14ac:dyDescent="0.25">
      <c r="B33" s="2" t="s">
        <v>73</v>
      </c>
      <c r="C33" s="2" t="s">
        <v>87</v>
      </c>
      <c r="D33" s="39" t="s">
        <v>89</v>
      </c>
      <c r="E33" s="2"/>
      <c r="F33" s="2"/>
      <c r="G33" s="2"/>
      <c r="H33" s="2"/>
      <c r="I33" s="2"/>
      <c r="J33" s="2"/>
      <c r="K33" s="2"/>
      <c r="L33" s="2"/>
      <c r="M33" s="2">
        <f>1+1</f>
        <v>2</v>
      </c>
      <c r="N33" s="2">
        <f>4+10</f>
        <v>14</v>
      </c>
      <c r="O33" s="2">
        <f>1+1+2</f>
        <v>4</v>
      </c>
      <c r="P33" s="2"/>
      <c r="Q33" s="2"/>
      <c r="R33" s="2"/>
      <c r="S33" s="2"/>
      <c r="T33" s="2">
        <f>100/50</f>
        <v>2</v>
      </c>
      <c r="U33" s="2"/>
      <c r="V33" s="2"/>
      <c r="W33" s="2">
        <v>3</v>
      </c>
      <c r="X33" s="2"/>
      <c r="Y33" s="2"/>
      <c r="Z33" s="2"/>
      <c r="AA33" s="2">
        <v>2</v>
      </c>
      <c r="AB33" s="2">
        <v>2</v>
      </c>
      <c r="AC33" s="2"/>
      <c r="AD33" s="2"/>
      <c r="AE33" s="2"/>
      <c r="AF33" s="2"/>
      <c r="AG33" s="2">
        <v>1</v>
      </c>
      <c r="AH33" s="2">
        <f>1+1</f>
        <v>2</v>
      </c>
      <c r="AI33" s="2">
        <f>1+1</f>
        <v>2</v>
      </c>
      <c r="AJ33" s="2">
        <v>2</v>
      </c>
      <c r="AK33" s="2"/>
      <c r="AL33" s="2"/>
      <c r="AM33" s="2">
        <v>3</v>
      </c>
      <c r="AN33" s="2"/>
      <c r="AO33" s="2">
        <v>2</v>
      </c>
      <c r="AP33" s="2">
        <v>3</v>
      </c>
      <c r="AQ33" s="2">
        <f>1+2</f>
        <v>3</v>
      </c>
      <c r="AR33" s="2"/>
      <c r="AS33" s="2"/>
      <c r="AT33" s="2"/>
      <c r="AU33" s="2"/>
      <c r="AV33" s="2"/>
      <c r="AW33" s="2">
        <v>4</v>
      </c>
      <c r="AX33" s="2">
        <f>2+1</f>
        <v>3</v>
      </c>
      <c r="AY33" s="2"/>
      <c r="AZ33" s="2"/>
      <c r="BA33" s="2"/>
      <c r="BB33" s="2"/>
      <c r="BC33" s="2"/>
      <c r="BD33" s="2">
        <v>1</v>
      </c>
      <c r="BE33" s="2"/>
      <c r="BF33" s="2">
        <v>1</v>
      </c>
      <c r="BG33" s="2"/>
      <c r="BH33" s="2"/>
      <c r="BI33" s="2"/>
      <c r="BJ33" s="2">
        <v>1</v>
      </c>
      <c r="BK33" s="2"/>
      <c r="BL33" s="2"/>
      <c r="BM33" s="2"/>
      <c r="BN33" s="2"/>
      <c r="BO33" s="2"/>
      <c r="BP33" s="2"/>
      <c r="BQ33" s="2">
        <v>1</v>
      </c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>
        <f>1+1+1</f>
        <v>3</v>
      </c>
      <c r="CD33" s="2"/>
      <c r="CE33" s="2">
        <v>1</v>
      </c>
      <c r="CF33" s="2">
        <v>2</v>
      </c>
      <c r="CG33" s="2"/>
      <c r="CH33" s="2"/>
      <c r="CI33" s="2">
        <v>1</v>
      </c>
      <c r="CJ33" s="2"/>
      <c r="CK33" s="2"/>
      <c r="CL33" s="2">
        <v>2</v>
      </c>
      <c r="CM33" s="2">
        <v>6</v>
      </c>
      <c r="CN33" s="2">
        <v>3</v>
      </c>
      <c r="CO33" s="2">
        <v>1</v>
      </c>
      <c r="CP33" s="2">
        <v>1</v>
      </c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>
        <f t="shared" si="1"/>
        <v>78</v>
      </c>
    </row>
    <row r="34" spans="1:112" s="8" customFormat="1" x14ac:dyDescent="0.25">
      <c r="B34" s="2" t="s">
        <v>224</v>
      </c>
      <c r="C34" s="2" t="s">
        <v>87</v>
      </c>
      <c r="D34" s="39" t="s">
        <v>89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>
        <v>4</v>
      </c>
      <c r="AX34" s="2">
        <f>1+1+2+2</f>
        <v>6</v>
      </c>
      <c r="AY34" s="2"/>
      <c r="AZ34" s="2"/>
      <c r="BA34" s="2"/>
      <c r="BB34" s="2"/>
      <c r="BC34" s="2"/>
      <c r="BD34" s="2"/>
      <c r="BE34" s="2"/>
      <c r="BF34" s="2"/>
      <c r="BG34" s="2">
        <v>6</v>
      </c>
      <c r="BH34" s="2"/>
      <c r="BI34" s="2"/>
      <c r="BJ34" s="2"/>
      <c r="BK34" s="2"/>
      <c r="BL34" s="2"/>
      <c r="BM34" s="2"/>
      <c r="BN34" s="2"/>
      <c r="BO34" s="2"/>
      <c r="BP34" s="2">
        <v>2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>
        <v>2</v>
      </c>
      <c r="CG34" s="2">
        <v>1</v>
      </c>
      <c r="CH34" s="2"/>
      <c r="CI34" s="2"/>
      <c r="CJ34" s="2"/>
      <c r="CK34" s="2"/>
      <c r="CL34" s="2"/>
      <c r="CM34" s="2">
        <v>2</v>
      </c>
      <c r="CN34" s="2"/>
      <c r="CO34" s="2">
        <v>1</v>
      </c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>
        <f t="shared" si="1"/>
        <v>24</v>
      </c>
    </row>
    <row r="35" spans="1:112" s="8" customFormat="1" x14ac:dyDescent="0.25">
      <c r="B35" s="2" t="s">
        <v>74</v>
      </c>
      <c r="C35" s="2" t="s">
        <v>87</v>
      </c>
      <c r="D35" s="39" t="s">
        <v>89</v>
      </c>
      <c r="E35" s="2"/>
      <c r="F35" s="2"/>
      <c r="G35" s="2"/>
      <c r="H35" s="2"/>
      <c r="I35" s="2"/>
      <c r="J35" s="2"/>
      <c r="K35" s="2"/>
      <c r="L35" s="2"/>
      <c r="M35" s="2">
        <f>1+1</f>
        <v>2</v>
      </c>
      <c r="N35" s="2">
        <f>4+8</f>
        <v>12</v>
      </c>
      <c r="O35" s="2">
        <f>1+1+2</f>
        <v>4</v>
      </c>
      <c r="P35" s="2"/>
      <c r="Q35" s="2"/>
      <c r="R35" s="2"/>
      <c r="S35" s="2"/>
      <c r="T35" s="2">
        <f>100/50</f>
        <v>2</v>
      </c>
      <c r="U35" s="2"/>
      <c r="V35" s="2"/>
      <c r="W35" s="2">
        <v>3</v>
      </c>
      <c r="X35" s="2"/>
      <c r="Y35" s="2"/>
      <c r="Z35" s="2"/>
      <c r="AA35" s="2">
        <v>3</v>
      </c>
      <c r="AB35" s="2"/>
      <c r="AC35" s="2"/>
      <c r="AD35" s="2"/>
      <c r="AE35" s="2"/>
      <c r="AF35" s="2">
        <v>2</v>
      </c>
      <c r="AG35" s="2">
        <v>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>
        <v>2</v>
      </c>
      <c r="AX35" s="2">
        <f>1+1+2</f>
        <v>4</v>
      </c>
      <c r="AY35" s="2">
        <v>4</v>
      </c>
      <c r="AZ35" s="2">
        <v>2</v>
      </c>
      <c r="BA35" s="2"/>
      <c r="BB35" s="2"/>
      <c r="BC35" s="2"/>
      <c r="BD35" s="2">
        <v>1</v>
      </c>
      <c r="BE35" s="2"/>
      <c r="BF35" s="2"/>
      <c r="BG35" s="2">
        <v>4</v>
      </c>
      <c r="BH35" s="2"/>
      <c r="BI35" s="2">
        <f>1+1</f>
        <v>2</v>
      </c>
      <c r="BJ35" s="2">
        <v>1</v>
      </c>
      <c r="BK35" s="2"/>
      <c r="BL35" s="2"/>
      <c r="BM35" s="2"/>
      <c r="BN35" s="2"/>
      <c r="BO35" s="2"/>
      <c r="BP35" s="2">
        <v>3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>
        <f t="shared" si="1"/>
        <v>52</v>
      </c>
    </row>
    <row r="36" spans="1:112" s="8" customFormat="1" x14ac:dyDescent="0.25">
      <c r="B36" s="2" t="s">
        <v>75</v>
      </c>
      <c r="C36" s="2" t="s">
        <v>87</v>
      </c>
      <c r="D36" s="39" t="s">
        <v>89</v>
      </c>
      <c r="E36" s="2"/>
      <c r="F36" s="2"/>
      <c r="G36" s="2"/>
      <c r="H36" s="2"/>
      <c r="I36" s="2"/>
      <c r="J36" s="2"/>
      <c r="K36" s="2"/>
      <c r="L36" s="2"/>
      <c r="M36" s="2">
        <f>2+1</f>
        <v>3</v>
      </c>
      <c r="N36" s="2">
        <f>4+4</f>
        <v>8</v>
      </c>
      <c r="O36" s="2">
        <f>1+2+2</f>
        <v>5</v>
      </c>
      <c r="P36" s="2"/>
      <c r="Q36" s="2"/>
      <c r="R36" s="2"/>
      <c r="S36" s="2"/>
      <c r="T36" s="2">
        <f>300/50</f>
        <v>6</v>
      </c>
      <c r="U36" s="2"/>
      <c r="V36" s="2"/>
      <c r="W36" s="2">
        <v>2</v>
      </c>
      <c r="X36" s="2"/>
      <c r="Y36" s="2"/>
      <c r="Z36" s="2"/>
      <c r="AA36" s="2">
        <v>2</v>
      </c>
      <c r="AB36" s="2"/>
      <c r="AC36" s="2"/>
      <c r="AD36" s="2"/>
      <c r="AE36" s="2"/>
      <c r="AF36" s="2"/>
      <c r="AG36" s="2"/>
      <c r="AH36" s="2">
        <v>1</v>
      </c>
      <c r="AI36" s="2"/>
      <c r="AJ36" s="2">
        <v>1</v>
      </c>
      <c r="AK36" s="2"/>
      <c r="AL36" s="2"/>
      <c r="AM36" s="2">
        <v>3</v>
      </c>
      <c r="AN36" s="2">
        <f>3+1</f>
        <v>4</v>
      </c>
      <c r="AO36" s="2">
        <v>1</v>
      </c>
      <c r="AP36" s="2">
        <v>2</v>
      </c>
      <c r="AQ36" s="2"/>
      <c r="AR36" s="2"/>
      <c r="AS36" s="2"/>
      <c r="AT36" s="2"/>
      <c r="AU36" s="2"/>
      <c r="AV36" s="2"/>
      <c r="AW36" s="2">
        <v>2</v>
      </c>
      <c r="AX36" s="2">
        <v>1</v>
      </c>
      <c r="AY36" s="2"/>
      <c r="AZ36" s="2"/>
      <c r="BA36" s="2"/>
      <c r="BB36" s="2"/>
      <c r="BC36" s="2"/>
      <c r="BD36" s="2">
        <f>1+1</f>
        <v>2</v>
      </c>
      <c r="BE36" s="2"/>
      <c r="BF36" s="2"/>
      <c r="BG36" s="2">
        <v>2</v>
      </c>
      <c r="BH36" s="2"/>
      <c r="BI36" s="2"/>
      <c r="BJ36" s="2"/>
      <c r="BK36" s="2"/>
      <c r="BL36" s="2"/>
      <c r="BM36" s="2"/>
      <c r="BN36" s="2"/>
      <c r="BO36" s="2"/>
      <c r="BP36" s="2"/>
      <c r="BQ36" s="2">
        <v>1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>
        <v>1</v>
      </c>
      <c r="CJ36" s="2"/>
      <c r="CK36" s="2"/>
      <c r="CL36" s="2">
        <v>2</v>
      </c>
      <c r="CM36" s="2">
        <v>3</v>
      </c>
      <c r="CN36" s="2">
        <v>1</v>
      </c>
      <c r="CO36" s="2">
        <v>2</v>
      </c>
      <c r="CP36" s="2">
        <f>2+2</f>
        <v>4</v>
      </c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>
        <f t="shared" si="1"/>
        <v>59</v>
      </c>
    </row>
    <row r="37" spans="1:112" s="8" customFormat="1" x14ac:dyDescent="0.25">
      <c r="B37" s="2" t="s">
        <v>76</v>
      </c>
      <c r="C37" s="2" t="s">
        <v>87</v>
      </c>
      <c r="D37" s="39" t="s">
        <v>89</v>
      </c>
      <c r="E37" s="2"/>
      <c r="F37" s="2"/>
      <c r="G37" s="2"/>
      <c r="H37" s="2"/>
      <c r="I37" s="2"/>
      <c r="J37" s="2"/>
      <c r="K37" s="2"/>
      <c r="L37" s="2"/>
      <c r="M37" s="2">
        <f>2+1</f>
        <v>3</v>
      </c>
      <c r="N37" s="2">
        <f>4+6</f>
        <v>10</v>
      </c>
      <c r="O37" s="2">
        <f>1+2+2</f>
        <v>5</v>
      </c>
      <c r="P37" s="2"/>
      <c r="Q37" s="2"/>
      <c r="R37" s="2"/>
      <c r="S37" s="2"/>
      <c r="T37" s="2">
        <f>100/50</f>
        <v>2</v>
      </c>
      <c r="U37" s="2"/>
      <c r="V37" s="2"/>
      <c r="W37" s="2">
        <v>3</v>
      </c>
      <c r="X37" s="2"/>
      <c r="Y37" s="2"/>
      <c r="Z37" s="2"/>
      <c r="AA37" s="2">
        <v>3</v>
      </c>
      <c r="AB37" s="2"/>
      <c r="AC37" s="2"/>
      <c r="AD37" s="2"/>
      <c r="AE37" s="2"/>
      <c r="AF37" s="2">
        <v>2</v>
      </c>
      <c r="AG37" s="2"/>
      <c r="AH37" s="2">
        <v>1</v>
      </c>
      <c r="AI37" s="2"/>
      <c r="AJ37" s="2">
        <v>1</v>
      </c>
      <c r="AK37" s="2"/>
      <c r="AL37" s="2"/>
      <c r="AM37" s="2">
        <v>6</v>
      </c>
      <c r="AN37" s="2">
        <f>3+1</f>
        <v>4</v>
      </c>
      <c r="AO37" s="2"/>
      <c r="AP37" s="2"/>
      <c r="AQ37" s="2"/>
      <c r="AR37" s="2"/>
      <c r="AS37" s="2"/>
      <c r="AT37" s="2"/>
      <c r="AU37" s="2"/>
      <c r="AV37" s="2"/>
      <c r="AW37" s="2">
        <v>2</v>
      </c>
      <c r="AX37" s="2">
        <f>1+1+2</f>
        <v>4</v>
      </c>
      <c r="AY37" s="2"/>
      <c r="AZ37" s="2"/>
      <c r="BA37" s="2"/>
      <c r="BB37" s="2"/>
      <c r="BC37" s="2"/>
      <c r="BD37" s="2"/>
      <c r="BE37" s="2"/>
      <c r="BF37" s="2">
        <v>1</v>
      </c>
      <c r="BG37" s="2">
        <v>5</v>
      </c>
      <c r="BH37" s="2"/>
      <c r="BI37" s="2"/>
      <c r="BJ37" s="2"/>
      <c r="BK37" s="2"/>
      <c r="BL37" s="2"/>
      <c r="BM37" s="2"/>
      <c r="BN37" s="2"/>
      <c r="BO37" s="2"/>
      <c r="BP37" s="2">
        <v>1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>
        <v>1</v>
      </c>
      <c r="CD37" s="2"/>
      <c r="CE37" s="2"/>
      <c r="CF37" s="2">
        <v>4</v>
      </c>
      <c r="CG37" s="2"/>
      <c r="CH37" s="2"/>
      <c r="CI37" s="2">
        <v>1</v>
      </c>
      <c r="CJ37" s="2"/>
      <c r="CK37" s="2"/>
      <c r="CL37" s="2">
        <f>2+1</f>
        <v>3</v>
      </c>
      <c r="CM37" s="2">
        <v>3</v>
      </c>
      <c r="CN37" s="2">
        <v>3</v>
      </c>
      <c r="CO37" s="2">
        <v>1</v>
      </c>
      <c r="CP37" s="2">
        <f>2+1</f>
        <v>3</v>
      </c>
      <c r="CQ37" s="2"/>
      <c r="CR37" s="2"/>
      <c r="CS37" s="2"/>
      <c r="CT37" s="2">
        <v>3</v>
      </c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>
        <f t="shared" si="1"/>
        <v>75</v>
      </c>
    </row>
    <row r="38" spans="1:112" s="8" customFormat="1" x14ac:dyDescent="0.25">
      <c r="B38" s="2" t="s">
        <v>77</v>
      </c>
      <c r="C38" s="2" t="s">
        <v>87</v>
      </c>
      <c r="D38" s="39" t="s">
        <v>88</v>
      </c>
      <c r="E38" s="2"/>
      <c r="F38" s="2"/>
      <c r="G38" s="2"/>
      <c r="H38" s="2"/>
      <c r="I38" s="2"/>
      <c r="J38" s="2"/>
      <c r="K38" s="2"/>
      <c r="L38" s="2"/>
      <c r="M38" s="2">
        <f>1+1</f>
        <v>2</v>
      </c>
      <c r="N38" s="2">
        <f>2+2</f>
        <v>4</v>
      </c>
      <c r="O38" s="2">
        <f>1+1+2</f>
        <v>4</v>
      </c>
      <c r="P38" s="2"/>
      <c r="Q38" s="2"/>
      <c r="R38" s="2"/>
      <c r="S38" s="2"/>
      <c r="T38" s="2">
        <f>300/100</f>
        <v>3</v>
      </c>
      <c r="U38" s="2"/>
      <c r="V38" s="2"/>
      <c r="W38" s="2">
        <v>1</v>
      </c>
      <c r="X38" s="2">
        <f>1+1</f>
        <v>2</v>
      </c>
      <c r="Y38" s="2"/>
      <c r="Z38" s="2"/>
      <c r="AA38" s="2">
        <v>1</v>
      </c>
      <c r="AB38" s="2"/>
      <c r="AC38" s="2"/>
      <c r="AD38" s="2"/>
      <c r="AE38" s="2"/>
      <c r="AF38" s="2"/>
      <c r="AG38" s="2"/>
      <c r="AH38" s="2">
        <f>1+1</f>
        <v>2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>
        <f>1+1</f>
        <v>2</v>
      </c>
      <c r="AY38" s="2">
        <v>2</v>
      </c>
      <c r="AZ38" s="2">
        <v>1</v>
      </c>
      <c r="BA38" s="2"/>
      <c r="BB38" s="2"/>
      <c r="BC38" s="2"/>
      <c r="BD38" s="2"/>
      <c r="BE38" s="2"/>
      <c r="BF38" s="2">
        <f>1+1</f>
        <v>2</v>
      </c>
      <c r="BG38" s="2">
        <v>3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>
        <f t="shared" si="1"/>
        <v>29</v>
      </c>
    </row>
    <row r="39" spans="1:112" s="8" customFormat="1" x14ac:dyDescent="0.25">
      <c r="B39" s="2" t="s">
        <v>78</v>
      </c>
      <c r="C39" s="2" t="s">
        <v>87</v>
      </c>
      <c r="D39" s="39" t="s">
        <v>89</v>
      </c>
      <c r="E39" s="2"/>
      <c r="F39" s="2"/>
      <c r="G39" s="2"/>
      <c r="H39" s="2"/>
      <c r="I39" s="2"/>
      <c r="J39" s="2"/>
      <c r="K39" s="2"/>
      <c r="L39" s="2"/>
      <c r="M39" s="2">
        <f>1+1</f>
        <v>2</v>
      </c>
      <c r="N39" s="2">
        <f>4+6</f>
        <v>10</v>
      </c>
      <c r="O39" s="2">
        <f>1+1+2</f>
        <v>4</v>
      </c>
      <c r="P39" s="2"/>
      <c r="Q39" s="2"/>
      <c r="R39" s="2"/>
      <c r="S39" s="2"/>
      <c r="T39" s="2">
        <f>150/50</f>
        <v>3</v>
      </c>
      <c r="U39" s="2"/>
      <c r="V39" s="2"/>
      <c r="W39" s="2">
        <v>2</v>
      </c>
      <c r="X39" s="2">
        <v>1</v>
      </c>
      <c r="Y39" s="2"/>
      <c r="Z39" s="2"/>
      <c r="AA39" s="2">
        <v>2</v>
      </c>
      <c r="AB39" s="2"/>
      <c r="AC39" s="2"/>
      <c r="AD39" s="2"/>
      <c r="AE39" s="2"/>
      <c r="AF39" s="2"/>
      <c r="AG39" s="2"/>
      <c r="AH39" s="2">
        <f>1+1</f>
        <v>2</v>
      </c>
      <c r="AI39" s="2"/>
      <c r="AJ39" s="2">
        <v>1</v>
      </c>
      <c r="AK39" s="2"/>
      <c r="AL39" s="2">
        <v>1</v>
      </c>
      <c r="AM39" s="2">
        <v>1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>
        <f>2+2</f>
        <v>4</v>
      </c>
      <c r="AY39" s="2">
        <v>4</v>
      </c>
      <c r="AZ39" s="2">
        <v>2</v>
      </c>
      <c r="BA39" s="2"/>
      <c r="BB39" s="2"/>
      <c r="BC39" s="2"/>
      <c r="BD39" s="2"/>
      <c r="BE39" s="2"/>
      <c r="BF39" s="2"/>
      <c r="BG39" s="2"/>
      <c r="BH39" s="2"/>
      <c r="BI39" s="2">
        <v>1</v>
      </c>
      <c r="BJ39" s="2">
        <v>1</v>
      </c>
      <c r="BK39" s="2"/>
      <c r="BL39" s="2"/>
      <c r="BM39" s="2"/>
      <c r="BN39" s="2"/>
      <c r="BO39" s="2"/>
      <c r="BP39" s="2">
        <v>2</v>
      </c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>
        <v>5</v>
      </c>
      <c r="CG39" s="2"/>
      <c r="CH39" s="2"/>
      <c r="CI39" s="2">
        <v>1</v>
      </c>
      <c r="CJ39" s="2"/>
      <c r="CK39" s="2"/>
      <c r="CL39" s="2"/>
      <c r="CM39" s="2">
        <v>2</v>
      </c>
      <c r="CN39" s="2"/>
      <c r="CO39" s="2">
        <v>1</v>
      </c>
      <c r="CP39" s="2"/>
      <c r="CQ39" s="2"/>
      <c r="CR39" s="2"/>
      <c r="CS39" s="2">
        <v>2</v>
      </c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>
        <f t="shared" si="1"/>
        <v>54</v>
      </c>
    </row>
    <row r="40" spans="1:112" s="8" customFormat="1" x14ac:dyDescent="0.25">
      <c r="B40" s="2" t="s">
        <v>225</v>
      </c>
      <c r="C40" s="2" t="s">
        <v>87</v>
      </c>
      <c r="D40" s="39" t="s">
        <v>89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>
        <v>4</v>
      </c>
      <c r="AX40" s="2">
        <f>1+1+1+1</f>
        <v>4</v>
      </c>
      <c r="AY40" s="2">
        <v>4</v>
      </c>
      <c r="AZ40" s="2"/>
      <c r="BA40" s="2"/>
      <c r="BB40" s="2"/>
      <c r="BC40" s="2"/>
      <c r="BD40" s="2">
        <f>1+1</f>
        <v>2</v>
      </c>
      <c r="BE40" s="2"/>
      <c r="BF40" s="2"/>
      <c r="BG40" s="2">
        <v>5</v>
      </c>
      <c r="BH40" s="2"/>
      <c r="BI40" s="2">
        <v>1</v>
      </c>
      <c r="BJ40" s="2"/>
      <c r="BK40" s="2"/>
      <c r="BL40" s="2"/>
      <c r="BM40" s="2"/>
      <c r="BN40" s="2"/>
      <c r="BO40" s="2"/>
      <c r="BP40" s="2">
        <v>1</v>
      </c>
      <c r="BQ40" s="2"/>
      <c r="BR40" s="2"/>
      <c r="BS40" s="2"/>
      <c r="BT40" s="2">
        <v>1</v>
      </c>
      <c r="BU40" s="2"/>
      <c r="BV40" s="2"/>
      <c r="BW40" s="2"/>
      <c r="BX40" s="2"/>
      <c r="BY40" s="2"/>
      <c r="BZ40" s="2"/>
      <c r="CA40" s="2"/>
      <c r="CB40" s="2"/>
      <c r="CC40" s="2">
        <f>1+1</f>
        <v>2</v>
      </c>
      <c r="CD40" s="2"/>
      <c r="CE40" s="2"/>
      <c r="CF40" s="2">
        <v>3</v>
      </c>
      <c r="CG40" s="2">
        <v>1</v>
      </c>
      <c r="CH40" s="2"/>
      <c r="CI40" s="2">
        <v>1</v>
      </c>
      <c r="CJ40" s="2"/>
      <c r="CK40" s="2"/>
      <c r="CL40" s="2">
        <v>1</v>
      </c>
      <c r="CM40" s="2">
        <v>2</v>
      </c>
      <c r="CN40" s="2"/>
      <c r="CO40" s="2">
        <v>4</v>
      </c>
      <c r="CP40" s="2">
        <v>2</v>
      </c>
      <c r="CQ40" s="2"/>
      <c r="CR40" s="2"/>
      <c r="CS40" s="2"/>
      <c r="CT40" s="2">
        <v>1</v>
      </c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>
        <f t="shared" si="1"/>
        <v>39</v>
      </c>
    </row>
    <row r="41" spans="1:112" s="8" customFormat="1" x14ac:dyDescent="0.25">
      <c r="B41" s="2" t="s">
        <v>79</v>
      </c>
      <c r="C41" s="2" t="s">
        <v>87</v>
      </c>
      <c r="D41" s="39" t="s">
        <v>89</v>
      </c>
      <c r="E41" s="2"/>
      <c r="F41" s="2"/>
      <c r="G41" s="2"/>
      <c r="H41" s="2"/>
      <c r="I41" s="2"/>
      <c r="J41" s="2"/>
      <c r="K41" s="2"/>
      <c r="L41" s="2"/>
      <c r="M41" s="2">
        <f>2+1</f>
        <v>3</v>
      </c>
      <c r="N41" s="2">
        <f>6+6</f>
        <v>12</v>
      </c>
      <c r="O41" s="2">
        <f>1+2+3</f>
        <v>6</v>
      </c>
      <c r="P41" s="2"/>
      <c r="Q41" s="2"/>
      <c r="R41" s="2"/>
      <c r="S41" s="2"/>
      <c r="T41" s="2"/>
      <c r="U41" s="2"/>
      <c r="V41" s="2"/>
      <c r="W41" s="2">
        <v>4</v>
      </c>
      <c r="X41" s="2"/>
      <c r="Y41" s="2"/>
      <c r="Z41" s="2"/>
      <c r="AA41" s="2">
        <v>1</v>
      </c>
      <c r="AB41" s="2"/>
      <c r="AC41" s="2"/>
      <c r="AD41" s="2"/>
      <c r="AE41" s="2"/>
      <c r="AF41" s="2">
        <v>2</v>
      </c>
      <c r="AG41" s="2"/>
      <c r="AH41" s="2">
        <v>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>
        <v>4</v>
      </c>
      <c r="AX41" s="2"/>
      <c r="AY41" s="2">
        <v>4</v>
      </c>
      <c r="AZ41" s="2"/>
      <c r="BA41" s="2"/>
      <c r="BB41" s="2"/>
      <c r="BC41" s="2"/>
      <c r="BD41" s="2">
        <f>1+1+1</f>
        <v>3</v>
      </c>
      <c r="BE41" s="2"/>
      <c r="BF41" s="2">
        <v>1</v>
      </c>
      <c r="BG41" s="2"/>
      <c r="BH41" s="2"/>
      <c r="BI41" s="2"/>
      <c r="BJ41" s="2"/>
      <c r="BK41" s="2"/>
      <c r="BL41" s="2"/>
      <c r="BM41" s="2"/>
      <c r="BN41" s="2"/>
      <c r="BO41" s="2"/>
      <c r="BP41" s="2">
        <v>1</v>
      </c>
      <c r="BQ41" s="2">
        <v>1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>
        <v>1</v>
      </c>
      <c r="CD41" s="2"/>
      <c r="CE41" s="2"/>
      <c r="CF41" s="2">
        <v>2</v>
      </c>
      <c r="CG41" s="2">
        <v>1</v>
      </c>
      <c r="CH41" s="2"/>
      <c r="CI41" s="2"/>
      <c r="CJ41" s="2"/>
      <c r="CK41" s="2"/>
      <c r="CL41" s="2"/>
      <c r="CM41" s="2">
        <v>2</v>
      </c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>
        <f t="shared" si="1"/>
        <v>49</v>
      </c>
    </row>
    <row r="42" spans="1:112" s="8" customFormat="1" x14ac:dyDescent="0.25">
      <c r="B42" s="2" t="s">
        <v>66</v>
      </c>
      <c r="C42" s="2" t="s">
        <v>87</v>
      </c>
      <c r="D42" s="39" t="s">
        <v>89</v>
      </c>
      <c r="E42" s="2"/>
      <c r="F42" s="2"/>
      <c r="G42" s="2"/>
      <c r="H42" s="2"/>
      <c r="I42" s="2"/>
      <c r="J42" s="2"/>
      <c r="K42" s="2"/>
      <c r="L42" s="2"/>
      <c r="M42" s="2">
        <f>8+2</f>
        <v>10</v>
      </c>
      <c r="N42" s="2">
        <f>12+6</f>
        <v>18</v>
      </c>
      <c r="O42" s="2">
        <f>2+4</f>
        <v>6</v>
      </c>
      <c r="P42" s="2"/>
      <c r="Q42" s="2">
        <v>10</v>
      </c>
      <c r="R42" s="2"/>
      <c r="S42" s="2"/>
      <c r="T42" s="2">
        <f>200/50</f>
        <v>4</v>
      </c>
      <c r="U42" s="2"/>
      <c r="V42" s="2"/>
      <c r="W42" s="2">
        <v>4</v>
      </c>
      <c r="X42" s="2"/>
      <c r="Y42" s="2"/>
      <c r="Z42" s="2"/>
      <c r="AA42" s="2"/>
      <c r="AB42" s="2">
        <v>6</v>
      </c>
      <c r="AC42" s="2"/>
      <c r="AD42" s="2"/>
      <c r="AE42" s="2"/>
      <c r="AF42" s="2">
        <v>2</v>
      </c>
      <c r="AG42" s="2"/>
      <c r="AH42" s="2"/>
      <c r="AI42" s="2"/>
      <c r="AJ42" s="2">
        <f>6+10+3</f>
        <v>19</v>
      </c>
      <c r="AK42" s="2">
        <v>4</v>
      </c>
      <c r="AL42" s="2">
        <v>1</v>
      </c>
      <c r="AM42" s="2">
        <v>24</v>
      </c>
      <c r="AN42" s="2">
        <v>4</v>
      </c>
      <c r="AO42" s="2">
        <v>8</v>
      </c>
      <c r="AP42" s="2">
        <v>10</v>
      </c>
      <c r="AQ42" s="2">
        <f>2+1</f>
        <v>3</v>
      </c>
      <c r="AR42" s="2"/>
      <c r="AS42" s="2">
        <f>2+3+1</f>
        <v>6</v>
      </c>
      <c r="AT42" s="2">
        <v>2</v>
      </c>
      <c r="AU42" s="2"/>
      <c r="AV42" s="2">
        <v>4</v>
      </c>
      <c r="AW42" s="2">
        <v>3</v>
      </c>
      <c r="AX42" s="2"/>
      <c r="AY42" s="2"/>
      <c r="AZ42" s="2"/>
      <c r="BA42" s="2"/>
      <c r="BB42" s="2"/>
      <c r="BC42" s="2"/>
      <c r="BD42" s="2">
        <v>1</v>
      </c>
      <c r="BE42" s="2"/>
      <c r="BF42" s="2">
        <f>1+1</f>
        <v>2</v>
      </c>
      <c r="BG42" s="2">
        <v>4</v>
      </c>
      <c r="BH42" s="2">
        <v>1</v>
      </c>
      <c r="BI42" s="2">
        <f>1+1+1</f>
        <v>3</v>
      </c>
      <c r="BJ42" s="2"/>
      <c r="BK42" s="2"/>
      <c r="BL42" s="2">
        <f>1+1</f>
        <v>2</v>
      </c>
      <c r="BM42" s="2"/>
      <c r="BN42" s="2"/>
      <c r="BO42" s="2">
        <v>1</v>
      </c>
      <c r="BP42" s="2">
        <v>10</v>
      </c>
      <c r="BQ42" s="2"/>
      <c r="BR42" s="2">
        <v>2</v>
      </c>
      <c r="BS42" s="2"/>
      <c r="BT42" s="2"/>
      <c r="BU42" s="2"/>
      <c r="BV42" s="2"/>
      <c r="BW42" s="2">
        <v>2</v>
      </c>
      <c r="BX42" s="2"/>
      <c r="BY42" s="2"/>
      <c r="BZ42" s="2"/>
      <c r="CA42" s="2"/>
      <c r="CB42" s="2"/>
      <c r="CC42" s="2"/>
      <c r="CD42" s="2"/>
      <c r="CE42" s="2">
        <v>2</v>
      </c>
      <c r="CF42" s="2">
        <v>8</v>
      </c>
      <c r="CG42" s="2">
        <v>2</v>
      </c>
      <c r="CH42" s="2"/>
      <c r="CI42" s="2">
        <v>3</v>
      </c>
      <c r="CJ42" s="2"/>
      <c r="CK42" s="2"/>
      <c r="CL42" s="2">
        <f>2+4</f>
        <v>6</v>
      </c>
      <c r="CM42" s="2">
        <v>8</v>
      </c>
      <c r="CN42" s="2">
        <v>2</v>
      </c>
      <c r="CO42" s="2">
        <v>8</v>
      </c>
      <c r="CP42" s="2">
        <v>2</v>
      </c>
      <c r="CQ42" s="2"/>
      <c r="CR42" s="2"/>
      <c r="CS42" s="2">
        <v>3</v>
      </c>
      <c r="CT42" s="2">
        <v>8</v>
      </c>
      <c r="CU42" s="2"/>
      <c r="CV42" s="2">
        <v>1</v>
      </c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>
        <f t="shared" si="1"/>
        <v>229</v>
      </c>
    </row>
    <row r="43" spans="1:112" s="8" customFormat="1" x14ac:dyDescent="0.25">
      <c r="B43" s="2" t="s">
        <v>67</v>
      </c>
      <c r="C43" s="2" t="s">
        <v>87</v>
      </c>
      <c r="D43" s="39" t="s">
        <v>89</v>
      </c>
      <c r="E43" s="2"/>
      <c r="F43" s="2"/>
      <c r="G43" s="2"/>
      <c r="H43" s="2"/>
      <c r="I43" s="2"/>
      <c r="J43" s="2"/>
      <c r="K43" s="2"/>
      <c r="L43" s="2"/>
      <c r="M43" s="2">
        <f>8+2</f>
        <v>10</v>
      </c>
      <c r="N43" s="2">
        <f>12+17</f>
        <v>29</v>
      </c>
      <c r="O43" s="2">
        <f>2+4+10</f>
        <v>16</v>
      </c>
      <c r="P43" s="2"/>
      <c r="Q43" s="2">
        <v>10</v>
      </c>
      <c r="R43" s="2"/>
      <c r="S43" s="2"/>
      <c r="T43" s="2">
        <f>150/50</f>
        <v>3</v>
      </c>
      <c r="U43" s="2"/>
      <c r="V43" s="2"/>
      <c r="W43" s="2">
        <v>4</v>
      </c>
      <c r="X43" s="2">
        <f>5+1</f>
        <v>6</v>
      </c>
      <c r="Y43" s="2"/>
      <c r="Z43" s="2"/>
      <c r="AA43" s="2">
        <v>1</v>
      </c>
      <c r="AB43" s="2">
        <v>6</v>
      </c>
      <c r="AC43" s="2"/>
      <c r="AD43" s="2">
        <v>2</v>
      </c>
      <c r="AE43" s="2"/>
      <c r="AF43" s="2">
        <v>5</v>
      </c>
      <c r="AG43" s="2"/>
      <c r="AH43" s="2">
        <f>2+1+4</f>
        <v>7</v>
      </c>
      <c r="AI43" s="2"/>
      <c r="AJ43" s="2">
        <f>6+6+1</f>
        <v>13</v>
      </c>
      <c r="AK43" s="2">
        <v>4</v>
      </c>
      <c r="AL43" s="2">
        <v>3</v>
      </c>
      <c r="AM43" s="2">
        <v>24</v>
      </c>
      <c r="AN43" s="2">
        <f>4+2+1+1</f>
        <v>8</v>
      </c>
      <c r="AO43" s="2">
        <v>12</v>
      </c>
      <c r="AP43" s="2">
        <v>20</v>
      </c>
      <c r="AQ43" s="2">
        <f>1+2</f>
        <v>3</v>
      </c>
      <c r="AR43" s="2"/>
      <c r="AS43" s="2">
        <v>1</v>
      </c>
      <c r="AT43" s="2"/>
      <c r="AU43" s="2"/>
      <c r="AV43" s="2"/>
      <c r="AW43" s="2">
        <v>6</v>
      </c>
      <c r="AX43" s="2">
        <f>2+1+1+2</f>
        <v>6</v>
      </c>
      <c r="AY43" s="2"/>
      <c r="AZ43" s="2"/>
      <c r="BA43" s="2"/>
      <c r="BB43" s="2"/>
      <c r="BC43" s="2"/>
      <c r="BD43" s="2">
        <f>3+2+2+1</f>
        <v>8</v>
      </c>
      <c r="BE43" s="2"/>
      <c r="BF43" s="2">
        <f>2+1+1</f>
        <v>4</v>
      </c>
      <c r="BG43" s="2">
        <v>10</v>
      </c>
      <c r="BH43" s="2"/>
      <c r="BI43" s="2">
        <f>5+2+2</f>
        <v>9</v>
      </c>
      <c r="BJ43" s="2"/>
      <c r="BK43" s="2"/>
      <c r="BL43" s="2">
        <v>2</v>
      </c>
      <c r="BM43" s="2"/>
      <c r="BN43" s="2"/>
      <c r="BO43" s="2">
        <v>2</v>
      </c>
      <c r="BP43" s="2">
        <v>10</v>
      </c>
      <c r="BQ43" s="2">
        <v>1</v>
      </c>
      <c r="BR43" s="2">
        <v>2</v>
      </c>
      <c r="BS43" s="2"/>
      <c r="BT43" s="2">
        <f>3+3</f>
        <v>6</v>
      </c>
      <c r="BU43" s="2"/>
      <c r="BV43" s="2"/>
      <c r="BW43" s="2">
        <v>5</v>
      </c>
      <c r="BX43" s="2"/>
      <c r="BY43" s="2"/>
      <c r="BZ43" s="2"/>
      <c r="CA43" s="2"/>
      <c r="CB43" s="2"/>
      <c r="CC43" s="2">
        <f>4+1+1</f>
        <v>6</v>
      </c>
      <c r="CD43" s="2"/>
      <c r="CE43" s="2">
        <v>2</v>
      </c>
      <c r="CF43" s="2">
        <v>12</v>
      </c>
      <c r="CG43" s="2"/>
      <c r="CH43" s="2"/>
      <c r="CI43" s="2">
        <f>3+3+1</f>
        <v>7</v>
      </c>
      <c r="CJ43" s="2"/>
      <c r="CK43" s="2"/>
      <c r="CL43" s="2">
        <f>2+4</f>
        <v>6</v>
      </c>
      <c r="CM43" s="2">
        <v>14</v>
      </c>
      <c r="CN43" s="2">
        <v>4</v>
      </c>
      <c r="CO43" s="2">
        <v>5</v>
      </c>
      <c r="CP43" s="2">
        <v>3</v>
      </c>
      <c r="CQ43" s="2"/>
      <c r="CR43" s="2"/>
      <c r="CS43" s="2">
        <v>4</v>
      </c>
      <c r="CT43" s="2">
        <v>12</v>
      </c>
      <c r="CU43" s="2"/>
      <c r="CV43" s="2">
        <f>2+8</f>
        <v>10</v>
      </c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>
        <f t="shared" si="1"/>
        <v>343</v>
      </c>
    </row>
    <row r="44" spans="1:112" s="8" customFormat="1" x14ac:dyDescent="0.25">
      <c r="B44" s="2" t="s">
        <v>80</v>
      </c>
      <c r="C44" s="2" t="s">
        <v>87</v>
      </c>
      <c r="D44" s="39" t="s">
        <v>89</v>
      </c>
      <c r="E44" s="2"/>
      <c r="F44" s="2"/>
      <c r="G44" s="2"/>
      <c r="H44" s="2"/>
      <c r="I44" s="2"/>
      <c r="J44" s="2"/>
      <c r="K44" s="2"/>
      <c r="L44" s="2"/>
      <c r="M44" s="2">
        <f>1+1</f>
        <v>2</v>
      </c>
      <c r="N44" s="2">
        <f>5+4</f>
        <v>9</v>
      </c>
      <c r="O44" s="2">
        <f>1+1+2</f>
        <v>4</v>
      </c>
      <c r="P44" s="2"/>
      <c r="Q44" s="2"/>
      <c r="R44" s="2"/>
      <c r="S44" s="2"/>
      <c r="T44" s="2">
        <f>250/50</f>
        <v>5</v>
      </c>
      <c r="U44" s="2"/>
      <c r="V44" s="2"/>
      <c r="W44" s="2">
        <v>2</v>
      </c>
      <c r="X44" s="2"/>
      <c r="Y44" s="2"/>
      <c r="Z44" s="2"/>
      <c r="AA44" s="2">
        <v>3</v>
      </c>
      <c r="AB44" s="2">
        <v>2</v>
      </c>
      <c r="AC44" s="2"/>
      <c r="AD44" s="2"/>
      <c r="AE44" s="2"/>
      <c r="AF44" s="2"/>
      <c r="AG44" s="2">
        <v>1</v>
      </c>
      <c r="AH44" s="2">
        <v>1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>
        <v>2</v>
      </c>
      <c r="AX44" s="2">
        <f>2+1+1</f>
        <v>4</v>
      </c>
      <c r="AY44" s="2">
        <v>4</v>
      </c>
      <c r="AZ44" s="2">
        <v>1</v>
      </c>
      <c r="BA44" s="2"/>
      <c r="BB44" s="2"/>
      <c r="BC44" s="2"/>
      <c r="BD44" s="2"/>
      <c r="BE44" s="2"/>
      <c r="BF44" s="2">
        <v>1</v>
      </c>
      <c r="BG44" s="2"/>
      <c r="BH44" s="2"/>
      <c r="BI44" s="2"/>
      <c r="BJ44" s="2"/>
      <c r="BK44" s="2"/>
      <c r="BL44" s="2"/>
      <c r="BM44" s="2"/>
      <c r="BN44" s="2"/>
      <c r="BO44" s="2"/>
      <c r="BP44" s="2">
        <v>6</v>
      </c>
      <c r="BQ44" s="2">
        <f>1+1</f>
        <v>2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>
        <f t="shared" si="1"/>
        <v>49</v>
      </c>
    </row>
    <row r="45" spans="1:112" s="8" customFormat="1" x14ac:dyDescent="0.25">
      <c r="B45" s="2" t="s">
        <v>81</v>
      </c>
      <c r="C45" s="2" t="s">
        <v>87</v>
      </c>
      <c r="D45" s="39" t="s">
        <v>89</v>
      </c>
      <c r="E45" s="2"/>
      <c r="F45" s="2"/>
      <c r="G45" s="2"/>
      <c r="H45" s="2"/>
      <c r="I45" s="2"/>
      <c r="J45" s="2"/>
      <c r="K45" s="2"/>
      <c r="L45" s="2"/>
      <c r="M45" s="2">
        <f>2+1</f>
        <v>3</v>
      </c>
      <c r="N45" s="2">
        <f>5+6</f>
        <v>11</v>
      </c>
      <c r="O45" s="2">
        <f>1+2+2</f>
        <v>5</v>
      </c>
      <c r="P45" s="2"/>
      <c r="Q45" s="2"/>
      <c r="R45" s="2"/>
      <c r="S45" s="2"/>
      <c r="T45" s="2">
        <f>50/50</f>
        <v>1</v>
      </c>
      <c r="U45" s="2"/>
      <c r="V45" s="2"/>
      <c r="W45" s="2">
        <v>2</v>
      </c>
      <c r="X45" s="2"/>
      <c r="Y45" s="2"/>
      <c r="Z45" s="2"/>
      <c r="AA45" s="2">
        <v>3</v>
      </c>
      <c r="AB45" s="2">
        <v>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2</v>
      </c>
      <c r="AX45" s="2">
        <f>1+1+1+1</f>
        <v>4</v>
      </c>
      <c r="AY45" s="2">
        <v>4</v>
      </c>
      <c r="AZ45" s="2"/>
      <c r="BA45" s="2"/>
      <c r="BB45" s="2"/>
      <c r="BC45" s="2"/>
      <c r="BD45" s="2"/>
      <c r="BE45" s="2"/>
      <c r="BF45" s="2"/>
      <c r="BG45" s="2">
        <v>2</v>
      </c>
      <c r="BH45" s="2"/>
      <c r="BI45" s="2"/>
      <c r="BJ45" s="2">
        <v>1</v>
      </c>
      <c r="BK45" s="2"/>
      <c r="BL45" s="2"/>
      <c r="BM45" s="2"/>
      <c r="BN45" s="2"/>
      <c r="BO45" s="2"/>
      <c r="BP45" s="2">
        <v>2</v>
      </c>
      <c r="BQ45" s="2"/>
      <c r="BR45" s="2"/>
      <c r="BS45" s="2"/>
      <c r="BT45" s="2">
        <v>1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>
        <v>1</v>
      </c>
      <c r="CJ45" s="2"/>
      <c r="CK45" s="2"/>
      <c r="CL45" s="2"/>
      <c r="CM45" s="2">
        <v>3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>
        <f t="shared" si="1"/>
        <v>46</v>
      </c>
    </row>
    <row r="46" spans="1:112" x14ac:dyDescent="0.25">
      <c r="B46" s="2" t="s">
        <v>82</v>
      </c>
      <c r="C46" s="2" t="s">
        <v>87</v>
      </c>
      <c r="D46" s="39" t="s">
        <v>89</v>
      </c>
      <c r="E46" s="2"/>
      <c r="F46" s="2"/>
      <c r="G46" s="2"/>
      <c r="H46" s="2"/>
      <c r="I46" s="2"/>
      <c r="J46" s="2"/>
      <c r="K46" s="2"/>
      <c r="L46" s="2"/>
      <c r="M46" s="2">
        <f>6+3</f>
        <v>9</v>
      </c>
      <c r="N46" s="2">
        <f>12+16</f>
        <v>28</v>
      </c>
      <c r="O46" s="2">
        <f>3+4+6</f>
        <v>13</v>
      </c>
      <c r="P46" s="2"/>
      <c r="Q46" s="2">
        <v>5</v>
      </c>
      <c r="R46" s="2"/>
      <c r="S46" s="2"/>
      <c r="T46" s="2"/>
      <c r="U46" s="2"/>
      <c r="V46" s="2"/>
      <c r="W46" s="2"/>
      <c r="X46" s="2"/>
      <c r="Y46" s="2"/>
      <c r="Z46" s="2"/>
      <c r="AA46" s="2">
        <v>2</v>
      </c>
      <c r="AB46" s="2">
        <v>5</v>
      </c>
      <c r="AC46" s="2"/>
      <c r="AD46" s="2"/>
      <c r="AE46" s="2"/>
      <c r="AF46" s="2">
        <v>2</v>
      </c>
      <c r="AG46" s="2"/>
      <c r="AH46" s="2">
        <f>2+1</f>
        <v>3</v>
      </c>
      <c r="AI46" s="2"/>
      <c r="AJ46" s="2">
        <f>2+2</f>
        <v>4</v>
      </c>
      <c r="AK46" s="2">
        <v>2</v>
      </c>
      <c r="AL46" s="2">
        <v>2</v>
      </c>
      <c r="AM46" s="2">
        <v>5</v>
      </c>
      <c r="AN46" s="2">
        <f>3+1</f>
        <v>4</v>
      </c>
      <c r="AO46" s="2"/>
      <c r="AP46" s="2">
        <v>3</v>
      </c>
      <c r="AQ46" s="2">
        <f>1+2+2</f>
        <v>5</v>
      </c>
      <c r="AR46" s="2"/>
      <c r="AS46" s="2"/>
      <c r="AT46" s="2"/>
      <c r="AU46" s="2"/>
      <c r="AV46" s="2">
        <v>2</v>
      </c>
      <c r="AW46" s="2">
        <v>4</v>
      </c>
      <c r="AX46" s="2">
        <v>1</v>
      </c>
      <c r="AY46" s="2"/>
      <c r="AZ46" s="2"/>
      <c r="BA46" s="2"/>
      <c r="BB46" s="2"/>
      <c r="BC46" s="2"/>
      <c r="BD46" s="2">
        <f>1+1+1</f>
        <v>3</v>
      </c>
      <c r="BE46" s="2"/>
      <c r="BF46" s="2">
        <f>2+3</f>
        <v>5</v>
      </c>
      <c r="BG46" s="2"/>
      <c r="BH46" s="2"/>
      <c r="BI46" s="2">
        <f>1+1</f>
        <v>2</v>
      </c>
      <c r="BJ46" s="2"/>
      <c r="BK46" s="2"/>
      <c r="BL46" s="2"/>
      <c r="BM46" s="2"/>
      <c r="BN46" s="2"/>
      <c r="BO46" s="2"/>
      <c r="BP46" s="2">
        <v>1</v>
      </c>
      <c r="BQ46" s="2">
        <f>1+1</f>
        <v>2</v>
      </c>
      <c r="BR46" s="2"/>
      <c r="BS46" s="2"/>
      <c r="BT46" s="2">
        <v>1</v>
      </c>
      <c r="BU46" s="2"/>
      <c r="BV46" s="2"/>
      <c r="BW46" s="2"/>
      <c r="BX46" s="2"/>
      <c r="BY46" s="2"/>
      <c r="BZ46" s="2"/>
      <c r="CA46" s="2"/>
      <c r="CB46" s="2"/>
      <c r="CC46" s="2">
        <f>1+1</f>
        <v>2</v>
      </c>
      <c r="CD46" s="2"/>
      <c r="CE46" s="2">
        <v>2</v>
      </c>
      <c r="CF46" s="2">
        <v>4</v>
      </c>
      <c r="CG46" s="2"/>
      <c r="CH46" s="2"/>
      <c r="CI46" s="2">
        <f>3+3+1</f>
        <v>7</v>
      </c>
      <c r="CJ46" s="2"/>
      <c r="CK46" s="2"/>
      <c r="CL46" s="2">
        <f>2+2</f>
        <v>4</v>
      </c>
      <c r="CM46" s="2">
        <v>5</v>
      </c>
      <c r="CN46" s="2"/>
      <c r="CO46" s="2">
        <v>3</v>
      </c>
      <c r="CP46" s="2"/>
      <c r="CQ46" s="2"/>
      <c r="CR46" s="2"/>
      <c r="CS46" s="2">
        <v>1</v>
      </c>
      <c r="CT46" s="2">
        <v>8</v>
      </c>
      <c r="CU46" s="2"/>
      <c r="CV46" s="2">
        <f>3+2</f>
        <v>5</v>
      </c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>
        <f t="shared" si="1"/>
        <v>154</v>
      </c>
    </row>
    <row r="47" spans="1:112" x14ac:dyDescent="0.25">
      <c r="B47" s="2" t="s">
        <v>83</v>
      </c>
      <c r="C47" s="2" t="s">
        <v>87</v>
      </c>
      <c r="D47" s="39" t="s">
        <v>89</v>
      </c>
      <c r="E47" s="2"/>
      <c r="F47" s="2"/>
      <c r="G47" s="2"/>
      <c r="H47" s="2"/>
      <c r="I47" s="2"/>
      <c r="J47" s="2"/>
      <c r="K47" s="2"/>
      <c r="L47" s="2"/>
      <c r="M47" s="2">
        <f>1+1</f>
        <v>2</v>
      </c>
      <c r="N47" s="2">
        <f>4+4</f>
        <v>8</v>
      </c>
      <c r="O47" s="2">
        <f>1+1+3</f>
        <v>5</v>
      </c>
      <c r="P47" s="2"/>
      <c r="Q47" s="2"/>
      <c r="R47" s="2"/>
      <c r="S47" s="2"/>
      <c r="T47" s="2">
        <f>200/50</f>
        <v>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f>2+1+1</f>
        <v>4</v>
      </c>
      <c r="AY47" s="2">
        <v>4</v>
      </c>
      <c r="AZ47" s="2">
        <v>2</v>
      </c>
      <c r="BA47" s="2"/>
      <c r="BB47" s="2"/>
      <c r="BC47" s="2"/>
      <c r="BD47" s="2"/>
      <c r="BE47" s="2"/>
      <c r="BF47" s="2">
        <v>1</v>
      </c>
      <c r="BG47" s="2">
        <v>3</v>
      </c>
      <c r="BH47" s="2"/>
      <c r="BI47" s="2">
        <v>1</v>
      </c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>
        <f t="shared" si="1"/>
        <v>34</v>
      </c>
    </row>
    <row r="48" spans="1:112" s="4" customFormat="1" x14ac:dyDescent="0.25">
      <c r="A48" s="4" t="s">
        <v>264</v>
      </c>
      <c r="B48" s="2" t="s">
        <v>84</v>
      </c>
      <c r="C48" s="2" t="s">
        <v>87</v>
      </c>
      <c r="D48" s="39" t="s">
        <v>89</v>
      </c>
      <c r="E48" s="2"/>
      <c r="F48" s="2"/>
      <c r="G48" s="2"/>
      <c r="H48" s="2"/>
      <c r="I48" s="2"/>
      <c r="J48" s="2"/>
      <c r="K48" s="2"/>
      <c r="L48" s="2"/>
      <c r="M48" s="2">
        <f>1+1</f>
        <v>2</v>
      </c>
      <c r="N48" s="2">
        <f>4+6</f>
        <v>10</v>
      </c>
      <c r="O48" s="2">
        <f>1+1+3</f>
        <v>5</v>
      </c>
      <c r="P48" s="2"/>
      <c r="Q48" s="2"/>
      <c r="R48" s="2"/>
      <c r="S48" s="2"/>
      <c r="T48" s="2">
        <f>100/50</f>
        <v>2</v>
      </c>
      <c r="U48" s="2"/>
      <c r="V48" s="2"/>
      <c r="W48" s="2">
        <v>3</v>
      </c>
      <c r="X48" s="2"/>
      <c r="Y48" s="2"/>
      <c r="Z48" s="2"/>
      <c r="AA48" s="2">
        <v>2</v>
      </c>
      <c r="AB48" s="2">
        <v>3</v>
      </c>
      <c r="AC48" s="2"/>
      <c r="AD48" s="2">
        <v>1</v>
      </c>
      <c r="AE48" s="2"/>
      <c r="AF48" s="2">
        <v>2</v>
      </c>
      <c r="AG48" s="2">
        <v>1</v>
      </c>
      <c r="AH48" s="2">
        <f>1+1</f>
        <v>2</v>
      </c>
      <c r="AI48" s="2"/>
      <c r="AJ48" s="2"/>
      <c r="AK48" s="2"/>
      <c r="AL48" s="2"/>
      <c r="AM48" s="2">
        <v>6</v>
      </c>
      <c r="AN48" s="2"/>
      <c r="AO48" s="2"/>
      <c r="AP48" s="2"/>
      <c r="AQ48" s="2"/>
      <c r="AR48" s="2"/>
      <c r="AS48" s="2"/>
      <c r="AT48" s="2"/>
      <c r="AU48" s="2"/>
      <c r="AV48" s="2"/>
      <c r="AW48" s="2">
        <v>2</v>
      </c>
      <c r="AX48" s="2">
        <f>1+1+2</f>
        <v>4</v>
      </c>
      <c r="AY48" s="2"/>
      <c r="AZ48" s="2">
        <v>1</v>
      </c>
      <c r="BA48" s="2"/>
      <c r="BB48" s="2"/>
      <c r="BC48" s="2"/>
      <c r="BD48" s="2">
        <f>1+1</f>
        <v>2</v>
      </c>
      <c r="BE48" s="2"/>
      <c r="BF48" s="2"/>
      <c r="BG48" s="2"/>
      <c r="BH48" s="2"/>
      <c r="BI48" s="2">
        <v>1</v>
      </c>
      <c r="BJ48" s="2">
        <v>1</v>
      </c>
      <c r="BK48" s="2"/>
      <c r="BL48" s="2"/>
      <c r="BM48" s="2"/>
      <c r="BN48" s="2"/>
      <c r="BO48" s="2"/>
      <c r="BP48" s="2"/>
      <c r="BQ48" s="2">
        <v>1</v>
      </c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>
        <v>1</v>
      </c>
      <c r="CD48" s="2"/>
      <c r="CE48" s="2"/>
      <c r="CF48" s="2">
        <v>1</v>
      </c>
      <c r="CG48" s="2"/>
      <c r="CH48" s="2"/>
      <c r="CI48" s="2">
        <f>2+2</f>
        <v>4</v>
      </c>
      <c r="CJ48" s="2"/>
      <c r="CK48" s="2"/>
      <c r="CL48" s="2">
        <f>2+2</f>
        <v>4</v>
      </c>
      <c r="CM48" s="2">
        <v>1</v>
      </c>
      <c r="CN48" s="2"/>
      <c r="CO48" s="2">
        <v>2</v>
      </c>
      <c r="CP48" s="2"/>
      <c r="CQ48" s="2"/>
      <c r="CR48" s="2"/>
      <c r="CS48" s="2"/>
      <c r="CT48" s="2"/>
      <c r="CU48" s="2"/>
      <c r="CV48" s="2">
        <v>1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>
        <f t="shared" si="1"/>
        <v>65</v>
      </c>
    </row>
    <row r="49" spans="2:112" s="8" customFormat="1" x14ac:dyDescent="0.25">
      <c r="B49" s="2" t="s">
        <v>85</v>
      </c>
      <c r="C49" s="2" t="s">
        <v>87</v>
      </c>
      <c r="D49" s="39" t="s">
        <v>89</v>
      </c>
      <c r="E49" s="2"/>
      <c r="F49" s="2"/>
      <c r="G49" s="2"/>
      <c r="H49" s="2"/>
      <c r="I49" s="2"/>
      <c r="J49" s="2"/>
      <c r="K49" s="2"/>
      <c r="L49" s="2"/>
      <c r="M49" s="2">
        <f>1+1</f>
        <v>2</v>
      </c>
      <c r="N49" s="2">
        <f>4+8</f>
        <v>12</v>
      </c>
      <c r="O49" s="2">
        <f>1+1+2</f>
        <v>4</v>
      </c>
      <c r="P49" s="2"/>
      <c r="Q49" s="2">
        <v>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>
        <f t="shared" si="1"/>
        <v>19</v>
      </c>
    </row>
    <row r="50" spans="2:112" x14ac:dyDescent="0.25">
      <c r="B50" s="2" t="s">
        <v>86</v>
      </c>
      <c r="C50" s="2" t="s">
        <v>87</v>
      </c>
      <c r="D50" s="39" t="s">
        <v>89</v>
      </c>
      <c r="E50" s="2"/>
      <c r="F50" s="2"/>
      <c r="G50" s="2"/>
      <c r="H50" s="2"/>
      <c r="I50" s="2"/>
      <c r="J50" s="2"/>
      <c r="K50" s="2"/>
      <c r="L50" s="2"/>
      <c r="M50" s="2">
        <f>4+2</f>
        <v>6</v>
      </c>
      <c r="N50" s="2">
        <f>8+5</f>
        <v>13</v>
      </c>
      <c r="O50" s="2">
        <f>2+4+4</f>
        <v>10</v>
      </c>
      <c r="P50" s="2"/>
      <c r="Q50" s="2">
        <v>5</v>
      </c>
      <c r="R50" s="2"/>
      <c r="S50" s="2"/>
      <c r="T50" s="2">
        <f>150/50</f>
        <v>3</v>
      </c>
      <c r="U50" s="2"/>
      <c r="V50" s="2"/>
      <c r="W50" s="2">
        <v>2</v>
      </c>
      <c r="X50" s="2"/>
      <c r="Y50" s="2"/>
      <c r="Z50" s="2"/>
      <c r="AA50" s="2">
        <v>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>
        <v>1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>
        <f>1+1+1+1</f>
        <v>4</v>
      </c>
      <c r="BE50" s="2"/>
      <c r="BF50" s="2"/>
      <c r="BG50" s="2"/>
      <c r="BH50" s="2"/>
      <c r="BI50" s="2">
        <f>2+1+1</f>
        <v>4</v>
      </c>
      <c r="BJ50" s="2"/>
      <c r="BK50" s="2"/>
      <c r="BL50" s="2"/>
      <c r="BM50" s="2">
        <v>1</v>
      </c>
      <c r="BN50" s="2"/>
      <c r="BO50" s="2"/>
      <c r="BP50" s="2"/>
      <c r="BQ50" s="2">
        <v>1</v>
      </c>
      <c r="BR50" s="2"/>
      <c r="BS50" s="2"/>
      <c r="BT50" s="2">
        <v>1</v>
      </c>
      <c r="BU50" s="2"/>
      <c r="BV50" s="2"/>
      <c r="BW50" s="2"/>
      <c r="BX50" s="2"/>
      <c r="BY50" s="2"/>
      <c r="BZ50" s="2"/>
      <c r="CA50" s="2"/>
      <c r="CB50" s="2"/>
      <c r="CC50" s="2">
        <f>1+1</f>
        <v>2</v>
      </c>
      <c r="CD50" s="2"/>
      <c r="CE50" s="2"/>
      <c r="CF50" s="2"/>
      <c r="CG50" s="2"/>
      <c r="CH50" s="2"/>
      <c r="CI50" s="2">
        <f>1+1+1</f>
        <v>3</v>
      </c>
      <c r="CJ50" s="2"/>
      <c r="CK50" s="2"/>
      <c r="CL50" s="2"/>
      <c r="CM50" s="2"/>
      <c r="CN50" s="2">
        <v>2</v>
      </c>
      <c r="CO50" s="2">
        <v>3</v>
      </c>
      <c r="CP50" s="2">
        <v>2</v>
      </c>
      <c r="CQ50" s="2"/>
      <c r="CR50" s="2"/>
      <c r="CS50" s="2"/>
      <c r="CT50" s="2"/>
      <c r="CU50" s="2"/>
      <c r="CV50" s="2">
        <v>1</v>
      </c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>
        <f t="shared" si="1"/>
        <v>67</v>
      </c>
    </row>
    <row r="51" spans="2:112" s="4" customFormat="1" x14ac:dyDescent="0.25">
      <c r="B51" s="2" t="s">
        <v>226</v>
      </c>
      <c r="C51" s="2" t="s">
        <v>87</v>
      </c>
      <c r="D51" s="39" t="s">
        <v>89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>
        <v>4</v>
      </c>
      <c r="AX51" s="2">
        <f>2+1+1+2</f>
        <v>6</v>
      </c>
      <c r="AY51" s="2">
        <v>8</v>
      </c>
      <c r="AZ51" s="2"/>
      <c r="BA51" s="2"/>
      <c r="BB51" s="2"/>
      <c r="BC51" s="2"/>
      <c r="BD51" s="2"/>
      <c r="BE51" s="2"/>
      <c r="BF51" s="2"/>
      <c r="BG51" s="2">
        <v>4</v>
      </c>
      <c r="BH51" s="2"/>
      <c r="BI51" s="2"/>
      <c r="BJ51" s="2"/>
      <c r="BK51" s="2"/>
      <c r="BL51" s="2"/>
      <c r="BM51" s="2"/>
      <c r="BN51" s="2"/>
      <c r="BO51" s="2"/>
      <c r="BP51" s="2">
        <v>2</v>
      </c>
      <c r="BQ51" s="2">
        <f>1+1</f>
        <v>2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>
        <v>2</v>
      </c>
      <c r="CG51" s="2">
        <v>1</v>
      </c>
      <c r="CH51" s="2"/>
      <c r="CI51" s="2">
        <v>1</v>
      </c>
      <c r="CJ51" s="2"/>
      <c r="CK51" s="2"/>
      <c r="CL51" s="2">
        <v>1</v>
      </c>
      <c r="CM51" s="2">
        <v>10</v>
      </c>
      <c r="CN51" s="2">
        <v>2</v>
      </c>
      <c r="CO51" s="2">
        <v>2</v>
      </c>
      <c r="CP51" s="2">
        <v>2</v>
      </c>
      <c r="CQ51" s="2"/>
      <c r="CR51" s="2"/>
      <c r="CS51" s="2">
        <v>1</v>
      </c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>
        <f t="shared" si="1"/>
        <v>48</v>
      </c>
    </row>
    <row r="52" spans="2:112" x14ac:dyDescent="0.25">
      <c r="B52" s="2" t="s">
        <v>227</v>
      </c>
      <c r="C52" s="2" t="s">
        <v>87</v>
      </c>
      <c r="D52" s="39" t="s">
        <v>89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>
        <v>4</v>
      </c>
      <c r="AX52" s="2">
        <f>1+1+1+2</f>
        <v>5</v>
      </c>
      <c r="AY52" s="2">
        <v>7</v>
      </c>
      <c r="AZ52" s="2"/>
      <c r="BA52" s="2"/>
      <c r="BB52" s="2"/>
      <c r="BC52" s="2"/>
      <c r="BD52" s="2"/>
      <c r="BE52" s="2"/>
      <c r="BF52" s="2"/>
      <c r="BG52" s="2">
        <v>3</v>
      </c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>
        <v>1</v>
      </c>
      <c r="CG52" s="2">
        <v>1</v>
      </c>
      <c r="CH52" s="2"/>
      <c r="CI52" s="2">
        <v>1</v>
      </c>
      <c r="CJ52" s="2"/>
      <c r="CK52" s="2"/>
      <c r="CL52" s="2"/>
      <c r="CM52" s="2"/>
      <c r="CN52" s="2">
        <v>1</v>
      </c>
      <c r="CO52" s="2">
        <v>1</v>
      </c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>
        <f t="shared" si="1"/>
        <v>24</v>
      </c>
    </row>
    <row r="53" spans="2:112" s="8" customFormat="1" x14ac:dyDescent="0.25">
      <c r="B53" s="42" t="s">
        <v>384</v>
      </c>
      <c r="C53" s="42" t="s">
        <v>110</v>
      </c>
      <c r="D53" s="39" t="s">
        <v>282</v>
      </c>
      <c r="E53" s="5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v>5</v>
      </c>
      <c r="BX53" s="2"/>
      <c r="BY53" s="2">
        <v>10</v>
      </c>
      <c r="BZ53" s="2">
        <v>1</v>
      </c>
      <c r="CA53" s="2">
        <f>6+7+2</f>
        <v>15</v>
      </c>
      <c r="CB53" s="2"/>
      <c r="CC53" s="2"/>
      <c r="CD53" s="2"/>
      <c r="CE53" s="2"/>
      <c r="CF53" s="2"/>
      <c r="CG53" s="2">
        <f>1+2</f>
        <v>3</v>
      </c>
      <c r="CH53" s="2"/>
      <c r="CI53" s="2"/>
      <c r="CJ53" s="2"/>
      <c r="CK53" s="2"/>
      <c r="CL53" s="2"/>
      <c r="CM53" s="2"/>
      <c r="CN53" s="2"/>
      <c r="CO53" s="2"/>
      <c r="CP53" s="2">
        <v>1</v>
      </c>
      <c r="CQ53" s="2"/>
      <c r="CR53" s="2"/>
      <c r="CS53" s="2"/>
      <c r="CT53" s="2">
        <v>5</v>
      </c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>
        <f t="shared" si="1"/>
        <v>40</v>
      </c>
    </row>
    <row r="54" spans="2:112" s="8" customFormat="1" x14ac:dyDescent="0.25">
      <c r="B54" s="42" t="s">
        <v>385</v>
      </c>
      <c r="C54" s="42" t="s">
        <v>110</v>
      </c>
      <c r="D54" s="39" t="s">
        <v>282</v>
      </c>
      <c r="E54" s="5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>
        <v>5</v>
      </c>
      <c r="BX54" s="2"/>
      <c r="BY54" s="2">
        <v>10</v>
      </c>
      <c r="BZ54" s="2">
        <v>1</v>
      </c>
      <c r="CA54" s="2">
        <f>6+6+3</f>
        <v>15</v>
      </c>
      <c r="CB54" s="2"/>
      <c r="CC54" s="2"/>
      <c r="CD54" s="2"/>
      <c r="CE54" s="2"/>
      <c r="CF54" s="2"/>
      <c r="CG54" s="2">
        <v>1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>
        <v>5</v>
      </c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>
        <f t="shared" si="1"/>
        <v>37</v>
      </c>
    </row>
    <row r="55" spans="2:112" s="8" customFormat="1" x14ac:dyDescent="0.25">
      <c r="B55" s="42" t="s">
        <v>390</v>
      </c>
      <c r="C55" s="42" t="s">
        <v>110</v>
      </c>
      <c r="D55" s="39" t="s">
        <v>281</v>
      </c>
      <c r="E55" s="5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v>5</v>
      </c>
      <c r="BX55" s="2"/>
      <c r="BY55" s="2">
        <v>10</v>
      </c>
      <c r="BZ55" s="2">
        <v>1</v>
      </c>
      <c r="CA55" s="2">
        <f>8+9+3</f>
        <v>20</v>
      </c>
      <c r="CB55" s="2"/>
      <c r="CC55" s="2"/>
      <c r="CD55" s="2"/>
      <c r="CE55" s="2"/>
      <c r="CF55" s="2"/>
      <c r="CG55" s="2">
        <f>1+10</f>
        <v>11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>
        <v>20</v>
      </c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>
        <f t="shared" si="1"/>
        <v>67</v>
      </c>
    </row>
    <row r="56" spans="2:112" s="8" customFormat="1" x14ac:dyDescent="0.25">
      <c r="B56" s="42" t="s">
        <v>389</v>
      </c>
      <c r="C56" s="42" t="s">
        <v>110</v>
      </c>
      <c r="D56" s="39" t="s">
        <v>281</v>
      </c>
      <c r="E56" s="5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>
        <v>5</v>
      </c>
      <c r="BX56" s="2"/>
      <c r="BY56" s="2">
        <v>20</v>
      </c>
      <c r="BZ56" s="2">
        <v>1</v>
      </c>
      <c r="CA56" s="2">
        <f>13+14+3</f>
        <v>30</v>
      </c>
      <c r="CB56" s="2"/>
      <c r="CC56" s="2"/>
      <c r="CD56" s="2"/>
      <c r="CE56" s="2"/>
      <c r="CF56" s="2"/>
      <c r="CG56" s="2">
        <f>1+4</f>
        <v>5</v>
      </c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>
        <f t="shared" si="1"/>
        <v>61</v>
      </c>
    </row>
    <row r="57" spans="2:112" s="8" customFormat="1" x14ac:dyDescent="0.25">
      <c r="B57" s="42" t="s">
        <v>386</v>
      </c>
      <c r="C57" s="42" t="s">
        <v>110</v>
      </c>
      <c r="D57" s="39" t="s">
        <v>281</v>
      </c>
      <c r="E57" s="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>
        <v>5</v>
      </c>
      <c r="BX57" s="2"/>
      <c r="BY57" s="2">
        <v>20</v>
      </c>
      <c r="BZ57" s="2">
        <v>1</v>
      </c>
      <c r="CA57" s="2">
        <f>12+14+4</f>
        <v>30</v>
      </c>
      <c r="CB57" s="2"/>
      <c r="CC57" s="2"/>
      <c r="CD57" s="2"/>
      <c r="CE57" s="2"/>
      <c r="CF57" s="2"/>
      <c r="CG57" s="2">
        <v>1</v>
      </c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>
        <v>15</v>
      </c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>
        <f t="shared" si="1"/>
        <v>72</v>
      </c>
    </row>
    <row r="58" spans="2:112" s="8" customFormat="1" x14ac:dyDescent="0.25">
      <c r="B58" s="42" t="s">
        <v>359</v>
      </c>
      <c r="C58" s="42" t="s">
        <v>110</v>
      </c>
      <c r="D58" s="39" t="s">
        <v>365</v>
      </c>
      <c r="E58" s="5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>
        <v>5</v>
      </c>
      <c r="BX58" s="2"/>
      <c r="BY58" s="2">
        <v>10</v>
      </c>
      <c r="BZ58" s="2">
        <v>1</v>
      </c>
      <c r="CA58" s="2">
        <f>7+10+3</f>
        <v>20</v>
      </c>
      <c r="CB58" s="2">
        <v>7</v>
      </c>
      <c r="CC58" s="2"/>
      <c r="CD58" s="2"/>
      <c r="CE58" s="2"/>
      <c r="CF58" s="2"/>
      <c r="CG58" s="2">
        <f>1+7</f>
        <v>8</v>
      </c>
      <c r="CH58" s="2"/>
      <c r="CI58" s="2"/>
      <c r="CJ58" s="2"/>
      <c r="CK58" s="2"/>
      <c r="CL58" s="2">
        <v>3</v>
      </c>
      <c r="CM58" s="2"/>
      <c r="CN58" s="2">
        <v>1</v>
      </c>
      <c r="CO58" s="2"/>
      <c r="CP58" s="2"/>
      <c r="CQ58" s="2"/>
      <c r="CR58" s="2"/>
      <c r="CS58" s="2">
        <v>11</v>
      </c>
      <c r="CT58" s="2">
        <v>30</v>
      </c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>
        <f t="shared" si="1"/>
        <v>96</v>
      </c>
    </row>
    <row r="59" spans="2:112" s="8" customFormat="1" x14ac:dyDescent="0.25">
      <c r="B59" s="42" t="s">
        <v>375</v>
      </c>
      <c r="C59" s="42" t="s">
        <v>110</v>
      </c>
      <c r="D59" s="39" t="s">
        <v>283</v>
      </c>
      <c r="E59" s="5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>
        <v>10</v>
      </c>
      <c r="BX59" s="2"/>
      <c r="BY59" s="2">
        <v>20</v>
      </c>
      <c r="BZ59" s="2">
        <v>6</v>
      </c>
      <c r="CA59" s="2">
        <f>6+6+3</f>
        <v>15</v>
      </c>
      <c r="CB59" s="2">
        <v>10</v>
      </c>
      <c r="CC59" s="2"/>
      <c r="CD59" s="2"/>
      <c r="CE59" s="2"/>
      <c r="CF59" s="2"/>
      <c r="CG59" s="2">
        <f>2+10</f>
        <v>12</v>
      </c>
      <c r="CH59" s="2">
        <v>20</v>
      </c>
      <c r="CI59" s="2"/>
      <c r="CJ59" s="2"/>
      <c r="CK59" s="2"/>
      <c r="CL59" s="2"/>
      <c r="CM59" s="2"/>
      <c r="CN59" s="2">
        <v>3</v>
      </c>
      <c r="CO59" s="2"/>
      <c r="CP59" s="2">
        <v>1</v>
      </c>
      <c r="CQ59" s="2"/>
      <c r="CR59" s="2"/>
      <c r="CS59" s="2">
        <v>10</v>
      </c>
      <c r="CT59" s="2">
        <v>10</v>
      </c>
      <c r="CU59" s="2"/>
      <c r="CV59" s="2">
        <v>1</v>
      </c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>
        <f t="shared" si="1"/>
        <v>118</v>
      </c>
    </row>
    <row r="60" spans="2:112" ht="14.25" customHeight="1" x14ac:dyDescent="0.25">
      <c r="B60" s="42" t="s">
        <v>374</v>
      </c>
      <c r="C60" s="42" t="s">
        <v>110</v>
      </c>
      <c r="D60" s="39" t="s">
        <v>283</v>
      </c>
      <c r="E60" s="5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>
        <v>10</v>
      </c>
      <c r="BX60" s="2"/>
      <c r="BY60" s="2">
        <v>20</v>
      </c>
      <c r="BZ60" s="2">
        <v>6</v>
      </c>
      <c r="CA60" s="2">
        <f>6+7+2</f>
        <v>15</v>
      </c>
      <c r="CB60" s="2">
        <v>10</v>
      </c>
      <c r="CC60" s="2"/>
      <c r="CD60" s="2"/>
      <c r="CE60" s="2">
        <v>8</v>
      </c>
      <c r="CF60" s="2"/>
      <c r="CG60" s="2">
        <f>4+16</f>
        <v>20</v>
      </c>
      <c r="CH60" s="2">
        <v>20</v>
      </c>
      <c r="CI60" s="2"/>
      <c r="CJ60" s="2"/>
      <c r="CK60" s="2"/>
      <c r="CL60" s="2"/>
      <c r="CM60" s="2"/>
      <c r="CN60" s="2">
        <v>10</v>
      </c>
      <c r="CO60" s="2"/>
      <c r="CP60" s="2">
        <v>6</v>
      </c>
      <c r="CQ60" s="2"/>
      <c r="CR60" s="2"/>
      <c r="CS60" s="2">
        <v>10</v>
      </c>
      <c r="CT60" s="2">
        <v>10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>
        <f t="shared" si="1"/>
        <v>145</v>
      </c>
    </row>
    <row r="61" spans="2:112" s="8" customFormat="1" x14ac:dyDescent="0.25">
      <c r="B61" s="42" t="s">
        <v>364</v>
      </c>
      <c r="C61" s="42" t="s">
        <v>110</v>
      </c>
      <c r="D61" s="39" t="s">
        <v>283</v>
      </c>
      <c r="E61" s="5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>
        <v>10</v>
      </c>
      <c r="BX61" s="2"/>
      <c r="BY61" s="2">
        <v>20</v>
      </c>
      <c r="BZ61" s="2">
        <v>1</v>
      </c>
      <c r="CA61" s="2">
        <f>13+14+3</f>
        <v>30</v>
      </c>
      <c r="CB61" s="2"/>
      <c r="CC61" s="2"/>
      <c r="CD61" s="2"/>
      <c r="CE61" s="2">
        <v>6</v>
      </c>
      <c r="CF61" s="2"/>
      <c r="CG61" s="2">
        <f>2+30</f>
        <v>32</v>
      </c>
      <c r="CH61" s="2">
        <v>16</v>
      </c>
      <c r="CI61" s="2"/>
      <c r="CJ61" s="2"/>
      <c r="CK61" s="2"/>
      <c r="CL61" s="2"/>
      <c r="CM61" s="2"/>
      <c r="CN61" s="2">
        <v>4</v>
      </c>
      <c r="CO61" s="2"/>
      <c r="CP61" s="2"/>
      <c r="CQ61" s="2"/>
      <c r="CR61" s="2"/>
      <c r="CS61" s="2">
        <v>10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>
        <f t="shared" si="1"/>
        <v>129</v>
      </c>
    </row>
    <row r="62" spans="2:112" s="8" customFormat="1" x14ac:dyDescent="0.25">
      <c r="B62" s="42" t="s">
        <v>383</v>
      </c>
      <c r="C62" s="42" t="s">
        <v>110</v>
      </c>
      <c r="D62" s="39" t="s">
        <v>365</v>
      </c>
      <c r="E62" s="5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>
        <v>4</v>
      </c>
      <c r="BX62" s="2"/>
      <c r="BY62" s="2">
        <v>10</v>
      </c>
      <c r="BZ62" s="2">
        <v>1</v>
      </c>
      <c r="CA62" s="2">
        <f>6+7+2</f>
        <v>15</v>
      </c>
      <c r="CB62" s="2"/>
      <c r="CC62" s="2"/>
      <c r="CD62" s="2"/>
      <c r="CE62" s="2">
        <v>3</v>
      </c>
      <c r="CF62" s="2"/>
      <c r="CG62" s="2">
        <v>10</v>
      </c>
      <c r="CH62" s="2"/>
      <c r="CI62" s="2"/>
      <c r="CJ62" s="2"/>
      <c r="CK62" s="2"/>
      <c r="CL62" s="2">
        <v>3</v>
      </c>
      <c r="CM62" s="2"/>
      <c r="CN62" s="2">
        <v>10</v>
      </c>
      <c r="CO62" s="2"/>
      <c r="CP62" s="2"/>
      <c r="CQ62" s="2"/>
      <c r="CR62" s="2"/>
      <c r="CS62" s="2"/>
      <c r="CT62" s="2">
        <v>3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>
        <f t="shared" si="1"/>
        <v>59</v>
      </c>
    </row>
    <row r="63" spans="2:112" s="8" customFormat="1" x14ac:dyDescent="0.25">
      <c r="B63" s="42" t="s">
        <v>387</v>
      </c>
      <c r="C63" s="42" t="s">
        <v>110</v>
      </c>
      <c r="D63" s="39" t="s">
        <v>281</v>
      </c>
      <c r="E63" s="5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>
        <v>5</v>
      </c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>
        <f t="shared" si="1"/>
        <v>5</v>
      </c>
    </row>
    <row r="64" spans="2:112" x14ac:dyDescent="0.25">
      <c r="B64" s="42" t="s">
        <v>388</v>
      </c>
      <c r="C64" s="42" t="s">
        <v>110</v>
      </c>
      <c r="D64" s="39" t="s">
        <v>281</v>
      </c>
      <c r="E64" s="5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>
        <v>5</v>
      </c>
      <c r="BX64" s="2"/>
      <c r="BY64" s="2"/>
      <c r="BZ64" s="2">
        <v>1</v>
      </c>
      <c r="CA64" s="2">
        <f>12+3</f>
        <v>15</v>
      </c>
      <c r="CB64" s="2"/>
      <c r="CC64" s="2"/>
      <c r="CD64" s="2"/>
      <c r="CE64" s="2">
        <v>6</v>
      </c>
      <c r="CF64" s="2"/>
      <c r="CG64" s="2">
        <f>1+30+50</f>
        <v>81</v>
      </c>
      <c r="CH64" s="2"/>
      <c r="CI64" s="2">
        <v>10</v>
      </c>
      <c r="CJ64" s="2"/>
      <c r="CK64" s="2"/>
      <c r="CL64" s="2">
        <v>10</v>
      </c>
      <c r="CM64" s="2"/>
      <c r="CN64" s="2"/>
      <c r="CO64" s="2">
        <v>10</v>
      </c>
      <c r="CP64" s="2">
        <v>5</v>
      </c>
      <c r="CQ64" s="2"/>
      <c r="CR64" s="2"/>
      <c r="CS64" s="2">
        <v>6</v>
      </c>
      <c r="CT64" s="2">
        <v>50</v>
      </c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>
        <f t="shared" si="1"/>
        <v>199</v>
      </c>
    </row>
    <row r="65" spans="2:112" x14ac:dyDescent="0.25">
      <c r="B65" s="42" t="s">
        <v>361</v>
      </c>
      <c r="C65" s="42" t="s">
        <v>110</v>
      </c>
      <c r="D65" s="39" t="s">
        <v>281</v>
      </c>
      <c r="E65" s="5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>
        <v>5</v>
      </c>
      <c r="BX65" s="2"/>
      <c r="BY65" s="2">
        <v>20</v>
      </c>
      <c r="BZ65" s="2">
        <v>6</v>
      </c>
      <c r="CA65" s="2">
        <f>12+15+3</f>
        <v>30</v>
      </c>
      <c r="CB65" s="2"/>
      <c r="CC65" s="2"/>
      <c r="CD65" s="2"/>
      <c r="CE65" s="2"/>
      <c r="CF65" s="2"/>
      <c r="CG65" s="2">
        <f>4+30+12</f>
        <v>46</v>
      </c>
      <c r="CH65" s="2">
        <v>15</v>
      </c>
      <c r="CI65" s="2"/>
      <c r="CJ65" s="2"/>
      <c r="CK65" s="2"/>
      <c r="CL65" s="2">
        <v>3</v>
      </c>
      <c r="CM65" s="2"/>
      <c r="CN65" s="2"/>
      <c r="CO65" s="2"/>
      <c r="CP65" s="2">
        <v>4</v>
      </c>
      <c r="CQ65" s="2"/>
      <c r="CR65" s="2"/>
      <c r="CS65" s="2">
        <v>18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>
        <f t="shared" si="1"/>
        <v>147</v>
      </c>
    </row>
    <row r="66" spans="2:112" x14ac:dyDescent="0.25">
      <c r="B66" s="42" t="s">
        <v>363</v>
      </c>
      <c r="C66" s="42" t="s">
        <v>110</v>
      </c>
      <c r="D66" s="39" t="s">
        <v>283</v>
      </c>
      <c r="E66" s="5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>
        <v>5</v>
      </c>
      <c r="BX66" s="2"/>
      <c r="BY66" s="2">
        <v>10</v>
      </c>
      <c r="BZ66" s="2">
        <v>10</v>
      </c>
      <c r="CA66" s="2">
        <f>13+14+3</f>
        <v>30</v>
      </c>
      <c r="CB66" s="2">
        <v>20</v>
      </c>
      <c r="CC66" s="2"/>
      <c r="CD66" s="2"/>
      <c r="CE66" s="2"/>
      <c r="CF66" s="2"/>
      <c r="CG66" s="2">
        <v>10</v>
      </c>
      <c r="CH66" s="2">
        <v>10</v>
      </c>
      <c r="CI66" s="2"/>
      <c r="CJ66" s="2"/>
      <c r="CK66" s="2"/>
      <c r="CL66" s="2">
        <v>30</v>
      </c>
      <c r="CM66" s="2"/>
      <c r="CN66" s="2"/>
      <c r="CO66" s="2"/>
      <c r="CP66" s="2">
        <v>3</v>
      </c>
      <c r="CQ66" s="2"/>
      <c r="CR66" s="2"/>
      <c r="CS66" s="2"/>
      <c r="CT66" s="2">
        <v>10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>
        <f t="shared" si="1"/>
        <v>138</v>
      </c>
    </row>
    <row r="67" spans="2:112" x14ac:dyDescent="0.25">
      <c r="B67" s="42" t="s">
        <v>362</v>
      </c>
      <c r="C67" s="42" t="s">
        <v>110</v>
      </c>
      <c r="D67" s="39" t="s">
        <v>283</v>
      </c>
      <c r="E67" s="5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>
        <v>5</v>
      </c>
      <c r="BX67" s="2"/>
      <c r="BY67" s="2">
        <v>20</v>
      </c>
      <c r="BZ67" s="2">
        <v>10</v>
      </c>
      <c r="CA67" s="2">
        <f>13+14+3</f>
        <v>30</v>
      </c>
      <c r="CB67" s="2">
        <v>20</v>
      </c>
      <c r="CC67" s="2"/>
      <c r="CD67" s="2"/>
      <c r="CE67" s="2"/>
      <c r="CF67" s="2"/>
      <c r="CG67" s="2">
        <f>2+8</f>
        <v>10</v>
      </c>
      <c r="CH67" s="2"/>
      <c r="CI67" s="2"/>
      <c r="CJ67" s="2"/>
      <c r="CK67" s="2"/>
      <c r="CL67" s="2"/>
      <c r="CM67" s="2"/>
      <c r="CN67" s="2"/>
      <c r="CO67" s="2"/>
      <c r="CP67" s="2">
        <v>3</v>
      </c>
      <c r="CQ67" s="2"/>
      <c r="CR67" s="2"/>
      <c r="CS67" s="2">
        <v>9</v>
      </c>
      <c r="CT67" s="2">
        <v>10</v>
      </c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>
        <f t="shared" si="1"/>
        <v>117</v>
      </c>
    </row>
    <row r="68" spans="2:112" x14ac:dyDescent="0.25">
      <c r="B68" s="42" t="s">
        <v>373</v>
      </c>
      <c r="C68" s="42" t="s">
        <v>110</v>
      </c>
      <c r="D68" s="39" t="s">
        <v>281</v>
      </c>
      <c r="E68" s="5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>
        <v>5</v>
      </c>
      <c r="BX68" s="2"/>
      <c r="BY68" s="2">
        <v>10</v>
      </c>
      <c r="BZ68" s="2">
        <v>1</v>
      </c>
      <c r="CA68" s="2">
        <f>6+7+2</f>
        <v>15</v>
      </c>
      <c r="CB68" s="2"/>
      <c r="CC68" s="2"/>
      <c r="CD68" s="2"/>
      <c r="CE68" s="2"/>
      <c r="CF68" s="2"/>
      <c r="CG68" s="2">
        <f>1+3</f>
        <v>4</v>
      </c>
      <c r="CH68" s="2">
        <v>14</v>
      </c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>
        <f t="shared" si="1"/>
        <v>49</v>
      </c>
    </row>
    <row r="69" spans="2:112" x14ac:dyDescent="0.25">
      <c r="B69" s="42" t="s">
        <v>360</v>
      </c>
      <c r="C69" s="42" t="s">
        <v>110</v>
      </c>
      <c r="D69" s="39" t="s">
        <v>281</v>
      </c>
      <c r="E69" s="5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>
        <v>5</v>
      </c>
      <c r="BX69" s="2"/>
      <c r="BY69" s="2">
        <v>20</v>
      </c>
      <c r="BZ69" s="2">
        <v>1</v>
      </c>
      <c r="CA69" s="2">
        <f>12+14+4</f>
        <v>30</v>
      </c>
      <c r="CB69" s="2">
        <v>20</v>
      </c>
      <c r="CC69" s="2"/>
      <c r="CD69" s="2"/>
      <c r="CE69" s="2"/>
      <c r="CF69" s="2"/>
      <c r="CG69" s="2">
        <f>1+10</f>
        <v>11</v>
      </c>
      <c r="CH69" s="2"/>
      <c r="CI69" s="2"/>
      <c r="CJ69" s="2"/>
      <c r="CK69" s="2"/>
      <c r="CL69" s="2">
        <v>3</v>
      </c>
      <c r="CM69" s="2"/>
      <c r="CN69" s="2"/>
      <c r="CO69" s="2"/>
      <c r="CP69" s="2"/>
      <c r="CQ69" s="2"/>
      <c r="CR69" s="2"/>
      <c r="CS69" s="2">
        <v>5</v>
      </c>
      <c r="CT69" s="2">
        <v>50</v>
      </c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>
        <f t="shared" ref="DH69:DH111" si="3">SUM(E69:DG69)</f>
        <v>145</v>
      </c>
    </row>
    <row r="70" spans="2:112" x14ac:dyDescent="0.25">
      <c r="B70" s="42" t="s">
        <v>106</v>
      </c>
      <c r="C70" s="42" t="s">
        <v>110</v>
      </c>
      <c r="D70" s="39" t="s">
        <v>281</v>
      </c>
      <c r="E70" s="57"/>
      <c r="F70" s="2"/>
      <c r="G70" s="2"/>
      <c r="H70" s="2"/>
      <c r="I70" s="2"/>
      <c r="J70" s="2"/>
      <c r="K70" s="2"/>
      <c r="L70" s="2"/>
      <c r="M70" s="2"/>
      <c r="N70" s="2"/>
      <c r="O70" s="2"/>
      <c r="P70" s="2">
        <v>30</v>
      </c>
      <c r="Q70" s="2">
        <v>40</v>
      </c>
      <c r="R70" s="2">
        <v>20</v>
      </c>
      <c r="S70" s="2">
        <f>15+15+5+5</f>
        <v>40</v>
      </c>
      <c r="T70" s="2">
        <f>240/24</f>
        <v>10</v>
      </c>
      <c r="U70" s="2"/>
      <c r="V70" s="2"/>
      <c r="W70" s="2">
        <v>40</v>
      </c>
      <c r="X70" s="2"/>
      <c r="Y70" s="2"/>
      <c r="Z70" s="2"/>
      <c r="AA70" s="2">
        <v>1</v>
      </c>
      <c r="AB70" s="2">
        <v>15</v>
      </c>
      <c r="AC70" s="2"/>
      <c r="AD70" s="2"/>
      <c r="AE70" s="2"/>
      <c r="AF70" s="2"/>
      <c r="AG70" s="2"/>
      <c r="AH70" s="2">
        <v>25</v>
      </c>
      <c r="AI70" s="2"/>
      <c r="AJ70" s="2">
        <f>10+8</f>
        <v>18</v>
      </c>
      <c r="AK70" s="2">
        <v>20</v>
      </c>
      <c r="AL70" s="2">
        <v>12</v>
      </c>
      <c r="AM70" s="2">
        <v>40</v>
      </c>
      <c r="AN70" s="2">
        <v>25</v>
      </c>
      <c r="AO70" s="2"/>
      <c r="AP70" s="2"/>
      <c r="AQ70" s="2"/>
      <c r="AR70" s="2"/>
      <c r="AS70" s="2">
        <v>8</v>
      </c>
      <c r="AT70" s="2"/>
      <c r="AU70" s="2"/>
      <c r="AV70" s="2">
        <v>25</v>
      </c>
      <c r="AW70" s="2"/>
      <c r="AX70" s="2">
        <f>10+3+12</f>
        <v>25</v>
      </c>
      <c r="AY70" s="2">
        <v>25</v>
      </c>
      <c r="AZ70" s="2">
        <v>5</v>
      </c>
      <c r="BA70" s="2"/>
      <c r="BB70" s="2"/>
      <c r="BC70" s="2"/>
      <c r="BD70" s="2"/>
      <c r="BE70" s="2"/>
      <c r="BF70" s="2">
        <v>9</v>
      </c>
      <c r="BG70" s="2">
        <v>10</v>
      </c>
      <c r="BH70" s="2"/>
      <c r="BI70" s="2"/>
      <c r="BJ70" s="2">
        <v>5</v>
      </c>
      <c r="BK70" s="2"/>
      <c r="BL70" s="2">
        <v>5</v>
      </c>
      <c r="BM70" s="2"/>
      <c r="BN70" s="2"/>
      <c r="BO70" s="2"/>
      <c r="BP70" s="2"/>
      <c r="BQ70" s="2">
        <v>7</v>
      </c>
      <c r="BR70" s="2"/>
      <c r="BS70" s="2"/>
      <c r="BT70" s="2">
        <v>4</v>
      </c>
      <c r="BU70" s="2"/>
      <c r="BV70" s="2"/>
      <c r="BW70" s="2"/>
      <c r="BX70" s="2">
        <v>15</v>
      </c>
      <c r="BY70" s="2"/>
      <c r="BZ70" s="2"/>
      <c r="CA70" s="2">
        <f>10+12+3</f>
        <v>25</v>
      </c>
      <c r="CB70" s="2">
        <v>15</v>
      </c>
      <c r="CC70" s="2"/>
      <c r="CD70" s="2"/>
      <c r="CE70" s="2">
        <v>5</v>
      </c>
      <c r="CF70" s="2">
        <v>30</v>
      </c>
      <c r="CG70" s="2"/>
      <c r="CH70" s="2"/>
      <c r="CI70" s="2"/>
      <c r="CJ70" s="2"/>
      <c r="CK70" s="2"/>
      <c r="CL70" s="2"/>
      <c r="CM70" s="2"/>
      <c r="CN70" s="2"/>
      <c r="CO70" s="2">
        <v>8</v>
      </c>
      <c r="CP70" s="2">
        <v>4</v>
      </c>
      <c r="CQ70" s="2"/>
      <c r="CR70" s="2"/>
      <c r="CS70" s="2"/>
      <c r="CT70" s="2">
        <v>33</v>
      </c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>
        <f t="shared" si="3"/>
        <v>599</v>
      </c>
    </row>
    <row r="71" spans="2:112" x14ac:dyDescent="0.25">
      <c r="B71" s="42" t="s">
        <v>105</v>
      </c>
      <c r="C71" s="42" t="s">
        <v>110</v>
      </c>
      <c r="D71" s="39" t="s">
        <v>281</v>
      </c>
      <c r="E71" s="57"/>
      <c r="F71" s="2"/>
      <c r="G71" s="2"/>
      <c r="H71" s="2"/>
      <c r="I71" s="2"/>
      <c r="J71" s="2"/>
      <c r="K71" s="2"/>
      <c r="L71" s="2"/>
      <c r="M71" s="2"/>
      <c r="N71" s="2"/>
      <c r="O71" s="2"/>
      <c r="P71" s="2">
        <v>30</v>
      </c>
      <c r="Q71" s="2">
        <v>40</v>
      </c>
      <c r="R71" s="2">
        <v>20</v>
      </c>
      <c r="S71" s="2">
        <f>15+15+5+5</f>
        <v>40</v>
      </c>
      <c r="T71" s="2">
        <f>240/24</f>
        <v>10</v>
      </c>
      <c r="U71" s="2"/>
      <c r="V71" s="2"/>
      <c r="W71" s="2">
        <v>38</v>
      </c>
      <c r="X71" s="2"/>
      <c r="Y71" s="2"/>
      <c r="Z71" s="2"/>
      <c r="AA71" s="2">
        <v>1</v>
      </c>
      <c r="AB71" s="2">
        <v>15</v>
      </c>
      <c r="AC71" s="2"/>
      <c r="AD71" s="2"/>
      <c r="AE71" s="2"/>
      <c r="AF71" s="2">
        <v>10</v>
      </c>
      <c r="AG71" s="2"/>
      <c r="AH71" s="2">
        <v>30</v>
      </c>
      <c r="AI71" s="2"/>
      <c r="AJ71" s="2"/>
      <c r="AK71" s="2">
        <v>20</v>
      </c>
      <c r="AL71" s="2"/>
      <c r="AM71" s="2">
        <v>40</v>
      </c>
      <c r="AN71" s="2">
        <f>25+10+10+5</f>
        <v>50</v>
      </c>
      <c r="AO71" s="2"/>
      <c r="AP71" s="2">
        <v>10</v>
      </c>
      <c r="AQ71" s="2">
        <v>3</v>
      </c>
      <c r="AR71" s="2"/>
      <c r="AS71" s="2">
        <f>3+2</f>
        <v>5</v>
      </c>
      <c r="AT71" s="2"/>
      <c r="AU71" s="2"/>
      <c r="AV71" s="2">
        <v>40</v>
      </c>
      <c r="AW71" s="2">
        <v>10</v>
      </c>
      <c r="AX71" s="2">
        <f>10+2+20</f>
        <v>32</v>
      </c>
      <c r="AY71" s="2">
        <v>25</v>
      </c>
      <c r="AZ71" s="2">
        <v>10</v>
      </c>
      <c r="BA71" s="2"/>
      <c r="BB71" s="2"/>
      <c r="BC71" s="2"/>
      <c r="BD71" s="2"/>
      <c r="BE71" s="2"/>
      <c r="BF71" s="2">
        <f>5+2</f>
        <v>7</v>
      </c>
      <c r="BG71" s="2">
        <v>10</v>
      </c>
      <c r="BH71" s="2"/>
      <c r="BI71" s="2">
        <f>1+5</f>
        <v>6</v>
      </c>
      <c r="BJ71" s="2">
        <v>10</v>
      </c>
      <c r="BK71" s="2"/>
      <c r="BL71" s="2">
        <v>5</v>
      </c>
      <c r="BM71" s="2"/>
      <c r="BN71" s="2"/>
      <c r="BO71" s="2"/>
      <c r="BP71" s="2">
        <v>40</v>
      </c>
      <c r="BQ71" s="2">
        <f>3+3+6</f>
        <v>12</v>
      </c>
      <c r="BR71" s="2">
        <v>10</v>
      </c>
      <c r="BS71" s="2"/>
      <c r="BT71" s="2">
        <v>5</v>
      </c>
      <c r="BU71" s="2"/>
      <c r="BV71" s="2"/>
      <c r="BW71" s="2">
        <v>5</v>
      </c>
      <c r="BX71" s="2"/>
      <c r="BY71" s="2"/>
      <c r="BZ71" s="2"/>
      <c r="CA71" s="2">
        <v>10</v>
      </c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>
        <f t="shared" si="3"/>
        <v>599</v>
      </c>
    </row>
    <row r="72" spans="2:112" x14ac:dyDescent="0.25">
      <c r="B72" s="42" t="s">
        <v>358</v>
      </c>
      <c r="C72" s="42" t="s">
        <v>110</v>
      </c>
      <c r="D72" s="39" t="s">
        <v>282</v>
      </c>
      <c r="E72" s="5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>
        <v>10</v>
      </c>
      <c r="BX72" s="2"/>
      <c r="BY72" s="2">
        <v>20</v>
      </c>
      <c r="BZ72" s="2">
        <v>2</v>
      </c>
      <c r="CA72" s="2">
        <f>5+7+3</f>
        <v>15</v>
      </c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>
        <f t="shared" si="3"/>
        <v>47</v>
      </c>
    </row>
    <row r="73" spans="2:112" s="8" customFormat="1" x14ac:dyDescent="0.25">
      <c r="B73" s="2" t="s">
        <v>14</v>
      </c>
      <c r="C73" s="2" t="s">
        <v>48</v>
      </c>
      <c r="D73" s="39" t="s">
        <v>281</v>
      </c>
      <c r="E73" s="2">
        <f>30</f>
        <v>30</v>
      </c>
      <c r="F73" s="2">
        <f>15+5</f>
        <v>20</v>
      </c>
      <c r="G73" s="2">
        <f>20</f>
        <v>20</v>
      </c>
      <c r="H73" s="2">
        <v>20</v>
      </c>
      <c r="I73" s="2">
        <f>5+5</f>
        <v>10</v>
      </c>
      <c r="J73" s="2"/>
      <c r="K73" s="2">
        <f>15+20</f>
        <v>35</v>
      </c>
      <c r="L73" s="2">
        <v>24</v>
      </c>
      <c r="M73" s="2">
        <f>8+6</f>
        <v>14</v>
      </c>
      <c r="N73" s="2"/>
      <c r="O73" s="2">
        <f>2+4</f>
        <v>6</v>
      </c>
      <c r="P73" s="2">
        <v>10</v>
      </c>
      <c r="Q73" s="2">
        <v>10</v>
      </c>
      <c r="R73" s="2">
        <v>10</v>
      </c>
      <c r="S73" s="2">
        <f>5+5</f>
        <v>10</v>
      </c>
      <c r="T73" s="2">
        <f>480/24</f>
        <v>20</v>
      </c>
      <c r="U73" s="2"/>
      <c r="V73" s="2"/>
      <c r="W73" s="2">
        <v>40</v>
      </c>
      <c r="X73" s="2">
        <v>19</v>
      </c>
      <c r="Y73" s="2"/>
      <c r="Z73" s="2"/>
      <c r="AA73" s="2">
        <v>10</v>
      </c>
      <c r="AB73" s="2">
        <v>20</v>
      </c>
      <c r="AC73" s="2">
        <v>5</v>
      </c>
      <c r="AD73" s="2">
        <v>12</v>
      </c>
      <c r="AE73" s="2"/>
      <c r="AF73" s="2"/>
      <c r="AG73" s="2">
        <v>13</v>
      </c>
      <c r="AH73" s="2">
        <f>3+8</f>
        <v>11</v>
      </c>
      <c r="AI73" s="2"/>
      <c r="AJ73" s="2">
        <f>5+50</f>
        <v>55</v>
      </c>
      <c r="AK73" s="2">
        <f>20+5</f>
        <v>25</v>
      </c>
      <c r="AL73" s="2">
        <v>5</v>
      </c>
      <c r="AM73" s="2">
        <v>10</v>
      </c>
      <c r="AN73" s="2">
        <v>5</v>
      </c>
      <c r="AO73" s="2"/>
      <c r="AP73" s="2"/>
      <c r="AQ73" s="2"/>
      <c r="AR73" s="2">
        <v>50</v>
      </c>
      <c r="AS73" s="2">
        <f>10+2+4</f>
        <v>16</v>
      </c>
      <c r="AT73" s="2">
        <f>20+6</f>
        <v>26</v>
      </c>
      <c r="AU73" s="2">
        <v>10</v>
      </c>
      <c r="AV73" s="2">
        <v>40</v>
      </c>
      <c r="AW73" s="2"/>
      <c r="AX73" s="2">
        <f>2+3</f>
        <v>5</v>
      </c>
      <c r="AY73" s="2"/>
      <c r="AZ73" s="2"/>
      <c r="BA73" s="2"/>
      <c r="BB73" s="2"/>
      <c r="BC73" s="2"/>
      <c r="BD73" s="2">
        <v>3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>
        <f>50+50</f>
        <v>100</v>
      </c>
      <c r="CM73" s="2"/>
      <c r="CN73" s="2">
        <v>20</v>
      </c>
      <c r="CO73" s="2">
        <v>20</v>
      </c>
      <c r="CP73" s="2">
        <f>8+1</f>
        <v>9</v>
      </c>
      <c r="CQ73" s="2"/>
      <c r="CR73" s="2"/>
      <c r="CS73" s="2"/>
      <c r="CT73" s="2">
        <v>1</v>
      </c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>
        <f t="shared" si="3"/>
        <v>769</v>
      </c>
    </row>
    <row r="74" spans="2:112" x14ac:dyDescent="0.25">
      <c r="B74" s="2" t="s">
        <v>29</v>
      </c>
      <c r="C74" s="2" t="s">
        <v>48</v>
      </c>
      <c r="D74" s="39" t="s">
        <v>282</v>
      </c>
      <c r="E74" s="2">
        <f>10</f>
        <v>10</v>
      </c>
      <c r="F74" s="2">
        <f>9+4</f>
        <v>13</v>
      </c>
      <c r="G74" s="2">
        <f>5</f>
        <v>5</v>
      </c>
      <c r="H74" s="2">
        <v>8</v>
      </c>
      <c r="I74" s="2">
        <f>5+2</f>
        <v>7</v>
      </c>
      <c r="J74" s="2"/>
      <c r="K74" s="2">
        <f>5+5</f>
        <v>10</v>
      </c>
      <c r="L74" s="2">
        <v>3</v>
      </c>
      <c r="M74" s="2">
        <f>3+1</f>
        <v>4</v>
      </c>
      <c r="N74" s="2">
        <v>2</v>
      </c>
      <c r="O74" s="2">
        <f>1+2</f>
        <v>3</v>
      </c>
      <c r="P74" s="2"/>
      <c r="Q74" s="2"/>
      <c r="R74" s="2">
        <v>5</v>
      </c>
      <c r="S74" s="2"/>
      <c r="T74" s="2">
        <f>96/48</f>
        <v>2</v>
      </c>
      <c r="U74" s="2"/>
      <c r="V74" s="2"/>
      <c r="W74" s="2">
        <v>2</v>
      </c>
      <c r="X74" s="2"/>
      <c r="Y74" s="2"/>
      <c r="Z74" s="2"/>
      <c r="AA74" s="2">
        <v>10</v>
      </c>
      <c r="AB74" s="2">
        <v>5</v>
      </c>
      <c r="AC74" s="2"/>
      <c r="AD74" s="2">
        <v>3</v>
      </c>
      <c r="AE74" s="2"/>
      <c r="AF74" s="2"/>
      <c r="AG74" s="2"/>
      <c r="AH74" s="2"/>
      <c r="AI74" s="2"/>
      <c r="AJ74" s="2">
        <v>3</v>
      </c>
      <c r="AK74" s="2">
        <f>5+3</f>
        <v>8</v>
      </c>
      <c r="AL74" s="2"/>
      <c r="AM74" s="2"/>
      <c r="AN74" s="2">
        <v>8</v>
      </c>
      <c r="AO74" s="2">
        <v>10</v>
      </c>
      <c r="AP74" s="2"/>
      <c r="AQ74" s="2"/>
      <c r="AR74" s="2">
        <v>3</v>
      </c>
      <c r="AS74" s="2"/>
      <c r="AT74" s="2"/>
      <c r="AU74" s="2"/>
      <c r="AV74" s="2"/>
      <c r="AW74" s="2"/>
      <c r="AX74" s="2"/>
      <c r="AY74" s="2">
        <v>3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>
        <v>1</v>
      </c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>
        <v>5</v>
      </c>
      <c r="CN74" s="2">
        <v>3</v>
      </c>
      <c r="CO74" s="2">
        <v>3</v>
      </c>
      <c r="CP74" s="2">
        <f>3+1</f>
        <v>4</v>
      </c>
      <c r="CQ74" s="2"/>
      <c r="CR74" s="2"/>
      <c r="CS74" s="2"/>
      <c r="CT74" s="2">
        <v>2</v>
      </c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>
        <f t="shared" si="3"/>
        <v>145</v>
      </c>
    </row>
    <row r="75" spans="2:112" x14ac:dyDescent="0.25">
      <c r="B75" s="2" t="s">
        <v>30</v>
      </c>
      <c r="C75" s="2" t="s">
        <v>48</v>
      </c>
      <c r="D75" s="39" t="s">
        <v>282</v>
      </c>
      <c r="E75" s="2">
        <f>15</f>
        <v>15</v>
      </c>
      <c r="F75" s="2">
        <f>9+4</f>
        <v>13</v>
      </c>
      <c r="G75" s="2">
        <f>5</f>
        <v>5</v>
      </c>
      <c r="H75" s="2">
        <v>8</v>
      </c>
      <c r="I75" s="2">
        <f>5+2</f>
        <v>7</v>
      </c>
      <c r="J75" s="2"/>
      <c r="K75" s="2">
        <f>5+5</f>
        <v>10</v>
      </c>
      <c r="L75" s="2">
        <v>3</v>
      </c>
      <c r="M75" s="2">
        <f>1+1</f>
        <v>2</v>
      </c>
      <c r="N75" s="2">
        <v>2</v>
      </c>
      <c r="O75" s="2">
        <v>1</v>
      </c>
      <c r="P75" s="2"/>
      <c r="Q75" s="2"/>
      <c r="R75" s="2">
        <v>5</v>
      </c>
      <c r="S75" s="2"/>
      <c r="T75" s="2"/>
      <c r="U75" s="2"/>
      <c r="V75" s="2"/>
      <c r="W75" s="2"/>
      <c r="X75" s="2"/>
      <c r="Y75" s="2"/>
      <c r="Z75" s="2"/>
      <c r="AA75" s="2">
        <v>10</v>
      </c>
      <c r="AB75" s="2">
        <v>5</v>
      </c>
      <c r="AC75" s="2"/>
      <c r="AD75" s="2">
        <v>2</v>
      </c>
      <c r="AE75" s="2"/>
      <c r="AF75" s="2"/>
      <c r="AG75" s="2"/>
      <c r="AH75" s="2"/>
      <c r="AI75" s="2"/>
      <c r="AJ75" s="2"/>
      <c r="AK75" s="2">
        <f>5+3</f>
        <v>8</v>
      </c>
      <c r="AL75" s="2"/>
      <c r="AM75" s="2"/>
      <c r="AN75" s="2">
        <v>8</v>
      </c>
      <c r="AO75" s="2">
        <v>8</v>
      </c>
      <c r="AP75" s="2"/>
      <c r="AQ75" s="2"/>
      <c r="AR75" s="2"/>
      <c r="AS75" s="2"/>
      <c r="AT75" s="2"/>
      <c r="AU75" s="2"/>
      <c r="AV75" s="2"/>
      <c r="AW75" s="2"/>
      <c r="AX75" s="2"/>
      <c r="AY75" s="2">
        <v>3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>
        <v>3</v>
      </c>
      <c r="CO75" s="2">
        <v>4</v>
      </c>
      <c r="CP75" s="2">
        <f>2+1</f>
        <v>3</v>
      </c>
      <c r="CQ75" s="2"/>
      <c r="CR75" s="2"/>
      <c r="CS75" s="2"/>
      <c r="CT75" s="2">
        <v>3</v>
      </c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>
        <f t="shared" si="3"/>
        <v>128</v>
      </c>
    </row>
    <row r="76" spans="2:112" x14ac:dyDescent="0.25">
      <c r="B76" s="2" t="s">
        <v>31</v>
      </c>
      <c r="C76" s="2" t="s">
        <v>48</v>
      </c>
      <c r="D76" s="39" t="s">
        <v>282</v>
      </c>
      <c r="E76" s="2">
        <f>10</f>
        <v>10</v>
      </c>
      <c r="F76" s="2">
        <f>9+4</f>
        <v>13</v>
      </c>
      <c r="G76" s="2">
        <f>5</f>
        <v>5</v>
      </c>
      <c r="H76" s="2">
        <v>8</v>
      </c>
      <c r="I76" s="2">
        <f>2+5</f>
        <v>7</v>
      </c>
      <c r="J76" s="2"/>
      <c r="K76" s="2">
        <f>5+5</f>
        <v>10</v>
      </c>
      <c r="L76" s="2">
        <v>3</v>
      </c>
      <c r="M76" s="2">
        <f>3+1</f>
        <v>4</v>
      </c>
      <c r="N76" s="2"/>
      <c r="O76" s="2">
        <f>1+2</f>
        <v>3</v>
      </c>
      <c r="P76" s="2"/>
      <c r="Q76" s="2"/>
      <c r="R76" s="2">
        <v>5</v>
      </c>
      <c r="S76" s="2"/>
      <c r="T76" s="2"/>
      <c r="U76" s="2"/>
      <c r="V76" s="2"/>
      <c r="W76" s="2">
        <v>3</v>
      </c>
      <c r="X76" s="2"/>
      <c r="Y76" s="2"/>
      <c r="Z76" s="2"/>
      <c r="AA76" s="2"/>
      <c r="AB76" s="2">
        <v>5</v>
      </c>
      <c r="AC76" s="2">
        <v>5</v>
      </c>
      <c r="AD76" s="2">
        <v>6</v>
      </c>
      <c r="AE76" s="2"/>
      <c r="AF76" s="2">
        <v>3</v>
      </c>
      <c r="AG76" s="2"/>
      <c r="AH76" s="2"/>
      <c r="AI76" s="2"/>
      <c r="AJ76" s="2"/>
      <c r="AK76" s="2">
        <f>5+3</f>
        <v>8</v>
      </c>
      <c r="AL76" s="2">
        <v>2</v>
      </c>
      <c r="AM76" s="2"/>
      <c r="AN76" s="2">
        <v>10</v>
      </c>
      <c r="AO76" s="2">
        <v>8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>
        <v>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>
        <v>2</v>
      </c>
      <c r="CQ76" s="2"/>
      <c r="CR76" s="2"/>
      <c r="CS76" s="2"/>
      <c r="CT76" s="2">
        <v>3</v>
      </c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>
        <f t="shared" si="3"/>
        <v>125</v>
      </c>
    </row>
    <row r="77" spans="2:112" x14ac:dyDescent="0.25">
      <c r="B77" s="2" t="s">
        <v>15</v>
      </c>
      <c r="C77" s="2" t="s">
        <v>48</v>
      </c>
      <c r="D77" s="39" t="s">
        <v>281</v>
      </c>
      <c r="E77" s="2">
        <f>20</f>
        <v>20</v>
      </c>
      <c r="F77" s="2">
        <f>15+4</f>
        <v>19</v>
      </c>
      <c r="G77" s="2">
        <f>10</f>
        <v>10</v>
      </c>
      <c r="H77" s="2">
        <v>8</v>
      </c>
      <c r="I77" s="2">
        <f>8+3</f>
        <v>11</v>
      </c>
      <c r="J77" s="2"/>
      <c r="K77" s="2">
        <f>10+10</f>
        <v>20</v>
      </c>
      <c r="L77" s="2">
        <v>5</v>
      </c>
      <c r="M77" s="2">
        <f>6+2</f>
        <v>8</v>
      </c>
      <c r="N77" s="2">
        <v>10</v>
      </c>
      <c r="O77" s="2">
        <f>2+5</f>
        <v>7</v>
      </c>
      <c r="P77" s="2">
        <v>2</v>
      </c>
      <c r="Q77" s="2"/>
      <c r="R77" s="2">
        <v>10</v>
      </c>
      <c r="S77" s="2">
        <v>4</v>
      </c>
      <c r="T77" s="2"/>
      <c r="U77" s="2"/>
      <c r="V77" s="2"/>
      <c r="W77" s="2"/>
      <c r="X77" s="2"/>
      <c r="Y77" s="2"/>
      <c r="Z77" s="2"/>
      <c r="AA77" s="2"/>
      <c r="AB77" s="2">
        <v>20</v>
      </c>
      <c r="AC77" s="2"/>
      <c r="AD77" s="2">
        <v>3</v>
      </c>
      <c r="AE77" s="2"/>
      <c r="AF77" s="2">
        <v>5</v>
      </c>
      <c r="AG77" s="2">
        <v>10</v>
      </c>
      <c r="AH77" s="2">
        <v>15</v>
      </c>
      <c r="AI77" s="2"/>
      <c r="AJ77" s="2"/>
      <c r="AK77" s="2"/>
      <c r="AL77" s="2"/>
      <c r="AM77" s="2">
        <v>2</v>
      </c>
      <c r="AN77" s="2"/>
      <c r="AO77" s="2"/>
      <c r="AP77" s="2"/>
      <c r="AQ77" s="2"/>
      <c r="AR77" s="2">
        <v>10</v>
      </c>
      <c r="AS77" s="2">
        <v>5</v>
      </c>
      <c r="AT77" s="2">
        <v>10</v>
      </c>
      <c r="AU77" s="2">
        <v>5</v>
      </c>
      <c r="AV77" s="2">
        <v>10</v>
      </c>
      <c r="AW77" s="2"/>
      <c r="AX77" s="2">
        <f>3+1+3</f>
        <v>7</v>
      </c>
      <c r="AY77" s="2">
        <v>5</v>
      </c>
      <c r="AZ77" s="2"/>
      <c r="BA77" s="2"/>
      <c r="BB77" s="2"/>
      <c r="BC77" s="2"/>
      <c r="BD77" s="2">
        <v>2</v>
      </c>
      <c r="BE77" s="2"/>
      <c r="BF77" s="2">
        <f>1+4</f>
        <v>5</v>
      </c>
      <c r="BG77" s="2">
        <v>8</v>
      </c>
      <c r="BH77" s="2"/>
      <c r="BI77" s="2">
        <f>4+5</f>
        <v>9</v>
      </c>
      <c r="BJ77" s="2">
        <v>10</v>
      </c>
      <c r="BK77" s="2"/>
      <c r="BL77" s="2">
        <v>2</v>
      </c>
      <c r="BM77" s="2"/>
      <c r="BN77" s="2"/>
      <c r="BO77" s="2"/>
      <c r="BP77" s="2">
        <v>4</v>
      </c>
      <c r="BQ77" s="2"/>
      <c r="BR77" s="2"/>
      <c r="BS77" s="2"/>
      <c r="BT77" s="2">
        <v>4</v>
      </c>
      <c r="BU77" s="2"/>
      <c r="BV77" s="2"/>
      <c r="BW77" s="2"/>
      <c r="BX77" s="2"/>
      <c r="BY77" s="2"/>
      <c r="BZ77" s="2"/>
      <c r="CA77" s="2"/>
      <c r="CB77" s="2"/>
      <c r="CC77" s="2">
        <f>1+1+1</f>
        <v>3</v>
      </c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>
        <v>5</v>
      </c>
      <c r="CS77" s="2"/>
      <c r="CT77" s="2">
        <v>5</v>
      </c>
      <c r="CU77" s="2"/>
      <c r="CV77" s="2">
        <v>4</v>
      </c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>
        <f t="shared" si="3"/>
        <v>302</v>
      </c>
    </row>
    <row r="78" spans="2:112" s="8" customFormat="1" x14ac:dyDescent="0.25">
      <c r="B78" s="2" t="s">
        <v>109</v>
      </c>
      <c r="C78" s="2" t="s">
        <v>48</v>
      </c>
      <c r="D78" s="39" t="s">
        <v>281</v>
      </c>
      <c r="E78" s="2">
        <f>20</f>
        <v>20</v>
      </c>
      <c r="F78" s="2">
        <f>15+5</f>
        <v>20</v>
      </c>
      <c r="G78" s="2">
        <f>20</f>
        <v>20</v>
      </c>
      <c r="H78" s="2">
        <v>20</v>
      </c>
      <c r="I78" s="2">
        <f>10+10</f>
        <v>20</v>
      </c>
      <c r="J78" s="2"/>
      <c r="K78" s="2">
        <f>10+20</f>
        <v>30</v>
      </c>
      <c r="L78" s="2"/>
      <c r="M78" s="2">
        <f>2+2</f>
        <v>4</v>
      </c>
      <c r="N78" s="2">
        <v>10</v>
      </c>
      <c r="O78" s="2">
        <f>2+4</f>
        <v>6</v>
      </c>
      <c r="P78" s="2"/>
      <c r="Q78" s="2"/>
      <c r="R78" s="2">
        <v>10</v>
      </c>
      <c r="S78" s="2">
        <v>10</v>
      </c>
      <c r="T78" s="2">
        <f>240/24</f>
        <v>10</v>
      </c>
      <c r="U78" s="2"/>
      <c r="V78" s="2"/>
      <c r="W78" s="2">
        <v>5</v>
      </c>
      <c r="X78" s="2">
        <v>9</v>
      </c>
      <c r="Y78" s="2"/>
      <c r="Z78" s="2"/>
      <c r="AA78" s="2"/>
      <c r="AB78" s="2">
        <v>10</v>
      </c>
      <c r="AC78" s="2">
        <v>5</v>
      </c>
      <c r="AD78" s="2">
        <v>5</v>
      </c>
      <c r="AE78" s="2"/>
      <c r="AF78" s="2">
        <v>10</v>
      </c>
      <c r="AG78" s="2">
        <v>5</v>
      </c>
      <c r="AH78" s="2">
        <v>5</v>
      </c>
      <c r="AI78" s="2"/>
      <c r="AJ78" s="2">
        <f>5+5</f>
        <v>10</v>
      </c>
      <c r="AK78" s="2">
        <f>15+5</f>
        <v>20</v>
      </c>
      <c r="AL78" s="2">
        <v>5</v>
      </c>
      <c r="AM78" s="2">
        <v>15</v>
      </c>
      <c r="AN78" s="2">
        <v>10</v>
      </c>
      <c r="AO78" s="2">
        <v>10</v>
      </c>
      <c r="AP78" s="2"/>
      <c r="AQ78" s="2">
        <f>5+10+10</f>
        <v>25</v>
      </c>
      <c r="AR78" s="2">
        <v>10</v>
      </c>
      <c r="AS78" s="2">
        <f>7+3</f>
        <v>10</v>
      </c>
      <c r="AT78" s="2">
        <f>20+5</f>
        <v>25</v>
      </c>
      <c r="AU78" s="2"/>
      <c r="AV78" s="2">
        <v>10</v>
      </c>
      <c r="AW78" s="2"/>
      <c r="AX78" s="2"/>
      <c r="AY78" s="2">
        <v>10</v>
      </c>
      <c r="AZ78" s="2">
        <v>3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>
        <v>10</v>
      </c>
      <c r="BQ78" s="2">
        <f>1+3+10</f>
        <v>14</v>
      </c>
      <c r="BR78" s="2"/>
      <c r="BS78" s="2"/>
      <c r="BT78" s="2">
        <f>1+16+4+29</f>
        <v>50</v>
      </c>
      <c r="BU78" s="2"/>
      <c r="BV78" s="2"/>
      <c r="BW78" s="2"/>
      <c r="BX78" s="2">
        <v>18</v>
      </c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>
        <v>60</v>
      </c>
      <c r="CS78" s="2"/>
      <c r="CT78" s="2">
        <v>25</v>
      </c>
      <c r="CU78" s="2"/>
      <c r="CV78" s="2">
        <f>3+4</f>
        <v>7</v>
      </c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>
        <f t="shared" si="3"/>
        <v>581</v>
      </c>
    </row>
    <row r="79" spans="2:112" x14ac:dyDescent="0.25">
      <c r="B79" s="2" t="s">
        <v>13</v>
      </c>
      <c r="C79" s="2" t="s">
        <v>48</v>
      </c>
      <c r="D79" s="39" t="s">
        <v>281</v>
      </c>
      <c r="E79" s="2">
        <f>30</f>
        <v>30</v>
      </c>
      <c r="F79" s="2">
        <f>15+8</f>
        <v>23</v>
      </c>
      <c r="G79" s="2">
        <f>20</f>
        <v>20</v>
      </c>
      <c r="H79" s="2">
        <v>20</v>
      </c>
      <c r="I79" s="2">
        <f>10+7</f>
        <v>17</v>
      </c>
      <c r="J79" s="2"/>
      <c r="K79" s="2">
        <f>10+20</f>
        <v>30</v>
      </c>
      <c r="L79" s="2">
        <v>5</v>
      </c>
      <c r="M79" s="2"/>
      <c r="N79" s="2"/>
      <c r="O79" s="2">
        <f>2+3</f>
        <v>5</v>
      </c>
      <c r="P79" s="2"/>
      <c r="Q79" s="2">
        <v>5</v>
      </c>
      <c r="R79" s="2">
        <v>10</v>
      </c>
      <c r="S79" s="2">
        <v>17</v>
      </c>
      <c r="T79" s="2">
        <f>240/24</f>
        <v>10</v>
      </c>
      <c r="U79" s="2"/>
      <c r="V79" s="2"/>
      <c r="W79" s="2">
        <v>8</v>
      </c>
      <c r="X79" s="2">
        <v>12</v>
      </c>
      <c r="Y79" s="2"/>
      <c r="Z79" s="2"/>
      <c r="AA79" s="2"/>
      <c r="AB79" s="2">
        <v>10</v>
      </c>
      <c r="AC79" s="2">
        <v>5</v>
      </c>
      <c r="AD79" s="2">
        <v>5</v>
      </c>
      <c r="AE79" s="2"/>
      <c r="AF79" s="2">
        <v>10</v>
      </c>
      <c r="AG79" s="2">
        <v>5</v>
      </c>
      <c r="AH79" s="2">
        <f>2+5</f>
        <v>7</v>
      </c>
      <c r="AI79" s="2"/>
      <c r="AJ79" s="2">
        <f>10+5+5</f>
        <v>20</v>
      </c>
      <c r="AK79" s="2">
        <f>15+5</f>
        <v>20</v>
      </c>
      <c r="AL79" s="2">
        <v>5</v>
      </c>
      <c r="AM79" s="2">
        <v>20</v>
      </c>
      <c r="AN79" s="2">
        <f>10+5+5+5</f>
        <v>25</v>
      </c>
      <c r="AO79" s="2">
        <v>10</v>
      </c>
      <c r="AP79" s="2">
        <v>20</v>
      </c>
      <c r="AQ79" s="2">
        <f>3+5+7</f>
        <v>15</v>
      </c>
      <c r="AR79" s="2">
        <v>10</v>
      </c>
      <c r="AS79" s="2"/>
      <c r="AT79" s="2">
        <f>20+6</f>
        <v>26</v>
      </c>
      <c r="AU79" s="2"/>
      <c r="AV79" s="2">
        <v>20</v>
      </c>
      <c r="AW79" s="2"/>
      <c r="AX79" s="2">
        <f>10+10</f>
        <v>20</v>
      </c>
      <c r="AY79" s="2">
        <v>10</v>
      </c>
      <c r="AZ79" s="2">
        <v>3</v>
      </c>
      <c r="BA79" s="2"/>
      <c r="BB79" s="2"/>
      <c r="BC79" s="2"/>
      <c r="BD79" s="2">
        <v>1</v>
      </c>
      <c r="BE79" s="2"/>
      <c r="BF79" s="2">
        <v>1</v>
      </c>
      <c r="BG79" s="2">
        <v>9</v>
      </c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>
        <f>50+9</f>
        <v>59</v>
      </c>
      <c r="CM79" s="2"/>
      <c r="CN79" s="2">
        <v>40</v>
      </c>
      <c r="CO79" s="2">
        <v>40</v>
      </c>
      <c r="CP79" s="2">
        <v>10</v>
      </c>
      <c r="CQ79" s="2"/>
      <c r="CR79" s="2"/>
      <c r="CS79" s="2"/>
      <c r="CT79" s="2">
        <v>1</v>
      </c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>
        <f t="shared" si="3"/>
        <v>639</v>
      </c>
    </row>
    <row r="80" spans="2:112" x14ac:dyDescent="0.25">
      <c r="B80" s="2" t="s">
        <v>108</v>
      </c>
      <c r="C80" s="2" t="s">
        <v>48</v>
      </c>
      <c r="D80" s="39" t="s">
        <v>281</v>
      </c>
      <c r="E80" s="2">
        <f>70</f>
        <v>70</v>
      </c>
      <c r="F80" s="2">
        <f>20+10</f>
        <v>30</v>
      </c>
      <c r="G80" s="2">
        <f>40</f>
        <v>40</v>
      </c>
      <c r="H80" s="2">
        <v>30</v>
      </c>
      <c r="I80" s="2">
        <f>12+8</f>
        <v>20</v>
      </c>
      <c r="J80" s="2"/>
      <c r="K80" s="2">
        <f>20+40</f>
        <v>60</v>
      </c>
      <c r="L80" s="2">
        <v>30</v>
      </c>
      <c r="M80" s="2">
        <f>6+4</f>
        <v>10</v>
      </c>
      <c r="N80" s="2">
        <v>25</v>
      </c>
      <c r="O80" s="2">
        <f>2+8</f>
        <v>10</v>
      </c>
      <c r="P80" s="2"/>
      <c r="Q80" s="2">
        <v>20</v>
      </c>
      <c r="R80" s="2">
        <v>15</v>
      </c>
      <c r="S80" s="2">
        <v>30</v>
      </c>
      <c r="T80" s="2">
        <f>1200/24</f>
        <v>50</v>
      </c>
      <c r="U80" s="2"/>
      <c r="V80" s="2"/>
      <c r="W80" s="2">
        <v>45</v>
      </c>
      <c r="X80" s="2">
        <v>40</v>
      </c>
      <c r="Y80" s="2"/>
      <c r="Z80" s="2"/>
      <c r="AA80" s="2"/>
      <c r="AB80" s="2">
        <v>20</v>
      </c>
      <c r="AC80" s="2">
        <v>10</v>
      </c>
      <c r="AD80" s="2">
        <v>20</v>
      </c>
      <c r="AE80" s="2"/>
      <c r="AF80" s="2">
        <v>5</v>
      </c>
      <c r="AG80" s="2">
        <v>13</v>
      </c>
      <c r="AH80" s="2">
        <f>9+3+3+11</f>
        <v>26</v>
      </c>
      <c r="AI80" s="2"/>
      <c r="AJ80" s="2">
        <f>16+30+20+5</f>
        <v>71</v>
      </c>
      <c r="AK80" s="2">
        <f>50+20</f>
        <v>70</v>
      </c>
      <c r="AL80" s="2">
        <v>15</v>
      </c>
      <c r="AM80" s="2">
        <v>50</v>
      </c>
      <c r="AN80" s="2">
        <f>50+20+20+10</f>
        <v>100</v>
      </c>
      <c r="AO80" s="2">
        <v>50</v>
      </c>
      <c r="AP80" s="2">
        <v>30</v>
      </c>
      <c r="AQ80" s="2">
        <f>2+4+4</f>
        <v>10</v>
      </c>
      <c r="AR80" s="2">
        <v>50</v>
      </c>
      <c r="AS80" s="2">
        <f>10+5</f>
        <v>15</v>
      </c>
      <c r="AT80" s="2">
        <v>10</v>
      </c>
      <c r="AU80" s="2"/>
      <c r="AV80" s="2">
        <v>60</v>
      </c>
      <c r="AW80" s="2"/>
      <c r="AX80" s="2">
        <f>22+28</f>
        <v>50</v>
      </c>
      <c r="AY80" s="2">
        <v>40</v>
      </c>
      <c r="AZ80" s="2"/>
      <c r="BA80" s="2"/>
      <c r="BB80" s="2"/>
      <c r="BC80" s="2"/>
      <c r="BD80" s="2">
        <f>3+2+1+3+6</f>
        <v>15</v>
      </c>
      <c r="BE80" s="2"/>
      <c r="BF80" s="2">
        <v>3</v>
      </c>
      <c r="BG80" s="2"/>
      <c r="BH80" s="2"/>
      <c r="BI80" s="2">
        <v>1</v>
      </c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>
        <f>150+50+50</f>
        <v>250</v>
      </c>
      <c r="CM80" s="2"/>
      <c r="CN80" s="2">
        <v>60</v>
      </c>
      <c r="CO80" s="2">
        <v>80</v>
      </c>
      <c r="CP80" s="2">
        <f>50+10</f>
        <v>60</v>
      </c>
      <c r="CQ80" s="2">
        <v>1</v>
      </c>
      <c r="CR80" s="2"/>
      <c r="CS80" s="2">
        <v>5</v>
      </c>
      <c r="CT80" s="2"/>
      <c r="CU80" s="2">
        <v>30</v>
      </c>
      <c r="CV80" s="2">
        <v>10</v>
      </c>
      <c r="CW80" s="2"/>
      <c r="CX80" s="2"/>
      <c r="CY80" s="31">
        <v>1</v>
      </c>
      <c r="CZ80" s="2"/>
      <c r="DA80" s="2"/>
      <c r="DB80" s="2"/>
      <c r="DC80" s="2"/>
      <c r="DD80" s="2"/>
      <c r="DE80" s="2"/>
      <c r="DF80" s="2"/>
      <c r="DG80" s="2"/>
      <c r="DH80" s="2">
        <f t="shared" si="3"/>
        <v>1756</v>
      </c>
    </row>
    <row r="81" spans="2:112" x14ac:dyDescent="0.25">
      <c r="B81" s="2" t="s">
        <v>16</v>
      </c>
      <c r="C81" s="2" t="s">
        <v>48</v>
      </c>
      <c r="D81" s="39" t="s">
        <v>281</v>
      </c>
      <c r="E81" s="2">
        <f>70</f>
        <v>70</v>
      </c>
      <c r="F81" s="2">
        <f>25+10</f>
        <v>35</v>
      </c>
      <c r="G81" s="2">
        <f>15</f>
        <v>15</v>
      </c>
      <c r="H81" s="2">
        <v>20</v>
      </c>
      <c r="I81" s="2">
        <f>10+5</f>
        <v>15</v>
      </c>
      <c r="J81" s="2"/>
      <c r="K81" s="2">
        <f>20+15</f>
        <v>35</v>
      </c>
      <c r="L81" s="2">
        <v>20</v>
      </c>
      <c r="M81" s="2">
        <f>8+2</f>
        <v>10</v>
      </c>
      <c r="N81" s="2">
        <v>30</v>
      </c>
      <c r="O81" s="2">
        <f>2+8</f>
        <v>10</v>
      </c>
      <c r="P81" s="2">
        <f>20+2</f>
        <v>22</v>
      </c>
      <c r="Q81" s="2">
        <v>20</v>
      </c>
      <c r="R81" s="2">
        <v>20</v>
      </c>
      <c r="S81" s="2">
        <f>20+11+3</f>
        <v>34</v>
      </c>
      <c r="T81" s="2">
        <f>1200/24</f>
        <v>50</v>
      </c>
      <c r="U81" s="2"/>
      <c r="V81" s="2">
        <v>4</v>
      </c>
      <c r="W81" s="2">
        <v>30</v>
      </c>
      <c r="X81" s="2">
        <v>34</v>
      </c>
      <c r="Y81" s="2"/>
      <c r="Z81" s="2"/>
      <c r="AA81" s="2">
        <v>15</v>
      </c>
      <c r="AB81" s="2">
        <v>60</v>
      </c>
      <c r="AC81" s="2">
        <v>10</v>
      </c>
      <c r="AD81" s="2">
        <v>45</v>
      </c>
      <c r="AE81" s="2"/>
      <c r="AF81" s="2">
        <v>10</v>
      </c>
      <c r="AG81" s="2">
        <v>30</v>
      </c>
      <c r="AH81" s="2">
        <f>4+16</f>
        <v>20</v>
      </c>
      <c r="AI81" s="2"/>
      <c r="AJ81" s="2">
        <f>16+25+50+15</f>
        <v>106</v>
      </c>
      <c r="AK81" s="2">
        <f>30+20</f>
        <v>50</v>
      </c>
      <c r="AL81" s="2">
        <v>10</v>
      </c>
      <c r="AM81" s="2">
        <v>20</v>
      </c>
      <c r="AN81" s="2">
        <f>50+20+40+15</f>
        <v>125</v>
      </c>
      <c r="AO81" s="2">
        <v>50</v>
      </c>
      <c r="AP81" s="2">
        <v>30</v>
      </c>
      <c r="AQ81" s="2">
        <f>5+20+15</f>
        <v>40</v>
      </c>
      <c r="AR81" s="2">
        <v>70</v>
      </c>
      <c r="AS81" s="2">
        <v>10</v>
      </c>
      <c r="AT81" s="2">
        <f>40+30</f>
        <v>70</v>
      </c>
      <c r="AU81" s="2">
        <v>20</v>
      </c>
      <c r="AV81" s="2">
        <v>20</v>
      </c>
      <c r="AW81" s="2"/>
      <c r="AX81" s="2">
        <f>1+10+8+10</f>
        <v>29</v>
      </c>
      <c r="AY81" s="2">
        <v>50</v>
      </c>
      <c r="AZ81" s="2">
        <f>25+1</f>
        <v>26</v>
      </c>
      <c r="BA81" s="2"/>
      <c r="BB81" s="2"/>
      <c r="BC81" s="2"/>
      <c r="BD81" s="2"/>
      <c r="BE81" s="2"/>
      <c r="BF81" s="2">
        <f>6+6+2+1</f>
        <v>15</v>
      </c>
      <c r="BG81" s="2">
        <v>15</v>
      </c>
      <c r="BH81" s="2"/>
      <c r="BI81" s="2">
        <f>6+2+5</f>
        <v>13</v>
      </c>
      <c r="BJ81" s="2">
        <v>10</v>
      </c>
      <c r="BK81" s="2"/>
      <c r="BL81" s="2">
        <f>16+10</f>
        <v>26</v>
      </c>
      <c r="BM81" s="2">
        <v>20</v>
      </c>
      <c r="BN81" s="2"/>
      <c r="BO81" s="2">
        <v>20</v>
      </c>
      <c r="BP81" s="2">
        <v>10</v>
      </c>
      <c r="BQ81" s="2">
        <f>4+12+16</f>
        <v>32</v>
      </c>
      <c r="BR81" s="2">
        <v>10</v>
      </c>
      <c r="BS81" s="2"/>
      <c r="BT81" s="2">
        <f>29+12+50</f>
        <v>91</v>
      </c>
      <c r="BU81" s="2"/>
      <c r="BV81" s="2">
        <v>1</v>
      </c>
      <c r="BW81" s="2">
        <v>10</v>
      </c>
      <c r="BX81" s="2"/>
      <c r="BY81" s="2"/>
      <c r="BZ81" s="2"/>
      <c r="CA81" s="2"/>
      <c r="CB81" s="2"/>
      <c r="CC81" s="2"/>
      <c r="CD81" s="2">
        <v>1</v>
      </c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>
        <v>60</v>
      </c>
      <c r="CS81" s="2">
        <v>21</v>
      </c>
      <c r="CT81" s="2">
        <v>90</v>
      </c>
      <c r="CU81" s="2"/>
      <c r="CV81" s="2">
        <f>3+50</f>
        <v>53</v>
      </c>
      <c r="CW81" s="2"/>
      <c r="CX81" s="2">
        <v>1</v>
      </c>
      <c r="CY81" s="2"/>
      <c r="CZ81" s="2"/>
      <c r="DA81" s="2"/>
      <c r="DB81" s="2"/>
      <c r="DC81" s="2"/>
      <c r="DD81" s="2"/>
      <c r="DE81" s="2"/>
      <c r="DF81" s="2"/>
      <c r="DG81" s="2"/>
      <c r="DH81" s="2">
        <f t="shared" si="3"/>
        <v>1889</v>
      </c>
    </row>
    <row r="82" spans="2:112" x14ac:dyDescent="0.25">
      <c r="B82" s="2" t="s">
        <v>17</v>
      </c>
      <c r="C82" s="2" t="s">
        <v>48</v>
      </c>
      <c r="D82" s="39" t="s">
        <v>281</v>
      </c>
      <c r="E82" s="2">
        <f>60</f>
        <v>60</v>
      </c>
      <c r="F82" s="2">
        <f>25+10</f>
        <v>35</v>
      </c>
      <c r="G82" s="2">
        <f>40</f>
        <v>40</v>
      </c>
      <c r="H82" s="2">
        <v>40</v>
      </c>
      <c r="I82" s="2">
        <f>15+10</f>
        <v>25</v>
      </c>
      <c r="J82" s="2"/>
      <c r="K82" s="2">
        <f>10+40</f>
        <v>50</v>
      </c>
      <c r="L82" s="2">
        <v>20</v>
      </c>
      <c r="M82" s="2"/>
      <c r="N82" s="2">
        <v>20</v>
      </c>
      <c r="O82" s="2"/>
      <c r="P82" s="2">
        <v>125</v>
      </c>
      <c r="Q82" s="2">
        <f>50+100</f>
        <v>150</v>
      </c>
      <c r="R82" s="2">
        <v>40</v>
      </c>
      <c r="S82" s="2">
        <f>50+25+15</f>
        <v>90</v>
      </c>
      <c r="T82" s="2">
        <f>2280/24</f>
        <v>95</v>
      </c>
      <c r="U82" s="2"/>
      <c r="V82" s="2"/>
      <c r="W82" s="2"/>
      <c r="X82" s="2"/>
      <c r="Y82" s="2"/>
      <c r="Z82" s="2"/>
      <c r="AA82" s="2"/>
      <c r="AB82" s="2">
        <v>370</v>
      </c>
      <c r="AC82" s="2">
        <v>150</v>
      </c>
      <c r="AD82" s="2">
        <v>167</v>
      </c>
      <c r="AE82" s="2"/>
      <c r="AF82" s="2">
        <v>50</v>
      </c>
      <c r="AG82" s="2">
        <v>100</v>
      </c>
      <c r="AH82" s="2">
        <f>50+20+80</f>
        <v>150</v>
      </c>
      <c r="AI82" s="2">
        <v>10</v>
      </c>
      <c r="AJ82" s="2">
        <f>16+100+100+25</f>
        <v>241</v>
      </c>
      <c r="AK82" s="2">
        <f>175+50</f>
        <v>225</v>
      </c>
      <c r="AL82" s="2">
        <v>50</v>
      </c>
      <c r="AM82" s="2">
        <v>40</v>
      </c>
      <c r="AN82" s="2">
        <f>150+90+64+10</f>
        <v>314</v>
      </c>
      <c r="AO82" s="2">
        <v>32</v>
      </c>
      <c r="AP82" s="2">
        <v>2</v>
      </c>
      <c r="AQ82" s="2"/>
      <c r="AR82" s="2">
        <v>160</v>
      </c>
      <c r="AS82" s="2">
        <f>80+10+40+1</f>
        <v>131</v>
      </c>
      <c r="AT82" s="2">
        <f>60+70</f>
        <v>130</v>
      </c>
      <c r="AU82" s="2">
        <v>50</v>
      </c>
      <c r="AV82" s="2">
        <v>50</v>
      </c>
      <c r="AW82" s="2"/>
      <c r="AX82" s="2">
        <f>6+67+8+75</f>
        <v>156</v>
      </c>
      <c r="AY82" s="2">
        <v>100</v>
      </c>
      <c r="AZ82" s="2">
        <f>30+2</f>
        <v>32</v>
      </c>
      <c r="BA82" s="2"/>
      <c r="BB82" s="2">
        <v>2</v>
      </c>
      <c r="BC82" s="2"/>
      <c r="BD82" s="2">
        <v>10</v>
      </c>
      <c r="BE82" s="2"/>
      <c r="BF82" s="2">
        <f>45+15+10+1</f>
        <v>71</v>
      </c>
      <c r="BG82" s="2">
        <v>90</v>
      </c>
      <c r="BH82" s="2"/>
      <c r="BI82" s="2">
        <f>25+10+5+30</f>
        <v>70</v>
      </c>
      <c r="BJ82" s="2"/>
      <c r="BK82" s="2"/>
      <c r="BL82" s="2">
        <f>12+10</f>
        <v>22</v>
      </c>
      <c r="BM82" s="2">
        <v>24</v>
      </c>
      <c r="BN82" s="2">
        <v>1</v>
      </c>
      <c r="BO82" s="2"/>
      <c r="BP82" s="2">
        <v>100</v>
      </c>
      <c r="BQ82" s="2">
        <f>3+50+60</f>
        <v>113</v>
      </c>
      <c r="BR82" s="2">
        <v>30</v>
      </c>
      <c r="BS82" s="2"/>
      <c r="BT82" s="2">
        <f>62+21+166</f>
        <v>249</v>
      </c>
      <c r="BU82" s="2">
        <v>1</v>
      </c>
      <c r="BV82" s="2"/>
      <c r="BW82" s="2">
        <v>30</v>
      </c>
      <c r="BX82" s="2">
        <v>170</v>
      </c>
      <c r="BY82" s="2"/>
      <c r="BZ82" s="2">
        <v>50</v>
      </c>
      <c r="CA82" s="2"/>
      <c r="CB82" s="2">
        <v>70</v>
      </c>
      <c r="CC82" s="2">
        <f>40+50+15</f>
        <v>105</v>
      </c>
      <c r="CD82" s="2">
        <v>2</v>
      </c>
      <c r="CE82" s="2">
        <v>13</v>
      </c>
      <c r="CF82" s="2">
        <v>50</v>
      </c>
      <c r="CG82" s="2">
        <v>25</v>
      </c>
      <c r="CH82" s="2"/>
      <c r="CI82" s="2">
        <v>20</v>
      </c>
      <c r="CJ82" s="2">
        <v>2</v>
      </c>
      <c r="CK82" s="2">
        <v>1</v>
      </c>
      <c r="CL82" s="2">
        <f>50+32</f>
        <v>82</v>
      </c>
      <c r="CM82" s="2">
        <v>80</v>
      </c>
      <c r="CN82" s="2">
        <v>50</v>
      </c>
      <c r="CO82" s="2">
        <v>70</v>
      </c>
      <c r="CP82" s="2">
        <v>40</v>
      </c>
      <c r="CQ82" s="2">
        <v>1</v>
      </c>
      <c r="CR82" s="2"/>
      <c r="CS82" s="2">
        <v>49</v>
      </c>
      <c r="CT82" s="2"/>
      <c r="CU82" s="2">
        <v>50</v>
      </c>
      <c r="CV82" s="2">
        <v>30</v>
      </c>
      <c r="CW82" s="2">
        <v>1</v>
      </c>
      <c r="CX82" s="2">
        <v>3</v>
      </c>
      <c r="CY82" s="2"/>
      <c r="CZ82" s="2"/>
      <c r="DA82" s="2"/>
      <c r="DB82" s="2"/>
      <c r="DC82" s="2"/>
      <c r="DD82" s="2"/>
      <c r="DE82" s="2"/>
      <c r="DF82" s="2"/>
      <c r="DG82" s="2"/>
      <c r="DH82" s="2">
        <f t="shared" si="3"/>
        <v>5277</v>
      </c>
    </row>
    <row r="83" spans="2:112" x14ac:dyDescent="0.25">
      <c r="B83" s="2" t="s">
        <v>18</v>
      </c>
      <c r="C83" s="2" t="s">
        <v>48</v>
      </c>
      <c r="D83" s="39" t="s">
        <v>281</v>
      </c>
      <c r="E83" s="2">
        <f>40</f>
        <v>40</v>
      </c>
      <c r="F83" s="2">
        <f>15+5</f>
        <v>20</v>
      </c>
      <c r="G83" s="2">
        <f>20</f>
        <v>20</v>
      </c>
      <c r="H83" s="2">
        <v>15</v>
      </c>
      <c r="I83" s="2">
        <f>7+3</f>
        <v>10</v>
      </c>
      <c r="J83" s="2"/>
      <c r="K83" s="2">
        <f>20+20</f>
        <v>40</v>
      </c>
      <c r="L83" s="2">
        <v>50</v>
      </c>
      <c r="M83" s="2">
        <f>8+6</f>
        <v>14</v>
      </c>
      <c r="N83" s="2">
        <v>60</v>
      </c>
      <c r="O83" s="2"/>
      <c r="P83" s="2">
        <v>15</v>
      </c>
      <c r="Q83" s="2"/>
      <c r="R83" s="2">
        <v>10</v>
      </c>
      <c r="S83" s="2">
        <f>30+15</f>
        <v>45</v>
      </c>
      <c r="T83" s="2">
        <f>1200/24</f>
        <v>50</v>
      </c>
      <c r="U83" s="2"/>
      <c r="V83" s="2"/>
      <c r="W83" s="2">
        <v>45</v>
      </c>
      <c r="X83" s="2">
        <v>32</v>
      </c>
      <c r="Y83" s="2">
        <f>72/24</f>
        <v>3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>
        <f>16+25+100+5</f>
        <v>146</v>
      </c>
      <c r="AK83" s="2">
        <f>20+20</f>
        <v>40</v>
      </c>
      <c r="AL83" s="2">
        <v>10</v>
      </c>
      <c r="AM83" s="2">
        <v>65</v>
      </c>
      <c r="AN83" s="2">
        <f>30+4+5</f>
        <v>39</v>
      </c>
      <c r="AO83" s="2"/>
      <c r="AP83" s="2"/>
      <c r="AQ83" s="2"/>
      <c r="AR83" s="2">
        <v>110</v>
      </c>
      <c r="AS83" s="2">
        <f>20+5+5</f>
        <v>30</v>
      </c>
      <c r="AT83" s="2">
        <f>20+10</f>
        <v>30</v>
      </c>
      <c r="AU83" s="2">
        <v>20</v>
      </c>
      <c r="AV83" s="2">
        <v>10</v>
      </c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>
        <v>1</v>
      </c>
      <c r="CL83" s="2">
        <f>150+50+32</f>
        <v>232</v>
      </c>
      <c r="CM83" s="2"/>
      <c r="CN83" s="2">
        <v>20</v>
      </c>
      <c r="CO83" s="2">
        <v>60</v>
      </c>
      <c r="CP83" s="2">
        <v>10</v>
      </c>
      <c r="CQ83" s="2"/>
      <c r="CR83" s="2"/>
      <c r="CS83" s="2">
        <v>22</v>
      </c>
      <c r="CT83" s="2">
        <v>30</v>
      </c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>
        <f t="shared" si="3"/>
        <v>1344</v>
      </c>
    </row>
    <row r="84" spans="2:112" x14ac:dyDescent="0.25">
      <c r="B84" s="42" t="s">
        <v>19</v>
      </c>
      <c r="C84" s="2" t="s">
        <v>48</v>
      </c>
      <c r="D84" s="39" t="s">
        <v>281</v>
      </c>
      <c r="E84" s="2">
        <f>70</f>
        <v>70</v>
      </c>
      <c r="F84" s="2">
        <f>25+5</f>
        <v>30</v>
      </c>
      <c r="G84" s="2">
        <f>30</f>
        <v>30</v>
      </c>
      <c r="H84" s="2">
        <v>30</v>
      </c>
      <c r="I84" s="2">
        <f>25+5</f>
        <v>30</v>
      </c>
      <c r="J84" s="2"/>
      <c r="K84" s="2">
        <f>20+30</f>
        <v>50</v>
      </c>
      <c r="L84" s="2">
        <v>15</v>
      </c>
      <c r="M84" s="2">
        <f>3+2</f>
        <v>5</v>
      </c>
      <c r="N84" s="2">
        <v>19</v>
      </c>
      <c r="O84" s="2"/>
      <c r="P84" s="2">
        <f>125+8</f>
        <v>133</v>
      </c>
      <c r="Q84" s="2">
        <v>125</v>
      </c>
      <c r="R84" s="2">
        <v>30</v>
      </c>
      <c r="S84" s="2">
        <f>60+25+15+2</f>
        <v>102</v>
      </c>
      <c r="T84" s="2">
        <f>1512/24</f>
        <v>63</v>
      </c>
      <c r="U84" s="2"/>
      <c r="V84" s="2"/>
      <c r="W84" s="2"/>
      <c r="X84" s="2">
        <f>30+7</f>
        <v>37</v>
      </c>
      <c r="Y84" s="2">
        <f>240/24</f>
        <v>10</v>
      </c>
      <c r="Z84" s="2"/>
      <c r="AA84" s="2"/>
      <c r="AB84" s="2">
        <v>80</v>
      </c>
      <c r="AC84" s="2">
        <v>10</v>
      </c>
      <c r="AD84" s="2">
        <v>20</v>
      </c>
      <c r="AE84" s="2"/>
      <c r="AF84" s="2"/>
      <c r="AG84" s="2">
        <v>31</v>
      </c>
      <c r="AH84" s="2">
        <f>4+5</f>
        <v>9</v>
      </c>
      <c r="AI84" s="2"/>
      <c r="AJ84" s="2">
        <f>16+20+125+5</f>
        <v>166</v>
      </c>
      <c r="AK84" s="2">
        <f>30+20</f>
        <v>50</v>
      </c>
      <c r="AL84" s="2">
        <v>15</v>
      </c>
      <c r="AM84" s="2">
        <v>80</v>
      </c>
      <c r="AN84" s="2">
        <f>30+10+35+5</f>
        <v>80</v>
      </c>
      <c r="AO84" s="2">
        <v>60</v>
      </c>
      <c r="AP84" s="2">
        <v>30</v>
      </c>
      <c r="AQ84" s="2">
        <f>3+6+10</f>
        <v>19</v>
      </c>
      <c r="AR84" s="2">
        <v>110</v>
      </c>
      <c r="AS84" s="2">
        <f>25+10+2</f>
        <v>37</v>
      </c>
      <c r="AT84" s="2">
        <f>30+15</f>
        <v>45</v>
      </c>
      <c r="AU84" s="2">
        <v>40</v>
      </c>
      <c r="AV84" s="2">
        <v>50</v>
      </c>
      <c r="AW84" s="2"/>
      <c r="AX84" s="2">
        <f>1+40+10+50</f>
        <v>101</v>
      </c>
      <c r="AY84" s="2">
        <v>50</v>
      </c>
      <c r="AZ84" s="2">
        <f>20+2</f>
        <v>22</v>
      </c>
      <c r="BA84" s="2"/>
      <c r="BB84" s="2">
        <v>1</v>
      </c>
      <c r="BC84" s="2"/>
      <c r="BD84" s="2">
        <f>10+12+8</f>
        <v>30</v>
      </c>
      <c r="BE84" s="2"/>
      <c r="BF84" s="2">
        <f>20+18+6+1+10</f>
        <v>55</v>
      </c>
      <c r="BG84" s="2"/>
      <c r="BH84" s="2"/>
      <c r="BI84" s="2">
        <f>4+5+5+30+40</f>
        <v>84</v>
      </c>
      <c r="BJ84" s="2"/>
      <c r="BK84" s="2">
        <v>20</v>
      </c>
      <c r="BL84" s="2">
        <v>10</v>
      </c>
      <c r="BM84" s="2">
        <v>15</v>
      </c>
      <c r="BN84" s="2"/>
      <c r="BO84" s="2">
        <v>40</v>
      </c>
      <c r="BP84" s="2">
        <v>100</v>
      </c>
      <c r="BQ84" s="2">
        <f>9+20+30</f>
        <v>59</v>
      </c>
      <c r="BR84" s="2">
        <v>10</v>
      </c>
      <c r="BS84" s="2"/>
      <c r="BT84" s="2">
        <f>20+8+62</f>
        <v>90</v>
      </c>
      <c r="BU84" s="2"/>
      <c r="BV84" s="2">
        <v>1</v>
      </c>
      <c r="BW84" s="2"/>
      <c r="BX84" s="2">
        <v>30</v>
      </c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>
        <f>100+33</f>
        <v>133</v>
      </c>
      <c r="CM84" s="2"/>
      <c r="CN84" s="2">
        <v>20</v>
      </c>
      <c r="CO84" s="2">
        <v>30</v>
      </c>
      <c r="CP84" s="2">
        <v>25</v>
      </c>
      <c r="CQ84" s="2"/>
      <c r="CR84" s="2"/>
      <c r="CS84" s="2">
        <v>49</v>
      </c>
      <c r="CT84" s="2"/>
      <c r="CU84" s="2">
        <v>90</v>
      </c>
      <c r="CV84" s="2">
        <v>40</v>
      </c>
      <c r="CW84" s="2">
        <v>3</v>
      </c>
      <c r="CX84" s="2">
        <v>3</v>
      </c>
      <c r="CY84" s="2"/>
      <c r="CZ84" s="2"/>
      <c r="DA84" s="2"/>
      <c r="DB84" s="2"/>
      <c r="DC84" s="2"/>
      <c r="DD84" s="2"/>
      <c r="DE84" s="2"/>
      <c r="DF84" s="2"/>
      <c r="DG84" s="2"/>
      <c r="DH84" s="2">
        <f t="shared" si="3"/>
        <v>2822</v>
      </c>
    </row>
    <row r="85" spans="2:112" x14ac:dyDescent="0.25">
      <c r="B85" s="2" t="s">
        <v>107</v>
      </c>
      <c r="C85" s="2" t="s">
        <v>48</v>
      </c>
      <c r="D85" s="39" t="s">
        <v>283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60</v>
      </c>
      <c r="Q85" s="2">
        <v>25</v>
      </c>
      <c r="R85" s="2">
        <v>40</v>
      </c>
      <c r="S85" s="2">
        <f>40-17+40+25+5+17</f>
        <v>110</v>
      </c>
      <c r="T85" s="2">
        <f>600/12</f>
        <v>50</v>
      </c>
      <c r="U85" s="2"/>
      <c r="V85" s="2"/>
      <c r="W85" s="2">
        <v>20</v>
      </c>
      <c r="X85" s="2"/>
      <c r="Y85" s="2"/>
      <c r="Z85" s="2"/>
      <c r="AA85" s="2"/>
      <c r="AB85" s="2">
        <v>40</v>
      </c>
      <c r="AC85" s="2">
        <v>20</v>
      </c>
      <c r="AD85" s="2">
        <v>15</v>
      </c>
      <c r="AE85" s="2"/>
      <c r="AF85" s="2">
        <v>20</v>
      </c>
      <c r="AG85" s="2"/>
      <c r="AH85" s="2"/>
      <c r="AI85" s="2"/>
      <c r="AJ85" s="2">
        <v>5</v>
      </c>
      <c r="AK85" s="2">
        <f>40+20</f>
        <v>60</v>
      </c>
      <c r="AL85" s="2">
        <v>5</v>
      </c>
      <c r="AM85" s="2">
        <v>60</v>
      </c>
      <c r="AN85" s="2">
        <v>30</v>
      </c>
      <c r="AO85" s="2">
        <v>20</v>
      </c>
      <c r="AP85" s="2">
        <v>20</v>
      </c>
      <c r="AQ85" s="2">
        <f>10+4</f>
        <v>14</v>
      </c>
      <c r="AR85" s="2"/>
      <c r="AS85" s="2"/>
      <c r="AT85" s="2">
        <v>20</v>
      </c>
      <c r="AU85" s="2">
        <v>20</v>
      </c>
      <c r="AV85" s="2">
        <v>80</v>
      </c>
      <c r="AW85" s="2"/>
      <c r="AX85" s="2">
        <f>40+60</f>
        <v>100</v>
      </c>
      <c r="AY85" s="2">
        <v>50</v>
      </c>
      <c r="AZ85" s="2"/>
      <c r="BA85" s="2"/>
      <c r="BB85" s="2"/>
      <c r="BC85" s="2"/>
      <c r="BD85" s="2"/>
      <c r="BE85" s="2"/>
      <c r="BF85" s="2"/>
      <c r="BG85" s="2">
        <v>40</v>
      </c>
      <c r="BH85" s="2"/>
      <c r="BI85" s="2">
        <v>30</v>
      </c>
      <c r="BJ85" s="2">
        <v>20</v>
      </c>
      <c r="BK85" s="2"/>
      <c r="BL85" s="2"/>
      <c r="BM85" s="2"/>
      <c r="BN85" s="2"/>
      <c r="BO85" s="2"/>
      <c r="BP85" s="2">
        <v>20</v>
      </c>
      <c r="BQ85" s="2">
        <v>15</v>
      </c>
      <c r="BR85" s="2"/>
      <c r="BS85" s="2"/>
      <c r="BT85" s="2">
        <v>1</v>
      </c>
      <c r="BU85" s="2"/>
      <c r="BV85" s="2"/>
      <c r="BW85" s="2">
        <v>9</v>
      </c>
      <c r="BX85" s="2">
        <v>40</v>
      </c>
      <c r="BY85" s="2"/>
      <c r="BZ85" s="2"/>
      <c r="CA85" s="2">
        <f>6+6+3</f>
        <v>15</v>
      </c>
      <c r="CB85" s="2">
        <v>20</v>
      </c>
      <c r="CC85" s="2">
        <v>3</v>
      </c>
      <c r="CD85" s="2"/>
      <c r="CE85" s="2"/>
      <c r="CF85" s="2">
        <v>25</v>
      </c>
      <c r="CG85" s="2"/>
      <c r="CH85" s="2"/>
      <c r="CI85" s="2">
        <v>1</v>
      </c>
      <c r="CJ85" s="2"/>
      <c r="CK85" s="2"/>
      <c r="CL85" s="2"/>
      <c r="CM85" s="2">
        <v>10</v>
      </c>
      <c r="CN85" s="2">
        <v>10</v>
      </c>
      <c r="CO85" s="2">
        <v>20</v>
      </c>
      <c r="CP85" s="2">
        <v>72</v>
      </c>
      <c r="CQ85" s="2"/>
      <c r="CR85" s="2"/>
      <c r="CS85" s="2"/>
      <c r="CT85" s="2">
        <v>64</v>
      </c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>
        <f t="shared" si="3"/>
        <v>1299</v>
      </c>
    </row>
    <row r="86" spans="2:112" x14ac:dyDescent="0.25">
      <c r="B86" s="2" t="s">
        <v>20</v>
      </c>
      <c r="C86" s="2" t="s">
        <v>48</v>
      </c>
      <c r="D86" s="39" t="s">
        <v>281</v>
      </c>
      <c r="E86" s="2">
        <f>40</f>
        <v>40</v>
      </c>
      <c r="F86" s="2">
        <f>13+6</f>
        <v>19</v>
      </c>
      <c r="G86" s="2">
        <f>20</f>
        <v>20</v>
      </c>
      <c r="H86" s="2">
        <v>15</v>
      </c>
      <c r="I86" s="2">
        <f>8+3</f>
        <v>11</v>
      </c>
      <c r="J86" s="2"/>
      <c r="K86" s="2">
        <f>20+20</f>
        <v>40</v>
      </c>
      <c r="L86" s="2">
        <v>15</v>
      </c>
      <c r="M86" s="2">
        <f>10+5</f>
        <v>15</v>
      </c>
      <c r="N86" s="2">
        <f>50+14</f>
        <v>64</v>
      </c>
      <c r="O86" s="2"/>
      <c r="P86" s="2">
        <v>100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>
        <f>16+80+100+20</f>
        <v>216</v>
      </c>
      <c r="AK86" s="2">
        <f>150+50</f>
        <v>200</v>
      </c>
      <c r="AL86" s="2">
        <v>50</v>
      </c>
      <c r="AM86" s="2">
        <v>15</v>
      </c>
      <c r="AN86" s="2">
        <f>16+2+1</f>
        <v>19</v>
      </c>
      <c r="AO86" s="2"/>
      <c r="AP86" s="2"/>
      <c r="AQ86" s="2"/>
      <c r="AR86" s="2"/>
      <c r="AS86" s="2">
        <f>35+10+15+1</f>
        <v>61</v>
      </c>
      <c r="AT86" s="2">
        <f>50+40</f>
        <v>90</v>
      </c>
      <c r="AU86" s="2">
        <v>150</v>
      </c>
      <c r="AV86" s="2">
        <v>80</v>
      </c>
      <c r="AW86" s="2"/>
      <c r="AX86" s="2">
        <f>4+42+8+50</f>
        <v>104</v>
      </c>
      <c r="AY86" s="2">
        <v>100</v>
      </c>
      <c r="AZ86" s="2">
        <v>20</v>
      </c>
      <c r="BA86" s="2">
        <v>2</v>
      </c>
      <c r="BB86" s="2">
        <v>1</v>
      </c>
      <c r="BC86" s="2"/>
      <c r="BD86" s="2">
        <v>3</v>
      </c>
      <c r="BE86" s="2"/>
      <c r="BF86" s="2">
        <f>40+2+10</f>
        <v>52</v>
      </c>
      <c r="BG86" s="2">
        <v>20</v>
      </c>
      <c r="BH86" s="2"/>
      <c r="BI86" s="2">
        <f>17+5+7+50</f>
        <v>79</v>
      </c>
      <c r="BJ86" s="2">
        <v>15</v>
      </c>
      <c r="BK86" s="2"/>
      <c r="BL86" s="2">
        <v>7</v>
      </c>
      <c r="BM86" s="2"/>
      <c r="BN86" s="2">
        <v>1</v>
      </c>
      <c r="BO86" s="2">
        <v>30</v>
      </c>
      <c r="BP86" s="2">
        <v>20</v>
      </c>
      <c r="BQ86" s="2">
        <f>3+15+40</f>
        <v>58</v>
      </c>
      <c r="BR86" s="2">
        <v>10</v>
      </c>
      <c r="BS86" s="2"/>
      <c r="BT86" s="2">
        <f>20+8+62</f>
        <v>90</v>
      </c>
      <c r="BU86" s="2">
        <v>1</v>
      </c>
      <c r="BV86" s="2">
        <v>1</v>
      </c>
      <c r="BW86" s="2">
        <v>5</v>
      </c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>
        <f>100+33</f>
        <v>133</v>
      </c>
      <c r="CM86" s="2"/>
      <c r="CN86" s="2">
        <v>20</v>
      </c>
      <c r="CO86" s="31">
        <f>30+1</f>
        <v>31</v>
      </c>
      <c r="CP86" s="42">
        <v>25</v>
      </c>
      <c r="CQ86" s="2"/>
      <c r="CR86" s="2"/>
      <c r="CS86" s="2">
        <v>10</v>
      </c>
      <c r="CT86" s="2"/>
      <c r="CU86" s="2">
        <v>90</v>
      </c>
      <c r="CV86" s="2">
        <v>20</v>
      </c>
      <c r="CW86" s="2"/>
      <c r="CX86" s="2">
        <v>4</v>
      </c>
      <c r="CY86" s="2"/>
      <c r="CZ86" s="2"/>
      <c r="DA86" s="2"/>
      <c r="DB86" s="2"/>
      <c r="DC86" s="2"/>
      <c r="DD86" s="2"/>
      <c r="DE86" s="2"/>
      <c r="DF86" s="2"/>
      <c r="DG86" s="2"/>
      <c r="DH86" s="2">
        <f t="shared" si="3"/>
        <v>2172</v>
      </c>
    </row>
    <row r="87" spans="2:112" x14ac:dyDescent="0.25">
      <c r="B87" s="2" t="s">
        <v>22</v>
      </c>
      <c r="C87" s="2" t="s">
        <v>48</v>
      </c>
      <c r="D87" s="39" t="s">
        <v>281</v>
      </c>
      <c r="E87" s="2">
        <f>20</f>
        <v>20</v>
      </c>
      <c r="F87" s="2">
        <f>5+3</f>
        <v>8</v>
      </c>
      <c r="G87" s="2">
        <f>10</f>
        <v>10</v>
      </c>
      <c r="H87" s="2">
        <v>10</v>
      </c>
      <c r="I87" s="2">
        <f>7+5</f>
        <v>12</v>
      </c>
      <c r="J87" s="2"/>
      <c r="K87" s="2">
        <f>10+10</f>
        <v>20</v>
      </c>
      <c r="L87" s="2">
        <v>24</v>
      </c>
      <c r="M87" s="2">
        <f>5+5</f>
        <v>10</v>
      </c>
      <c r="N87" s="2">
        <v>5</v>
      </c>
      <c r="O87" s="2">
        <f>5+5</f>
        <v>10</v>
      </c>
      <c r="P87" s="2"/>
      <c r="Q87" s="2">
        <v>5</v>
      </c>
      <c r="R87" s="2"/>
      <c r="S87" s="2">
        <f>10+2</f>
        <v>12</v>
      </c>
      <c r="T87" s="2">
        <f>240/24</f>
        <v>10</v>
      </c>
      <c r="U87" s="2"/>
      <c r="V87" s="2"/>
      <c r="W87" s="2">
        <v>2</v>
      </c>
      <c r="X87" s="2">
        <v>11</v>
      </c>
      <c r="Y87" s="2"/>
      <c r="Z87" s="2"/>
      <c r="AA87" s="2">
        <v>12</v>
      </c>
      <c r="AB87" s="2">
        <v>10</v>
      </c>
      <c r="AC87" s="2">
        <v>5</v>
      </c>
      <c r="AD87" s="2">
        <v>2</v>
      </c>
      <c r="AE87" s="2"/>
      <c r="AF87" s="2">
        <v>5</v>
      </c>
      <c r="AG87" s="2">
        <v>8</v>
      </c>
      <c r="AH87" s="2">
        <f>1+5</f>
        <v>6</v>
      </c>
      <c r="AI87" s="2">
        <v>2</v>
      </c>
      <c r="AJ87" s="2">
        <f>4+10</f>
        <v>14</v>
      </c>
      <c r="AK87" s="2">
        <f>10+5</f>
        <v>15</v>
      </c>
      <c r="AL87" s="2">
        <v>1</v>
      </c>
      <c r="AM87" s="2">
        <v>20</v>
      </c>
      <c r="AN87" s="2">
        <f>3+5+2</f>
        <v>10</v>
      </c>
      <c r="AO87" s="2"/>
      <c r="AP87" s="2">
        <v>20</v>
      </c>
      <c r="AQ87" s="2">
        <f>1+10+9</f>
        <v>20</v>
      </c>
      <c r="AR87" s="2">
        <v>40</v>
      </c>
      <c r="AS87" s="2">
        <f>5+5</f>
        <v>10</v>
      </c>
      <c r="AT87" s="2">
        <f>5+5</f>
        <v>10</v>
      </c>
      <c r="AU87" s="2">
        <v>20</v>
      </c>
      <c r="AV87" s="2"/>
      <c r="AW87" s="2"/>
      <c r="AX87" s="2">
        <f>3+7</f>
        <v>10</v>
      </c>
      <c r="AY87" s="2">
        <v>5</v>
      </c>
      <c r="AZ87" s="2">
        <v>5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>
        <f>50+10+5</f>
        <v>65</v>
      </c>
      <c r="CM87" s="2"/>
      <c r="CN87" s="2">
        <v>23</v>
      </c>
      <c r="CO87" s="2">
        <v>30</v>
      </c>
      <c r="CP87" s="2">
        <v>30</v>
      </c>
      <c r="CQ87" s="2"/>
      <c r="CR87" s="2">
        <v>2</v>
      </c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>
        <f t="shared" si="3"/>
        <v>569</v>
      </c>
    </row>
    <row r="88" spans="2:112" s="8" customFormat="1" x14ac:dyDescent="0.25">
      <c r="B88" s="2" t="s">
        <v>23</v>
      </c>
      <c r="C88" s="2" t="s">
        <v>48</v>
      </c>
      <c r="D88" s="39" t="s">
        <v>281</v>
      </c>
      <c r="E88" s="2">
        <f>15</f>
        <v>15</v>
      </c>
      <c r="F88" s="2">
        <f>5+2</f>
        <v>7</v>
      </c>
      <c r="G88" s="2">
        <f>10</f>
        <v>10</v>
      </c>
      <c r="H88" s="2">
        <v>10</v>
      </c>
      <c r="I88" s="2">
        <f>6+2</f>
        <v>8</v>
      </c>
      <c r="J88" s="2"/>
      <c r="K88" s="2">
        <f>15+10</f>
        <v>25</v>
      </c>
      <c r="L88" s="2"/>
      <c r="M88" s="2">
        <f>10+3</f>
        <v>13</v>
      </c>
      <c r="N88" s="2">
        <f>5+25</f>
        <v>30</v>
      </c>
      <c r="O88" s="2">
        <f>3+4</f>
        <v>7</v>
      </c>
      <c r="P88" s="2"/>
      <c r="Q88" s="2">
        <v>10</v>
      </c>
      <c r="R88" s="2"/>
      <c r="S88" s="2">
        <f>3+2</f>
        <v>5</v>
      </c>
      <c r="T88" s="2"/>
      <c r="U88" s="2"/>
      <c r="V88" s="2"/>
      <c r="W88" s="2">
        <v>5</v>
      </c>
      <c r="X88" s="2"/>
      <c r="Y88" s="2"/>
      <c r="Z88" s="2"/>
      <c r="AA88" s="2">
        <v>10</v>
      </c>
      <c r="AB88" s="2">
        <v>15</v>
      </c>
      <c r="AC88" s="2"/>
      <c r="AD88" s="2"/>
      <c r="AE88" s="2"/>
      <c r="AF88" s="2"/>
      <c r="AG88" s="2"/>
      <c r="AH88" s="2">
        <v>10</v>
      </c>
      <c r="AI88" s="2">
        <f>4+2</f>
        <v>6</v>
      </c>
      <c r="AJ88" s="2">
        <f>1+2</f>
        <v>3</v>
      </c>
      <c r="AK88" s="2"/>
      <c r="AL88" s="2">
        <v>2</v>
      </c>
      <c r="AM88" s="2">
        <v>20</v>
      </c>
      <c r="AN88" s="2">
        <f>5+3</f>
        <v>8</v>
      </c>
      <c r="AO88" s="2"/>
      <c r="AP88" s="2"/>
      <c r="AQ88" s="2">
        <f>3+7+10</f>
        <v>20</v>
      </c>
      <c r="AR88" s="2">
        <v>40</v>
      </c>
      <c r="AS88" s="2">
        <f>10+5</f>
        <v>15</v>
      </c>
      <c r="AT88" s="2">
        <f>10+10</f>
        <v>20</v>
      </c>
      <c r="AU88" s="2">
        <v>20</v>
      </c>
      <c r="AV88" s="2"/>
      <c r="AW88" s="2"/>
      <c r="AX88" s="2">
        <v>1</v>
      </c>
      <c r="AY88" s="2">
        <v>10</v>
      </c>
      <c r="AZ88" s="2"/>
      <c r="BA88" s="2"/>
      <c r="BB88" s="2"/>
      <c r="BC88" s="2"/>
      <c r="BD88" s="2"/>
      <c r="BE88" s="2"/>
      <c r="BF88" s="2">
        <v>2</v>
      </c>
      <c r="BG88" s="2">
        <v>5</v>
      </c>
      <c r="BH88" s="2"/>
      <c r="BI88" s="2">
        <v>2</v>
      </c>
      <c r="BJ88" s="2">
        <v>5</v>
      </c>
      <c r="BK88" s="2"/>
      <c r="BL88" s="2"/>
      <c r="BM88" s="2"/>
      <c r="BN88" s="2"/>
      <c r="BO88" s="2"/>
      <c r="BP88" s="2"/>
      <c r="BQ88" s="2">
        <f>1+7</f>
        <v>8</v>
      </c>
      <c r="BR88" s="2"/>
      <c r="BS88" s="2"/>
      <c r="BT88" s="2">
        <f>20+8+20</f>
        <v>48</v>
      </c>
      <c r="BU88" s="2"/>
      <c r="BV88" s="2"/>
      <c r="BW88" s="2"/>
      <c r="BX88" s="2"/>
      <c r="BY88" s="2"/>
      <c r="BZ88" s="2">
        <v>9</v>
      </c>
      <c r="CA88" s="2"/>
      <c r="CB88" s="2"/>
      <c r="CC88" s="2"/>
      <c r="CD88" s="2"/>
      <c r="CE88" s="2"/>
      <c r="CF88" s="2">
        <v>5</v>
      </c>
      <c r="CG88" s="2">
        <v>10</v>
      </c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>
        <v>5</v>
      </c>
      <c r="CS88" s="2"/>
      <c r="CT88" s="2"/>
      <c r="CU88" s="2">
        <v>50</v>
      </c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>
        <f t="shared" si="3"/>
        <v>494</v>
      </c>
    </row>
    <row r="89" spans="2:112" s="8" customFormat="1" x14ac:dyDescent="0.25">
      <c r="B89" s="2" t="s">
        <v>24</v>
      </c>
      <c r="C89" s="2" t="s">
        <v>48</v>
      </c>
      <c r="D89" s="39" t="s">
        <v>281</v>
      </c>
      <c r="E89" s="2">
        <f>60</f>
        <v>60</v>
      </c>
      <c r="F89" s="2">
        <f>25+10</f>
        <v>35</v>
      </c>
      <c r="G89" s="2">
        <f>40</f>
        <v>40</v>
      </c>
      <c r="H89" s="2">
        <v>30</v>
      </c>
      <c r="I89" s="2">
        <f>20+5</f>
        <v>25</v>
      </c>
      <c r="J89" s="2"/>
      <c r="K89" s="2">
        <f>20+40</f>
        <v>60</v>
      </c>
      <c r="L89" s="2">
        <v>20</v>
      </c>
      <c r="M89" s="2"/>
      <c r="N89" s="2">
        <v>20</v>
      </c>
      <c r="O89" s="2"/>
      <c r="P89" s="2">
        <f>125+21</f>
        <v>146</v>
      </c>
      <c r="Q89" s="2">
        <v>125</v>
      </c>
      <c r="R89" s="2">
        <v>40</v>
      </c>
      <c r="S89" s="2">
        <f>60+40+12+2</f>
        <v>114</v>
      </c>
      <c r="T89" s="2">
        <f>1512/24</f>
        <v>63</v>
      </c>
      <c r="U89" s="2"/>
      <c r="V89" s="2"/>
      <c r="W89" s="2"/>
      <c r="X89" s="2">
        <v>7</v>
      </c>
      <c r="Y89" s="2">
        <f>96/24</f>
        <v>4</v>
      </c>
      <c r="Z89" s="2"/>
      <c r="AA89" s="2"/>
      <c r="AB89" s="2">
        <v>230</v>
      </c>
      <c r="AC89" s="2">
        <v>150</v>
      </c>
      <c r="AD89" s="2">
        <v>200</v>
      </c>
      <c r="AE89" s="2"/>
      <c r="AF89" s="2">
        <v>7</v>
      </c>
      <c r="AG89" s="2">
        <v>170</v>
      </c>
      <c r="AH89" s="2">
        <f>20+10+50</f>
        <v>80</v>
      </c>
      <c r="AI89" s="2"/>
      <c r="AJ89" s="2">
        <f>16+95+100+20</f>
        <v>231</v>
      </c>
      <c r="AK89" s="2">
        <f>175+20</f>
        <v>195</v>
      </c>
      <c r="AL89" s="2">
        <v>60</v>
      </c>
      <c r="AM89" s="2"/>
      <c r="AN89" s="2">
        <v>50</v>
      </c>
      <c r="AO89" s="2">
        <v>22</v>
      </c>
      <c r="AP89" s="2">
        <v>6</v>
      </c>
      <c r="AQ89" s="2"/>
      <c r="AR89" s="2">
        <v>100</v>
      </c>
      <c r="AS89" s="2">
        <f>80+10+40+1</f>
        <v>131</v>
      </c>
      <c r="AT89" s="2">
        <f>50+70</f>
        <v>120</v>
      </c>
      <c r="AU89" s="2">
        <v>50</v>
      </c>
      <c r="AV89" s="2">
        <v>50</v>
      </c>
      <c r="AW89" s="2"/>
      <c r="AX89" s="2">
        <f>4+10+40</f>
        <v>54</v>
      </c>
      <c r="AY89" s="2">
        <v>100</v>
      </c>
      <c r="AZ89" s="2">
        <f>40+1</f>
        <v>41</v>
      </c>
      <c r="BA89" s="2">
        <v>1</v>
      </c>
      <c r="BB89" s="2"/>
      <c r="BC89" s="2">
        <v>1</v>
      </c>
      <c r="BD89" s="2">
        <f>40+3+20+6+3</f>
        <v>72</v>
      </c>
      <c r="BE89" s="2"/>
      <c r="BF89" s="2">
        <f>20+5+12</f>
        <v>37</v>
      </c>
      <c r="BG89" s="2">
        <v>40</v>
      </c>
      <c r="BH89" s="2"/>
      <c r="BI89" s="2">
        <f>7+6+20</f>
        <v>33</v>
      </c>
      <c r="BJ89" s="2"/>
      <c r="BK89" s="2"/>
      <c r="BL89" s="2">
        <f>10+26+8</f>
        <v>44</v>
      </c>
      <c r="BM89" s="2"/>
      <c r="BN89" s="2">
        <v>2</v>
      </c>
      <c r="BO89" s="2">
        <v>30</v>
      </c>
      <c r="BP89" s="2">
        <v>10</v>
      </c>
      <c r="BQ89" s="2">
        <f>2+22+50</f>
        <v>74</v>
      </c>
      <c r="BR89" s="2"/>
      <c r="BS89" s="2"/>
      <c r="BT89" s="2">
        <f>66+25+108</f>
        <v>199</v>
      </c>
      <c r="BU89" s="2"/>
      <c r="BV89" s="2">
        <v>3</v>
      </c>
      <c r="BW89" s="2"/>
      <c r="BX89" s="2">
        <v>125</v>
      </c>
      <c r="BY89" s="2"/>
      <c r="BZ89" s="2">
        <v>100</v>
      </c>
      <c r="CA89" s="2"/>
      <c r="CB89" s="2">
        <v>50</v>
      </c>
      <c r="CC89" s="2">
        <f>30+10+10</f>
        <v>50</v>
      </c>
      <c r="CD89" s="2">
        <v>4</v>
      </c>
      <c r="CE89" s="2"/>
      <c r="CF89" s="2">
        <v>40</v>
      </c>
      <c r="CG89" s="2">
        <v>42</v>
      </c>
      <c r="CH89" s="2"/>
      <c r="CI89" s="2">
        <v>20</v>
      </c>
      <c r="CJ89" s="2">
        <v>1</v>
      </c>
      <c r="CK89" s="2">
        <v>3</v>
      </c>
      <c r="CL89" s="2">
        <f>50+30</f>
        <v>80</v>
      </c>
      <c r="CM89" s="2">
        <v>50</v>
      </c>
      <c r="CN89" s="2"/>
      <c r="CO89" s="31">
        <v>1</v>
      </c>
      <c r="CP89" s="42">
        <v>10</v>
      </c>
      <c r="CQ89" s="2">
        <v>1</v>
      </c>
      <c r="CR89" s="2"/>
      <c r="CS89" s="2"/>
      <c r="CT89" s="2">
        <v>50</v>
      </c>
      <c r="CU89" s="2"/>
      <c r="CV89" s="2">
        <v>30</v>
      </c>
      <c r="CW89" s="2"/>
      <c r="CX89" s="2">
        <v>1</v>
      </c>
      <c r="CY89" s="2"/>
      <c r="CZ89" s="2"/>
      <c r="DA89" s="2"/>
      <c r="DB89" s="2"/>
      <c r="DC89" s="2"/>
      <c r="DD89" s="2"/>
      <c r="DE89" s="2"/>
      <c r="DF89" s="2"/>
      <c r="DG89" s="2"/>
      <c r="DH89" s="2">
        <f t="shared" si="3"/>
        <v>4040</v>
      </c>
    </row>
    <row r="90" spans="2:112" s="8" customFormat="1" x14ac:dyDescent="0.25">
      <c r="B90" s="2" t="s">
        <v>26</v>
      </c>
      <c r="C90" s="2" t="s">
        <v>48</v>
      </c>
      <c r="D90" s="39" t="s">
        <v>281</v>
      </c>
      <c r="E90" s="2">
        <f>20</f>
        <v>20</v>
      </c>
      <c r="F90" s="2">
        <f>9+2</f>
        <v>11</v>
      </c>
      <c r="G90" s="2">
        <f>13</f>
        <v>13</v>
      </c>
      <c r="H90" s="2">
        <v>10</v>
      </c>
      <c r="I90" s="2">
        <f>6+3</f>
        <v>9</v>
      </c>
      <c r="J90" s="2"/>
      <c r="K90" s="2">
        <f>20+13</f>
        <v>33</v>
      </c>
      <c r="L90" s="2"/>
      <c r="M90" s="2">
        <f>6+2</f>
        <v>8</v>
      </c>
      <c r="N90" s="2">
        <v>25</v>
      </c>
      <c r="O90" s="2"/>
      <c r="P90" s="2"/>
      <c r="Q90" s="2">
        <v>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>
        <v>80</v>
      </c>
      <c r="AS90" s="2">
        <f>16+2+10+10</f>
        <v>38</v>
      </c>
      <c r="AT90" s="2">
        <f>20+12</f>
        <v>32</v>
      </c>
      <c r="AU90" s="2">
        <v>5</v>
      </c>
      <c r="AV90" s="2"/>
      <c r="AW90" s="2"/>
      <c r="AX90" s="2">
        <v>2</v>
      </c>
      <c r="AY90" s="2">
        <v>40</v>
      </c>
      <c r="AZ90" s="2"/>
      <c r="BA90" s="2">
        <v>1</v>
      </c>
      <c r="BB90" s="2">
        <v>2</v>
      </c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>
        <f>20+10</f>
        <v>30</v>
      </c>
      <c r="CM90" s="2">
        <v>10</v>
      </c>
      <c r="CN90" s="2">
        <v>15</v>
      </c>
      <c r="CO90" s="2">
        <v>13</v>
      </c>
      <c r="CP90" s="2">
        <v>8</v>
      </c>
      <c r="CQ90" s="2"/>
      <c r="CR90" s="2"/>
      <c r="CS90" s="2"/>
      <c r="CT90" s="2">
        <v>50</v>
      </c>
      <c r="CU90" s="2"/>
      <c r="CV90" s="2">
        <v>3</v>
      </c>
      <c r="CW90" s="2"/>
      <c r="CX90" s="2">
        <v>1</v>
      </c>
      <c r="CY90" s="2"/>
      <c r="CZ90" s="2"/>
      <c r="DA90" s="2"/>
      <c r="DB90" s="2"/>
      <c r="DC90" s="2"/>
      <c r="DD90" s="2"/>
      <c r="DE90" s="2"/>
      <c r="DF90" s="2"/>
      <c r="DG90" s="2"/>
      <c r="DH90" s="2">
        <f t="shared" si="3"/>
        <v>462</v>
      </c>
    </row>
    <row r="91" spans="2:112" s="8" customFormat="1" x14ac:dyDescent="0.25">
      <c r="B91" s="2" t="s">
        <v>25</v>
      </c>
      <c r="C91" s="2" t="s">
        <v>48</v>
      </c>
      <c r="D91" s="39" t="s">
        <v>281</v>
      </c>
      <c r="E91" s="2">
        <f>20</f>
        <v>20</v>
      </c>
      <c r="F91" s="2">
        <f>10+3</f>
        <v>13</v>
      </c>
      <c r="G91" s="2">
        <f>10</f>
        <v>10</v>
      </c>
      <c r="H91" s="2">
        <v>10</v>
      </c>
      <c r="I91" s="2">
        <f>5+2</f>
        <v>7</v>
      </c>
      <c r="J91" s="2"/>
      <c r="K91" s="2">
        <f>15+10</f>
        <v>25</v>
      </c>
      <c r="L91" s="2">
        <v>50</v>
      </c>
      <c r="M91" s="2">
        <f>10+2</f>
        <v>12</v>
      </c>
      <c r="N91" s="2">
        <v>10</v>
      </c>
      <c r="O91" s="2">
        <f>2+6</f>
        <v>8</v>
      </c>
      <c r="P91" s="2"/>
      <c r="Q91" s="2">
        <v>40</v>
      </c>
      <c r="R91" s="2">
        <v>4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>
        <v>100</v>
      </c>
      <c r="AS91" s="2">
        <f>15+2+10+11</f>
        <v>38</v>
      </c>
      <c r="AT91" s="2">
        <v>12</v>
      </c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>
        <v>1</v>
      </c>
      <c r="CL91" s="2">
        <f>100+10+30</f>
        <v>140</v>
      </c>
      <c r="CM91" s="2"/>
      <c r="CN91" s="2">
        <v>15</v>
      </c>
      <c r="CO91" s="2">
        <v>13</v>
      </c>
      <c r="CP91" s="2">
        <v>3</v>
      </c>
      <c r="CQ91" s="2">
        <v>3</v>
      </c>
      <c r="CR91" s="2">
        <v>2</v>
      </c>
      <c r="CS91" s="2"/>
      <c r="CT91" s="2">
        <v>72</v>
      </c>
      <c r="CU91" s="2"/>
      <c r="CV91" s="2"/>
      <c r="CW91" s="2">
        <v>1</v>
      </c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>
        <f t="shared" si="3"/>
        <v>609</v>
      </c>
    </row>
    <row r="92" spans="2:112" x14ac:dyDescent="0.25">
      <c r="B92" s="2" t="s">
        <v>382</v>
      </c>
      <c r="C92" s="2" t="s">
        <v>48</v>
      </c>
      <c r="D92" s="54" t="s">
        <v>283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>
        <v>6</v>
      </c>
      <c r="BX92" s="2"/>
      <c r="BY92" s="2">
        <v>5</v>
      </c>
      <c r="BZ92" s="2">
        <v>1</v>
      </c>
      <c r="CA92" s="2">
        <f>6+7+2</f>
        <v>15</v>
      </c>
      <c r="CB92" s="2">
        <v>40</v>
      </c>
      <c r="CC92" s="2"/>
      <c r="CD92" s="2"/>
      <c r="CE92" s="2"/>
      <c r="CF92" s="2"/>
      <c r="CG92" s="2">
        <f>3+4</f>
        <v>7</v>
      </c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>
        <v>5</v>
      </c>
      <c r="CT92" s="2">
        <v>20</v>
      </c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>
        <f t="shared" si="3"/>
        <v>99</v>
      </c>
    </row>
    <row r="93" spans="2:112" x14ac:dyDescent="0.25">
      <c r="B93" s="2" t="s">
        <v>367</v>
      </c>
      <c r="C93" s="2" t="s">
        <v>48</v>
      </c>
      <c r="D93" s="54" t="s">
        <v>281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>
        <v>6</v>
      </c>
      <c r="BX93" s="2"/>
      <c r="BY93" s="2">
        <v>10</v>
      </c>
      <c r="BZ93" s="2">
        <v>1</v>
      </c>
      <c r="CA93" s="2">
        <f>6+7+2</f>
        <v>15</v>
      </c>
      <c r="CB93" s="2"/>
      <c r="CC93" s="2"/>
      <c r="CD93" s="2"/>
      <c r="CE93" s="2"/>
      <c r="CF93" s="2"/>
      <c r="CG93" s="2">
        <v>5</v>
      </c>
      <c r="CH93" s="2">
        <v>5</v>
      </c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>
        <v>7</v>
      </c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>
        <f t="shared" si="3"/>
        <v>49</v>
      </c>
    </row>
    <row r="94" spans="2:112" x14ac:dyDescent="0.25">
      <c r="B94" s="2" t="s">
        <v>366</v>
      </c>
      <c r="C94" s="2" t="s">
        <v>48</v>
      </c>
      <c r="D94" s="54" t="s">
        <v>281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>
        <v>6</v>
      </c>
      <c r="BX94" s="2"/>
      <c r="BY94" s="2">
        <v>15</v>
      </c>
      <c r="BZ94" s="2">
        <v>1</v>
      </c>
      <c r="CA94" s="2">
        <f>5+7+3</f>
        <v>15</v>
      </c>
      <c r="CB94" s="2"/>
      <c r="CC94" s="2"/>
      <c r="CD94" s="2"/>
      <c r="CE94" s="2"/>
      <c r="CF94" s="2"/>
      <c r="CG94" s="2">
        <f>2+12</f>
        <v>14</v>
      </c>
      <c r="CH94" s="2"/>
      <c r="CI94" s="2"/>
      <c r="CJ94" s="2"/>
      <c r="CK94" s="2"/>
      <c r="CL94" s="2"/>
      <c r="CM94" s="2"/>
      <c r="CN94" s="2">
        <v>3</v>
      </c>
      <c r="CO94" s="2"/>
      <c r="CP94" s="2">
        <v>4</v>
      </c>
      <c r="CQ94" s="2"/>
      <c r="CR94" s="2"/>
      <c r="CS94" s="2">
        <v>5</v>
      </c>
      <c r="CT94" s="2">
        <v>15</v>
      </c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>
        <f t="shared" si="3"/>
        <v>78</v>
      </c>
    </row>
    <row r="95" spans="2:112" x14ac:dyDescent="0.25">
      <c r="B95" s="2" t="s">
        <v>381</v>
      </c>
      <c r="C95" s="2" t="s">
        <v>48</v>
      </c>
      <c r="D95" s="54" t="s">
        <v>283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>
        <v>6</v>
      </c>
      <c r="BX95" s="2"/>
      <c r="BY95" s="2">
        <v>10</v>
      </c>
      <c r="BZ95" s="2">
        <v>4</v>
      </c>
      <c r="CA95" s="2">
        <f>6+7+2</f>
        <v>15</v>
      </c>
      <c r="CB95" s="2">
        <v>20</v>
      </c>
      <c r="CC95" s="2"/>
      <c r="CD95" s="2"/>
      <c r="CE95" s="2"/>
      <c r="CF95" s="2"/>
      <c r="CG95" s="2">
        <f>3+10</f>
        <v>13</v>
      </c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>
        <v>10</v>
      </c>
      <c r="CT95" s="2">
        <v>10</v>
      </c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>
        <f t="shared" si="3"/>
        <v>88</v>
      </c>
    </row>
    <row r="96" spans="2:112" x14ac:dyDescent="0.25">
      <c r="B96" s="2" t="s">
        <v>371</v>
      </c>
      <c r="C96" s="2" t="s">
        <v>48</v>
      </c>
      <c r="D96" s="54" t="s">
        <v>283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>
        <v>6</v>
      </c>
      <c r="BX96" s="2"/>
      <c r="BY96" s="2">
        <v>10</v>
      </c>
      <c r="BZ96" s="2">
        <v>8</v>
      </c>
      <c r="CA96" s="2">
        <f>7+6+2</f>
        <v>15</v>
      </c>
      <c r="CB96" s="2">
        <v>10</v>
      </c>
      <c r="CC96" s="2"/>
      <c r="CD96" s="2"/>
      <c r="CE96" s="2"/>
      <c r="CF96" s="2"/>
      <c r="CG96" s="2">
        <f>3+10</f>
        <v>13</v>
      </c>
      <c r="CH96" s="2">
        <v>10</v>
      </c>
      <c r="CI96" s="2"/>
      <c r="CJ96" s="2"/>
      <c r="CK96" s="2"/>
      <c r="CL96" s="2">
        <v>2</v>
      </c>
      <c r="CM96" s="2"/>
      <c r="CN96" s="2"/>
      <c r="CO96" s="2"/>
      <c r="CP96" s="2">
        <v>2</v>
      </c>
      <c r="CQ96" s="2"/>
      <c r="CR96" s="2"/>
      <c r="CS96" s="2">
        <v>3</v>
      </c>
      <c r="CT96" s="2">
        <v>20</v>
      </c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>
        <f t="shared" si="3"/>
        <v>99</v>
      </c>
    </row>
    <row r="97" spans="2:112" x14ac:dyDescent="0.25">
      <c r="B97" s="2" t="s">
        <v>379</v>
      </c>
      <c r="C97" s="2" t="s">
        <v>48</v>
      </c>
      <c r="D97" s="54" t="s">
        <v>283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>
        <v>6</v>
      </c>
      <c r="BX97" s="2"/>
      <c r="BY97" s="2">
        <v>5</v>
      </c>
      <c r="BZ97" s="2">
        <v>1</v>
      </c>
      <c r="CA97" s="2">
        <f>7+7+1</f>
        <v>15</v>
      </c>
      <c r="CB97" s="2">
        <v>20</v>
      </c>
      <c r="CC97" s="2"/>
      <c r="CD97" s="2"/>
      <c r="CE97" s="2"/>
      <c r="CF97" s="2"/>
      <c r="CG97" s="2">
        <f>1+4</f>
        <v>5</v>
      </c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>
        <v>10</v>
      </c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>
        <f t="shared" si="3"/>
        <v>62</v>
      </c>
    </row>
    <row r="98" spans="2:112" ht="15.6" customHeight="1" x14ac:dyDescent="0.25">
      <c r="B98" s="2" t="s">
        <v>355</v>
      </c>
      <c r="C98" s="2" t="s">
        <v>48</v>
      </c>
      <c r="D98" s="39" t="s">
        <v>281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>
        <v>6</v>
      </c>
      <c r="BX98" s="2"/>
      <c r="BY98" s="2">
        <v>10</v>
      </c>
      <c r="BZ98" s="2">
        <v>10</v>
      </c>
      <c r="CA98" s="2">
        <f>6+6+3</f>
        <v>15</v>
      </c>
      <c r="CB98" s="2"/>
      <c r="CC98" s="2"/>
      <c r="CD98" s="2"/>
      <c r="CE98" s="2">
        <v>3</v>
      </c>
      <c r="CF98" s="2"/>
      <c r="CG98" s="2">
        <f>5+10</f>
        <v>15</v>
      </c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>
        <f t="shared" si="3"/>
        <v>59</v>
      </c>
    </row>
    <row r="99" spans="2:112" x14ac:dyDescent="0.25">
      <c r="B99" s="2" t="s">
        <v>368</v>
      </c>
      <c r="C99" s="2" t="s">
        <v>48</v>
      </c>
      <c r="D99" s="54" t="s">
        <v>283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>
        <v>6</v>
      </c>
      <c r="BX99" s="2"/>
      <c r="BY99" s="2">
        <v>14</v>
      </c>
      <c r="BZ99" s="2">
        <v>1</v>
      </c>
      <c r="CA99" s="2">
        <f>6+6+3</f>
        <v>15</v>
      </c>
      <c r="CB99" s="2">
        <v>8</v>
      </c>
      <c r="CC99" s="2"/>
      <c r="CD99" s="2"/>
      <c r="CE99" s="2"/>
      <c r="CF99" s="2"/>
      <c r="CG99" s="2">
        <f>2+25</f>
        <v>27</v>
      </c>
      <c r="CH99" s="2"/>
      <c r="CI99" s="2"/>
      <c r="CJ99" s="2"/>
      <c r="CK99" s="2"/>
      <c r="CL99" s="2">
        <v>4</v>
      </c>
      <c r="CM99" s="2"/>
      <c r="CN99" s="2"/>
      <c r="CO99" s="2"/>
      <c r="CP99" s="2">
        <v>5</v>
      </c>
      <c r="CQ99" s="2"/>
      <c r="CR99" s="2"/>
      <c r="CS99" s="2"/>
      <c r="CT99" s="2">
        <v>19</v>
      </c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>
        <f t="shared" si="3"/>
        <v>99</v>
      </c>
    </row>
    <row r="100" spans="2:112" x14ac:dyDescent="0.25">
      <c r="B100" s="2" t="s">
        <v>378</v>
      </c>
      <c r="C100" s="2" t="s">
        <v>48</v>
      </c>
      <c r="D100" s="54" t="s">
        <v>283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>
        <v>6</v>
      </c>
      <c r="BX100" s="2"/>
      <c r="BY100" s="2">
        <v>5</v>
      </c>
      <c r="BZ100" s="2">
        <v>1</v>
      </c>
      <c r="CA100" s="2">
        <f>6+7+2</f>
        <v>15</v>
      </c>
      <c r="CB100" s="2">
        <v>30</v>
      </c>
      <c r="CC100" s="2"/>
      <c r="CD100" s="2"/>
      <c r="CE100" s="2"/>
      <c r="CF100" s="2"/>
      <c r="CG100" s="2">
        <v>1</v>
      </c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>
        <v>10</v>
      </c>
      <c r="CT100" s="2">
        <v>20</v>
      </c>
      <c r="CU100" s="2"/>
      <c r="CV100" s="2"/>
      <c r="CW100" s="2"/>
      <c r="CX100" s="2"/>
      <c r="CY100" s="31">
        <v>1</v>
      </c>
      <c r="CZ100" s="2"/>
      <c r="DA100" s="2"/>
      <c r="DB100" s="2"/>
      <c r="DC100" s="2"/>
      <c r="DD100" s="2"/>
      <c r="DE100" s="2"/>
      <c r="DF100" s="2"/>
      <c r="DG100" s="2"/>
      <c r="DH100" s="2">
        <f t="shared" si="3"/>
        <v>89</v>
      </c>
    </row>
    <row r="101" spans="2:112" x14ac:dyDescent="0.25">
      <c r="B101" s="2" t="s">
        <v>376</v>
      </c>
      <c r="C101" s="2" t="s">
        <v>48</v>
      </c>
      <c r="D101" s="54" t="s">
        <v>283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>
        <v>6</v>
      </c>
      <c r="BX101" s="2"/>
      <c r="BY101" s="2">
        <v>5</v>
      </c>
      <c r="BZ101" s="2">
        <v>12</v>
      </c>
      <c r="CA101" s="2">
        <f>6+6+3</f>
        <v>15</v>
      </c>
      <c r="CB101" s="2">
        <v>50</v>
      </c>
      <c r="CC101" s="2"/>
      <c r="CD101" s="2"/>
      <c r="CE101" s="2">
        <v>1</v>
      </c>
      <c r="CF101" s="2"/>
      <c r="CG101" s="2">
        <f>1+10</f>
        <v>11</v>
      </c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>
        <f t="shared" si="3"/>
        <v>100</v>
      </c>
    </row>
    <row r="102" spans="2:112" x14ac:dyDescent="0.25">
      <c r="B102" s="2" t="s">
        <v>380</v>
      </c>
      <c r="C102" s="2" t="s">
        <v>48</v>
      </c>
      <c r="D102" s="54" t="s">
        <v>283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>
        <v>6</v>
      </c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>
        <f t="shared" si="3"/>
        <v>6</v>
      </c>
    </row>
    <row r="103" spans="2:112" x14ac:dyDescent="0.25">
      <c r="B103" s="2" t="s">
        <v>377</v>
      </c>
      <c r="C103" s="2" t="s">
        <v>48</v>
      </c>
      <c r="D103" s="54" t="s">
        <v>283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>
        <v>6</v>
      </c>
      <c r="BX103" s="2"/>
      <c r="BY103" s="2"/>
      <c r="BZ103" s="2"/>
      <c r="CA103" s="2">
        <f>7+6+2</f>
        <v>15</v>
      </c>
      <c r="CB103" s="2">
        <v>30</v>
      </c>
      <c r="CC103" s="2"/>
      <c r="CD103" s="2"/>
      <c r="CE103" s="2"/>
      <c r="CF103" s="2"/>
      <c r="CG103" s="2">
        <f>1+10</f>
        <v>11</v>
      </c>
      <c r="CH103" s="2"/>
      <c r="CI103" s="2"/>
      <c r="CJ103" s="2"/>
      <c r="CK103" s="2"/>
      <c r="CL103" s="2">
        <v>4</v>
      </c>
      <c r="CM103" s="2"/>
      <c r="CN103" s="2"/>
      <c r="CO103" s="2"/>
      <c r="CP103" s="2">
        <v>2</v>
      </c>
      <c r="CQ103" s="2"/>
      <c r="CR103" s="2"/>
      <c r="CS103" s="2">
        <v>11</v>
      </c>
      <c r="CT103" s="2">
        <v>20</v>
      </c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>
        <f t="shared" si="3"/>
        <v>99</v>
      </c>
    </row>
    <row r="104" spans="2:112" x14ac:dyDescent="0.25">
      <c r="B104" s="2" t="s">
        <v>369</v>
      </c>
      <c r="C104" s="2" t="s">
        <v>48</v>
      </c>
      <c r="D104" s="54" t="s">
        <v>283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>
        <v>6</v>
      </c>
      <c r="BX104" s="2"/>
      <c r="BY104" s="2">
        <v>10</v>
      </c>
      <c r="BZ104" s="2">
        <v>1</v>
      </c>
      <c r="CA104" s="2">
        <f>5+7+3</f>
        <v>15</v>
      </c>
      <c r="CB104" s="2">
        <v>10</v>
      </c>
      <c r="CC104" s="2"/>
      <c r="CD104" s="2"/>
      <c r="CE104" s="2"/>
      <c r="CF104" s="2"/>
      <c r="CG104" s="2">
        <v>10</v>
      </c>
      <c r="CH104" s="2">
        <v>10</v>
      </c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>
        <v>37</v>
      </c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>
        <f t="shared" si="3"/>
        <v>99</v>
      </c>
    </row>
    <row r="105" spans="2:112" x14ac:dyDescent="0.25">
      <c r="B105" s="2" t="s">
        <v>27</v>
      </c>
      <c r="C105" s="2" t="s">
        <v>48</v>
      </c>
      <c r="D105" s="39" t="s">
        <v>282</v>
      </c>
      <c r="E105" s="2">
        <f>30</f>
        <v>30</v>
      </c>
      <c r="F105" s="2">
        <f>12+8</f>
        <v>20</v>
      </c>
      <c r="G105" s="2">
        <f>10</f>
        <v>10</v>
      </c>
      <c r="H105" s="2">
        <v>20</v>
      </c>
      <c r="I105" s="2">
        <f>8+2</f>
        <v>10</v>
      </c>
      <c r="J105" s="2"/>
      <c r="K105" s="2">
        <f>10+10</f>
        <v>20</v>
      </c>
      <c r="L105" s="2">
        <v>5</v>
      </c>
      <c r="M105" s="2">
        <f>6+1</f>
        <v>7</v>
      </c>
      <c r="N105" s="2"/>
      <c r="O105" s="2">
        <v>2</v>
      </c>
      <c r="P105" s="2"/>
      <c r="Q105" s="2"/>
      <c r="R105" s="2">
        <v>5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40</v>
      </c>
      <c r="AS105" s="2">
        <f>20+2+3</f>
        <v>25</v>
      </c>
      <c r="AT105" s="2">
        <f>15+15</f>
        <v>30</v>
      </c>
      <c r="AU105" s="2">
        <v>5</v>
      </c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>
        <f>40+10+5</f>
        <v>55</v>
      </c>
      <c r="CM105" s="2"/>
      <c r="CN105" s="2">
        <v>10</v>
      </c>
      <c r="CO105" s="2">
        <v>20</v>
      </c>
      <c r="CP105" s="2">
        <v>3</v>
      </c>
      <c r="CQ105" s="2"/>
      <c r="CR105" s="2">
        <v>5</v>
      </c>
      <c r="CS105" s="2"/>
      <c r="CT105" s="2"/>
      <c r="CU105" s="2"/>
      <c r="CV105" s="2">
        <v>6</v>
      </c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>
        <f t="shared" si="3"/>
        <v>328</v>
      </c>
    </row>
    <row r="106" spans="2:112" x14ac:dyDescent="0.25">
      <c r="B106" s="2" t="s">
        <v>370</v>
      </c>
      <c r="C106" s="2" t="s">
        <v>48</v>
      </c>
      <c r="D106" s="54" t="s">
        <v>283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>
        <v>6</v>
      </c>
      <c r="BX106" s="2"/>
      <c r="BY106" s="2">
        <v>10</v>
      </c>
      <c r="BZ106" s="2">
        <v>1</v>
      </c>
      <c r="CA106" s="2">
        <f>7+6+2</f>
        <v>15</v>
      </c>
      <c r="CB106" s="2"/>
      <c r="CC106" s="2"/>
      <c r="CD106" s="2"/>
      <c r="CE106" s="2"/>
      <c r="CF106" s="2"/>
      <c r="CG106" s="2">
        <f>4+10</f>
        <v>14</v>
      </c>
      <c r="CH106" s="2"/>
      <c r="CI106" s="2"/>
      <c r="CJ106" s="2"/>
      <c r="CK106" s="2"/>
      <c r="CL106" s="2">
        <v>4</v>
      </c>
      <c r="CM106" s="2"/>
      <c r="CN106" s="2"/>
      <c r="CO106" s="2"/>
      <c r="CP106" s="2"/>
      <c r="CQ106" s="2"/>
      <c r="CR106" s="2"/>
      <c r="CS106" s="2">
        <v>10</v>
      </c>
      <c r="CT106" s="2">
        <v>30</v>
      </c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>
        <f t="shared" si="3"/>
        <v>90</v>
      </c>
    </row>
    <row r="107" spans="2:112" x14ac:dyDescent="0.25">
      <c r="B107" s="2" t="s">
        <v>28</v>
      </c>
      <c r="C107" s="2" t="s">
        <v>48</v>
      </c>
      <c r="D107" s="39" t="s">
        <v>281</v>
      </c>
      <c r="E107" s="2">
        <f>30</f>
        <v>30</v>
      </c>
      <c r="F107" s="2">
        <f>10+7</f>
        <v>17</v>
      </c>
      <c r="G107" s="2">
        <f>10</f>
        <v>10</v>
      </c>
      <c r="H107" s="2">
        <f>20</f>
        <v>20</v>
      </c>
      <c r="I107" s="2">
        <f>6+7</f>
        <v>13</v>
      </c>
      <c r="J107" s="2">
        <v>1</v>
      </c>
      <c r="K107" s="2">
        <f>10+10</f>
        <v>20</v>
      </c>
      <c r="L107" s="2">
        <v>5</v>
      </c>
      <c r="M107" s="2">
        <f>3+1</f>
        <v>4</v>
      </c>
      <c r="N107" s="2"/>
      <c r="O107" s="2"/>
      <c r="P107" s="2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>
        <v>40</v>
      </c>
      <c r="AS107" s="2">
        <f>5+2+3</f>
        <v>10</v>
      </c>
      <c r="AT107" s="2">
        <f>10+5</f>
        <v>15</v>
      </c>
      <c r="AU107" s="2">
        <v>20</v>
      </c>
      <c r="AV107" s="2">
        <v>15</v>
      </c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>
        <f>100+20+30</f>
        <v>150</v>
      </c>
      <c r="CM107" s="2"/>
      <c r="CN107" s="2">
        <v>4</v>
      </c>
      <c r="CO107" s="2">
        <v>7</v>
      </c>
      <c r="CP107" s="2">
        <v>4</v>
      </c>
      <c r="CQ107" s="2"/>
      <c r="CR107" s="2"/>
      <c r="CS107" s="2"/>
      <c r="CT107" s="2">
        <v>35</v>
      </c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>
        <f t="shared" si="3"/>
        <v>429</v>
      </c>
    </row>
    <row r="108" spans="2:112" x14ac:dyDescent="0.25">
      <c r="B108" s="2" t="s">
        <v>21</v>
      </c>
      <c r="C108" s="2" t="s">
        <v>48</v>
      </c>
      <c r="D108" s="39" t="s">
        <v>281</v>
      </c>
      <c r="E108" s="2">
        <f>30</f>
        <v>30</v>
      </c>
      <c r="F108" s="2">
        <f>10+5</f>
        <v>15</v>
      </c>
      <c r="G108" s="2">
        <f>30</f>
        <v>30</v>
      </c>
      <c r="H108" s="2">
        <v>20</v>
      </c>
      <c r="I108" s="2">
        <f>5+10</f>
        <v>15</v>
      </c>
      <c r="J108" s="2"/>
      <c r="K108" s="2"/>
      <c r="L108" s="2"/>
      <c r="M108" s="2"/>
      <c r="N108" s="2"/>
      <c r="O108" s="2"/>
      <c r="P108" s="2">
        <v>125</v>
      </c>
      <c r="Q108" s="2">
        <v>85</v>
      </c>
      <c r="R108" s="2">
        <v>20</v>
      </c>
      <c r="S108" s="2">
        <v>20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>
        <f>16+80+100+20</f>
        <v>216</v>
      </c>
      <c r="AK108" s="2">
        <f>150+50</f>
        <v>200</v>
      </c>
      <c r="AL108" s="2">
        <v>50</v>
      </c>
      <c r="AM108" s="2">
        <v>15</v>
      </c>
      <c r="AN108" s="2">
        <v>16</v>
      </c>
      <c r="AO108" s="2"/>
      <c r="AP108" s="2">
        <v>3</v>
      </c>
      <c r="AQ108" s="2"/>
      <c r="AR108" s="2">
        <v>100</v>
      </c>
      <c r="AS108" s="2">
        <f>58+2+10+1</f>
        <v>71</v>
      </c>
      <c r="AT108" s="2">
        <f>40+30</f>
        <v>70</v>
      </c>
      <c r="AU108" s="2">
        <v>120</v>
      </c>
      <c r="AV108" s="2">
        <v>100</v>
      </c>
      <c r="AW108" s="2"/>
      <c r="AX108" s="2">
        <f>1+40+10+75</f>
        <v>126</v>
      </c>
      <c r="AY108" s="2">
        <v>100</v>
      </c>
      <c r="AZ108" s="2">
        <v>80</v>
      </c>
      <c r="BA108" s="2"/>
      <c r="BB108" s="2"/>
      <c r="BC108" s="2"/>
      <c r="BD108" s="2">
        <f>5+4</f>
        <v>9</v>
      </c>
      <c r="BE108" s="2">
        <v>2</v>
      </c>
      <c r="BF108" s="2">
        <f>50+8+10</f>
        <v>68</v>
      </c>
      <c r="BG108" s="2">
        <v>60</v>
      </c>
      <c r="BH108" s="2"/>
      <c r="BI108" s="2">
        <f>5+6</f>
        <v>11</v>
      </c>
      <c r="BJ108" s="2">
        <v>30</v>
      </c>
      <c r="BK108" s="2"/>
      <c r="BL108" s="2">
        <f>7+10+5</f>
        <v>22</v>
      </c>
      <c r="BM108" s="2">
        <v>20</v>
      </c>
      <c r="BN108" s="2"/>
      <c r="BO108" s="2"/>
      <c r="BP108" s="2">
        <v>10</v>
      </c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>
        <v>2</v>
      </c>
      <c r="CL108" s="2">
        <f>90+50</f>
        <v>140</v>
      </c>
      <c r="CM108" s="2"/>
      <c r="CN108" s="2">
        <f>20+9</f>
        <v>29</v>
      </c>
      <c r="CO108" s="2">
        <v>16</v>
      </c>
      <c r="CP108" s="2">
        <v>20</v>
      </c>
      <c r="CQ108" s="2">
        <v>1</v>
      </c>
      <c r="CR108" s="2">
        <v>60</v>
      </c>
      <c r="CS108" s="2"/>
      <c r="CT108" s="2">
        <v>90</v>
      </c>
      <c r="CU108" s="2"/>
      <c r="CV108" s="2">
        <v>30</v>
      </c>
      <c r="CW108" s="2">
        <v>1</v>
      </c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>
        <f t="shared" si="3"/>
        <v>2248</v>
      </c>
    </row>
    <row r="109" spans="2:112" x14ac:dyDescent="0.25">
      <c r="B109" s="2" t="s">
        <v>11</v>
      </c>
      <c r="C109" s="2" t="s">
        <v>48</v>
      </c>
      <c r="D109" s="39" t="s">
        <v>281</v>
      </c>
      <c r="E109" s="2">
        <f>50</f>
        <v>50</v>
      </c>
      <c r="F109" s="2">
        <f>15+8</f>
        <v>23</v>
      </c>
      <c r="G109" s="2">
        <f>20</f>
        <v>20</v>
      </c>
      <c r="H109" s="2">
        <v>20</v>
      </c>
      <c r="I109" s="2">
        <f>12+5</f>
        <v>17</v>
      </c>
      <c r="J109" s="2"/>
      <c r="K109" s="2">
        <f>15+20</f>
        <v>35</v>
      </c>
      <c r="L109" s="2">
        <v>30</v>
      </c>
      <c r="M109" s="2">
        <f>6+3</f>
        <v>9</v>
      </c>
      <c r="N109" s="2"/>
      <c r="O109" s="2">
        <f>4+7</f>
        <v>11</v>
      </c>
      <c r="P109" s="2"/>
      <c r="Q109" s="2">
        <v>20</v>
      </c>
      <c r="R109" s="2">
        <v>4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>
        <f>10+20+5</f>
        <v>35</v>
      </c>
      <c r="AK109" s="2">
        <f>40+20</f>
        <v>60</v>
      </c>
      <c r="AL109" s="2">
        <v>5</v>
      </c>
      <c r="AM109" s="2"/>
      <c r="AN109" s="2"/>
      <c r="AO109" s="2"/>
      <c r="AP109" s="2"/>
      <c r="AQ109" s="2"/>
      <c r="AR109" s="2">
        <v>80</v>
      </c>
      <c r="AS109" s="2">
        <f>12+7+7</f>
        <v>26</v>
      </c>
      <c r="AT109" s="2">
        <f>20+11</f>
        <v>31</v>
      </c>
      <c r="AU109" s="2">
        <v>20</v>
      </c>
      <c r="AV109" s="2">
        <v>80</v>
      </c>
      <c r="AW109" s="2"/>
      <c r="AX109" s="2"/>
      <c r="AY109" s="2"/>
      <c r="AZ109" s="2"/>
      <c r="BA109" s="2"/>
      <c r="BB109" s="2"/>
      <c r="BC109" s="2"/>
      <c r="BD109" s="2">
        <v>3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>
        <f>50+50</f>
        <v>100</v>
      </c>
      <c r="CM109" s="2">
        <v>150</v>
      </c>
      <c r="CN109" s="2">
        <v>40</v>
      </c>
      <c r="CO109" s="2">
        <v>65</v>
      </c>
      <c r="CP109" s="2">
        <f>30+5</f>
        <v>35</v>
      </c>
      <c r="CQ109" s="2"/>
      <c r="CR109" s="2"/>
      <c r="CS109" s="2">
        <v>10</v>
      </c>
      <c r="CT109" s="2"/>
      <c r="CU109" s="2">
        <v>100</v>
      </c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>
        <f t="shared" si="3"/>
        <v>1079</v>
      </c>
    </row>
    <row r="110" spans="2:112" x14ac:dyDescent="0.25">
      <c r="B110" s="2" t="s">
        <v>32</v>
      </c>
      <c r="C110" s="2" t="s">
        <v>48</v>
      </c>
      <c r="D110" s="39" t="s">
        <v>282</v>
      </c>
      <c r="E110" s="2">
        <f>20</f>
        <v>20</v>
      </c>
      <c r="F110" s="2">
        <f>8+4</f>
        <v>12</v>
      </c>
      <c r="G110" s="2">
        <f>10</f>
        <v>10</v>
      </c>
      <c r="H110" s="2">
        <v>8</v>
      </c>
      <c r="I110" s="2">
        <f>2+6</f>
        <v>8</v>
      </c>
      <c r="J110" s="2"/>
      <c r="K110" s="2">
        <f>3+10</f>
        <v>13</v>
      </c>
      <c r="L110" s="2">
        <v>3</v>
      </c>
      <c r="M110" s="2">
        <f>3+1</f>
        <v>4</v>
      </c>
      <c r="N110" s="2"/>
      <c r="O110" s="2">
        <f>1+2</f>
        <v>3</v>
      </c>
      <c r="P110" s="2"/>
      <c r="Q110" s="2">
        <v>1</v>
      </c>
      <c r="R110" s="2">
        <v>3</v>
      </c>
      <c r="S110" s="2">
        <v>4</v>
      </c>
      <c r="T110" s="2"/>
      <c r="U110" s="2"/>
      <c r="V110" s="2"/>
      <c r="W110" s="2"/>
      <c r="X110" s="2"/>
      <c r="Y110" s="2"/>
      <c r="Z110" s="2"/>
      <c r="AA110" s="2">
        <v>10</v>
      </c>
      <c r="AB110" s="2">
        <v>3</v>
      </c>
      <c r="AC110" s="2"/>
      <c r="AD110" s="2"/>
      <c r="AE110" s="2"/>
      <c r="AF110" s="2"/>
      <c r="AG110" s="2">
        <v>1</v>
      </c>
      <c r="AH110" s="2">
        <v>1</v>
      </c>
      <c r="AI110" s="2"/>
      <c r="AJ110" s="2">
        <f>1+6</f>
        <v>7</v>
      </c>
      <c r="AK110" s="2">
        <f>3+3</f>
        <v>6</v>
      </c>
      <c r="AL110" s="2">
        <v>1</v>
      </c>
      <c r="AM110" s="2">
        <v>5</v>
      </c>
      <c r="AN110" s="2">
        <v>8</v>
      </c>
      <c r="AO110" s="2"/>
      <c r="AP110" s="2">
        <v>3</v>
      </c>
      <c r="AQ110" s="2">
        <v>1</v>
      </c>
      <c r="AR110" s="2">
        <v>3</v>
      </c>
      <c r="AS110" s="2"/>
      <c r="AT110" s="2"/>
      <c r="AU110" s="2"/>
      <c r="AV110" s="2"/>
      <c r="AW110" s="2"/>
      <c r="AX110" s="2"/>
      <c r="AY110" s="2">
        <v>5</v>
      </c>
      <c r="AZ110" s="2"/>
      <c r="BA110" s="2"/>
      <c r="BB110" s="2"/>
      <c r="BC110" s="2"/>
      <c r="BD110" s="2"/>
      <c r="BE110" s="2"/>
      <c r="BF110" s="2">
        <f>3+1</f>
        <v>4</v>
      </c>
      <c r="BG110" s="2"/>
      <c r="BH110" s="2"/>
      <c r="BI110" s="2">
        <v>2</v>
      </c>
      <c r="BJ110" s="2">
        <v>2</v>
      </c>
      <c r="BK110" s="2"/>
      <c r="BL110" s="2"/>
      <c r="BM110" s="2">
        <v>3</v>
      </c>
      <c r="BN110" s="2"/>
      <c r="BO110" s="2"/>
      <c r="BP110" s="2"/>
      <c r="BQ110" s="2">
        <v>3</v>
      </c>
      <c r="BR110" s="2"/>
      <c r="BS110" s="2"/>
      <c r="BT110" s="2">
        <v>1</v>
      </c>
      <c r="BU110" s="2"/>
      <c r="BV110" s="2"/>
      <c r="BW110" s="2"/>
      <c r="BX110" s="2">
        <v>2</v>
      </c>
      <c r="BY110" s="2"/>
      <c r="BZ110" s="2"/>
      <c r="CA110" s="2"/>
      <c r="CB110" s="2"/>
      <c r="CC110" s="2">
        <v>1</v>
      </c>
      <c r="CD110" s="2"/>
      <c r="CE110" s="2"/>
      <c r="CF110" s="2">
        <v>3</v>
      </c>
      <c r="CG110" s="2">
        <v>1</v>
      </c>
      <c r="CH110" s="2"/>
      <c r="CI110" s="2">
        <v>1</v>
      </c>
      <c r="CJ110" s="2"/>
      <c r="CK110" s="2"/>
      <c r="CL110" s="2">
        <v>5</v>
      </c>
      <c r="CM110" s="2">
        <v>5</v>
      </c>
      <c r="CN110" s="2">
        <v>1</v>
      </c>
      <c r="CO110" s="2">
        <v>3</v>
      </c>
      <c r="CP110" s="2">
        <v>2</v>
      </c>
      <c r="CQ110" s="2"/>
      <c r="CR110" s="2"/>
      <c r="CS110" s="2">
        <v>1</v>
      </c>
      <c r="CT110" s="2">
        <v>3</v>
      </c>
      <c r="CU110" s="2"/>
      <c r="CV110" s="2">
        <v>1</v>
      </c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>
        <f t="shared" si="3"/>
        <v>187</v>
      </c>
    </row>
    <row r="111" spans="2:112" x14ac:dyDescent="0.25">
      <c r="B111" s="2" t="s">
        <v>507</v>
      </c>
      <c r="C111" s="2" t="s">
        <v>48</v>
      </c>
      <c r="D111" s="39" t="s">
        <v>282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>
        <f>5+10</f>
        <v>15</v>
      </c>
      <c r="CM111" s="2">
        <v>8</v>
      </c>
      <c r="CN111" s="2">
        <v>5</v>
      </c>
      <c r="CO111" s="2">
        <v>5</v>
      </c>
      <c r="CP111" s="2">
        <f>3+2</f>
        <v>5</v>
      </c>
      <c r="CQ111" s="2"/>
      <c r="CR111" s="2"/>
      <c r="CS111" s="2">
        <v>3</v>
      </c>
      <c r="CT111" s="2">
        <v>5</v>
      </c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>
        <f t="shared" si="3"/>
        <v>46</v>
      </c>
    </row>
  </sheetData>
  <autoFilter ref="B3:DH111" xr:uid="{25C77664-ED33-4F20-820B-005276665898}">
    <sortState ref="B4:DH111">
      <sortCondition ref="C3:C109"/>
    </sortState>
  </autoFilter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B2:AC118"/>
  <sheetViews>
    <sheetView showGridLines="0" tabSelected="1" zoomScale="92" zoomScaleNormal="92" workbookViewId="0">
      <pane xSplit="8" ySplit="3" topLeftCell="X4" activePane="bottomRight" state="frozen"/>
      <selection pane="topRight" activeCell="H1" sqref="H1"/>
      <selection pane="bottomLeft" activeCell="A4" sqref="A4"/>
      <selection pane="bottomRight" activeCell="B3" sqref="B3"/>
    </sheetView>
  </sheetViews>
  <sheetFormatPr baseColWidth="10" defaultRowHeight="15" x14ac:dyDescent="0.25"/>
  <cols>
    <col min="1" max="1" width="1.85546875" customWidth="1"/>
    <col min="2" max="2" width="13.7109375" customWidth="1"/>
    <col min="3" max="3" width="19.7109375" style="8" bestFit="1" customWidth="1"/>
    <col min="4" max="4" width="10.42578125" customWidth="1"/>
    <col min="5" max="5" width="10.42578125" style="8" customWidth="1"/>
    <col min="6" max="6" width="12.7109375" customWidth="1"/>
    <col min="7" max="7" width="12" customWidth="1"/>
    <col min="8" max="8" width="12.42578125" customWidth="1"/>
    <col min="9" max="9" width="13" style="8" customWidth="1"/>
    <col min="10" max="10" width="8.85546875" style="8" customWidth="1"/>
    <col min="11" max="11" width="8.7109375" style="8" customWidth="1"/>
    <col min="12" max="12" width="12.7109375" style="8" customWidth="1"/>
    <col min="13" max="13" width="13" style="8" customWidth="1"/>
    <col min="14" max="15" width="13.28515625" style="8" customWidth="1"/>
    <col min="16" max="16" width="13.28515625" customWidth="1"/>
    <col min="17" max="19" width="13.28515625" style="8" customWidth="1"/>
    <col min="20" max="20" width="40.85546875" style="8" customWidth="1"/>
    <col min="21" max="21" width="1.7109375" style="22" hidden="1" customWidth="1"/>
    <col min="22" max="22" width="1.5703125" style="20" hidden="1" customWidth="1"/>
    <col min="23" max="23" width="15.85546875" style="8" customWidth="1"/>
    <col min="24" max="24" width="15.85546875" style="4" customWidth="1"/>
    <col min="25" max="25" width="12" style="8" customWidth="1"/>
    <col min="26" max="26" width="18.7109375" style="8" customWidth="1"/>
    <col min="27" max="27" width="50.28515625" customWidth="1"/>
    <col min="28" max="28" width="42.28515625" bestFit="1" customWidth="1"/>
  </cols>
  <sheetData>
    <row r="2" spans="2:29" ht="15.75" thickBot="1" x14ac:dyDescent="0.3">
      <c r="Q2" s="94">
        <f>+P73+W73-H73</f>
        <v>0</v>
      </c>
      <c r="U2" s="8"/>
      <c r="V2" s="8"/>
      <c r="AA2" s="8"/>
      <c r="AB2" s="8"/>
      <c r="AC2" s="8"/>
    </row>
    <row r="3" spans="2:29" ht="47.25" customHeight="1" thickBot="1" x14ac:dyDescent="0.3">
      <c r="B3" s="36" t="s">
        <v>0</v>
      </c>
      <c r="C3" s="36" t="s">
        <v>47</v>
      </c>
      <c r="D3" s="36" t="s">
        <v>1</v>
      </c>
      <c r="E3" s="36" t="s">
        <v>1</v>
      </c>
      <c r="F3" s="36" t="s">
        <v>2</v>
      </c>
      <c r="G3" s="36" t="s">
        <v>3</v>
      </c>
      <c r="H3" s="36" t="s">
        <v>7</v>
      </c>
      <c r="I3" s="37" t="s">
        <v>57</v>
      </c>
      <c r="J3" s="38" t="s">
        <v>64</v>
      </c>
      <c r="K3" s="47" t="s">
        <v>263</v>
      </c>
      <c r="L3" s="46" t="s">
        <v>267</v>
      </c>
      <c r="M3" s="48" t="s">
        <v>280</v>
      </c>
      <c r="N3" s="51" t="s">
        <v>354</v>
      </c>
      <c r="O3" s="60" t="s">
        <v>607</v>
      </c>
      <c r="P3" s="68" t="s">
        <v>8</v>
      </c>
      <c r="Q3" s="91" t="s">
        <v>621</v>
      </c>
      <c r="R3" s="69" t="s">
        <v>605</v>
      </c>
      <c r="S3" s="69" t="s">
        <v>606</v>
      </c>
      <c r="T3" s="70" t="s">
        <v>616</v>
      </c>
      <c r="U3" s="65" t="s">
        <v>52</v>
      </c>
      <c r="V3" s="79" t="s">
        <v>53</v>
      </c>
      <c r="W3" s="68" t="s">
        <v>622</v>
      </c>
      <c r="X3" s="68" t="s">
        <v>608</v>
      </c>
      <c r="Y3" s="69" t="s">
        <v>609</v>
      </c>
      <c r="Z3" s="69" t="s">
        <v>610</v>
      </c>
      <c r="AA3" s="70" t="s">
        <v>617</v>
      </c>
      <c r="AB3" s="8"/>
      <c r="AC3" s="8"/>
    </row>
    <row r="4" spans="2:29" s="8" customFormat="1" x14ac:dyDescent="0.25">
      <c r="B4" s="2" t="s">
        <v>38</v>
      </c>
      <c r="C4" s="2" t="s">
        <v>49</v>
      </c>
      <c r="D4" s="39" t="s">
        <v>281</v>
      </c>
      <c r="E4" s="39">
        <v>24</v>
      </c>
      <c r="F4" s="2">
        <f>+VLOOKUP(B4,'Recepcion de Producto'!$B$4:$W$111,22,0)</f>
        <v>110</v>
      </c>
      <c r="G4" s="2">
        <f>VLOOKUP(B4,'Salida de Producto'!$B$4:$DH$111,111,FALSE)</f>
        <v>94</v>
      </c>
      <c r="H4" s="19">
        <f t="shared" ref="H4:H35" si="0">F4-G4</f>
        <v>16</v>
      </c>
      <c r="I4" s="19"/>
      <c r="J4" s="19"/>
      <c r="K4" s="19"/>
      <c r="L4" s="19"/>
      <c r="M4" s="19"/>
      <c r="N4" s="49">
        <v>15</v>
      </c>
      <c r="O4" s="63"/>
      <c r="P4" s="71">
        <f>SUM(I4:O4)</f>
        <v>15</v>
      </c>
      <c r="Q4" s="93">
        <f>+P4+W4-H4</f>
        <v>0</v>
      </c>
      <c r="R4" s="59">
        <f>+VLOOKUP(B4,'Inventario de Profit'!$A$2:E272,5,0)</f>
        <v>15</v>
      </c>
      <c r="S4" s="61">
        <f>+P4-R4</f>
        <v>0</v>
      </c>
      <c r="T4" s="72"/>
      <c r="U4" s="66">
        <v>7.1</v>
      </c>
      <c r="V4" s="80">
        <f t="shared" ref="V4:V12" si="1">P4*U4</f>
        <v>106.5</v>
      </c>
      <c r="W4" s="92">
        <v>1</v>
      </c>
      <c r="X4" s="81">
        <v>21</v>
      </c>
      <c r="Y4" s="43">
        <f>+VLOOKUP(B4,'Inventario de Profit'!$A$1:G270,6,0)</f>
        <v>21</v>
      </c>
      <c r="Z4" s="2">
        <f t="shared" ref="Z4:Z26" si="2">+X4-Y4</f>
        <v>0</v>
      </c>
      <c r="AA4" s="74"/>
    </row>
    <row r="5" spans="2:29" s="4" customFormat="1" x14ac:dyDescent="0.25">
      <c r="B5" s="2" t="s">
        <v>39</v>
      </c>
      <c r="C5" s="2" t="s">
        <v>49</v>
      </c>
      <c r="D5" s="39" t="s">
        <v>281</v>
      </c>
      <c r="E5" s="39">
        <v>24</v>
      </c>
      <c r="F5" s="2">
        <f>+VLOOKUP(B5,'Recepcion de Producto'!$B$4:$W$111,22,0)</f>
        <v>130</v>
      </c>
      <c r="G5" s="2">
        <f>VLOOKUP(B5,'Salida de Producto'!$B$4:$DH$111,111,FALSE)</f>
        <v>119</v>
      </c>
      <c r="H5" s="19">
        <f t="shared" si="0"/>
        <v>11</v>
      </c>
      <c r="I5" s="19"/>
      <c r="J5" s="19"/>
      <c r="K5" s="19"/>
      <c r="L5" s="19"/>
      <c r="M5" s="19"/>
      <c r="N5" s="49">
        <v>10</v>
      </c>
      <c r="O5" s="63"/>
      <c r="P5" s="71">
        <f t="shared" ref="P5:P68" si="3">SUM(I5:O5)</f>
        <v>10</v>
      </c>
      <c r="Q5" s="93">
        <f t="shared" ref="Q5:Q68" si="4">+P5+W5-H5</f>
        <v>0</v>
      </c>
      <c r="R5" s="59">
        <f>+VLOOKUP(B5,'Inventario de Profit'!$A$2:E273,5,0)</f>
        <v>10</v>
      </c>
      <c r="S5" s="61">
        <f t="shared" ref="S5:S68" si="5">+P5-R5</f>
        <v>0</v>
      </c>
      <c r="T5" s="72"/>
      <c r="U5" s="66">
        <v>4.0999999999999996</v>
      </c>
      <c r="V5" s="80">
        <f t="shared" si="1"/>
        <v>41</v>
      </c>
      <c r="W5" s="92">
        <v>1</v>
      </c>
      <c r="X5" s="81">
        <v>15</v>
      </c>
      <c r="Y5" s="43">
        <f>+VLOOKUP(B5,'Inventario de Profit'!$A$1:G271,6,0)</f>
        <v>15</v>
      </c>
      <c r="Z5" s="2">
        <f t="shared" si="2"/>
        <v>0</v>
      </c>
      <c r="AA5" s="74"/>
    </row>
    <row r="6" spans="2:29" s="4" customFormat="1" x14ac:dyDescent="0.25">
      <c r="B6" s="2" t="s">
        <v>33</v>
      </c>
      <c r="C6" s="2" t="s">
        <v>49</v>
      </c>
      <c r="D6" s="39" t="s">
        <v>281</v>
      </c>
      <c r="E6" s="39">
        <v>24</v>
      </c>
      <c r="F6" s="2">
        <f>+VLOOKUP(B6,'Recepcion de Producto'!$B$4:$W$111,22,0)</f>
        <v>130</v>
      </c>
      <c r="G6" s="2">
        <f>VLOOKUP(B6,'Salida de Producto'!$B$4:$DH$111,111,FALSE)</f>
        <v>87</v>
      </c>
      <c r="H6" s="19">
        <f t="shared" si="0"/>
        <v>43</v>
      </c>
      <c r="I6" s="19"/>
      <c r="J6" s="19"/>
      <c r="K6" s="19"/>
      <c r="L6" s="19"/>
      <c r="M6" s="19"/>
      <c r="N6" s="19"/>
      <c r="O6" s="89">
        <f>18+24</f>
        <v>42</v>
      </c>
      <c r="P6" s="71">
        <f t="shared" si="3"/>
        <v>42</v>
      </c>
      <c r="Q6" s="93">
        <f t="shared" si="4"/>
        <v>0</v>
      </c>
      <c r="R6" s="59">
        <f>+VLOOKUP(B6,'Inventario de Profit'!$A$2:E274,5,0)</f>
        <v>42</v>
      </c>
      <c r="S6" s="61">
        <f t="shared" si="5"/>
        <v>0</v>
      </c>
      <c r="T6" s="72"/>
      <c r="U6" s="66">
        <v>8.1</v>
      </c>
      <c r="V6" s="80">
        <f t="shared" si="1"/>
        <v>340.2</v>
      </c>
      <c r="W6" s="92">
        <v>1</v>
      </c>
      <c r="X6" s="81">
        <v>16</v>
      </c>
      <c r="Y6" s="43">
        <f>+VLOOKUP(B6,'Inventario de Profit'!$A$1:G272,6,0)</f>
        <v>16</v>
      </c>
      <c r="Z6" s="2">
        <f t="shared" si="2"/>
        <v>0</v>
      </c>
      <c r="AA6" s="74"/>
    </row>
    <row r="7" spans="2:29" s="4" customFormat="1" x14ac:dyDescent="0.25">
      <c r="B7" s="2" t="s">
        <v>34</v>
      </c>
      <c r="C7" s="2" t="s">
        <v>49</v>
      </c>
      <c r="D7" s="39" t="s">
        <v>281</v>
      </c>
      <c r="E7" s="39">
        <v>24</v>
      </c>
      <c r="F7" s="2">
        <f>+VLOOKUP(B7,'Recepcion de Producto'!$B$4:$W$111,22,0)</f>
        <v>129</v>
      </c>
      <c r="G7" s="2">
        <f>VLOOKUP(B7,'Salida de Producto'!$B$4:$DH$111,111,FALSE)</f>
        <v>108</v>
      </c>
      <c r="H7" s="19">
        <f t="shared" si="0"/>
        <v>21</v>
      </c>
      <c r="I7" s="19"/>
      <c r="J7" s="19"/>
      <c r="K7" s="19"/>
      <c r="L7" s="19"/>
      <c r="M7" s="19"/>
      <c r="N7" s="19"/>
      <c r="O7" s="89">
        <f>9+11</f>
        <v>20</v>
      </c>
      <c r="P7" s="71">
        <f t="shared" si="3"/>
        <v>20</v>
      </c>
      <c r="Q7" s="93">
        <f t="shared" si="4"/>
        <v>0</v>
      </c>
      <c r="R7" s="59">
        <f>+VLOOKUP(B7,'Inventario de Profit'!$A$2:E275,5,0)</f>
        <v>20</v>
      </c>
      <c r="S7" s="61">
        <f t="shared" si="5"/>
        <v>0</v>
      </c>
      <c r="T7" s="72"/>
      <c r="U7" s="66">
        <v>14.9</v>
      </c>
      <c r="V7" s="80">
        <f t="shared" si="1"/>
        <v>298</v>
      </c>
      <c r="W7" s="92">
        <v>1</v>
      </c>
      <c r="X7" s="81">
        <v>22</v>
      </c>
      <c r="Y7" s="43">
        <f>+VLOOKUP(B7,'Inventario de Profit'!$A$1:G273,6,0)</f>
        <v>22</v>
      </c>
      <c r="Z7" s="2">
        <f t="shared" si="2"/>
        <v>0</v>
      </c>
      <c r="AA7" s="74"/>
    </row>
    <row r="8" spans="2:29" s="4" customFormat="1" x14ac:dyDescent="0.25">
      <c r="B8" s="2" t="s">
        <v>35</v>
      </c>
      <c r="C8" s="2" t="s">
        <v>49</v>
      </c>
      <c r="D8" s="39" t="s">
        <v>281</v>
      </c>
      <c r="E8" s="39">
        <v>24</v>
      </c>
      <c r="F8" s="2">
        <f>+VLOOKUP(B8,'Recepcion de Producto'!$B$4:$W$111,22,0)</f>
        <v>110</v>
      </c>
      <c r="G8" s="2">
        <f>VLOOKUP(B8,'Salida de Producto'!$B$4:$DH$111,111,FALSE)</f>
        <v>109</v>
      </c>
      <c r="H8" s="19">
        <f t="shared" si="0"/>
        <v>1</v>
      </c>
      <c r="I8" s="19"/>
      <c r="J8" s="19"/>
      <c r="K8" s="19"/>
      <c r="L8" s="19"/>
      <c r="M8" s="19"/>
      <c r="N8" s="19"/>
      <c r="O8" s="63"/>
      <c r="P8" s="71">
        <f t="shared" si="3"/>
        <v>0</v>
      </c>
      <c r="Q8" s="93">
        <f t="shared" si="4"/>
        <v>0</v>
      </c>
      <c r="R8" s="59">
        <f>+VLOOKUP(B8,'Inventario de Profit'!$A$2:E276,5,0)</f>
        <v>0</v>
      </c>
      <c r="S8" s="61">
        <f t="shared" si="5"/>
        <v>0</v>
      </c>
      <c r="T8" s="72"/>
      <c r="U8" s="66">
        <v>11.1</v>
      </c>
      <c r="V8" s="80">
        <f t="shared" si="1"/>
        <v>0</v>
      </c>
      <c r="W8" s="92">
        <v>1</v>
      </c>
      <c r="X8" s="81">
        <v>19</v>
      </c>
      <c r="Y8" s="43">
        <f>+VLOOKUP(B8,'Inventario de Profit'!$A$1:G274,6,0)</f>
        <v>19</v>
      </c>
      <c r="Z8" s="2">
        <f t="shared" si="2"/>
        <v>0</v>
      </c>
      <c r="AA8" s="74"/>
    </row>
    <row r="9" spans="2:29" s="8" customFormat="1" x14ac:dyDescent="0.25">
      <c r="B9" s="2" t="s">
        <v>36</v>
      </c>
      <c r="C9" s="2" t="s">
        <v>49</v>
      </c>
      <c r="D9" s="39" t="s">
        <v>281</v>
      </c>
      <c r="E9" s="39">
        <v>24</v>
      </c>
      <c r="F9" s="2">
        <f>+VLOOKUP(B9,'Recepcion de Producto'!$B$4:$W$111,22,0)</f>
        <v>109</v>
      </c>
      <c r="G9" s="2">
        <f>VLOOKUP(B9,'Salida de Producto'!$B$4:$DH$111,111,FALSE)</f>
        <v>91</v>
      </c>
      <c r="H9" s="19">
        <f t="shared" si="0"/>
        <v>18</v>
      </c>
      <c r="I9" s="19"/>
      <c r="J9" s="19"/>
      <c r="K9" s="19"/>
      <c r="L9" s="19"/>
      <c r="M9" s="19"/>
      <c r="N9" s="19"/>
      <c r="O9" s="89">
        <f>6+8+3</f>
        <v>17</v>
      </c>
      <c r="P9" s="71">
        <f t="shared" si="3"/>
        <v>17</v>
      </c>
      <c r="Q9" s="93">
        <f t="shared" si="4"/>
        <v>0</v>
      </c>
      <c r="R9" s="59">
        <f>+VLOOKUP(B9,'Inventario de Profit'!$A$2:E277,5,0)</f>
        <v>17</v>
      </c>
      <c r="S9" s="61">
        <f t="shared" si="5"/>
        <v>0</v>
      </c>
      <c r="T9" s="72"/>
      <c r="U9" s="66">
        <v>14</v>
      </c>
      <c r="V9" s="80">
        <f t="shared" si="1"/>
        <v>238</v>
      </c>
      <c r="W9" s="92">
        <v>1</v>
      </c>
      <c r="X9" s="81">
        <v>15</v>
      </c>
      <c r="Y9" s="43">
        <f>+VLOOKUP(B9,'Inventario de Profit'!$A$1:G275,6,0)</f>
        <v>15</v>
      </c>
      <c r="Z9" s="2">
        <f t="shared" si="2"/>
        <v>0</v>
      </c>
      <c r="AA9" s="74"/>
    </row>
    <row r="10" spans="2:29" x14ac:dyDescent="0.25">
      <c r="B10" s="2" t="s">
        <v>40</v>
      </c>
      <c r="C10" s="2" t="s">
        <v>49</v>
      </c>
      <c r="D10" s="39" t="s">
        <v>281</v>
      </c>
      <c r="E10" s="39">
        <v>24</v>
      </c>
      <c r="F10" s="2">
        <f>+VLOOKUP(B10,'Recepcion de Producto'!$B$4:$W$111,22,0)</f>
        <v>43</v>
      </c>
      <c r="G10" s="2">
        <f>VLOOKUP(B10,'Salida de Producto'!$B$4:$DH$111,111,FALSE)</f>
        <v>25</v>
      </c>
      <c r="H10" s="19">
        <f t="shared" si="0"/>
        <v>18</v>
      </c>
      <c r="I10" s="31">
        <v>16</v>
      </c>
      <c r="J10" s="19"/>
      <c r="K10" s="31">
        <v>1</v>
      </c>
      <c r="L10" s="19"/>
      <c r="M10" s="19"/>
      <c r="N10" s="19"/>
      <c r="O10" s="63"/>
      <c r="P10" s="71">
        <f t="shared" si="3"/>
        <v>17</v>
      </c>
      <c r="Q10" s="93">
        <f t="shared" si="4"/>
        <v>0</v>
      </c>
      <c r="R10" s="59">
        <f>+VLOOKUP(B10,'Inventario de Profit'!$A$2:E278,5,0)</f>
        <v>16</v>
      </c>
      <c r="S10" s="61">
        <f t="shared" si="5"/>
        <v>1</v>
      </c>
      <c r="T10" s="73" t="s">
        <v>618</v>
      </c>
      <c r="U10" s="66">
        <v>9</v>
      </c>
      <c r="V10" s="80">
        <f t="shared" si="1"/>
        <v>153</v>
      </c>
      <c r="W10" s="92">
        <v>1</v>
      </c>
      <c r="X10" s="81">
        <v>22</v>
      </c>
      <c r="Y10" s="43">
        <f>+VLOOKUP(B10,'Inventario de Profit'!$A$1:G276,6,0)</f>
        <v>24</v>
      </c>
      <c r="Z10" s="2">
        <f t="shared" si="2"/>
        <v>-2</v>
      </c>
      <c r="AA10" s="74" t="s">
        <v>619</v>
      </c>
      <c r="AB10" s="14"/>
      <c r="AC10" s="14"/>
    </row>
    <row r="11" spans="2:29" s="4" customFormat="1" x14ac:dyDescent="0.25">
      <c r="B11" s="2" t="s">
        <v>37</v>
      </c>
      <c r="C11" s="2" t="s">
        <v>49</v>
      </c>
      <c r="D11" s="39" t="s">
        <v>281</v>
      </c>
      <c r="E11" s="39">
        <v>24</v>
      </c>
      <c r="F11" s="2">
        <f>+VLOOKUP(B11,'Recepcion de Producto'!$B$4:$W$111,22,0)</f>
        <v>110</v>
      </c>
      <c r="G11" s="2">
        <f>VLOOKUP(B11,'Salida de Producto'!$B$4:$DH$111,111,FALSE)</f>
        <v>93</v>
      </c>
      <c r="H11" s="19">
        <f t="shared" si="0"/>
        <v>17</v>
      </c>
      <c r="I11" s="19"/>
      <c r="J11" s="19"/>
      <c r="K11" s="19"/>
      <c r="L11" s="19"/>
      <c r="M11" s="19"/>
      <c r="N11" s="49">
        <v>16</v>
      </c>
      <c r="O11" s="63"/>
      <c r="P11" s="71">
        <f t="shared" si="3"/>
        <v>16</v>
      </c>
      <c r="Q11" s="93">
        <f t="shared" si="4"/>
        <v>0</v>
      </c>
      <c r="R11" s="59">
        <f>+VLOOKUP(B11,'Inventario de Profit'!$A$2:E279,5,0)</f>
        <v>16</v>
      </c>
      <c r="S11" s="61">
        <f t="shared" si="5"/>
        <v>0</v>
      </c>
      <c r="T11" s="73"/>
      <c r="U11" s="66">
        <v>6.2</v>
      </c>
      <c r="V11" s="80">
        <f t="shared" si="1"/>
        <v>99.2</v>
      </c>
      <c r="W11" s="92">
        <v>1</v>
      </c>
      <c r="X11" s="81">
        <v>16</v>
      </c>
      <c r="Y11" s="43">
        <f>+VLOOKUP(B11,'Inventario de Profit'!$A$1:G277,6,0)</f>
        <v>16</v>
      </c>
      <c r="Z11" s="2">
        <f t="shared" si="2"/>
        <v>0</v>
      </c>
      <c r="AA11" s="74"/>
    </row>
    <row r="12" spans="2:29" s="8" customFormat="1" x14ac:dyDescent="0.25">
      <c r="B12" s="42" t="s">
        <v>102</v>
      </c>
      <c r="C12" s="2" t="s">
        <v>49</v>
      </c>
      <c r="D12" s="39" t="s">
        <v>281</v>
      </c>
      <c r="E12" s="39">
        <v>24</v>
      </c>
      <c r="F12" s="2">
        <f>+VLOOKUP(B12,'Recepcion de Producto'!$B$4:$W$111,22,0)</f>
        <v>163</v>
      </c>
      <c r="G12" s="2">
        <f>VLOOKUP(B12,'Salida de Producto'!$B$4:$DH$111,111,FALSE)</f>
        <v>144</v>
      </c>
      <c r="H12" s="19">
        <f t="shared" si="0"/>
        <v>19</v>
      </c>
      <c r="I12" s="19"/>
      <c r="J12" s="19"/>
      <c r="K12" s="19"/>
      <c r="L12" s="19"/>
      <c r="M12" s="19"/>
      <c r="N12" s="19"/>
      <c r="O12" s="89">
        <v>18</v>
      </c>
      <c r="P12" s="71">
        <f t="shared" si="3"/>
        <v>18</v>
      </c>
      <c r="Q12" s="93">
        <f t="shared" si="4"/>
        <v>0</v>
      </c>
      <c r="R12" s="59">
        <f>+VLOOKUP(B12,'Inventario de Profit'!$A$2:E280,5,0)</f>
        <v>18</v>
      </c>
      <c r="S12" s="61">
        <f t="shared" si="5"/>
        <v>0</v>
      </c>
      <c r="T12" s="73"/>
      <c r="U12" s="66"/>
      <c r="V12" s="80">
        <f t="shared" si="1"/>
        <v>0</v>
      </c>
      <c r="W12" s="92">
        <v>1</v>
      </c>
      <c r="X12" s="81">
        <v>20</v>
      </c>
      <c r="Y12" s="43">
        <f>+VLOOKUP(B12,'Inventario de Profit'!$A$1:G278,6,0)</f>
        <v>20</v>
      </c>
      <c r="Z12" s="2">
        <f t="shared" si="2"/>
        <v>0</v>
      </c>
      <c r="AA12" s="74"/>
    </row>
    <row r="13" spans="2:29" x14ac:dyDescent="0.25">
      <c r="B13" s="2" t="s">
        <v>372</v>
      </c>
      <c r="C13" s="2" t="s">
        <v>49</v>
      </c>
      <c r="D13" s="39" t="s">
        <v>283</v>
      </c>
      <c r="E13" s="39">
        <v>12</v>
      </c>
      <c r="F13" s="2">
        <f>+VLOOKUP(B13,'Recepcion de Producto'!$B$4:$W$111,22,0)</f>
        <v>84</v>
      </c>
      <c r="G13" s="2">
        <f>VLOOKUP(B13,'Salida de Producto'!$B$4:$DH$111,111,FALSE)</f>
        <v>84</v>
      </c>
      <c r="H13" s="19">
        <f t="shared" si="0"/>
        <v>0</v>
      </c>
      <c r="I13" s="19"/>
      <c r="J13" s="19"/>
      <c r="K13" s="19"/>
      <c r="L13" s="19"/>
      <c r="M13" s="19"/>
      <c r="N13" s="19"/>
      <c r="O13" s="63"/>
      <c r="P13" s="71">
        <f t="shared" si="3"/>
        <v>0</v>
      </c>
      <c r="Q13" s="93">
        <f t="shared" si="4"/>
        <v>0</v>
      </c>
      <c r="R13" s="59">
        <f>+VLOOKUP(B13,'Inventario de Profit'!$A$2:E281,5,0)</f>
        <v>0</v>
      </c>
      <c r="S13" s="61">
        <f t="shared" si="5"/>
        <v>0</v>
      </c>
      <c r="T13" s="73"/>
      <c r="U13" s="66"/>
      <c r="V13" s="80"/>
      <c r="W13" s="92"/>
      <c r="X13" s="81"/>
      <c r="Y13" s="43">
        <f>+VLOOKUP(B13,'Inventario de Profit'!$A$1:G279,6,0)</f>
        <v>0</v>
      </c>
      <c r="Z13" s="2">
        <f t="shared" si="2"/>
        <v>0</v>
      </c>
      <c r="AA13" s="74"/>
      <c r="AB13" s="14"/>
      <c r="AC13" s="14"/>
    </row>
    <row r="14" spans="2:29" x14ac:dyDescent="0.25">
      <c r="B14" s="2" t="s">
        <v>356</v>
      </c>
      <c r="C14" s="2" t="s">
        <v>49</v>
      </c>
      <c r="D14" s="39" t="s">
        <v>357</v>
      </c>
      <c r="E14" s="39">
        <v>4</v>
      </c>
      <c r="F14" s="2">
        <f>+VLOOKUP(B14,'Recepcion de Producto'!$B$4:$W$111,22,0)</f>
        <v>252</v>
      </c>
      <c r="G14" s="2">
        <f>VLOOKUP(B14,'Salida de Producto'!$B$4:$DH$111,111,FALSE)</f>
        <v>251</v>
      </c>
      <c r="H14" s="19">
        <f t="shared" si="0"/>
        <v>1</v>
      </c>
      <c r="I14" s="19"/>
      <c r="J14" s="19"/>
      <c r="K14" s="19"/>
      <c r="L14" s="19"/>
      <c r="M14" s="19"/>
      <c r="N14" s="19"/>
      <c r="O14" s="63"/>
      <c r="P14" s="71">
        <f t="shared" si="3"/>
        <v>0</v>
      </c>
      <c r="Q14" s="93">
        <f t="shared" si="4"/>
        <v>0</v>
      </c>
      <c r="R14" s="59">
        <f>+VLOOKUP(B14,'Inventario de Profit'!$A$2:E282,5,0)</f>
        <v>0</v>
      </c>
      <c r="S14" s="61">
        <f t="shared" si="5"/>
        <v>0</v>
      </c>
      <c r="T14" s="73"/>
      <c r="U14" s="66"/>
      <c r="V14" s="80"/>
      <c r="W14" s="92">
        <v>1</v>
      </c>
      <c r="X14" s="81">
        <v>1</v>
      </c>
      <c r="Y14" s="43">
        <f>+VLOOKUP(B14,'Inventario de Profit'!$A$1:G280,6,0)</f>
        <v>1</v>
      </c>
      <c r="Z14" s="2">
        <f t="shared" si="2"/>
        <v>0</v>
      </c>
      <c r="AA14" s="74"/>
      <c r="AB14" s="14"/>
      <c r="AC14" s="14"/>
    </row>
    <row r="15" spans="2:29" s="8" customFormat="1" x14ac:dyDescent="0.25">
      <c r="B15" s="42" t="s">
        <v>104</v>
      </c>
      <c r="C15" s="2" t="s">
        <v>49</v>
      </c>
      <c r="D15" s="39" t="s">
        <v>281</v>
      </c>
      <c r="E15" s="39">
        <v>24</v>
      </c>
      <c r="F15" s="2">
        <f>+VLOOKUP(B15,'Recepcion de Producto'!$B$4:$W$111,22,0)</f>
        <v>45</v>
      </c>
      <c r="G15" s="2">
        <f>VLOOKUP(B15,'Salida de Producto'!$B$4:$DH$111,111,FALSE)</f>
        <v>44</v>
      </c>
      <c r="H15" s="19">
        <f t="shared" si="0"/>
        <v>1</v>
      </c>
      <c r="I15" s="19"/>
      <c r="J15" s="19"/>
      <c r="K15" s="19"/>
      <c r="L15" s="19"/>
      <c r="M15" s="19"/>
      <c r="N15" s="19"/>
      <c r="O15" s="63"/>
      <c r="P15" s="71">
        <f t="shared" si="3"/>
        <v>0</v>
      </c>
      <c r="Q15" s="93">
        <f t="shared" si="4"/>
        <v>0</v>
      </c>
      <c r="R15" s="59">
        <f>+VLOOKUP(B15,'Inventario de Profit'!$A$2:E283,5,0)</f>
        <v>0</v>
      </c>
      <c r="S15" s="61">
        <f t="shared" si="5"/>
        <v>0</v>
      </c>
      <c r="T15" s="73"/>
      <c r="U15" s="66"/>
      <c r="V15" s="80">
        <f>P15*U15</f>
        <v>0</v>
      </c>
      <c r="W15" s="92">
        <v>1</v>
      </c>
      <c r="X15" s="81">
        <v>20</v>
      </c>
      <c r="Y15" s="43">
        <f>+VLOOKUP(B15,'Inventario de Profit'!$A$1:G281,6,0)</f>
        <v>20</v>
      </c>
      <c r="Z15" s="2">
        <f t="shared" si="2"/>
        <v>0</v>
      </c>
      <c r="AA15" s="74"/>
    </row>
    <row r="16" spans="2:29" s="8" customFormat="1" x14ac:dyDescent="0.25">
      <c r="B16" s="42" t="s">
        <v>103</v>
      </c>
      <c r="C16" s="2" t="s">
        <v>49</v>
      </c>
      <c r="D16" s="39" t="s">
        <v>281</v>
      </c>
      <c r="E16" s="39">
        <v>24</v>
      </c>
      <c r="F16" s="2">
        <f>+VLOOKUP(B16,'Recepcion de Producto'!$B$4:$W$111,22,0)</f>
        <v>66</v>
      </c>
      <c r="G16" s="2">
        <f>VLOOKUP(B16,'Salida de Producto'!$B$4:$DH$111,111,FALSE)</f>
        <v>65</v>
      </c>
      <c r="H16" s="19">
        <f t="shared" si="0"/>
        <v>1</v>
      </c>
      <c r="I16" s="19"/>
      <c r="J16" s="19"/>
      <c r="K16" s="19"/>
      <c r="L16" s="19"/>
      <c r="M16" s="19"/>
      <c r="N16" s="19"/>
      <c r="O16" s="63"/>
      <c r="P16" s="71">
        <f t="shared" si="3"/>
        <v>0</v>
      </c>
      <c r="Q16" s="93">
        <f t="shared" si="4"/>
        <v>0</v>
      </c>
      <c r="R16" s="59">
        <f>+VLOOKUP(B16,'Inventario de Profit'!$A$2:E284,5,0)</f>
        <v>0</v>
      </c>
      <c r="S16" s="61">
        <f t="shared" si="5"/>
        <v>0</v>
      </c>
      <c r="T16" s="73"/>
      <c r="U16" s="66"/>
      <c r="V16" s="80">
        <f>P16*U16</f>
        <v>0</v>
      </c>
      <c r="W16" s="92">
        <v>1</v>
      </c>
      <c r="X16" s="81">
        <v>20</v>
      </c>
      <c r="Y16" s="43">
        <f>+VLOOKUP(B16,'Inventario de Profit'!$A$1:G282,6,0)</f>
        <v>20</v>
      </c>
      <c r="Z16" s="2">
        <f t="shared" si="2"/>
        <v>0</v>
      </c>
      <c r="AA16" s="74"/>
    </row>
    <row r="17" spans="2:29" s="8" customFormat="1" x14ac:dyDescent="0.25">
      <c r="B17" s="42" t="s">
        <v>99</v>
      </c>
      <c r="C17" s="2" t="s">
        <v>49</v>
      </c>
      <c r="D17" s="39" t="s">
        <v>281</v>
      </c>
      <c r="E17" s="39">
        <v>24</v>
      </c>
      <c r="F17" s="2">
        <f>+VLOOKUP(B17,'Recepcion de Producto'!$B$4:$W$111,22,0)</f>
        <v>134</v>
      </c>
      <c r="G17" s="2">
        <f>VLOOKUP(B17,'Salida de Producto'!$B$4:$DH$111,111,FALSE)</f>
        <v>109</v>
      </c>
      <c r="H17" s="19">
        <f t="shared" si="0"/>
        <v>25</v>
      </c>
      <c r="I17" s="19"/>
      <c r="J17" s="19"/>
      <c r="K17" s="19"/>
      <c r="L17" s="19"/>
      <c r="M17" s="19"/>
      <c r="N17" s="49">
        <v>24</v>
      </c>
      <c r="O17" s="63"/>
      <c r="P17" s="71">
        <f t="shared" si="3"/>
        <v>24</v>
      </c>
      <c r="Q17" s="93">
        <f t="shared" si="4"/>
        <v>0</v>
      </c>
      <c r="R17" s="59">
        <f>+VLOOKUP(B17,'Inventario de Profit'!$A$2:E285,5,0)</f>
        <v>24</v>
      </c>
      <c r="S17" s="61">
        <f t="shared" si="5"/>
        <v>0</v>
      </c>
      <c r="T17" s="73"/>
      <c r="U17" s="66"/>
      <c r="V17" s="80">
        <f>P17*U17</f>
        <v>0</v>
      </c>
      <c r="W17" s="92">
        <v>1</v>
      </c>
      <c r="X17" s="81">
        <v>17</v>
      </c>
      <c r="Y17" s="43">
        <f>+VLOOKUP(B17,'Inventario de Profit'!$A$1:G283,6,0)</f>
        <v>17</v>
      </c>
      <c r="Z17" s="2">
        <f t="shared" si="2"/>
        <v>0</v>
      </c>
      <c r="AA17" s="74"/>
    </row>
    <row r="18" spans="2:29" s="8" customFormat="1" ht="14.25" customHeight="1" x14ac:dyDescent="0.25">
      <c r="B18" s="42" t="s">
        <v>101</v>
      </c>
      <c r="C18" s="2" t="s">
        <v>49</v>
      </c>
      <c r="D18" s="39" t="s">
        <v>283</v>
      </c>
      <c r="E18" s="39">
        <v>12</v>
      </c>
      <c r="F18" s="2">
        <f>+VLOOKUP(B18,'Recepcion de Producto'!$B$4:$W$111,22,0)</f>
        <v>285</v>
      </c>
      <c r="G18" s="2">
        <f>VLOOKUP(B18,'Salida de Producto'!$B$4:$DH$111,111,FALSE)</f>
        <v>284</v>
      </c>
      <c r="H18" s="19">
        <f t="shared" si="0"/>
        <v>1</v>
      </c>
      <c r="I18" s="19"/>
      <c r="J18" s="19"/>
      <c r="K18" s="19"/>
      <c r="L18" s="19"/>
      <c r="M18" s="19"/>
      <c r="N18" s="19"/>
      <c r="O18" s="63"/>
      <c r="P18" s="71">
        <f t="shared" si="3"/>
        <v>0</v>
      </c>
      <c r="Q18" s="93">
        <f t="shared" si="4"/>
        <v>0</v>
      </c>
      <c r="R18" s="59">
        <f>+VLOOKUP(B18,'Inventario de Profit'!$A$2:E286,5,0)</f>
        <v>0</v>
      </c>
      <c r="S18" s="61">
        <f t="shared" si="5"/>
        <v>0</v>
      </c>
      <c r="T18" s="73"/>
      <c r="U18" s="66"/>
      <c r="V18" s="80">
        <f>P18*U18</f>
        <v>0</v>
      </c>
      <c r="W18" s="92">
        <v>1</v>
      </c>
      <c r="X18" s="81">
        <v>7</v>
      </c>
      <c r="Y18" s="43">
        <f>+VLOOKUP(B18,'Inventario de Profit'!$A$1:G284,6,0)</f>
        <v>7</v>
      </c>
      <c r="Z18" s="2">
        <f t="shared" si="2"/>
        <v>0</v>
      </c>
      <c r="AA18" s="74"/>
    </row>
    <row r="19" spans="2:29" s="4" customFormat="1" x14ac:dyDescent="0.25">
      <c r="B19" s="42" t="s">
        <v>100</v>
      </c>
      <c r="C19" s="2" t="s">
        <v>49</v>
      </c>
      <c r="D19" s="39" t="s">
        <v>281</v>
      </c>
      <c r="E19" s="39">
        <v>24</v>
      </c>
      <c r="F19" s="2">
        <f>+VLOOKUP(B19,'Recepcion de Producto'!$B$4:$W$111,22,0)</f>
        <v>113</v>
      </c>
      <c r="G19" s="2">
        <f>VLOOKUP(B19,'Salida de Producto'!$B$4:$DH$111,111,FALSE)</f>
        <v>111</v>
      </c>
      <c r="H19" s="19">
        <f t="shared" si="0"/>
        <v>2</v>
      </c>
      <c r="I19" s="19"/>
      <c r="J19" s="19"/>
      <c r="K19" s="19"/>
      <c r="L19" s="19"/>
      <c r="M19" s="19"/>
      <c r="N19" s="49">
        <v>1</v>
      </c>
      <c r="O19" s="63"/>
      <c r="P19" s="71">
        <f t="shared" si="3"/>
        <v>1</v>
      </c>
      <c r="Q19" s="93">
        <f t="shared" si="4"/>
        <v>0</v>
      </c>
      <c r="R19" s="59">
        <f>+VLOOKUP(B19,'Inventario de Profit'!$A$2:E287,5,0)</f>
        <v>1</v>
      </c>
      <c r="S19" s="61">
        <f t="shared" si="5"/>
        <v>0</v>
      </c>
      <c r="T19" s="73"/>
      <c r="U19" s="66"/>
      <c r="V19" s="80"/>
      <c r="W19" s="92">
        <v>1</v>
      </c>
      <c r="X19" s="81">
        <v>17</v>
      </c>
      <c r="Y19" s="43">
        <f>+VLOOKUP(B19,'Inventario de Profit'!$A$1:G285,6,0)</f>
        <v>17</v>
      </c>
      <c r="Z19" s="2">
        <f t="shared" si="2"/>
        <v>0</v>
      </c>
      <c r="AA19" s="74"/>
    </row>
    <row r="20" spans="2:29" s="8" customFormat="1" x14ac:dyDescent="0.25">
      <c r="B20" s="42" t="s">
        <v>41</v>
      </c>
      <c r="C20" s="2" t="s">
        <v>49</v>
      </c>
      <c r="D20" s="39" t="s">
        <v>281</v>
      </c>
      <c r="E20" s="39">
        <v>24</v>
      </c>
      <c r="F20" s="2">
        <f>+VLOOKUP(B20,'Recepcion de Producto'!$B$4:$W$111,22,0)</f>
        <v>46</v>
      </c>
      <c r="G20" s="2">
        <f>VLOOKUP(B20,'Salida de Producto'!$B$4:$DH$111,111,FALSE)</f>
        <v>45</v>
      </c>
      <c r="H20" s="19">
        <f t="shared" si="0"/>
        <v>1</v>
      </c>
      <c r="I20" s="19"/>
      <c r="J20" s="19"/>
      <c r="K20" s="19"/>
      <c r="L20" s="19"/>
      <c r="M20" s="19"/>
      <c r="N20" s="19"/>
      <c r="O20" s="63"/>
      <c r="P20" s="71">
        <f t="shared" si="3"/>
        <v>0</v>
      </c>
      <c r="Q20" s="93">
        <f t="shared" si="4"/>
        <v>0</v>
      </c>
      <c r="R20" s="59">
        <f>+VLOOKUP(B20,'Inventario de Profit'!$A$2:E288,5,0)</f>
        <v>0</v>
      </c>
      <c r="S20" s="61">
        <f t="shared" si="5"/>
        <v>0</v>
      </c>
      <c r="T20" s="73"/>
      <c r="U20" s="66">
        <v>10.3</v>
      </c>
      <c r="V20" s="80">
        <f t="shared" ref="V20:V25" si="6">P20*U20</f>
        <v>0</v>
      </c>
      <c r="W20" s="92">
        <v>1</v>
      </c>
      <c r="X20" s="81">
        <v>22</v>
      </c>
      <c r="Y20" s="43">
        <f>+VLOOKUP(B20,'Inventario de Profit'!$A$1:G286,6,0)</f>
        <v>22</v>
      </c>
      <c r="Z20" s="2">
        <f t="shared" si="2"/>
        <v>0</v>
      </c>
      <c r="AA20" s="82"/>
    </row>
    <row r="21" spans="2:29" s="4" customFormat="1" x14ac:dyDescent="0.25">
      <c r="B21" s="42" t="s">
        <v>42</v>
      </c>
      <c r="C21" s="2" t="s">
        <v>49</v>
      </c>
      <c r="D21" s="39" t="s">
        <v>281</v>
      </c>
      <c r="E21" s="39">
        <v>24</v>
      </c>
      <c r="F21" s="2">
        <f>+VLOOKUP(B21,'Recepcion de Producto'!$B$4:$W$111,22,0)</f>
        <v>131</v>
      </c>
      <c r="G21" s="2">
        <f>VLOOKUP(B21,'Salida de Producto'!$B$4:$DH$111,111,FALSE)</f>
        <v>87</v>
      </c>
      <c r="H21" s="19">
        <f t="shared" si="0"/>
        <v>44</v>
      </c>
      <c r="I21" s="19"/>
      <c r="J21" s="19"/>
      <c r="K21" s="19"/>
      <c r="L21" s="19"/>
      <c r="M21" s="49">
        <v>11</v>
      </c>
      <c r="N21" s="19"/>
      <c r="O21" s="89">
        <v>32</v>
      </c>
      <c r="P21" s="71">
        <f t="shared" si="3"/>
        <v>43</v>
      </c>
      <c r="Q21" s="93">
        <f t="shared" si="4"/>
        <v>0</v>
      </c>
      <c r="R21" s="59">
        <f>+VLOOKUP(B21,'Inventario de Profit'!$A$2:E289,5,0)</f>
        <v>43</v>
      </c>
      <c r="S21" s="61">
        <f t="shared" si="5"/>
        <v>0</v>
      </c>
      <c r="T21" s="73"/>
      <c r="U21" s="66">
        <v>5.2</v>
      </c>
      <c r="V21" s="80">
        <f t="shared" si="6"/>
        <v>223.6</v>
      </c>
      <c r="W21" s="92">
        <v>1</v>
      </c>
      <c r="X21" s="81">
        <v>22</v>
      </c>
      <c r="Y21" s="43">
        <f>+VLOOKUP(B21,'Inventario de Profit'!$A$1:G287,6,0)</f>
        <v>22</v>
      </c>
      <c r="Z21" s="2">
        <f t="shared" si="2"/>
        <v>0</v>
      </c>
      <c r="AA21" s="74"/>
    </row>
    <row r="22" spans="2:29" x14ac:dyDescent="0.25">
      <c r="B22" s="2" t="s">
        <v>43</v>
      </c>
      <c r="C22" s="2" t="s">
        <v>49</v>
      </c>
      <c r="D22" s="39" t="s">
        <v>281</v>
      </c>
      <c r="E22" s="39">
        <v>24</v>
      </c>
      <c r="F22" s="2">
        <f>+VLOOKUP(B22,'Recepcion de Producto'!$B$4:$W$111,22,0)</f>
        <v>110</v>
      </c>
      <c r="G22" s="2">
        <f>VLOOKUP(B22,'Salida de Producto'!$B$4:$DH$111,111,FALSE)</f>
        <v>109</v>
      </c>
      <c r="H22" s="19">
        <f t="shared" si="0"/>
        <v>1</v>
      </c>
      <c r="I22" s="19"/>
      <c r="J22" s="19"/>
      <c r="K22" s="19"/>
      <c r="L22" s="19"/>
      <c r="M22" s="19"/>
      <c r="N22" s="19"/>
      <c r="O22" s="63"/>
      <c r="P22" s="71">
        <f t="shared" si="3"/>
        <v>0</v>
      </c>
      <c r="Q22" s="93">
        <f t="shared" si="4"/>
        <v>0</v>
      </c>
      <c r="R22" s="59">
        <f>+VLOOKUP(B22,'Inventario de Profit'!$A$2:E290,5,0)</f>
        <v>0</v>
      </c>
      <c r="S22" s="61">
        <f t="shared" si="5"/>
        <v>0</v>
      </c>
      <c r="T22" s="73"/>
      <c r="U22" s="66">
        <v>12.3</v>
      </c>
      <c r="V22" s="80">
        <f t="shared" si="6"/>
        <v>0</v>
      </c>
      <c r="W22" s="92">
        <v>1</v>
      </c>
      <c r="X22" s="81">
        <v>21</v>
      </c>
      <c r="Y22" s="43">
        <f>+VLOOKUP(B22,'Inventario de Profit'!$A$1:G288,6,0)</f>
        <v>21</v>
      </c>
      <c r="Z22" s="2">
        <f t="shared" si="2"/>
        <v>0</v>
      </c>
      <c r="AA22" s="74"/>
      <c r="AB22" s="14"/>
      <c r="AC22" s="14"/>
    </row>
    <row r="23" spans="2:29" s="4" customFormat="1" x14ac:dyDescent="0.25">
      <c r="B23" s="2" t="s">
        <v>44</v>
      </c>
      <c r="C23" s="2" t="s">
        <v>49</v>
      </c>
      <c r="D23" s="39" t="s">
        <v>281</v>
      </c>
      <c r="E23" s="39">
        <v>24</v>
      </c>
      <c r="F23" s="2">
        <f>+VLOOKUP(B23,'Recepcion de Producto'!$B$4:$W$111,22,0)</f>
        <v>129</v>
      </c>
      <c r="G23" s="2">
        <f>VLOOKUP(B23,'Salida de Producto'!$B$4:$DH$111,111,FALSE)</f>
        <v>129</v>
      </c>
      <c r="H23" s="19">
        <f t="shared" si="0"/>
        <v>0</v>
      </c>
      <c r="I23" s="19"/>
      <c r="J23" s="19"/>
      <c r="K23" s="19"/>
      <c r="L23" s="19"/>
      <c r="M23" s="19"/>
      <c r="N23" s="19"/>
      <c r="O23" s="63"/>
      <c r="P23" s="71">
        <f t="shared" si="3"/>
        <v>0</v>
      </c>
      <c r="Q23" s="93">
        <f t="shared" si="4"/>
        <v>0</v>
      </c>
      <c r="R23" s="59">
        <f>+VLOOKUP(B23,'Inventario de Profit'!$A$2:E291,5,0)</f>
        <v>0</v>
      </c>
      <c r="S23" s="61">
        <f t="shared" si="5"/>
        <v>0</v>
      </c>
      <c r="T23" s="73"/>
      <c r="U23" s="66">
        <v>12.4</v>
      </c>
      <c r="V23" s="80">
        <f t="shared" si="6"/>
        <v>0</v>
      </c>
      <c r="W23" s="92">
        <v>0</v>
      </c>
      <c r="X23" s="81"/>
      <c r="Y23" s="43">
        <f>+VLOOKUP(B23,'Inventario de Profit'!$A$1:G289,6,0)</f>
        <v>0</v>
      </c>
      <c r="Z23" s="2">
        <f t="shared" si="2"/>
        <v>0</v>
      </c>
      <c r="AA23" s="83"/>
    </row>
    <row r="24" spans="2:29" s="4" customFormat="1" x14ac:dyDescent="0.25">
      <c r="B24" s="2" t="s">
        <v>45</v>
      </c>
      <c r="C24" s="2" t="s">
        <v>49</v>
      </c>
      <c r="D24" s="39" t="s">
        <v>281</v>
      </c>
      <c r="E24" s="39">
        <v>24</v>
      </c>
      <c r="F24" s="2">
        <f>+VLOOKUP(B24,'Recepcion de Producto'!$B$4:$W$111,22,0)</f>
        <v>129</v>
      </c>
      <c r="G24" s="2">
        <f>VLOOKUP(B24,'Salida de Producto'!$B$4:$DH$111,111,FALSE)</f>
        <v>87</v>
      </c>
      <c r="H24" s="19">
        <f t="shared" si="0"/>
        <v>42</v>
      </c>
      <c r="I24" s="19"/>
      <c r="J24" s="19"/>
      <c r="K24" s="19"/>
      <c r="L24" s="19"/>
      <c r="M24" s="31">
        <v>9</v>
      </c>
      <c r="N24" s="19"/>
      <c r="O24" s="64">
        <f>10+22</f>
        <v>32</v>
      </c>
      <c r="P24" s="71">
        <f t="shared" si="3"/>
        <v>41</v>
      </c>
      <c r="Q24" s="93">
        <f t="shared" si="4"/>
        <v>0</v>
      </c>
      <c r="R24" s="59">
        <f>+VLOOKUP(B24,'Inventario de Profit'!$A$2:E292,5,0)</f>
        <v>41</v>
      </c>
      <c r="S24" s="61">
        <f t="shared" si="5"/>
        <v>0</v>
      </c>
      <c r="T24" s="73"/>
      <c r="U24" s="66">
        <v>7.1</v>
      </c>
      <c r="V24" s="80">
        <f t="shared" si="6"/>
        <v>291.09999999999997</v>
      </c>
      <c r="W24" s="92">
        <v>1</v>
      </c>
      <c r="X24" s="81">
        <v>22</v>
      </c>
      <c r="Y24" s="43">
        <f>+VLOOKUP(B24,'Inventario de Profit'!$A$1:G290,6,0)</f>
        <v>22</v>
      </c>
      <c r="Z24" s="2">
        <f t="shared" si="2"/>
        <v>0</v>
      </c>
      <c r="AA24" s="74"/>
    </row>
    <row r="25" spans="2:29" s="8" customFormat="1" x14ac:dyDescent="0.25">
      <c r="B25" s="2" t="s">
        <v>46</v>
      </c>
      <c r="C25" s="2" t="s">
        <v>49</v>
      </c>
      <c r="D25" s="39" t="s">
        <v>281</v>
      </c>
      <c r="E25" s="39">
        <v>24</v>
      </c>
      <c r="F25" s="2">
        <f>+VLOOKUP(B25,'Recepcion de Producto'!$B$4:$W$111,22,0)</f>
        <v>252</v>
      </c>
      <c r="G25" s="2">
        <f>VLOOKUP(B25,'Salida de Producto'!$B$4:$DH$111,111,FALSE)</f>
        <v>226</v>
      </c>
      <c r="H25" s="19">
        <f t="shared" si="0"/>
        <v>26</v>
      </c>
      <c r="I25" s="19"/>
      <c r="J25" s="19"/>
      <c r="K25" s="19"/>
      <c r="L25" s="19"/>
      <c r="M25" s="19"/>
      <c r="N25" s="19"/>
      <c r="O25" s="89">
        <f>1+24</f>
        <v>25</v>
      </c>
      <c r="P25" s="71">
        <f t="shared" si="3"/>
        <v>25</v>
      </c>
      <c r="Q25" s="93">
        <f t="shared" si="4"/>
        <v>0</v>
      </c>
      <c r="R25" s="59">
        <f>+VLOOKUP(B25,'Inventario de Profit'!$A$2:E293,5,0)</f>
        <v>25</v>
      </c>
      <c r="S25" s="61">
        <f t="shared" si="5"/>
        <v>0</v>
      </c>
      <c r="T25" s="73"/>
      <c r="U25" s="66">
        <v>8.3000000000000007</v>
      </c>
      <c r="V25" s="80">
        <f t="shared" si="6"/>
        <v>207.50000000000003</v>
      </c>
      <c r="W25" s="92">
        <v>1</v>
      </c>
      <c r="X25" s="81">
        <v>16</v>
      </c>
      <c r="Y25" s="43">
        <f>+VLOOKUP(B25,'Inventario de Profit'!$A$1:G291,6,0)</f>
        <v>16</v>
      </c>
      <c r="Z25" s="2">
        <f t="shared" si="2"/>
        <v>0</v>
      </c>
      <c r="AA25" s="74"/>
    </row>
    <row r="26" spans="2:29" s="8" customFormat="1" x14ac:dyDescent="0.25">
      <c r="B26" s="2" t="s">
        <v>506</v>
      </c>
      <c r="C26" s="2" t="s">
        <v>49</v>
      </c>
      <c r="D26" s="39" t="s">
        <v>281</v>
      </c>
      <c r="E26" s="39">
        <v>24</v>
      </c>
      <c r="F26" s="2">
        <f>+VLOOKUP(B26,'Recepcion de Producto'!$B$4:$W$111,22,0)</f>
        <v>42</v>
      </c>
      <c r="G26" s="2">
        <f>VLOOKUP(B26,'Salida de Producto'!$B$4:$DH$111,111,FALSE)</f>
        <v>41</v>
      </c>
      <c r="H26" s="19">
        <f t="shared" si="0"/>
        <v>1</v>
      </c>
      <c r="I26" s="19"/>
      <c r="J26" s="19"/>
      <c r="K26" s="19"/>
      <c r="L26" s="19"/>
      <c r="M26" s="19"/>
      <c r="N26" s="19"/>
      <c r="O26" s="63"/>
      <c r="P26" s="71">
        <f t="shared" si="3"/>
        <v>0</v>
      </c>
      <c r="Q26" s="93">
        <f t="shared" si="4"/>
        <v>0</v>
      </c>
      <c r="R26" s="59">
        <f>+VLOOKUP(B26,'Inventario de Profit'!$A$2:E294,5,0)</f>
        <v>0</v>
      </c>
      <c r="S26" s="61">
        <f t="shared" si="5"/>
        <v>0</v>
      </c>
      <c r="T26" s="73"/>
      <c r="U26" s="67"/>
      <c r="V26" s="80"/>
      <c r="W26" s="92">
        <v>1</v>
      </c>
      <c r="X26" s="81">
        <v>23</v>
      </c>
      <c r="Y26" s="43">
        <f>+VLOOKUP(B26,'Inventario de Profit'!$A$1:G292,6,0)</f>
        <v>23</v>
      </c>
      <c r="Z26" s="2">
        <f t="shared" si="2"/>
        <v>0</v>
      </c>
      <c r="AA26" s="83"/>
    </row>
    <row r="27" spans="2:29" x14ac:dyDescent="0.25">
      <c r="B27" s="2" t="s">
        <v>68</v>
      </c>
      <c r="C27" s="2" t="s">
        <v>87</v>
      </c>
      <c r="D27" s="39" t="s">
        <v>89</v>
      </c>
      <c r="E27" s="39">
        <v>50</v>
      </c>
      <c r="F27" s="53">
        <f>+VLOOKUP(B27,'Recepcion de Producto'!$B$4:$W$109,22,0)</f>
        <v>60</v>
      </c>
      <c r="G27" s="2">
        <f>VLOOKUP(B27,'Salida de Producto'!$B$4:$DH$111,111,FALSE)</f>
        <v>51</v>
      </c>
      <c r="H27" s="19">
        <f t="shared" si="0"/>
        <v>9</v>
      </c>
      <c r="I27" s="19"/>
      <c r="J27" s="19"/>
      <c r="K27" s="19"/>
      <c r="L27" s="19"/>
      <c r="M27" s="49">
        <v>8</v>
      </c>
      <c r="N27" s="19"/>
      <c r="O27" s="63"/>
      <c r="P27" s="71">
        <f t="shared" si="3"/>
        <v>8</v>
      </c>
      <c r="Q27" s="93">
        <f t="shared" si="4"/>
        <v>0</v>
      </c>
      <c r="R27" s="59">
        <f>+VLOOKUP(B27,'Inventario de Profit'!$A$2:E295,5,0)</f>
        <v>8</v>
      </c>
      <c r="S27" s="61">
        <f t="shared" si="5"/>
        <v>0</v>
      </c>
      <c r="T27" s="73"/>
      <c r="U27" s="66"/>
      <c r="V27" s="80">
        <f t="shared" ref="V27:V58" si="7">P27*U27</f>
        <v>0</v>
      </c>
      <c r="W27" s="92">
        <v>1</v>
      </c>
      <c r="X27" s="81">
        <v>46</v>
      </c>
      <c r="Y27" s="43">
        <f>+VLOOKUP(B27,'Inventario de Profit'!$A$1:G293,6,0)</f>
        <v>46</v>
      </c>
      <c r="Z27" s="2">
        <f t="shared" ref="Z27:Z58" si="8">+X27-Y27</f>
        <v>0</v>
      </c>
      <c r="AA27" s="84"/>
      <c r="AB27" s="14"/>
      <c r="AC27" s="14"/>
    </row>
    <row r="28" spans="2:29" s="8" customFormat="1" x14ac:dyDescent="0.25">
      <c r="B28" s="2" t="s">
        <v>69</v>
      </c>
      <c r="C28" s="2" t="s">
        <v>87</v>
      </c>
      <c r="D28" s="39" t="s">
        <v>89</v>
      </c>
      <c r="E28" s="39">
        <v>50</v>
      </c>
      <c r="F28" s="53">
        <f>+VLOOKUP(B28,'Recepcion de Producto'!$B$4:$W$109,22,0)</f>
        <v>20</v>
      </c>
      <c r="G28" s="2">
        <f>VLOOKUP(B28,'Salida de Producto'!$B$4:$DH$111,111,FALSE)</f>
        <v>19</v>
      </c>
      <c r="H28" s="19">
        <f t="shared" si="0"/>
        <v>1</v>
      </c>
      <c r="I28" s="19"/>
      <c r="J28" s="19"/>
      <c r="K28" s="19"/>
      <c r="L28" s="19"/>
      <c r="M28" s="19"/>
      <c r="N28" s="19"/>
      <c r="O28" s="63"/>
      <c r="P28" s="71">
        <f t="shared" si="3"/>
        <v>0</v>
      </c>
      <c r="Q28" s="93">
        <f t="shared" si="4"/>
        <v>0</v>
      </c>
      <c r="R28" s="59">
        <f>+VLOOKUP(B28,'Inventario de Profit'!$A$2:E296,5,0)</f>
        <v>0</v>
      </c>
      <c r="S28" s="61">
        <f t="shared" si="5"/>
        <v>0</v>
      </c>
      <c r="T28" s="73"/>
      <c r="U28" s="66"/>
      <c r="V28" s="80">
        <f t="shared" si="7"/>
        <v>0</v>
      </c>
      <c r="W28" s="92">
        <v>1</v>
      </c>
      <c r="X28" s="81">
        <v>46</v>
      </c>
      <c r="Y28" s="43">
        <f>+VLOOKUP(B28,'Inventario de Profit'!$A$1:G294,6,0)</f>
        <v>46</v>
      </c>
      <c r="Z28" s="2">
        <f t="shared" si="8"/>
        <v>0</v>
      </c>
      <c r="AA28" s="74"/>
      <c r="AB28" s="14"/>
      <c r="AC28" s="14"/>
    </row>
    <row r="29" spans="2:29" s="8" customFormat="1" x14ac:dyDescent="0.25">
      <c r="B29" s="2" t="s">
        <v>70</v>
      </c>
      <c r="C29" s="2" t="s">
        <v>87</v>
      </c>
      <c r="D29" s="39" t="s">
        <v>89</v>
      </c>
      <c r="E29" s="39">
        <v>50</v>
      </c>
      <c r="F29" s="53">
        <f>+VLOOKUP(B29,'Recepcion de Producto'!$B$4:$W$109,22,0)</f>
        <v>319</v>
      </c>
      <c r="G29" s="2">
        <f>VLOOKUP(B29,'Salida de Producto'!$B$4:$DH$111,111,FALSE)</f>
        <v>167</v>
      </c>
      <c r="H29" s="19">
        <f t="shared" si="0"/>
        <v>152</v>
      </c>
      <c r="I29" s="19"/>
      <c r="J29" s="19"/>
      <c r="K29" s="19"/>
      <c r="L29" s="19"/>
      <c r="M29" s="49">
        <f>27+27+3*27+16</f>
        <v>151</v>
      </c>
      <c r="N29" s="19"/>
      <c r="O29" s="63"/>
      <c r="P29" s="71">
        <f t="shared" si="3"/>
        <v>151</v>
      </c>
      <c r="Q29" s="93">
        <f t="shared" si="4"/>
        <v>0</v>
      </c>
      <c r="R29" s="59">
        <f>+VLOOKUP(B29,'Inventario de Profit'!$A$2:E297,5,0)</f>
        <v>152</v>
      </c>
      <c r="S29" s="61">
        <f t="shared" si="5"/>
        <v>-1</v>
      </c>
      <c r="T29" s="73" t="s">
        <v>286</v>
      </c>
      <c r="U29" s="66"/>
      <c r="V29" s="80">
        <f t="shared" si="7"/>
        <v>0</v>
      </c>
      <c r="W29" s="92">
        <v>1</v>
      </c>
      <c r="X29" s="81">
        <v>46</v>
      </c>
      <c r="Y29" s="43">
        <f>+VLOOKUP(B29,'Inventario de Profit'!$A$1:G295,6,0)</f>
        <v>46</v>
      </c>
      <c r="Z29" s="2">
        <f t="shared" si="8"/>
        <v>0</v>
      </c>
      <c r="AA29" s="74"/>
      <c r="AB29" s="14"/>
      <c r="AC29" s="14"/>
    </row>
    <row r="30" spans="2:29" s="8" customFormat="1" x14ac:dyDescent="0.25">
      <c r="B30" s="2" t="s">
        <v>71</v>
      </c>
      <c r="C30" s="2" t="s">
        <v>87</v>
      </c>
      <c r="D30" s="39" t="s">
        <v>89</v>
      </c>
      <c r="E30" s="39">
        <v>50</v>
      </c>
      <c r="F30" s="53">
        <f>+VLOOKUP(B30,'Recepcion de Producto'!$B$4:$W$109,22,0)</f>
        <v>80</v>
      </c>
      <c r="G30" s="2">
        <f>VLOOKUP(B30,'Salida de Producto'!$B$4:$DH$111,111,FALSE)</f>
        <v>53</v>
      </c>
      <c r="H30" s="19">
        <f t="shared" si="0"/>
        <v>27</v>
      </c>
      <c r="I30" s="19"/>
      <c r="J30" s="19"/>
      <c r="K30" s="19"/>
      <c r="L30" s="19"/>
      <c r="M30" s="49">
        <f>24+2</f>
        <v>26</v>
      </c>
      <c r="N30" s="19"/>
      <c r="O30" s="63"/>
      <c r="P30" s="71">
        <f t="shared" si="3"/>
        <v>26</v>
      </c>
      <c r="Q30" s="93">
        <f t="shared" si="4"/>
        <v>0</v>
      </c>
      <c r="R30" s="59">
        <f>+VLOOKUP(B30,'Inventario de Profit'!$A$2:E298,5,0)</f>
        <v>26</v>
      </c>
      <c r="S30" s="61">
        <f t="shared" si="5"/>
        <v>0</v>
      </c>
      <c r="T30" s="73"/>
      <c r="U30" s="66"/>
      <c r="V30" s="80">
        <f t="shared" si="7"/>
        <v>0</v>
      </c>
      <c r="W30" s="92">
        <v>1</v>
      </c>
      <c r="X30" s="81">
        <v>46</v>
      </c>
      <c r="Y30" s="43">
        <f>+VLOOKUP(B30,'Inventario de Profit'!$A$1:G296,6,0)</f>
        <v>46</v>
      </c>
      <c r="Z30" s="2">
        <f t="shared" si="8"/>
        <v>0</v>
      </c>
      <c r="AA30" s="84"/>
      <c r="AB30" s="14"/>
      <c r="AC30" s="14"/>
    </row>
    <row r="31" spans="2:29" s="8" customFormat="1" x14ac:dyDescent="0.25">
      <c r="B31" s="2" t="s">
        <v>72</v>
      </c>
      <c r="C31" s="2" t="s">
        <v>87</v>
      </c>
      <c r="D31" s="39" t="s">
        <v>89</v>
      </c>
      <c r="E31" s="39">
        <v>50</v>
      </c>
      <c r="F31" s="53">
        <f>+VLOOKUP(B31,'Recepcion de Producto'!$B$4:$W$109,22,0)</f>
        <v>78</v>
      </c>
      <c r="G31" s="2">
        <f>VLOOKUP(B31,'Salida de Producto'!$B$4:$DH$111,111,FALSE)</f>
        <v>59</v>
      </c>
      <c r="H31" s="19">
        <f t="shared" si="0"/>
        <v>19</v>
      </c>
      <c r="I31" s="19"/>
      <c r="J31" s="19"/>
      <c r="K31" s="19"/>
      <c r="L31" s="19"/>
      <c r="M31" s="19"/>
      <c r="N31" s="19"/>
      <c r="O31" s="63"/>
      <c r="P31" s="71">
        <f t="shared" si="3"/>
        <v>0</v>
      </c>
      <c r="Q31" s="93">
        <f t="shared" si="4"/>
        <v>0</v>
      </c>
      <c r="R31" s="59">
        <f>+VLOOKUP(B31,'Inventario de Profit'!$A$2:E299,5,0)</f>
        <v>0</v>
      </c>
      <c r="S31" s="61">
        <f t="shared" si="5"/>
        <v>0</v>
      </c>
      <c r="T31" s="73"/>
      <c r="U31" s="66"/>
      <c r="V31" s="80">
        <f t="shared" si="7"/>
        <v>0</v>
      </c>
      <c r="W31" s="92">
        <f>18+1</f>
        <v>19</v>
      </c>
      <c r="X31" s="81">
        <f>46+40+17*50</f>
        <v>936</v>
      </c>
      <c r="Y31" s="43">
        <f>+VLOOKUP(B31,'Inventario de Profit'!$A$1:G297,6,0)</f>
        <v>928</v>
      </c>
      <c r="Z31" s="2">
        <f t="shared" si="8"/>
        <v>8</v>
      </c>
      <c r="AA31" s="82" t="s">
        <v>665</v>
      </c>
      <c r="AB31" s="14"/>
      <c r="AC31" s="14"/>
    </row>
    <row r="32" spans="2:29" s="8" customFormat="1" x14ac:dyDescent="0.25">
      <c r="B32" s="2" t="s">
        <v>65</v>
      </c>
      <c r="C32" s="2" t="s">
        <v>87</v>
      </c>
      <c r="D32" s="39" t="s">
        <v>88</v>
      </c>
      <c r="E32" s="39">
        <v>100</v>
      </c>
      <c r="F32" s="53">
        <f>+VLOOKUP(B32,'Recepcion de Producto'!$B$4:$W$109,22,0)</f>
        <v>194</v>
      </c>
      <c r="G32" s="2">
        <f>VLOOKUP(B32,'Salida de Producto'!$B$4:$DH$111,111,FALSE)</f>
        <v>193</v>
      </c>
      <c r="H32" s="19">
        <f t="shared" si="0"/>
        <v>1</v>
      </c>
      <c r="I32" s="19"/>
      <c r="J32" s="19"/>
      <c r="K32" s="19"/>
      <c r="L32" s="19"/>
      <c r="M32" s="19"/>
      <c r="N32" s="19"/>
      <c r="O32" s="63"/>
      <c r="P32" s="71">
        <f t="shared" si="3"/>
        <v>0</v>
      </c>
      <c r="Q32" s="93">
        <f t="shared" si="4"/>
        <v>0</v>
      </c>
      <c r="R32" s="59">
        <f>+VLOOKUP(B32,'Inventario de Profit'!$A$2:E300,5,0)</f>
        <v>0</v>
      </c>
      <c r="S32" s="61">
        <f t="shared" si="5"/>
        <v>0</v>
      </c>
      <c r="T32" s="73"/>
      <c r="U32" s="66"/>
      <c r="V32" s="80">
        <f t="shared" si="7"/>
        <v>0</v>
      </c>
      <c r="W32" s="92">
        <v>1</v>
      </c>
      <c r="X32" s="81">
        <v>96</v>
      </c>
      <c r="Y32" s="43">
        <f>+VLOOKUP(B32,'Inventario de Profit'!$A$1:G298,6,0)</f>
        <v>96</v>
      </c>
      <c r="Z32" s="2">
        <f t="shared" si="8"/>
        <v>0</v>
      </c>
      <c r="AA32" s="74"/>
      <c r="AB32" s="14"/>
      <c r="AC32" s="14"/>
    </row>
    <row r="33" spans="2:29" s="8" customFormat="1" x14ac:dyDescent="0.25">
      <c r="B33" s="2" t="s">
        <v>73</v>
      </c>
      <c r="C33" s="2" t="s">
        <v>87</v>
      </c>
      <c r="D33" s="39" t="s">
        <v>89</v>
      </c>
      <c r="E33" s="39">
        <v>50</v>
      </c>
      <c r="F33" s="53">
        <f>+VLOOKUP(B33,'Recepcion de Producto'!$B$4:$W$109,22,0)</f>
        <v>79</v>
      </c>
      <c r="G33" s="2">
        <f>VLOOKUP(B33,'Salida de Producto'!$B$4:$DH$111,111,FALSE)</f>
        <v>78</v>
      </c>
      <c r="H33" s="19">
        <f t="shared" si="0"/>
        <v>1</v>
      </c>
      <c r="I33" s="19"/>
      <c r="J33" s="19"/>
      <c r="K33" s="19"/>
      <c r="L33" s="19"/>
      <c r="M33" s="19"/>
      <c r="N33" s="19"/>
      <c r="O33" s="63"/>
      <c r="P33" s="71">
        <f t="shared" si="3"/>
        <v>0</v>
      </c>
      <c r="Q33" s="93">
        <f t="shared" si="4"/>
        <v>0</v>
      </c>
      <c r="R33" s="59">
        <f>+VLOOKUP(B33,'Inventario de Profit'!$A$2:E301,5,0)</f>
        <v>0</v>
      </c>
      <c r="S33" s="61">
        <f t="shared" si="5"/>
        <v>0</v>
      </c>
      <c r="T33" s="73"/>
      <c r="U33" s="66"/>
      <c r="V33" s="80">
        <f t="shared" si="7"/>
        <v>0</v>
      </c>
      <c r="W33" s="92">
        <v>1</v>
      </c>
      <c r="X33" s="81">
        <v>46</v>
      </c>
      <c r="Y33" s="43">
        <f>+VLOOKUP(B33,'Inventario de Profit'!$A$1:G299,6,0)</f>
        <v>46</v>
      </c>
      <c r="Z33" s="2">
        <f t="shared" si="8"/>
        <v>0</v>
      </c>
      <c r="AA33" s="84"/>
      <c r="AB33" s="14"/>
      <c r="AC33" s="14"/>
    </row>
    <row r="34" spans="2:29" s="8" customFormat="1" x14ac:dyDescent="0.25">
      <c r="B34" s="2" t="s">
        <v>224</v>
      </c>
      <c r="C34" s="2" t="s">
        <v>87</v>
      </c>
      <c r="D34" s="39" t="s">
        <v>89</v>
      </c>
      <c r="E34" s="39">
        <v>50</v>
      </c>
      <c r="F34" s="53">
        <f>+VLOOKUP(B34,'Recepcion de Producto'!$B$4:$W$109,22,0)</f>
        <v>30</v>
      </c>
      <c r="G34" s="2">
        <f>VLOOKUP(B34,'Salida de Producto'!$B$4:$DH$111,111,FALSE)</f>
        <v>24</v>
      </c>
      <c r="H34" s="19">
        <f t="shared" si="0"/>
        <v>6</v>
      </c>
      <c r="I34" s="19"/>
      <c r="J34" s="19"/>
      <c r="K34" s="19"/>
      <c r="L34" s="19"/>
      <c r="M34" s="49">
        <v>5</v>
      </c>
      <c r="N34" s="19"/>
      <c r="O34" s="63"/>
      <c r="P34" s="71">
        <f t="shared" si="3"/>
        <v>5</v>
      </c>
      <c r="Q34" s="93">
        <f t="shared" si="4"/>
        <v>0</v>
      </c>
      <c r="R34" s="59">
        <f>+VLOOKUP(B34,'Inventario de Profit'!$A$2:E302,5,0)</f>
        <v>5</v>
      </c>
      <c r="S34" s="61">
        <f t="shared" si="5"/>
        <v>0</v>
      </c>
      <c r="T34" s="73"/>
      <c r="U34" s="66"/>
      <c r="V34" s="80">
        <f t="shared" si="7"/>
        <v>0</v>
      </c>
      <c r="W34" s="92">
        <v>1</v>
      </c>
      <c r="X34" s="81">
        <v>48</v>
      </c>
      <c r="Y34" s="43">
        <f>+VLOOKUP(B34,'Inventario de Profit'!$A$1:G300,6,0)</f>
        <v>48</v>
      </c>
      <c r="Z34" s="2">
        <f t="shared" si="8"/>
        <v>0</v>
      </c>
      <c r="AA34" s="74"/>
      <c r="AB34" s="14"/>
      <c r="AC34" s="14"/>
    </row>
    <row r="35" spans="2:29" s="8" customFormat="1" x14ac:dyDescent="0.25">
      <c r="B35" s="2" t="s">
        <v>74</v>
      </c>
      <c r="C35" s="2" t="s">
        <v>87</v>
      </c>
      <c r="D35" s="39" t="s">
        <v>89</v>
      </c>
      <c r="E35" s="39">
        <v>50</v>
      </c>
      <c r="F35" s="53">
        <f>+VLOOKUP(B35,'Recepcion de Producto'!$B$4:$W$109,22,0)</f>
        <v>53</v>
      </c>
      <c r="G35" s="2">
        <f>VLOOKUP(B35,'Salida de Producto'!$B$4:$DH$111,111,FALSE)</f>
        <v>52</v>
      </c>
      <c r="H35" s="19">
        <f t="shared" si="0"/>
        <v>1</v>
      </c>
      <c r="I35" s="19"/>
      <c r="J35" s="19"/>
      <c r="K35" s="19"/>
      <c r="L35" s="19"/>
      <c r="M35" s="19"/>
      <c r="N35" s="19"/>
      <c r="O35" s="63"/>
      <c r="P35" s="71">
        <f t="shared" si="3"/>
        <v>0</v>
      </c>
      <c r="Q35" s="93">
        <f t="shared" si="4"/>
        <v>0</v>
      </c>
      <c r="R35" s="59">
        <f>+VLOOKUP(B35,'Inventario de Profit'!$A$2:E303,5,0)</f>
        <v>0</v>
      </c>
      <c r="S35" s="61">
        <f t="shared" si="5"/>
        <v>0</v>
      </c>
      <c r="T35" s="73"/>
      <c r="U35" s="66"/>
      <c r="V35" s="80">
        <f t="shared" si="7"/>
        <v>0</v>
      </c>
      <c r="W35" s="92">
        <v>1</v>
      </c>
      <c r="X35" s="81">
        <v>46</v>
      </c>
      <c r="Y35" s="43">
        <f>+VLOOKUP(B35,'Inventario de Profit'!$A$1:G301,6,0)</f>
        <v>46</v>
      </c>
      <c r="Z35" s="2">
        <f t="shared" si="8"/>
        <v>0</v>
      </c>
      <c r="AA35" s="74"/>
      <c r="AB35" s="14"/>
      <c r="AC35" s="14"/>
    </row>
    <row r="36" spans="2:29" s="8" customFormat="1" x14ac:dyDescent="0.25">
      <c r="B36" s="2" t="s">
        <v>75</v>
      </c>
      <c r="C36" s="2" t="s">
        <v>87</v>
      </c>
      <c r="D36" s="39" t="s">
        <v>89</v>
      </c>
      <c r="E36" s="39">
        <v>50</v>
      </c>
      <c r="F36" s="53">
        <f>+VLOOKUP(B36,'Recepcion de Producto'!$B$4:$W$109,22,0)</f>
        <v>60</v>
      </c>
      <c r="G36" s="2">
        <f>VLOOKUP(B36,'Salida de Producto'!$B$4:$DH$111,111,FALSE)</f>
        <v>59</v>
      </c>
      <c r="H36" s="19">
        <f t="shared" ref="H36:H67" si="9">F36-G36</f>
        <v>1</v>
      </c>
      <c r="I36" s="19"/>
      <c r="J36" s="19"/>
      <c r="K36" s="19"/>
      <c r="L36" s="19"/>
      <c r="M36" s="19"/>
      <c r="N36" s="19"/>
      <c r="O36" s="63"/>
      <c r="P36" s="71">
        <f t="shared" si="3"/>
        <v>0</v>
      </c>
      <c r="Q36" s="93">
        <f t="shared" si="4"/>
        <v>0</v>
      </c>
      <c r="R36" s="59">
        <f>+VLOOKUP(B36,'Inventario de Profit'!$A$2:E304,5,0)</f>
        <v>0</v>
      </c>
      <c r="S36" s="61">
        <f t="shared" si="5"/>
        <v>0</v>
      </c>
      <c r="T36" s="73"/>
      <c r="U36" s="66"/>
      <c r="V36" s="80">
        <f t="shared" si="7"/>
        <v>0</v>
      </c>
      <c r="W36" s="92">
        <v>1</v>
      </c>
      <c r="X36" s="81">
        <v>46</v>
      </c>
      <c r="Y36" s="43">
        <f>+VLOOKUP(B36,'Inventario de Profit'!$A$1:G302,6,0)</f>
        <v>46</v>
      </c>
      <c r="Z36" s="2">
        <f t="shared" si="8"/>
        <v>0</v>
      </c>
      <c r="AA36" s="83"/>
      <c r="AB36" s="14"/>
      <c r="AC36" s="14"/>
    </row>
    <row r="37" spans="2:29" s="8" customFormat="1" x14ac:dyDescent="0.25">
      <c r="B37" s="2" t="s">
        <v>76</v>
      </c>
      <c r="C37" s="2" t="s">
        <v>87</v>
      </c>
      <c r="D37" s="39" t="s">
        <v>89</v>
      </c>
      <c r="E37" s="39">
        <v>50</v>
      </c>
      <c r="F37" s="53">
        <f>+VLOOKUP(B37,'Recepcion de Producto'!$B$4:$W$109,22,0)</f>
        <v>78</v>
      </c>
      <c r="G37" s="2">
        <f>VLOOKUP(B37,'Salida de Producto'!$B$4:$DH$111,111,FALSE)</f>
        <v>75</v>
      </c>
      <c r="H37" s="19">
        <f t="shared" si="9"/>
        <v>3</v>
      </c>
      <c r="I37" s="19"/>
      <c r="J37" s="19"/>
      <c r="K37" s="19"/>
      <c r="L37" s="19"/>
      <c r="M37" s="49">
        <v>3</v>
      </c>
      <c r="N37" s="19"/>
      <c r="O37" s="63"/>
      <c r="P37" s="71">
        <f t="shared" si="3"/>
        <v>3</v>
      </c>
      <c r="Q37" s="93">
        <f t="shared" si="4"/>
        <v>0</v>
      </c>
      <c r="R37" s="59">
        <f>+VLOOKUP(B37,'Inventario de Profit'!$A$2:E305,5,0)</f>
        <v>3</v>
      </c>
      <c r="S37" s="61">
        <f t="shared" si="5"/>
        <v>0</v>
      </c>
      <c r="T37" s="73"/>
      <c r="U37" s="66"/>
      <c r="V37" s="80">
        <f t="shared" si="7"/>
        <v>0</v>
      </c>
      <c r="W37" s="92">
        <v>0</v>
      </c>
      <c r="X37" s="81"/>
      <c r="Y37" s="43">
        <f>+VLOOKUP(B37,'Inventario de Profit'!$A$1:G303,6,0)</f>
        <v>0</v>
      </c>
      <c r="Z37" s="2">
        <f t="shared" si="8"/>
        <v>0</v>
      </c>
      <c r="AA37" s="83"/>
      <c r="AB37" s="14"/>
      <c r="AC37" s="14"/>
    </row>
    <row r="38" spans="2:29" s="8" customFormat="1" x14ac:dyDescent="0.25">
      <c r="B38" s="2" t="s">
        <v>77</v>
      </c>
      <c r="C38" s="2" t="s">
        <v>87</v>
      </c>
      <c r="D38" s="39" t="s">
        <v>88</v>
      </c>
      <c r="E38" s="39">
        <v>100</v>
      </c>
      <c r="F38" s="53">
        <f>+VLOOKUP(B38,'Recepcion de Producto'!$B$4:$W$109,22,0)</f>
        <v>30</v>
      </c>
      <c r="G38" s="2">
        <f>VLOOKUP(B38,'Salida de Producto'!$B$4:$DH$111,111,FALSE)</f>
        <v>29</v>
      </c>
      <c r="H38" s="19">
        <f t="shared" si="9"/>
        <v>1</v>
      </c>
      <c r="I38" s="19"/>
      <c r="J38" s="19"/>
      <c r="K38" s="19"/>
      <c r="L38" s="19"/>
      <c r="M38" s="19"/>
      <c r="N38" s="19"/>
      <c r="O38" s="63"/>
      <c r="P38" s="71">
        <f t="shared" si="3"/>
        <v>0</v>
      </c>
      <c r="Q38" s="93">
        <f t="shared" si="4"/>
        <v>0</v>
      </c>
      <c r="R38" s="59">
        <f>+VLOOKUP(B38,'Inventario de Profit'!$A$2:E306,5,0)</f>
        <v>0</v>
      </c>
      <c r="S38" s="61">
        <f t="shared" si="5"/>
        <v>0</v>
      </c>
      <c r="T38" s="73"/>
      <c r="U38" s="66"/>
      <c r="V38" s="80">
        <f t="shared" si="7"/>
        <v>0</v>
      </c>
      <c r="W38" s="92">
        <v>1</v>
      </c>
      <c r="X38" s="81">
        <v>99</v>
      </c>
      <c r="Y38" s="43">
        <f>+VLOOKUP(B38,'Inventario de Profit'!$A$1:G304,6,0)</f>
        <v>99</v>
      </c>
      <c r="Z38" s="2">
        <f t="shared" si="8"/>
        <v>0</v>
      </c>
      <c r="AA38" s="74"/>
      <c r="AB38" s="14"/>
      <c r="AC38" s="14"/>
    </row>
    <row r="39" spans="2:29" s="8" customFormat="1" x14ac:dyDescent="0.25">
      <c r="B39" s="2" t="s">
        <v>78</v>
      </c>
      <c r="C39" s="2" t="s">
        <v>87</v>
      </c>
      <c r="D39" s="39" t="s">
        <v>89</v>
      </c>
      <c r="E39" s="39">
        <v>50</v>
      </c>
      <c r="F39" s="53">
        <f>+VLOOKUP(B39,'Recepcion de Producto'!$B$4:$W$109,22,0)</f>
        <v>60</v>
      </c>
      <c r="G39" s="2">
        <f>VLOOKUP(B39,'Salida de Producto'!$B$4:$DH$111,111,FALSE)</f>
        <v>54</v>
      </c>
      <c r="H39" s="19">
        <f t="shared" si="9"/>
        <v>6</v>
      </c>
      <c r="I39" s="19"/>
      <c r="J39" s="19"/>
      <c r="K39" s="19"/>
      <c r="L39" s="19"/>
      <c r="M39" s="49">
        <v>5</v>
      </c>
      <c r="N39" s="19"/>
      <c r="O39" s="63"/>
      <c r="P39" s="71">
        <f t="shared" si="3"/>
        <v>5</v>
      </c>
      <c r="Q39" s="93">
        <f t="shared" si="4"/>
        <v>0</v>
      </c>
      <c r="R39" s="59">
        <f>+VLOOKUP(B39,'Inventario de Profit'!$A$2:E307,5,0)</f>
        <v>5</v>
      </c>
      <c r="S39" s="61">
        <f t="shared" si="5"/>
        <v>0</v>
      </c>
      <c r="T39" s="73"/>
      <c r="U39" s="66"/>
      <c r="V39" s="80">
        <f t="shared" si="7"/>
        <v>0</v>
      </c>
      <c r="W39" s="92">
        <v>1</v>
      </c>
      <c r="X39" s="81">
        <v>46</v>
      </c>
      <c r="Y39" s="43">
        <f>+VLOOKUP(B39,'Inventario de Profit'!$A$1:G305,6,0)</f>
        <v>46</v>
      </c>
      <c r="Z39" s="2">
        <f t="shared" si="8"/>
        <v>0</v>
      </c>
      <c r="AA39" s="74"/>
      <c r="AB39" s="14"/>
      <c r="AC39" s="14"/>
    </row>
    <row r="40" spans="2:29" s="8" customFormat="1" ht="13.9" customHeight="1" x14ac:dyDescent="0.25">
      <c r="B40" s="2" t="s">
        <v>225</v>
      </c>
      <c r="C40" s="2" t="s">
        <v>87</v>
      </c>
      <c r="D40" s="39" t="s">
        <v>89</v>
      </c>
      <c r="E40" s="39">
        <v>50</v>
      </c>
      <c r="F40" s="53">
        <f>+VLOOKUP(B40,'Recepcion de Producto'!$B$4:$W$109,22,0)</f>
        <v>40</v>
      </c>
      <c r="G40" s="2">
        <f>VLOOKUP(B40,'Salida de Producto'!$B$4:$DH$111,111,FALSE)</f>
        <v>39</v>
      </c>
      <c r="H40" s="19">
        <f t="shared" si="9"/>
        <v>1</v>
      </c>
      <c r="I40" s="19"/>
      <c r="J40" s="19"/>
      <c r="K40" s="19"/>
      <c r="L40" s="19"/>
      <c r="M40" s="19"/>
      <c r="N40" s="19"/>
      <c r="O40" s="63"/>
      <c r="P40" s="71">
        <f t="shared" si="3"/>
        <v>0</v>
      </c>
      <c r="Q40" s="93">
        <f t="shared" si="4"/>
        <v>0</v>
      </c>
      <c r="R40" s="59">
        <f>+VLOOKUP(B40,'Inventario de Profit'!$A$2:E308,5,0)</f>
        <v>0</v>
      </c>
      <c r="S40" s="61">
        <f t="shared" si="5"/>
        <v>0</v>
      </c>
      <c r="T40" s="73"/>
      <c r="U40" s="66"/>
      <c r="V40" s="80">
        <f t="shared" si="7"/>
        <v>0</v>
      </c>
      <c r="W40" s="92">
        <v>1</v>
      </c>
      <c r="X40" s="81">
        <v>48</v>
      </c>
      <c r="Y40" s="43">
        <f>+VLOOKUP(B40,'Inventario de Profit'!$A$1:G306,6,0)</f>
        <v>48</v>
      </c>
      <c r="Z40" s="2">
        <f t="shared" si="8"/>
        <v>0</v>
      </c>
      <c r="AA40" s="84"/>
      <c r="AB40" s="14"/>
      <c r="AC40" s="14"/>
    </row>
    <row r="41" spans="2:29" s="8" customFormat="1" x14ac:dyDescent="0.25">
      <c r="B41" s="2" t="s">
        <v>79</v>
      </c>
      <c r="C41" s="2" t="s">
        <v>87</v>
      </c>
      <c r="D41" s="39" t="s">
        <v>89</v>
      </c>
      <c r="E41" s="39">
        <v>50</v>
      </c>
      <c r="F41" s="53">
        <f>+VLOOKUP(B41,'Recepcion de Producto'!$B$4:$W$109,22,0)</f>
        <v>50</v>
      </c>
      <c r="G41" s="2">
        <f>VLOOKUP(B41,'Salida de Producto'!$B$4:$DH$111,111,FALSE)</f>
        <v>49</v>
      </c>
      <c r="H41" s="19">
        <f t="shared" si="9"/>
        <v>1</v>
      </c>
      <c r="I41" s="19"/>
      <c r="J41" s="19"/>
      <c r="K41" s="19"/>
      <c r="L41" s="19"/>
      <c r="M41" s="19"/>
      <c r="N41" s="19"/>
      <c r="O41" s="63"/>
      <c r="P41" s="71">
        <f t="shared" si="3"/>
        <v>0</v>
      </c>
      <c r="Q41" s="93">
        <f t="shared" si="4"/>
        <v>0</v>
      </c>
      <c r="R41" s="59">
        <f>+VLOOKUP(B41,'Inventario de Profit'!$A$2:E309,5,0)</f>
        <v>0</v>
      </c>
      <c r="S41" s="61">
        <f t="shared" si="5"/>
        <v>0</v>
      </c>
      <c r="T41" s="73"/>
      <c r="U41" s="66"/>
      <c r="V41" s="80">
        <f t="shared" si="7"/>
        <v>0</v>
      </c>
      <c r="W41" s="92">
        <v>1</v>
      </c>
      <c r="X41" s="81">
        <v>40</v>
      </c>
      <c r="Y41" s="43">
        <f>+VLOOKUP(B41,'Inventario de Profit'!$A$1:G307,6,0)</f>
        <v>40</v>
      </c>
      <c r="Z41" s="2">
        <f t="shared" si="8"/>
        <v>0</v>
      </c>
      <c r="AA41" s="74"/>
      <c r="AB41" s="14"/>
      <c r="AC41" s="14"/>
    </row>
    <row r="42" spans="2:29" x14ac:dyDescent="0.25">
      <c r="B42" s="2" t="s">
        <v>66</v>
      </c>
      <c r="C42" s="2" t="s">
        <v>87</v>
      </c>
      <c r="D42" s="39" t="s">
        <v>89</v>
      </c>
      <c r="E42" s="39">
        <v>50</v>
      </c>
      <c r="F42" s="53">
        <f>+VLOOKUP(B42,'Recepcion de Producto'!$B$4:$W$109,22,0)</f>
        <v>510</v>
      </c>
      <c r="G42" s="2">
        <f>VLOOKUP(B42,'Salida de Producto'!$B$4:$DH$111,111,FALSE)</f>
        <v>229</v>
      </c>
      <c r="H42" s="19">
        <f t="shared" si="9"/>
        <v>281</v>
      </c>
      <c r="I42" s="19"/>
      <c r="J42" s="19"/>
      <c r="K42" s="19"/>
      <c r="L42" s="19"/>
      <c r="M42" s="49">
        <f>28+36*6+36</f>
        <v>280</v>
      </c>
      <c r="N42" s="19"/>
      <c r="O42" s="63"/>
      <c r="P42" s="71">
        <f t="shared" si="3"/>
        <v>280</v>
      </c>
      <c r="Q42" s="93">
        <f t="shared" si="4"/>
        <v>0</v>
      </c>
      <c r="R42" s="59">
        <f>+VLOOKUP(B42,'Inventario de Profit'!$A$2:E310,5,0)</f>
        <v>278</v>
      </c>
      <c r="S42" s="61">
        <f t="shared" si="5"/>
        <v>2</v>
      </c>
      <c r="T42" s="73" t="s">
        <v>612</v>
      </c>
      <c r="U42" s="66"/>
      <c r="V42" s="80">
        <f t="shared" si="7"/>
        <v>0</v>
      </c>
      <c r="W42" s="92">
        <v>1</v>
      </c>
      <c r="X42" s="81">
        <v>40</v>
      </c>
      <c r="Y42" s="43">
        <f>+VLOOKUP(B42,'Inventario de Profit'!$A$1:G308,6,0)</f>
        <v>40</v>
      </c>
      <c r="Z42" s="2">
        <f t="shared" si="8"/>
        <v>0</v>
      </c>
      <c r="AA42" s="74"/>
      <c r="AB42" s="14"/>
      <c r="AC42" s="14"/>
    </row>
    <row r="43" spans="2:29" s="8" customFormat="1" x14ac:dyDescent="0.25">
      <c r="B43" s="2" t="s">
        <v>67</v>
      </c>
      <c r="C43" s="2" t="s">
        <v>87</v>
      </c>
      <c r="D43" s="39" t="s">
        <v>89</v>
      </c>
      <c r="E43" s="39">
        <v>50</v>
      </c>
      <c r="F43" s="2">
        <f>+VLOOKUP(B43,'Recepcion de Producto'!$B$4:$W$109,22,0)</f>
        <v>491</v>
      </c>
      <c r="G43" s="2">
        <f>VLOOKUP(B43,'Salida de Producto'!$B$4:$DH$111,111,FALSE)</f>
        <v>343</v>
      </c>
      <c r="H43" s="19">
        <f t="shared" si="9"/>
        <v>148</v>
      </c>
      <c r="I43" s="19"/>
      <c r="J43" s="19"/>
      <c r="K43" s="19"/>
      <c r="L43" s="19"/>
      <c r="M43" s="49">
        <f>2+4*36</f>
        <v>146</v>
      </c>
      <c r="N43" s="19"/>
      <c r="O43" s="63"/>
      <c r="P43" s="71">
        <f t="shared" si="3"/>
        <v>146</v>
      </c>
      <c r="Q43" s="93">
        <f t="shared" si="4"/>
        <v>-1</v>
      </c>
      <c r="R43" s="59">
        <f>+VLOOKUP(B43,'Inventario de Profit'!$A$2:E311,5,0)</f>
        <v>146</v>
      </c>
      <c r="S43" s="61">
        <f t="shared" si="5"/>
        <v>0</v>
      </c>
      <c r="T43" s="73"/>
      <c r="U43" s="66"/>
      <c r="V43" s="80">
        <f t="shared" si="7"/>
        <v>0</v>
      </c>
      <c r="W43" s="92">
        <v>1</v>
      </c>
      <c r="X43" s="81">
        <f>40+1</f>
        <v>41</v>
      </c>
      <c r="Y43" s="43">
        <f>+VLOOKUP(B43,'Inventario de Profit'!$A$1:G309,6,0)</f>
        <v>41</v>
      </c>
      <c r="Z43" s="2">
        <f t="shared" si="8"/>
        <v>0</v>
      </c>
      <c r="AA43" s="74"/>
      <c r="AB43" s="14"/>
      <c r="AC43" s="14"/>
    </row>
    <row r="44" spans="2:29" s="4" customFormat="1" x14ac:dyDescent="0.25">
      <c r="B44" s="2" t="s">
        <v>80</v>
      </c>
      <c r="C44" s="2" t="s">
        <v>87</v>
      </c>
      <c r="D44" s="39" t="s">
        <v>89</v>
      </c>
      <c r="E44" s="39">
        <v>50</v>
      </c>
      <c r="F44" s="2">
        <f>+VLOOKUP(B44,'Recepcion de Producto'!$B$4:$W$109,22,0)</f>
        <v>50</v>
      </c>
      <c r="G44" s="2">
        <f>VLOOKUP(B44,'Salida de Producto'!$B$4:$DH$111,111,FALSE)</f>
        <v>49</v>
      </c>
      <c r="H44" s="19">
        <f t="shared" si="9"/>
        <v>1</v>
      </c>
      <c r="I44" s="19"/>
      <c r="J44" s="19"/>
      <c r="K44" s="19"/>
      <c r="L44" s="19"/>
      <c r="M44" s="19"/>
      <c r="N44" s="19"/>
      <c r="O44" s="63"/>
      <c r="P44" s="71">
        <f t="shared" si="3"/>
        <v>0</v>
      </c>
      <c r="Q44" s="93">
        <f t="shared" si="4"/>
        <v>0</v>
      </c>
      <c r="R44" s="59">
        <f>+VLOOKUP(B44,'Inventario de Profit'!$A$2:E312,5,0)</f>
        <v>0</v>
      </c>
      <c r="S44" s="61">
        <f t="shared" si="5"/>
        <v>0</v>
      </c>
      <c r="T44" s="73"/>
      <c r="U44" s="66"/>
      <c r="V44" s="80">
        <f t="shared" si="7"/>
        <v>0</v>
      </c>
      <c r="W44" s="92">
        <v>1</v>
      </c>
      <c r="X44" s="81">
        <v>46</v>
      </c>
      <c r="Y44" s="43">
        <f>+VLOOKUP(B44,'Inventario de Profit'!$A$1:G310,6,0)</f>
        <v>46</v>
      </c>
      <c r="Z44" s="2">
        <f t="shared" si="8"/>
        <v>0</v>
      </c>
      <c r="AA44" s="74"/>
      <c r="AB44" s="14"/>
      <c r="AC44" s="14"/>
    </row>
    <row r="45" spans="2:29" x14ac:dyDescent="0.25">
      <c r="B45" s="2" t="s">
        <v>81</v>
      </c>
      <c r="C45" s="2" t="s">
        <v>87</v>
      </c>
      <c r="D45" s="39" t="s">
        <v>89</v>
      </c>
      <c r="E45" s="39">
        <v>50</v>
      </c>
      <c r="F45" s="2">
        <f>+VLOOKUP(B45,'Recepcion de Producto'!$B$4:$W$109,22,0)</f>
        <v>50</v>
      </c>
      <c r="G45" s="2">
        <f>VLOOKUP(B45,'Salida de Producto'!$B$4:$DH$111,111,FALSE)</f>
        <v>46</v>
      </c>
      <c r="H45" s="19">
        <f t="shared" si="9"/>
        <v>4</v>
      </c>
      <c r="I45" s="19"/>
      <c r="J45" s="19"/>
      <c r="K45" s="19"/>
      <c r="L45" s="19"/>
      <c r="M45" s="19"/>
      <c r="N45" s="19"/>
      <c r="O45" s="63"/>
      <c r="P45" s="71">
        <f t="shared" si="3"/>
        <v>0</v>
      </c>
      <c r="Q45" s="93">
        <f t="shared" si="4"/>
        <v>0</v>
      </c>
      <c r="R45" s="59">
        <f>+VLOOKUP(B45,'Inventario de Profit'!$A$2:E313,5,0)</f>
        <v>0</v>
      </c>
      <c r="S45" s="61">
        <f t="shared" si="5"/>
        <v>0</v>
      </c>
      <c r="T45" s="73"/>
      <c r="U45" s="66"/>
      <c r="V45" s="80">
        <f t="shared" si="7"/>
        <v>0</v>
      </c>
      <c r="W45" s="92">
        <f>2+1+1</f>
        <v>4</v>
      </c>
      <c r="X45" s="81">
        <f>96+50+50</f>
        <v>196</v>
      </c>
      <c r="Y45" s="43">
        <f>+VLOOKUP(B45,'Inventario de Profit'!$A$1:G311,6,0)</f>
        <v>196</v>
      </c>
      <c r="Z45" s="2">
        <f t="shared" si="8"/>
        <v>0</v>
      </c>
      <c r="AA45" s="74"/>
      <c r="AB45" s="14"/>
      <c r="AC45" s="14"/>
    </row>
    <row r="46" spans="2:29" s="4" customFormat="1" x14ac:dyDescent="0.25">
      <c r="B46" s="2" t="s">
        <v>82</v>
      </c>
      <c r="C46" s="2" t="s">
        <v>87</v>
      </c>
      <c r="D46" s="39" t="s">
        <v>89</v>
      </c>
      <c r="E46" s="39">
        <v>50</v>
      </c>
      <c r="F46" s="2">
        <f>+VLOOKUP(B46,'Recepcion de Producto'!$B$4:$W$109,22,0)</f>
        <v>160</v>
      </c>
      <c r="G46" s="2">
        <f>VLOOKUP(B46,'Salida de Producto'!$B$4:$DH$111,111,FALSE)</f>
        <v>154</v>
      </c>
      <c r="H46" s="19">
        <f t="shared" si="9"/>
        <v>6</v>
      </c>
      <c r="I46" s="19"/>
      <c r="J46" s="19"/>
      <c r="K46" s="19"/>
      <c r="L46" s="19"/>
      <c r="M46" s="49">
        <v>5</v>
      </c>
      <c r="N46" s="19"/>
      <c r="O46" s="63"/>
      <c r="P46" s="71">
        <f t="shared" si="3"/>
        <v>5</v>
      </c>
      <c r="Q46" s="93">
        <f t="shared" si="4"/>
        <v>0</v>
      </c>
      <c r="R46" s="59">
        <f>+VLOOKUP(B46,'Inventario de Profit'!$A$2:E314,5,0)</f>
        <v>5</v>
      </c>
      <c r="S46" s="61">
        <f t="shared" si="5"/>
        <v>0</v>
      </c>
      <c r="T46" s="73"/>
      <c r="U46" s="66"/>
      <c r="V46" s="80">
        <f t="shared" si="7"/>
        <v>0</v>
      </c>
      <c r="W46" s="92">
        <v>1</v>
      </c>
      <c r="X46" s="81">
        <v>43</v>
      </c>
      <c r="Y46" s="43">
        <f>+VLOOKUP(B46,'Inventario de Profit'!$A$1:G312,6,0)</f>
        <v>43</v>
      </c>
      <c r="Z46" s="2">
        <f t="shared" si="8"/>
        <v>0</v>
      </c>
      <c r="AA46" s="74"/>
    </row>
    <row r="47" spans="2:29" x14ac:dyDescent="0.25">
      <c r="B47" s="2" t="s">
        <v>83</v>
      </c>
      <c r="C47" s="2" t="s">
        <v>87</v>
      </c>
      <c r="D47" s="39" t="s">
        <v>89</v>
      </c>
      <c r="E47" s="39">
        <v>50</v>
      </c>
      <c r="F47" s="2">
        <f>+VLOOKUP(B47,'Recepcion de Producto'!$B$4:$W$109,22,0)</f>
        <v>35</v>
      </c>
      <c r="G47" s="2">
        <f>VLOOKUP(B47,'Salida de Producto'!$B$4:$DH$111,111,FALSE)</f>
        <v>34</v>
      </c>
      <c r="H47" s="19">
        <f t="shared" si="9"/>
        <v>1</v>
      </c>
      <c r="I47" s="19"/>
      <c r="J47" s="19"/>
      <c r="K47" s="19"/>
      <c r="L47" s="19"/>
      <c r="M47" s="19"/>
      <c r="N47" s="19"/>
      <c r="O47" s="63"/>
      <c r="P47" s="71">
        <f t="shared" si="3"/>
        <v>0</v>
      </c>
      <c r="Q47" s="93">
        <f t="shared" si="4"/>
        <v>0</v>
      </c>
      <c r="R47" s="59">
        <f>+VLOOKUP(B47,'Inventario de Profit'!$A$2:E315,5,0)</f>
        <v>0</v>
      </c>
      <c r="S47" s="61">
        <f t="shared" si="5"/>
        <v>0</v>
      </c>
      <c r="T47" s="73"/>
      <c r="U47" s="66"/>
      <c r="V47" s="80">
        <f t="shared" si="7"/>
        <v>0</v>
      </c>
      <c r="W47" s="92">
        <v>1</v>
      </c>
      <c r="X47" s="81">
        <v>46</v>
      </c>
      <c r="Y47" s="43">
        <f>+VLOOKUP(B47,'Inventario de Profit'!$A$1:G313,6,0)</f>
        <v>46</v>
      </c>
      <c r="Z47" s="2">
        <f t="shared" si="8"/>
        <v>0</v>
      </c>
      <c r="AA47" s="74"/>
      <c r="AB47" s="14"/>
      <c r="AC47" s="14"/>
    </row>
    <row r="48" spans="2:29" x14ac:dyDescent="0.25">
      <c r="B48" s="2" t="s">
        <v>84</v>
      </c>
      <c r="C48" s="2" t="s">
        <v>87</v>
      </c>
      <c r="D48" s="39" t="s">
        <v>89</v>
      </c>
      <c r="E48" s="39">
        <v>50</v>
      </c>
      <c r="F48" s="2">
        <f>+VLOOKUP(B48,'Recepcion de Producto'!$B$4:$W$109,22,0)</f>
        <v>80</v>
      </c>
      <c r="G48" s="2">
        <f>VLOOKUP(B48,'Salida de Producto'!$B$4:$DH$111,111,FALSE)</f>
        <v>65</v>
      </c>
      <c r="H48" s="19">
        <f t="shared" si="9"/>
        <v>15</v>
      </c>
      <c r="I48" s="19"/>
      <c r="J48" s="19"/>
      <c r="K48" s="19"/>
      <c r="L48" s="19"/>
      <c r="M48" s="49">
        <v>14</v>
      </c>
      <c r="N48" s="19"/>
      <c r="O48" s="63"/>
      <c r="P48" s="71">
        <f t="shared" si="3"/>
        <v>14</v>
      </c>
      <c r="Q48" s="93">
        <f t="shared" si="4"/>
        <v>0</v>
      </c>
      <c r="R48" s="59">
        <f>+VLOOKUP(B48,'Inventario de Profit'!$A$2:E316,5,0)</f>
        <v>14</v>
      </c>
      <c r="S48" s="61">
        <f t="shared" si="5"/>
        <v>0</v>
      </c>
      <c r="T48" s="73"/>
      <c r="U48" s="66"/>
      <c r="V48" s="80">
        <f t="shared" si="7"/>
        <v>0</v>
      </c>
      <c r="W48" s="92">
        <v>1</v>
      </c>
      <c r="X48" s="81">
        <v>46</v>
      </c>
      <c r="Y48" s="43">
        <f>+VLOOKUP(B48,'Inventario de Profit'!$A$1:G314,6,0)</f>
        <v>46</v>
      </c>
      <c r="Z48" s="2">
        <f t="shared" si="8"/>
        <v>0</v>
      </c>
      <c r="AA48" s="74"/>
      <c r="AB48" s="14"/>
      <c r="AC48" s="14"/>
    </row>
    <row r="49" spans="2:29" s="8" customFormat="1" x14ac:dyDescent="0.25">
      <c r="B49" s="2" t="s">
        <v>85</v>
      </c>
      <c r="C49" s="2" t="s">
        <v>87</v>
      </c>
      <c r="D49" s="39" t="s">
        <v>89</v>
      </c>
      <c r="E49" s="39">
        <v>50</v>
      </c>
      <c r="F49" s="2">
        <f>+VLOOKUP(B49,'Recepcion de Producto'!$B$4:$W$109,22,0)</f>
        <v>24</v>
      </c>
      <c r="G49" s="2">
        <f>VLOOKUP(B49,'Salida de Producto'!$B$4:$DH$111,111,FALSE)</f>
        <v>19</v>
      </c>
      <c r="H49" s="19">
        <f t="shared" si="9"/>
        <v>5</v>
      </c>
      <c r="I49" s="19"/>
      <c r="J49" s="19"/>
      <c r="K49" s="19"/>
      <c r="L49" s="19"/>
      <c r="M49" s="19"/>
      <c r="N49" s="19"/>
      <c r="O49" s="63"/>
      <c r="P49" s="71">
        <f t="shared" si="3"/>
        <v>0</v>
      </c>
      <c r="Q49" s="93">
        <f t="shared" si="4"/>
        <v>0</v>
      </c>
      <c r="R49" s="59">
        <f>+VLOOKUP(B49,'Inventario de Profit'!$A$2:E317,5,0)</f>
        <v>0</v>
      </c>
      <c r="S49" s="61">
        <f t="shared" si="5"/>
        <v>0</v>
      </c>
      <c r="T49" s="73"/>
      <c r="U49" s="66"/>
      <c r="V49" s="80">
        <f t="shared" si="7"/>
        <v>0</v>
      </c>
      <c r="W49" s="92">
        <f>1+1+3</f>
        <v>5</v>
      </c>
      <c r="X49" s="81">
        <f>46+39+150</f>
        <v>235</v>
      </c>
      <c r="Y49" s="43">
        <f>+VLOOKUP(B49,'Inventario de Profit'!$A$1:G315,6,0)</f>
        <v>235</v>
      </c>
      <c r="Z49" s="2">
        <f t="shared" si="8"/>
        <v>0</v>
      </c>
      <c r="AA49" s="82"/>
      <c r="AB49" s="14"/>
      <c r="AC49" s="14"/>
    </row>
    <row r="50" spans="2:29" s="8" customFormat="1" x14ac:dyDescent="0.25">
      <c r="B50" s="2" t="s">
        <v>86</v>
      </c>
      <c r="C50" s="2" t="s">
        <v>87</v>
      </c>
      <c r="D50" s="39" t="s">
        <v>89</v>
      </c>
      <c r="E50" s="39">
        <v>50</v>
      </c>
      <c r="F50" s="2">
        <f>+VLOOKUP(B50,'Recepcion de Producto'!$B$4:$W$109,22,0)</f>
        <v>87</v>
      </c>
      <c r="G50" s="2">
        <f>VLOOKUP(B50,'Salida de Producto'!$B$4:$DH$111,111,FALSE)</f>
        <v>67</v>
      </c>
      <c r="H50" s="19">
        <f t="shared" si="9"/>
        <v>20</v>
      </c>
      <c r="I50" s="19"/>
      <c r="J50" s="49">
        <v>12</v>
      </c>
      <c r="K50" s="19"/>
      <c r="L50" s="19"/>
      <c r="M50" s="19"/>
      <c r="N50" s="19"/>
      <c r="O50" s="63"/>
      <c r="P50" s="71">
        <f t="shared" si="3"/>
        <v>12</v>
      </c>
      <c r="Q50" s="93">
        <f t="shared" si="4"/>
        <v>0</v>
      </c>
      <c r="R50" s="59">
        <f>+VLOOKUP(B50,'Inventario de Profit'!$A$2:E318,5,0)</f>
        <v>12</v>
      </c>
      <c r="S50" s="61">
        <f t="shared" si="5"/>
        <v>0</v>
      </c>
      <c r="T50" s="73"/>
      <c r="U50" s="66"/>
      <c r="V50" s="80">
        <f t="shared" si="7"/>
        <v>0</v>
      </c>
      <c r="W50" s="92">
        <f>1+1+4+1+1</f>
        <v>8</v>
      </c>
      <c r="X50" s="81">
        <f>46+50+50+50+50+41+50+50</f>
        <v>387</v>
      </c>
      <c r="Y50" s="43">
        <f>+VLOOKUP(B50,'Inventario de Profit'!$A$1:G316,6,0)</f>
        <v>387</v>
      </c>
      <c r="Z50" s="2">
        <f t="shared" si="8"/>
        <v>0</v>
      </c>
      <c r="AA50" s="84"/>
      <c r="AB50" s="14"/>
      <c r="AC50" s="14"/>
    </row>
    <row r="51" spans="2:29" s="8" customFormat="1" x14ac:dyDescent="0.25">
      <c r="B51" s="2" t="s">
        <v>226</v>
      </c>
      <c r="C51" s="2" t="s">
        <v>87</v>
      </c>
      <c r="D51" s="39" t="s">
        <v>89</v>
      </c>
      <c r="E51" s="39">
        <v>50</v>
      </c>
      <c r="F51" s="2">
        <f>+VLOOKUP(B51,'Recepcion de Producto'!$B$4:$W$109,22,0)</f>
        <v>106</v>
      </c>
      <c r="G51" s="2">
        <f>VLOOKUP(B51,'Salida de Producto'!$B$4:$DH$111,111,FALSE)</f>
        <v>48</v>
      </c>
      <c r="H51" s="19">
        <f t="shared" si="9"/>
        <v>58</v>
      </c>
      <c r="I51" s="19"/>
      <c r="J51" s="19"/>
      <c r="K51" s="19"/>
      <c r="L51" s="19"/>
      <c r="M51" s="49">
        <f>2*27+3</f>
        <v>57</v>
      </c>
      <c r="N51" s="19"/>
      <c r="O51" s="63"/>
      <c r="P51" s="71">
        <f t="shared" si="3"/>
        <v>57</v>
      </c>
      <c r="Q51" s="93">
        <f t="shared" si="4"/>
        <v>0</v>
      </c>
      <c r="R51" s="59">
        <f>+VLOOKUP(B51,'Inventario de Profit'!$A$2:E319,5,0)</f>
        <v>64.84</v>
      </c>
      <c r="S51" s="61">
        <f t="shared" si="5"/>
        <v>-7.8400000000000034</v>
      </c>
      <c r="T51" s="73" t="s">
        <v>666</v>
      </c>
      <c r="U51" s="66"/>
      <c r="V51" s="80">
        <f t="shared" si="7"/>
        <v>0</v>
      </c>
      <c r="W51" s="92">
        <v>1</v>
      </c>
      <c r="X51" s="81">
        <v>48</v>
      </c>
      <c r="Y51" s="43">
        <f>+VLOOKUP(B51,'Inventario de Profit'!$A$1:G317,6,0)</f>
        <v>48</v>
      </c>
      <c r="Z51" s="2">
        <f t="shared" si="8"/>
        <v>0</v>
      </c>
      <c r="AA51" s="74"/>
      <c r="AB51" s="14"/>
      <c r="AC51" s="14"/>
    </row>
    <row r="52" spans="2:29" s="8" customFormat="1" x14ac:dyDescent="0.25">
      <c r="B52" s="2" t="s">
        <v>227</v>
      </c>
      <c r="C52" s="2" t="s">
        <v>87</v>
      </c>
      <c r="D52" s="39" t="s">
        <v>89</v>
      </c>
      <c r="E52" s="39">
        <v>50</v>
      </c>
      <c r="F52" s="2">
        <f>+VLOOKUP(B52,'Recepcion de Producto'!$B$4:$W$109,22,0)</f>
        <v>30</v>
      </c>
      <c r="G52" s="2">
        <f>VLOOKUP(B52,'Salida de Producto'!$B$4:$DH$111,111,FALSE)</f>
        <v>24</v>
      </c>
      <c r="H52" s="19">
        <f t="shared" si="9"/>
        <v>6</v>
      </c>
      <c r="I52" s="19"/>
      <c r="J52" s="19"/>
      <c r="K52" s="19"/>
      <c r="L52" s="19"/>
      <c r="M52" s="49">
        <v>5</v>
      </c>
      <c r="N52" s="19"/>
      <c r="O52" s="63"/>
      <c r="P52" s="71">
        <f t="shared" si="3"/>
        <v>5</v>
      </c>
      <c r="Q52" s="93">
        <f t="shared" si="4"/>
        <v>0</v>
      </c>
      <c r="R52" s="59">
        <f>+VLOOKUP(B52,'Inventario de Profit'!$A$2:E320,5,0)</f>
        <v>5</v>
      </c>
      <c r="S52" s="61">
        <f t="shared" si="5"/>
        <v>0</v>
      </c>
      <c r="T52" s="73"/>
      <c r="U52" s="66"/>
      <c r="V52" s="80">
        <f t="shared" si="7"/>
        <v>0</v>
      </c>
      <c r="W52" s="92">
        <v>1</v>
      </c>
      <c r="X52" s="81">
        <v>48</v>
      </c>
      <c r="Y52" s="43">
        <f>+VLOOKUP(B52,'Inventario de Profit'!$A$1:G318,6,0)</f>
        <v>48</v>
      </c>
      <c r="Z52" s="2">
        <f t="shared" si="8"/>
        <v>0</v>
      </c>
      <c r="AA52" s="74"/>
      <c r="AB52" s="14"/>
      <c r="AC52" s="14"/>
    </row>
    <row r="53" spans="2:29" s="8" customFormat="1" x14ac:dyDescent="0.25">
      <c r="B53" s="42" t="s">
        <v>384</v>
      </c>
      <c r="C53" s="2" t="s">
        <v>87</v>
      </c>
      <c r="D53" s="39" t="s">
        <v>282</v>
      </c>
      <c r="E53" s="39">
        <v>48</v>
      </c>
      <c r="F53" s="2">
        <f>+VLOOKUP(B53,'Recepcion de Producto'!$B$4:$W$109,22,0)</f>
        <v>50</v>
      </c>
      <c r="G53" s="2">
        <f>VLOOKUP(B53,'Salida de Producto'!$B$4:$DH$111,111,FALSE)</f>
        <v>40</v>
      </c>
      <c r="H53" s="19">
        <f t="shared" si="9"/>
        <v>10</v>
      </c>
      <c r="I53" s="19"/>
      <c r="J53" s="19"/>
      <c r="K53" s="19"/>
      <c r="L53" s="19"/>
      <c r="M53" s="19"/>
      <c r="N53" s="49">
        <v>9</v>
      </c>
      <c r="O53" s="63"/>
      <c r="P53" s="71">
        <f t="shared" si="3"/>
        <v>9</v>
      </c>
      <c r="Q53" s="93">
        <f t="shared" si="4"/>
        <v>0</v>
      </c>
      <c r="R53" s="59">
        <f>+VLOOKUP(B53,'Inventario de Profit'!$A$2:E321,5,0)</f>
        <v>9</v>
      </c>
      <c r="S53" s="61">
        <f t="shared" si="5"/>
        <v>0</v>
      </c>
      <c r="T53" s="73"/>
      <c r="U53" s="66"/>
      <c r="V53" s="80">
        <f t="shared" si="7"/>
        <v>0</v>
      </c>
      <c r="W53" s="92">
        <v>1</v>
      </c>
      <c r="X53" s="81">
        <v>45</v>
      </c>
      <c r="Y53" s="43">
        <f>+VLOOKUP(B53,'Inventario de Profit'!$A$1:G319,6,0)</f>
        <v>45</v>
      </c>
      <c r="Z53" s="2">
        <f t="shared" si="8"/>
        <v>0</v>
      </c>
      <c r="AA53" s="74"/>
      <c r="AB53" s="14"/>
      <c r="AC53" s="14"/>
    </row>
    <row r="54" spans="2:29" s="8" customFormat="1" x14ac:dyDescent="0.25">
      <c r="B54" s="42" t="s">
        <v>385</v>
      </c>
      <c r="C54" s="2" t="s">
        <v>87</v>
      </c>
      <c r="D54" s="39" t="s">
        <v>282</v>
      </c>
      <c r="E54" s="39">
        <v>48</v>
      </c>
      <c r="F54" s="2">
        <f>+VLOOKUP(B54,'Recepcion de Producto'!$B$4:$W$109,22,0)</f>
        <v>50</v>
      </c>
      <c r="G54" s="2">
        <f>VLOOKUP(B54,'Salida de Producto'!$B$4:$DH$111,111,FALSE)</f>
        <v>37</v>
      </c>
      <c r="H54" s="19">
        <f t="shared" si="9"/>
        <v>13</v>
      </c>
      <c r="I54" s="19"/>
      <c r="J54" s="19"/>
      <c r="K54" s="19"/>
      <c r="L54" s="19"/>
      <c r="M54" s="19"/>
      <c r="N54" s="49">
        <v>12</v>
      </c>
      <c r="O54" s="63"/>
      <c r="P54" s="71">
        <f t="shared" si="3"/>
        <v>12</v>
      </c>
      <c r="Q54" s="93">
        <f t="shared" si="4"/>
        <v>0</v>
      </c>
      <c r="R54" s="59">
        <f>+VLOOKUP(B54,'Inventario de Profit'!$A$2:E322,5,0)</f>
        <v>12</v>
      </c>
      <c r="S54" s="61">
        <f t="shared" si="5"/>
        <v>0</v>
      </c>
      <c r="T54" s="73"/>
      <c r="U54" s="66"/>
      <c r="V54" s="80">
        <f t="shared" si="7"/>
        <v>0</v>
      </c>
      <c r="W54" s="92">
        <v>1</v>
      </c>
      <c r="X54" s="81">
        <v>45</v>
      </c>
      <c r="Y54" s="43">
        <f>+VLOOKUP(B54,'Inventario de Profit'!$A$1:G320,6,0)</f>
        <v>45</v>
      </c>
      <c r="Z54" s="2">
        <f t="shared" si="8"/>
        <v>0</v>
      </c>
      <c r="AA54" s="74"/>
      <c r="AB54" s="14"/>
      <c r="AC54" s="14"/>
    </row>
    <row r="55" spans="2:29" s="8" customFormat="1" x14ac:dyDescent="0.25">
      <c r="B55" s="42" t="s">
        <v>390</v>
      </c>
      <c r="C55" s="2" t="s">
        <v>87</v>
      </c>
      <c r="D55" s="39" t="s">
        <v>281</v>
      </c>
      <c r="E55" s="39">
        <v>24</v>
      </c>
      <c r="F55" s="2">
        <f>+VLOOKUP(B55,'Recepcion de Producto'!$B$4:$W$109,22,0)</f>
        <v>150</v>
      </c>
      <c r="G55" s="2">
        <f>VLOOKUP(B55,'Salida de Producto'!$B$4:$DH$111,111,FALSE)</f>
        <v>67</v>
      </c>
      <c r="H55" s="19">
        <f t="shared" si="9"/>
        <v>83</v>
      </c>
      <c r="I55" s="19"/>
      <c r="J55" s="19"/>
      <c r="K55" s="19"/>
      <c r="L55" s="19"/>
      <c r="M55" s="19"/>
      <c r="N55" s="49">
        <f>54+28</f>
        <v>82</v>
      </c>
      <c r="O55" s="63"/>
      <c r="P55" s="71">
        <f t="shared" si="3"/>
        <v>82</v>
      </c>
      <c r="Q55" s="93">
        <f t="shared" si="4"/>
        <v>0</v>
      </c>
      <c r="R55" s="59">
        <f>+VLOOKUP(B55,'Inventario de Profit'!$A$2:E323,5,0)</f>
        <v>82</v>
      </c>
      <c r="S55" s="61">
        <f t="shared" si="5"/>
        <v>0</v>
      </c>
      <c r="T55" s="73"/>
      <c r="U55" s="66"/>
      <c r="V55" s="80">
        <f t="shared" si="7"/>
        <v>0</v>
      </c>
      <c r="W55" s="92">
        <v>1</v>
      </c>
      <c r="X55" s="81">
        <v>21</v>
      </c>
      <c r="Y55" s="43">
        <f>+VLOOKUP(B55,'Inventario de Profit'!$A$1:G321,6,0)</f>
        <v>21</v>
      </c>
      <c r="Z55" s="2">
        <f t="shared" si="8"/>
        <v>0</v>
      </c>
      <c r="AA55" s="74"/>
      <c r="AB55" s="14"/>
      <c r="AC55" s="14"/>
    </row>
    <row r="56" spans="2:29" s="8" customFormat="1" x14ac:dyDescent="0.25">
      <c r="B56" s="42" t="s">
        <v>389</v>
      </c>
      <c r="C56" s="2" t="s">
        <v>87</v>
      </c>
      <c r="D56" s="39" t="s">
        <v>281</v>
      </c>
      <c r="E56" s="39">
        <v>24</v>
      </c>
      <c r="F56" s="2">
        <f>+VLOOKUP(B56,'Recepcion de Producto'!$B$4:$W$109,22,0)</f>
        <v>150</v>
      </c>
      <c r="G56" s="2">
        <f>VLOOKUP(B56,'Salida de Producto'!$B$4:$DH$111,111,FALSE)</f>
        <v>61</v>
      </c>
      <c r="H56" s="19">
        <f t="shared" si="9"/>
        <v>89</v>
      </c>
      <c r="I56" s="19"/>
      <c r="J56" s="19"/>
      <c r="K56" s="19"/>
      <c r="L56" s="19"/>
      <c r="M56" s="19"/>
      <c r="N56" s="49">
        <f>36+36+16</f>
        <v>88</v>
      </c>
      <c r="O56" s="63"/>
      <c r="P56" s="71">
        <f t="shared" si="3"/>
        <v>88</v>
      </c>
      <c r="Q56" s="93">
        <f t="shared" si="4"/>
        <v>0</v>
      </c>
      <c r="R56" s="59">
        <f>+VLOOKUP(B56,'Inventario de Profit'!$A$2:E324,5,0)</f>
        <v>88</v>
      </c>
      <c r="S56" s="61">
        <f t="shared" si="5"/>
        <v>0</v>
      </c>
      <c r="T56" s="73"/>
      <c r="U56" s="66"/>
      <c r="V56" s="80">
        <f t="shared" si="7"/>
        <v>0</v>
      </c>
      <c r="W56" s="92">
        <v>1</v>
      </c>
      <c r="X56" s="81">
        <v>21</v>
      </c>
      <c r="Y56" s="43">
        <f>+VLOOKUP(B56,'Inventario de Profit'!$A$1:G322,6,0)</f>
        <v>21</v>
      </c>
      <c r="Z56" s="2">
        <f t="shared" si="8"/>
        <v>0</v>
      </c>
      <c r="AA56" s="74"/>
      <c r="AB56" s="14"/>
      <c r="AC56" s="14"/>
    </row>
    <row r="57" spans="2:29" s="8" customFormat="1" x14ac:dyDescent="0.25">
      <c r="B57" s="42" t="s">
        <v>386</v>
      </c>
      <c r="C57" s="2" t="s">
        <v>87</v>
      </c>
      <c r="D57" s="39" t="s">
        <v>281</v>
      </c>
      <c r="E57" s="39">
        <v>24</v>
      </c>
      <c r="F57" s="2">
        <f>+VLOOKUP(B57,'Recepcion de Producto'!$B$4:$W$109,22,0)</f>
        <v>150</v>
      </c>
      <c r="G57" s="2">
        <f>VLOOKUP(B57,'Salida de Producto'!$B$4:$DH$111,111,FALSE)</f>
        <v>72</v>
      </c>
      <c r="H57" s="19">
        <f t="shared" si="9"/>
        <v>78</v>
      </c>
      <c r="I57" s="19"/>
      <c r="J57" s="19"/>
      <c r="K57" s="19"/>
      <c r="L57" s="19"/>
      <c r="M57" s="19"/>
      <c r="N57" s="49">
        <f>45+32</f>
        <v>77</v>
      </c>
      <c r="O57" s="63"/>
      <c r="P57" s="71">
        <f t="shared" si="3"/>
        <v>77</v>
      </c>
      <c r="Q57" s="93">
        <f t="shared" si="4"/>
        <v>0</v>
      </c>
      <c r="R57" s="59">
        <f>+VLOOKUP(B57,'Inventario de Profit'!$A$2:E325,5,0)</f>
        <v>77</v>
      </c>
      <c r="S57" s="61">
        <f t="shared" si="5"/>
        <v>0</v>
      </c>
      <c r="T57" s="73"/>
      <c r="U57" s="66"/>
      <c r="V57" s="80">
        <f t="shared" si="7"/>
        <v>0</v>
      </c>
      <c r="W57" s="92">
        <v>1</v>
      </c>
      <c r="X57" s="81">
        <v>21</v>
      </c>
      <c r="Y57" s="43">
        <f>+VLOOKUP(B57,'Inventario de Profit'!$A$1:G323,6,0)</f>
        <v>21</v>
      </c>
      <c r="Z57" s="2">
        <f t="shared" si="8"/>
        <v>0</v>
      </c>
      <c r="AA57" s="74"/>
      <c r="AB57" s="14"/>
      <c r="AC57" s="14"/>
    </row>
    <row r="58" spans="2:29" x14ac:dyDescent="0.25">
      <c r="B58" s="42" t="s">
        <v>359</v>
      </c>
      <c r="C58" s="2" t="s">
        <v>87</v>
      </c>
      <c r="D58" s="39" t="s">
        <v>365</v>
      </c>
      <c r="E58" s="39">
        <v>40</v>
      </c>
      <c r="F58" s="2">
        <f>+VLOOKUP(B58,'Recepcion de Producto'!$B$4:$W$109,22,0)</f>
        <v>270</v>
      </c>
      <c r="G58" s="2">
        <f>VLOOKUP(B58,'Salida de Producto'!$B$4:$DH$111,111,FALSE)</f>
        <v>96</v>
      </c>
      <c r="H58" s="19">
        <f t="shared" si="9"/>
        <v>174</v>
      </c>
      <c r="I58" s="19"/>
      <c r="J58" s="19"/>
      <c r="K58" s="19"/>
      <c r="L58" s="19"/>
      <c r="M58" s="19"/>
      <c r="N58" s="49">
        <f>42+42+35+54</f>
        <v>173</v>
      </c>
      <c r="O58" s="63"/>
      <c r="P58" s="71">
        <f t="shared" si="3"/>
        <v>173</v>
      </c>
      <c r="Q58" s="93">
        <f t="shared" si="4"/>
        <v>0</v>
      </c>
      <c r="R58" s="59">
        <f>+VLOOKUP(B58,'Inventario de Profit'!$A$2:E326,5,0)</f>
        <v>173</v>
      </c>
      <c r="S58" s="61">
        <f t="shared" si="5"/>
        <v>0</v>
      </c>
      <c r="T58" s="73"/>
      <c r="U58" s="66"/>
      <c r="V58" s="80">
        <f t="shared" si="7"/>
        <v>0</v>
      </c>
      <c r="W58" s="92">
        <v>1</v>
      </c>
      <c r="X58" s="81">
        <v>37</v>
      </c>
      <c r="Y58" s="43">
        <f>+VLOOKUP(B58,'Inventario de Profit'!$A$1:G324,6,0)</f>
        <v>37</v>
      </c>
      <c r="Z58" s="2">
        <f t="shared" si="8"/>
        <v>0</v>
      </c>
      <c r="AA58" s="74"/>
      <c r="AB58" s="14"/>
      <c r="AC58" s="14"/>
    </row>
    <row r="59" spans="2:29" s="8" customFormat="1" x14ac:dyDescent="0.25">
      <c r="B59" s="42" t="s">
        <v>375</v>
      </c>
      <c r="C59" s="2" t="s">
        <v>87</v>
      </c>
      <c r="D59" s="39" t="s">
        <v>283</v>
      </c>
      <c r="E59" s="39">
        <v>12</v>
      </c>
      <c r="F59" s="2">
        <f>+VLOOKUP(B59,'Recepcion de Producto'!$B$4:$W$109,22,0)</f>
        <v>291</v>
      </c>
      <c r="G59" s="2">
        <f>VLOOKUP(B59,'Salida de Producto'!$B$4:$DH$111,111,FALSE)</f>
        <v>118</v>
      </c>
      <c r="H59" s="19">
        <f t="shared" si="9"/>
        <v>173</v>
      </c>
      <c r="I59" s="19"/>
      <c r="J59" s="19"/>
      <c r="K59" s="19"/>
      <c r="L59" s="19"/>
      <c r="M59" s="19"/>
      <c r="N59" s="49">
        <f>36+16+15+36*2</f>
        <v>139</v>
      </c>
      <c r="O59" s="89">
        <v>33</v>
      </c>
      <c r="P59" s="71">
        <f t="shared" si="3"/>
        <v>172</v>
      </c>
      <c r="Q59" s="93">
        <f t="shared" si="4"/>
        <v>0</v>
      </c>
      <c r="R59" s="59">
        <f>+VLOOKUP(B59,'Inventario de Profit'!$A$2:E327,5,0)</f>
        <v>172</v>
      </c>
      <c r="S59" s="61">
        <f t="shared" si="5"/>
        <v>0</v>
      </c>
      <c r="T59" s="73"/>
      <c r="U59" s="66"/>
      <c r="V59" s="80">
        <f t="shared" ref="V59:V90" si="10">P59*U59</f>
        <v>0</v>
      </c>
      <c r="W59" s="92">
        <v>1</v>
      </c>
      <c r="X59" s="81">
        <v>9</v>
      </c>
      <c r="Y59" s="43">
        <f>+VLOOKUP(B59,'Inventario de Profit'!$A$1:G325,6,0)</f>
        <v>9</v>
      </c>
      <c r="Z59" s="2">
        <f t="shared" ref="Z59:Z90" si="11">+X59-Y59</f>
        <v>0</v>
      </c>
      <c r="AA59" s="84"/>
    </row>
    <row r="60" spans="2:29" s="8" customFormat="1" x14ac:dyDescent="0.25">
      <c r="B60" s="42" t="s">
        <v>374</v>
      </c>
      <c r="C60" s="2" t="s">
        <v>87</v>
      </c>
      <c r="D60" s="39" t="s">
        <v>283</v>
      </c>
      <c r="E60" s="39">
        <v>12</v>
      </c>
      <c r="F60" s="2">
        <f>+VLOOKUP(B60,'Recepcion de Producto'!$B$4:$W$109,22,0)</f>
        <v>300</v>
      </c>
      <c r="G60" s="2">
        <f>VLOOKUP(B60,'Salida de Producto'!$B$4:$DH$111,111,FALSE)</f>
        <v>145</v>
      </c>
      <c r="H60" s="19">
        <f t="shared" si="9"/>
        <v>155</v>
      </c>
      <c r="I60" s="19"/>
      <c r="J60" s="19"/>
      <c r="K60" s="19"/>
      <c r="L60" s="19"/>
      <c r="M60" s="19"/>
      <c r="N60" s="49">
        <f>10+36+36+36+36</f>
        <v>154</v>
      </c>
      <c r="O60" s="63"/>
      <c r="P60" s="71">
        <f t="shared" si="3"/>
        <v>154</v>
      </c>
      <c r="Q60" s="93">
        <f t="shared" si="4"/>
        <v>0</v>
      </c>
      <c r="R60" s="59">
        <f>+VLOOKUP(B60,'Inventario de Profit'!$A$2:E328,5,0)</f>
        <v>154</v>
      </c>
      <c r="S60" s="61">
        <f t="shared" si="5"/>
        <v>0</v>
      </c>
      <c r="T60" s="73"/>
      <c r="U60" s="66"/>
      <c r="V60" s="80">
        <f t="shared" si="10"/>
        <v>0</v>
      </c>
      <c r="W60" s="92">
        <v>1</v>
      </c>
      <c r="X60" s="81">
        <v>9</v>
      </c>
      <c r="Y60" s="43">
        <f>+VLOOKUP(B60,'Inventario de Profit'!$A$1:G326,6,0)</f>
        <v>9</v>
      </c>
      <c r="Z60" s="2">
        <f t="shared" si="11"/>
        <v>0</v>
      </c>
      <c r="AA60" s="84"/>
    </row>
    <row r="61" spans="2:29" s="8" customFormat="1" x14ac:dyDescent="0.25">
      <c r="B61" s="42" t="s">
        <v>364</v>
      </c>
      <c r="C61" s="2" t="s">
        <v>87</v>
      </c>
      <c r="D61" s="39" t="s">
        <v>283</v>
      </c>
      <c r="E61" s="39">
        <v>12</v>
      </c>
      <c r="F61" s="2">
        <f>+VLOOKUP(B61,'Recepcion de Producto'!$B$4:$W$109,22,0)</f>
        <v>200</v>
      </c>
      <c r="G61" s="2">
        <f>VLOOKUP(B61,'Salida de Producto'!$B$4:$DH$111,111,FALSE)</f>
        <v>129</v>
      </c>
      <c r="H61" s="19">
        <f t="shared" si="9"/>
        <v>71</v>
      </c>
      <c r="I61" s="19"/>
      <c r="J61" s="19"/>
      <c r="K61" s="19"/>
      <c r="L61" s="19"/>
      <c r="M61" s="19"/>
      <c r="N61" s="49">
        <f>63+7</f>
        <v>70</v>
      </c>
      <c r="O61" s="63"/>
      <c r="P61" s="71">
        <f t="shared" si="3"/>
        <v>70</v>
      </c>
      <c r="Q61" s="93">
        <f t="shared" si="4"/>
        <v>0</v>
      </c>
      <c r="R61" s="59">
        <f>+VLOOKUP(B61,'Inventario de Profit'!$A$2:E329,5,0)</f>
        <v>70</v>
      </c>
      <c r="S61" s="61">
        <f t="shared" si="5"/>
        <v>0</v>
      </c>
      <c r="T61" s="73"/>
      <c r="U61" s="66"/>
      <c r="V61" s="80">
        <f t="shared" si="10"/>
        <v>0</v>
      </c>
      <c r="W61" s="92">
        <v>1</v>
      </c>
      <c r="X61" s="81">
        <v>9</v>
      </c>
      <c r="Y61" s="43">
        <f>+VLOOKUP(B61,'Inventario de Profit'!$A$1:G327,6,0)</f>
        <v>9</v>
      </c>
      <c r="Z61" s="2">
        <f t="shared" si="11"/>
        <v>0</v>
      </c>
      <c r="AA61" s="74"/>
    </row>
    <row r="62" spans="2:29" s="8" customFormat="1" x14ac:dyDescent="0.25">
      <c r="B62" s="42" t="s">
        <v>383</v>
      </c>
      <c r="C62" s="2" t="s">
        <v>87</v>
      </c>
      <c r="D62" s="39" t="s">
        <v>365</v>
      </c>
      <c r="E62" s="39">
        <v>40</v>
      </c>
      <c r="F62" s="2">
        <f>+VLOOKUP(B62,'Recepcion de Producto'!$B$4:$W$109,22,0)</f>
        <v>60</v>
      </c>
      <c r="G62" s="2">
        <f>VLOOKUP(B62,'Salida de Producto'!$B$4:$DH$111,111,FALSE)</f>
        <v>59</v>
      </c>
      <c r="H62" s="19">
        <f t="shared" si="9"/>
        <v>1</v>
      </c>
      <c r="I62" s="19"/>
      <c r="J62" s="19"/>
      <c r="K62" s="19"/>
      <c r="L62" s="19"/>
      <c r="M62" s="19"/>
      <c r="N62" s="19"/>
      <c r="O62" s="63"/>
      <c r="P62" s="71">
        <f t="shared" si="3"/>
        <v>0</v>
      </c>
      <c r="Q62" s="93">
        <f t="shared" si="4"/>
        <v>0</v>
      </c>
      <c r="R62" s="59">
        <f>+VLOOKUP(B62,'Inventario de Profit'!$A$2:E330,5,0)</f>
        <v>0</v>
      </c>
      <c r="S62" s="61">
        <f t="shared" si="5"/>
        <v>0</v>
      </c>
      <c r="T62" s="73"/>
      <c r="U62" s="66"/>
      <c r="V62" s="80">
        <f t="shared" si="10"/>
        <v>0</v>
      </c>
      <c r="W62" s="92">
        <v>1</v>
      </c>
      <c r="X62" s="81">
        <v>37</v>
      </c>
      <c r="Y62" s="43">
        <f>+VLOOKUP(B62,'Inventario de Profit'!$A$1:G328,6,0)</f>
        <v>37</v>
      </c>
      <c r="Z62" s="2">
        <f t="shared" si="11"/>
        <v>0</v>
      </c>
      <c r="AA62" s="74"/>
    </row>
    <row r="63" spans="2:29" s="8" customFormat="1" x14ac:dyDescent="0.25">
      <c r="B63" s="42" t="s">
        <v>387</v>
      </c>
      <c r="C63" s="2" t="s">
        <v>87</v>
      </c>
      <c r="D63" s="39" t="s">
        <v>281</v>
      </c>
      <c r="E63" s="39">
        <v>24</v>
      </c>
      <c r="F63" s="2">
        <f>+VLOOKUP(B63,'Recepcion de Producto'!$B$4:$W$109,22,0)</f>
        <v>200</v>
      </c>
      <c r="G63" s="2">
        <f>VLOOKUP(B63,'Salida de Producto'!$B$4:$DH$111,111,FALSE)</f>
        <v>5</v>
      </c>
      <c r="H63" s="19">
        <f t="shared" si="9"/>
        <v>195</v>
      </c>
      <c r="I63" s="19"/>
      <c r="J63" s="19"/>
      <c r="K63" s="19"/>
      <c r="L63" s="19"/>
      <c r="M63" s="19"/>
      <c r="N63" s="49">
        <f>77+40+77</f>
        <v>194</v>
      </c>
      <c r="O63" s="63"/>
      <c r="P63" s="71">
        <f t="shared" si="3"/>
        <v>194</v>
      </c>
      <c r="Q63" s="93">
        <f t="shared" si="4"/>
        <v>0</v>
      </c>
      <c r="R63" s="59">
        <f>+VLOOKUP(B63,'Inventario de Profit'!$A$2:E331,5,0)</f>
        <v>194</v>
      </c>
      <c r="S63" s="61">
        <f t="shared" si="5"/>
        <v>0</v>
      </c>
      <c r="T63" s="74" t="s">
        <v>613</v>
      </c>
      <c r="U63" s="66"/>
      <c r="V63" s="80">
        <f t="shared" si="10"/>
        <v>0</v>
      </c>
      <c r="W63" s="92">
        <v>1</v>
      </c>
      <c r="X63" s="81">
        <v>21</v>
      </c>
      <c r="Y63" s="43">
        <f>+VLOOKUP(B63,'Inventario de Profit'!$A$1:G329,6,0)</f>
        <v>21</v>
      </c>
      <c r="Z63" s="2">
        <f t="shared" si="11"/>
        <v>0</v>
      </c>
      <c r="AA63" s="74" t="s">
        <v>613</v>
      </c>
    </row>
    <row r="64" spans="2:29" x14ac:dyDescent="0.25">
      <c r="B64" s="42" t="s">
        <v>388</v>
      </c>
      <c r="C64" s="2" t="s">
        <v>87</v>
      </c>
      <c r="D64" s="39" t="s">
        <v>281</v>
      </c>
      <c r="E64" s="39">
        <v>24</v>
      </c>
      <c r="F64" s="2">
        <f>+VLOOKUP(B64,'Recepcion de Producto'!$B$4:$W$109,22,0)</f>
        <v>200</v>
      </c>
      <c r="G64" s="2">
        <f>VLOOKUP(B64,'Salida de Producto'!$B$4:$DH$111,111,FALSE)</f>
        <v>199</v>
      </c>
      <c r="H64" s="19">
        <f t="shared" si="9"/>
        <v>1</v>
      </c>
      <c r="I64" s="19"/>
      <c r="J64" s="19"/>
      <c r="K64" s="19"/>
      <c r="L64" s="19"/>
      <c r="M64" s="19"/>
      <c r="N64" s="19"/>
      <c r="O64" s="63"/>
      <c r="P64" s="71">
        <f t="shared" si="3"/>
        <v>0</v>
      </c>
      <c r="Q64" s="93">
        <f t="shared" si="4"/>
        <v>0</v>
      </c>
      <c r="R64" s="59">
        <f>+VLOOKUP(B64,'Inventario de Profit'!$A$2:E332,5,0)</f>
        <v>0</v>
      </c>
      <c r="S64" s="61">
        <f t="shared" si="5"/>
        <v>0</v>
      </c>
      <c r="T64" s="73"/>
      <c r="U64" s="66"/>
      <c r="V64" s="80">
        <f t="shared" si="10"/>
        <v>0</v>
      </c>
      <c r="W64" s="92">
        <v>1</v>
      </c>
      <c r="X64" s="81">
        <v>21</v>
      </c>
      <c r="Y64" s="43">
        <f>+VLOOKUP(B64,'Inventario de Profit'!$A$1:G330,6,0)</f>
        <v>21</v>
      </c>
      <c r="Z64" s="2">
        <f t="shared" si="11"/>
        <v>0</v>
      </c>
      <c r="AA64" s="84"/>
    </row>
    <row r="65" spans="2:29" x14ac:dyDescent="0.25">
      <c r="B65" s="42" t="s">
        <v>361</v>
      </c>
      <c r="C65" s="2" t="s">
        <v>87</v>
      </c>
      <c r="D65" s="39" t="s">
        <v>281</v>
      </c>
      <c r="E65" s="39">
        <v>24</v>
      </c>
      <c r="F65" s="2">
        <f>+VLOOKUP(B65,'Recepcion de Producto'!$B$4:$W$109,22,0)</f>
        <v>150</v>
      </c>
      <c r="G65" s="2">
        <f>VLOOKUP(B65,'Salida de Producto'!$B$4:$DH$111,111,FALSE)</f>
        <v>147</v>
      </c>
      <c r="H65" s="19">
        <f t="shared" si="9"/>
        <v>3</v>
      </c>
      <c r="I65" s="19"/>
      <c r="J65" s="19"/>
      <c r="K65" s="19"/>
      <c r="L65" s="19"/>
      <c r="M65" s="19"/>
      <c r="N65" s="49">
        <v>2</v>
      </c>
      <c r="O65" s="63"/>
      <c r="P65" s="71">
        <f t="shared" si="3"/>
        <v>2</v>
      </c>
      <c r="Q65" s="93">
        <f t="shared" si="4"/>
        <v>0</v>
      </c>
      <c r="R65" s="59">
        <f>+VLOOKUP(B65,'Inventario de Profit'!$A$2:E333,5,0)</f>
        <v>2</v>
      </c>
      <c r="S65" s="61">
        <f t="shared" si="5"/>
        <v>0</v>
      </c>
      <c r="T65" s="73"/>
      <c r="U65" s="66"/>
      <c r="V65" s="80">
        <f t="shared" si="10"/>
        <v>0</v>
      </c>
      <c r="W65" s="92">
        <v>1</v>
      </c>
      <c r="X65" s="81">
        <v>21</v>
      </c>
      <c r="Y65" s="43">
        <f>+VLOOKUP(B65,'Inventario de Profit'!$A$1:G331,6,0)</f>
        <v>21</v>
      </c>
      <c r="Z65" s="2">
        <f t="shared" si="11"/>
        <v>0</v>
      </c>
      <c r="AA65" s="84"/>
      <c r="AB65" s="8"/>
      <c r="AC65" s="8"/>
    </row>
    <row r="66" spans="2:29" x14ac:dyDescent="0.25">
      <c r="B66" s="42" t="s">
        <v>363</v>
      </c>
      <c r="C66" s="2" t="s">
        <v>87</v>
      </c>
      <c r="D66" s="39" t="s">
        <v>283</v>
      </c>
      <c r="E66" s="39">
        <v>12</v>
      </c>
      <c r="F66" s="2">
        <f>+VLOOKUP(B66,'Recepcion de Producto'!$B$4:$W$109,22,0)</f>
        <v>250</v>
      </c>
      <c r="G66" s="2">
        <f>VLOOKUP(B66,'Salida de Producto'!$B$4:$DH$111,111,FALSE)</f>
        <v>138</v>
      </c>
      <c r="H66" s="19">
        <f t="shared" si="9"/>
        <v>112</v>
      </c>
      <c r="I66" s="19"/>
      <c r="J66" s="19"/>
      <c r="K66" s="19"/>
      <c r="L66" s="19"/>
      <c r="M66" s="19"/>
      <c r="N66" s="49">
        <f>9+36+30+36</f>
        <v>111</v>
      </c>
      <c r="O66" s="63"/>
      <c r="P66" s="71">
        <f t="shared" si="3"/>
        <v>111</v>
      </c>
      <c r="Q66" s="93">
        <f t="shared" si="4"/>
        <v>0</v>
      </c>
      <c r="R66" s="59">
        <f>+VLOOKUP(B66,'Inventario de Profit'!$A$2:E334,5,0)</f>
        <v>111</v>
      </c>
      <c r="S66" s="61">
        <f t="shared" si="5"/>
        <v>0</v>
      </c>
      <c r="T66" s="73"/>
      <c r="U66" s="66"/>
      <c r="V66" s="80">
        <f t="shared" si="10"/>
        <v>0</v>
      </c>
      <c r="W66" s="92">
        <v>1</v>
      </c>
      <c r="X66" s="81">
        <v>9</v>
      </c>
      <c r="Y66" s="43">
        <f>+VLOOKUP(B66,'Inventario de Profit'!$A$1:G332,6,0)</f>
        <v>9</v>
      </c>
      <c r="Z66" s="2">
        <f t="shared" si="11"/>
        <v>0</v>
      </c>
      <c r="AA66" s="84"/>
      <c r="AB66" s="8"/>
      <c r="AC66" s="8"/>
    </row>
    <row r="67" spans="2:29" x14ac:dyDescent="0.25">
      <c r="B67" s="42" t="s">
        <v>362</v>
      </c>
      <c r="C67" s="2" t="s">
        <v>87</v>
      </c>
      <c r="D67" s="39" t="s">
        <v>283</v>
      </c>
      <c r="E67" s="39">
        <v>12</v>
      </c>
      <c r="F67" s="2">
        <f>+VLOOKUP(B67,'Recepcion de Producto'!$B$4:$W$109,22,0)</f>
        <v>208</v>
      </c>
      <c r="G67" s="2">
        <f>VLOOKUP(B67,'Salida de Producto'!$B$4:$DH$111,111,FALSE)</f>
        <v>117</v>
      </c>
      <c r="H67" s="19">
        <f t="shared" si="9"/>
        <v>91</v>
      </c>
      <c r="I67" s="19"/>
      <c r="J67" s="19"/>
      <c r="K67" s="19"/>
      <c r="L67" s="19"/>
      <c r="M67" s="19"/>
      <c r="N67" s="49">
        <f>37</f>
        <v>37</v>
      </c>
      <c r="O67" s="89">
        <f>17+36</f>
        <v>53</v>
      </c>
      <c r="P67" s="71">
        <f t="shared" si="3"/>
        <v>90</v>
      </c>
      <c r="Q67" s="93">
        <f t="shared" si="4"/>
        <v>0</v>
      </c>
      <c r="R67" s="59">
        <f>+VLOOKUP(B67,'Inventario de Profit'!$A$2:E335,5,0)</f>
        <v>90</v>
      </c>
      <c r="S67" s="61">
        <f t="shared" si="5"/>
        <v>0</v>
      </c>
      <c r="T67" s="73"/>
      <c r="U67" s="66"/>
      <c r="V67" s="80">
        <f t="shared" si="10"/>
        <v>0</v>
      </c>
      <c r="W67" s="92">
        <v>1</v>
      </c>
      <c r="X67" s="81">
        <v>9</v>
      </c>
      <c r="Y67" s="43">
        <f>+VLOOKUP(B67,'Inventario de Profit'!$A$1:G333,6,0)</f>
        <v>9</v>
      </c>
      <c r="Z67" s="2">
        <f t="shared" si="11"/>
        <v>0</v>
      </c>
      <c r="AA67" s="84"/>
    </row>
    <row r="68" spans="2:29" x14ac:dyDescent="0.25">
      <c r="B68" s="42" t="s">
        <v>373</v>
      </c>
      <c r="C68" s="2" t="s">
        <v>87</v>
      </c>
      <c r="D68" s="39" t="s">
        <v>281</v>
      </c>
      <c r="E68" s="39">
        <v>24</v>
      </c>
      <c r="F68" s="2">
        <f>+VLOOKUP(B68,'Recepcion de Producto'!$B$4:$W$109,22,0)</f>
        <v>50</v>
      </c>
      <c r="G68" s="2">
        <f>VLOOKUP(B68,'Salida de Producto'!$B$4:$DH$111,111,FALSE)</f>
        <v>49</v>
      </c>
      <c r="H68" s="19">
        <f t="shared" ref="H68:H99" si="12">F68-G68</f>
        <v>1</v>
      </c>
      <c r="I68" s="19"/>
      <c r="J68" s="19"/>
      <c r="K68" s="19"/>
      <c r="L68" s="19"/>
      <c r="M68" s="19"/>
      <c r="N68" s="19"/>
      <c r="O68" s="63"/>
      <c r="P68" s="71">
        <f t="shared" si="3"/>
        <v>0</v>
      </c>
      <c r="Q68" s="93">
        <f t="shared" si="4"/>
        <v>0</v>
      </c>
      <c r="R68" s="59">
        <f>+VLOOKUP(B68,'Inventario de Profit'!$A$2:E336,5,0)</f>
        <v>0</v>
      </c>
      <c r="S68" s="61">
        <f t="shared" si="5"/>
        <v>0</v>
      </c>
      <c r="T68" s="73"/>
      <c r="U68" s="66"/>
      <c r="V68" s="80">
        <f t="shared" si="10"/>
        <v>0</v>
      </c>
      <c r="W68" s="92">
        <v>1</v>
      </c>
      <c r="X68" s="81">
        <v>21</v>
      </c>
      <c r="Y68" s="43">
        <f>+VLOOKUP(B68,'Inventario de Profit'!$A$1:G334,6,0)</f>
        <v>21</v>
      </c>
      <c r="Z68" s="2">
        <f t="shared" si="11"/>
        <v>0</v>
      </c>
      <c r="AA68" s="74"/>
    </row>
    <row r="69" spans="2:29" x14ac:dyDescent="0.25">
      <c r="B69" s="42" t="s">
        <v>360</v>
      </c>
      <c r="C69" s="2" t="s">
        <v>87</v>
      </c>
      <c r="D69" s="39" t="s">
        <v>281</v>
      </c>
      <c r="E69" s="39">
        <v>24</v>
      </c>
      <c r="F69" s="2">
        <f>+VLOOKUP(B69,'Recepcion de Producto'!$B$4:$W$109,22,0)</f>
        <v>150</v>
      </c>
      <c r="G69" s="2">
        <f>VLOOKUP(B69,'Salida de Producto'!$B$4:$DH$111,111,FALSE)</f>
        <v>145</v>
      </c>
      <c r="H69" s="19">
        <f t="shared" si="12"/>
        <v>5</v>
      </c>
      <c r="I69" s="19"/>
      <c r="J69" s="19"/>
      <c r="K69" s="19"/>
      <c r="L69" s="19"/>
      <c r="M69" s="19"/>
      <c r="N69" s="49">
        <v>4</v>
      </c>
      <c r="O69" s="63"/>
      <c r="P69" s="71">
        <f t="shared" ref="P69:P111" si="13">SUM(I69:O69)</f>
        <v>4</v>
      </c>
      <c r="Q69" s="93">
        <f t="shared" ref="Q69:Q111" si="14">+P69+W69-H69</f>
        <v>0</v>
      </c>
      <c r="R69" s="59">
        <f>+VLOOKUP(B69,'Inventario de Profit'!$A$2:E337,5,0)</f>
        <v>4</v>
      </c>
      <c r="S69" s="61">
        <f t="shared" ref="S69:S111" si="15">+P69-R69</f>
        <v>0</v>
      </c>
      <c r="T69" s="73"/>
      <c r="U69" s="66"/>
      <c r="V69" s="80">
        <f t="shared" si="10"/>
        <v>0</v>
      </c>
      <c r="W69" s="92">
        <v>1</v>
      </c>
      <c r="X69" s="81">
        <v>21</v>
      </c>
      <c r="Y69" s="43">
        <f>+VLOOKUP(B69,'Inventario de Profit'!$A$1:G335,6,0)</f>
        <v>21</v>
      </c>
      <c r="Z69" s="2">
        <f t="shared" si="11"/>
        <v>0</v>
      </c>
      <c r="AA69" s="74"/>
    </row>
    <row r="70" spans="2:29" x14ac:dyDescent="0.25">
      <c r="B70" s="2" t="s">
        <v>106</v>
      </c>
      <c r="C70" s="2" t="s">
        <v>87</v>
      </c>
      <c r="D70" s="39" t="s">
        <v>281</v>
      </c>
      <c r="E70" s="39">
        <v>24</v>
      </c>
      <c r="F70" s="2">
        <f>+VLOOKUP(B70,'Recepcion de Producto'!$B$4:$W$109,22,0)</f>
        <v>600</v>
      </c>
      <c r="G70" s="2">
        <f>VLOOKUP(B70,'Salida de Producto'!$B$4:$DH$111,111,FALSE)</f>
        <v>599</v>
      </c>
      <c r="H70" s="19">
        <f t="shared" si="12"/>
        <v>1</v>
      </c>
      <c r="I70" s="19"/>
      <c r="J70" s="19"/>
      <c r="K70" s="19"/>
      <c r="L70" s="19"/>
      <c r="M70" s="19"/>
      <c r="N70" s="19"/>
      <c r="O70" s="63"/>
      <c r="P70" s="71">
        <f t="shared" si="13"/>
        <v>0</v>
      </c>
      <c r="Q70" s="93">
        <f t="shared" si="14"/>
        <v>0</v>
      </c>
      <c r="R70" s="59">
        <f>+VLOOKUP(B70,'Inventario de Profit'!$A$2:E338,5,0)</f>
        <v>0</v>
      </c>
      <c r="S70" s="61">
        <f t="shared" si="15"/>
        <v>0</v>
      </c>
      <c r="T70" s="73"/>
      <c r="U70" s="66"/>
      <c r="V70" s="80">
        <f t="shared" si="10"/>
        <v>0</v>
      </c>
      <c r="W70" s="92">
        <v>1</v>
      </c>
      <c r="X70" s="81">
        <v>20</v>
      </c>
      <c r="Y70" s="43">
        <f>+VLOOKUP(B70,'Inventario de Profit'!$A$1:G336,6,0)</f>
        <v>20</v>
      </c>
      <c r="Z70" s="2">
        <f t="shared" si="11"/>
        <v>0</v>
      </c>
      <c r="AA70" s="84"/>
    </row>
    <row r="71" spans="2:29" ht="17.45" customHeight="1" x14ac:dyDescent="0.25">
      <c r="B71" s="2" t="s">
        <v>105</v>
      </c>
      <c r="C71" s="2" t="s">
        <v>87</v>
      </c>
      <c r="D71" s="39" t="s">
        <v>281</v>
      </c>
      <c r="E71" s="39">
        <v>24</v>
      </c>
      <c r="F71" s="2">
        <f>+VLOOKUP(B71,'Recepcion de Producto'!$B$4:$W$109,22,0)</f>
        <v>600</v>
      </c>
      <c r="G71" s="2">
        <f>VLOOKUP(B71,'Salida de Producto'!$B$4:$DH$111,111,FALSE)</f>
        <v>599</v>
      </c>
      <c r="H71" s="19">
        <f t="shared" si="12"/>
        <v>1</v>
      </c>
      <c r="I71" s="19"/>
      <c r="J71" s="19"/>
      <c r="K71" s="19"/>
      <c r="L71" s="19"/>
      <c r="M71" s="19"/>
      <c r="N71" s="19"/>
      <c r="O71" s="63"/>
      <c r="P71" s="71">
        <f t="shared" si="13"/>
        <v>0</v>
      </c>
      <c r="Q71" s="93">
        <f t="shared" si="14"/>
        <v>0</v>
      </c>
      <c r="R71" s="59">
        <f>+VLOOKUP(B71,'Inventario de Profit'!$A$2:E339,5,0)</f>
        <v>0</v>
      </c>
      <c r="S71" s="61">
        <f t="shared" si="15"/>
        <v>0</v>
      </c>
      <c r="T71" s="73"/>
      <c r="U71" s="66"/>
      <c r="V71" s="80">
        <f t="shared" si="10"/>
        <v>0</v>
      </c>
      <c r="W71" s="92">
        <v>1</v>
      </c>
      <c r="X71" s="81">
        <v>20</v>
      </c>
      <c r="Y71" s="43">
        <f>+VLOOKUP(B71,'Inventario de Profit'!$A$1:G337,6,0)</f>
        <v>20</v>
      </c>
      <c r="Z71" s="2">
        <f t="shared" si="11"/>
        <v>0</v>
      </c>
      <c r="AA71" s="74"/>
    </row>
    <row r="72" spans="2:29" x14ac:dyDescent="0.25">
      <c r="B72" s="42" t="s">
        <v>358</v>
      </c>
      <c r="C72" s="2" t="s">
        <v>87</v>
      </c>
      <c r="D72" s="39" t="s">
        <v>282</v>
      </c>
      <c r="E72" s="39">
        <v>48</v>
      </c>
      <c r="F72" s="2">
        <f>+VLOOKUP(B72,'Recepcion de Producto'!$B$4:$W$109,22,0)</f>
        <v>80</v>
      </c>
      <c r="G72" s="2">
        <f>VLOOKUP(B72,'Salida de Producto'!$B$4:$DH$111,111,FALSE)</f>
        <v>47</v>
      </c>
      <c r="H72" s="19">
        <f t="shared" si="12"/>
        <v>33</v>
      </c>
      <c r="I72" s="19"/>
      <c r="J72" s="19"/>
      <c r="K72" s="19"/>
      <c r="L72" s="19"/>
      <c r="M72" s="19"/>
      <c r="N72" s="49">
        <v>32</v>
      </c>
      <c r="O72" s="63"/>
      <c r="P72" s="71">
        <f t="shared" si="13"/>
        <v>32</v>
      </c>
      <c r="Q72" s="93">
        <f t="shared" si="14"/>
        <v>0</v>
      </c>
      <c r="R72" s="59">
        <f>+VLOOKUP(B72,'Inventario de Profit'!$A$2:E340,5,0)</f>
        <v>32</v>
      </c>
      <c r="S72" s="61">
        <f t="shared" si="15"/>
        <v>0</v>
      </c>
      <c r="T72" s="73" t="s">
        <v>505</v>
      </c>
      <c r="U72" s="66"/>
      <c r="V72" s="80">
        <f t="shared" si="10"/>
        <v>0</v>
      </c>
      <c r="W72" s="92">
        <v>1</v>
      </c>
      <c r="X72" s="81">
        <v>45</v>
      </c>
      <c r="Y72" s="43">
        <f>+VLOOKUP(B72,'Inventario de Profit'!$A$1:G338,6,0)</f>
        <v>45</v>
      </c>
      <c r="Z72" s="2">
        <f t="shared" si="11"/>
        <v>0</v>
      </c>
      <c r="AA72" s="74"/>
    </row>
    <row r="73" spans="2:29" s="8" customFormat="1" x14ac:dyDescent="0.25">
      <c r="B73" s="2" t="s">
        <v>14</v>
      </c>
      <c r="C73" s="2" t="s">
        <v>48</v>
      </c>
      <c r="D73" s="39" t="s">
        <v>281</v>
      </c>
      <c r="E73" s="39">
        <v>24</v>
      </c>
      <c r="F73" s="2">
        <f>+VLOOKUP(B73,'Recepcion de Producto'!$B$4:$W$109,22,0)</f>
        <v>770</v>
      </c>
      <c r="G73" s="2">
        <f>VLOOKUP(B73,'Salida de Producto'!$B$4:$DH$111,111,FALSE)</f>
        <v>769</v>
      </c>
      <c r="H73" s="19">
        <f t="shared" si="12"/>
        <v>1</v>
      </c>
      <c r="I73" s="19"/>
      <c r="J73" s="19"/>
      <c r="K73" s="19"/>
      <c r="L73" s="19"/>
      <c r="M73" s="19"/>
      <c r="N73" s="19"/>
      <c r="O73" s="63"/>
      <c r="P73" s="71">
        <f t="shared" si="13"/>
        <v>0</v>
      </c>
      <c r="Q73" s="93">
        <f>+P73+W73-H73</f>
        <v>0</v>
      </c>
      <c r="R73" s="59">
        <f>+VLOOKUP(B73,'Inventario de Profit'!$A$2:E341,5,0)</f>
        <v>0</v>
      </c>
      <c r="S73" s="61">
        <f t="shared" si="15"/>
        <v>0</v>
      </c>
      <c r="T73" s="73"/>
      <c r="U73" s="66">
        <v>7.9</v>
      </c>
      <c r="V73" s="80">
        <f t="shared" si="10"/>
        <v>0</v>
      </c>
      <c r="W73" s="92">
        <v>1</v>
      </c>
      <c r="X73" s="81">
        <v>12</v>
      </c>
      <c r="Y73" s="43">
        <f>+VLOOKUP(B73,'Inventario de Profit'!$A$1:G339,6,0)</f>
        <v>12</v>
      </c>
      <c r="Z73" s="2">
        <f t="shared" si="11"/>
        <v>0</v>
      </c>
      <c r="AA73" s="83"/>
    </row>
    <row r="74" spans="2:29" x14ac:dyDescent="0.25">
      <c r="B74" s="2" t="s">
        <v>29</v>
      </c>
      <c r="C74" s="2" t="s">
        <v>48</v>
      </c>
      <c r="D74" s="39" t="s">
        <v>282</v>
      </c>
      <c r="E74" s="39">
        <v>48</v>
      </c>
      <c r="F74" s="2">
        <f>+VLOOKUP(B74,'Recepcion de Producto'!$B$4:$W$109,22,0)</f>
        <v>362</v>
      </c>
      <c r="G74" s="2">
        <f>VLOOKUP(B74,'Salida de Producto'!$B$4:$DH$111,111,FALSE)</f>
        <v>145</v>
      </c>
      <c r="H74" s="19">
        <f t="shared" si="12"/>
        <v>217</v>
      </c>
      <c r="I74" s="19"/>
      <c r="J74" s="19"/>
      <c r="K74" s="49">
        <v>17</v>
      </c>
      <c r="L74" s="49">
        <f>15+35</f>
        <v>50</v>
      </c>
      <c r="M74" s="49">
        <f>42+33</f>
        <v>75</v>
      </c>
      <c r="N74" s="19"/>
      <c r="O74" s="89">
        <f>42+33</f>
        <v>75</v>
      </c>
      <c r="P74" s="71">
        <f t="shared" si="13"/>
        <v>217</v>
      </c>
      <c r="Q74" s="93">
        <f t="shared" si="14"/>
        <v>0</v>
      </c>
      <c r="R74" s="59">
        <f>+VLOOKUP(B74,'Inventario de Profit'!$A$2:E342,5,0)</f>
        <v>217</v>
      </c>
      <c r="S74" s="61">
        <f t="shared" si="15"/>
        <v>0</v>
      </c>
      <c r="T74" s="73"/>
      <c r="U74" s="66">
        <v>4.3</v>
      </c>
      <c r="V74" s="80">
        <f t="shared" si="10"/>
        <v>933.09999999999991</v>
      </c>
      <c r="W74" s="92">
        <v>0</v>
      </c>
      <c r="X74" s="81">
        <v>0</v>
      </c>
      <c r="Y74" s="43">
        <f>+VLOOKUP(B74,'Inventario de Profit'!$A$1:G340,6,0)</f>
        <v>0</v>
      </c>
      <c r="Z74" s="2">
        <f t="shared" si="11"/>
        <v>0</v>
      </c>
      <c r="AA74" s="83"/>
    </row>
    <row r="75" spans="2:29" x14ac:dyDescent="0.25">
      <c r="B75" s="2" t="s">
        <v>30</v>
      </c>
      <c r="C75" s="2" t="s">
        <v>48</v>
      </c>
      <c r="D75" s="39" t="s">
        <v>282</v>
      </c>
      <c r="E75" s="39">
        <v>48</v>
      </c>
      <c r="F75" s="2">
        <f>+VLOOKUP(B75,'Recepcion de Producto'!$B$4:$W$109,22,0)</f>
        <v>362</v>
      </c>
      <c r="G75" s="2">
        <f>VLOOKUP(B75,'Salida de Producto'!$B$4:$DH$111,111,FALSE)</f>
        <v>128</v>
      </c>
      <c r="H75" s="19">
        <f t="shared" si="12"/>
        <v>234</v>
      </c>
      <c r="I75" s="19"/>
      <c r="J75" s="19"/>
      <c r="K75" s="49">
        <f>15+19</f>
        <v>34</v>
      </c>
      <c r="L75" s="49">
        <f>14+35</f>
        <v>49</v>
      </c>
      <c r="M75" s="49">
        <f>5+35+35</f>
        <v>75</v>
      </c>
      <c r="N75" s="19"/>
      <c r="O75" s="89">
        <f>5+35+35</f>
        <v>75</v>
      </c>
      <c r="P75" s="71">
        <f t="shared" si="13"/>
        <v>233</v>
      </c>
      <c r="Q75" s="93">
        <f t="shared" si="14"/>
        <v>0</v>
      </c>
      <c r="R75" s="59">
        <f>+VLOOKUP(B75,'Inventario de Profit'!$A$2:E343,5,0)</f>
        <v>233</v>
      </c>
      <c r="S75" s="61">
        <f t="shared" si="15"/>
        <v>0</v>
      </c>
      <c r="T75" s="73"/>
      <c r="U75" s="66">
        <v>5</v>
      </c>
      <c r="V75" s="80">
        <f t="shared" si="10"/>
        <v>1165</v>
      </c>
      <c r="W75" s="92">
        <v>1</v>
      </c>
      <c r="X75" s="81">
        <v>6</v>
      </c>
      <c r="Y75" s="43">
        <f>+VLOOKUP(B75,'Inventario de Profit'!$A$1:G341,6,0)</f>
        <v>6</v>
      </c>
      <c r="Z75" s="2">
        <f t="shared" si="11"/>
        <v>0</v>
      </c>
      <c r="AA75" s="83"/>
    </row>
    <row r="76" spans="2:29" x14ac:dyDescent="0.25">
      <c r="B76" s="2" t="s">
        <v>31</v>
      </c>
      <c r="C76" s="2" t="s">
        <v>48</v>
      </c>
      <c r="D76" s="39" t="s">
        <v>282</v>
      </c>
      <c r="E76" s="39">
        <v>48</v>
      </c>
      <c r="F76" s="2">
        <f>+VLOOKUP(B76,'Recepcion de Producto'!$B$4:$W$109,22,0)</f>
        <v>362</v>
      </c>
      <c r="G76" s="2">
        <f>VLOOKUP(B76,'Salida de Producto'!$B$4:$DH$111,111,FALSE)</f>
        <v>125</v>
      </c>
      <c r="H76" s="19">
        <f t="shared" si="12"/>
        <v>237</v>
      </c>
      <c r="I76" s="19"/>
      <c r="J76" s="49">
        <v>11</v>
      </c>
      <c r="K76" s="49">
        <f>26</f>
        <v>26</v>
      </c>
      <c r="L76" s="49">
        <v>50</v>
      </c>
      <c r="M76" s="49">
        <f>64+9</f>
        <v>73</v>
      </c>
      <c r="N76" s="19"/>
      <c r="O76" s="89">
        <f>64+11</f>
        <v>75</v>
      </c>
      <c r="P76" s="71">
        <f t="shared" si="13"/>
        <v>235</v>
      </c>
      <c r="Q76" s="93">
        <f t="shared" si="14"/>
        <v>0</v>
      </c>
      <c r="R76" s="59">
        <f>+VLOOKUP(B76,'Inventario de Profit'!$A$2:E344,5,0)</f>
        <v>235</v>
      </c>
      <c r="S76" s="61">
        <f t="shared" si="15"/>
        <v>0</v>
      </c>
      <c r="T76" s="73"/>
      <c r="U76" s="66">
        <v>2.5</v>
      </c>
      <c r="V76" s="80">
        <f t="shared" si="10"/>
        <v>587.5</v>
      </c>
      <c r="W76" s="92">
        <v>2</v>
      </c>
      <c r="X76" s="81">
        <f>36+12</f>
        <v>48</v>
      </c>
      <c r="Y76" s="43">
        <f>+VLOOKUP(B76,'Inventario de Profit'!$A$1:G342,6,0)</f>
        <v>84</v>
      </c>
      <c r="Z76" s="2">
        <f t="shared" si="11"/>
        <v>-36</v>
      </c>
      <c r="AA76" s="84" t="s">
        <v>615</v>
      </c>
    </row>
    <row r="77" spans="2:29" x14ac:dyDescent="0.25">
      <c r="B77" s="2" t="s">
        <v>15</v>
      </c>
      <c r="C77" s="2" t="s">
        <v>48</v>
      </c>
      <c r="D77" s="39" t="s">
        <v>281</v>
      </c>
      <c r="E77" s="39">
        <v>24</v>
      </c>
      <c r="F77" s="2">
        <f>+VLOOKUP(B77,'Recepcion de Producto'!$B$4:$W$109,22,0)</f>
        <v>540</v>
      </c>
      <c r="G77" s="2">
        <f>VLOOKUP(B77,'Salida de Producto'!$B$4:$DH$111,111,FALSE)</f>
        <v>302</v>
      </c>
      <c r="H77" s="19">
        <f t="shared" si="12"/>
        <v>238</v>
      </c>
      <c r="I77" s="19"/>
      <c r="J77" s="19"/>
      <c r="K77" s="19"/>
      <c r="L77" s="19"/>
      <c r="M77" s="19"/>
      <c r="N77" s="19"/>
      <c r="O77" s="89">
        <f>91+55+91</f>
        <v>237</v>
      </c>
      <c r="P77" s="71">
        <f t="shared" si="13"/>
        <v>237</v>
      </c>
      <c r="Q77" s="93">
        <f t="shared" si="14"/>
        <v>0</v>
      </c>
      <c r="R77" s="59">
        <f>+VLOOKUP(B77,'Inventario de Profit'!$A$2:E345,5,0)</f>
        <v>237</v>
      </c>
      <c r="S77" s="61">
        <f t="shared" si="15"/>
        <v>0</v>
      </c>
      <c r="T77" s="73"/>
      <c r="U77" s="66">
        <v>9</v>
      </c>
      <c r="V77" s="80">
        <f t="shared" si="10"/>
        <v>2133</v>
      </c>
      <c r="W77" s="92">
        <v>1</v>
      </c>
      <c r="X77" s="81">
        <v>18</v>
      </c>
      <c r="Y77" s="43">
        <f>+VLOOKUP(B77,'Inventario de Profit'!$A$1:G343,6,0)</f>
        <v>18</v>
      </c>
      <c r="Z77" s="2">
        <f t="shared" si="11"/>
        <v>0</v>
      </c>
      <c r="AA77" s="74"/>
    </row>
    <row r="78" spans="2:29" s="8" customFormat="1" x14ac:dyDescent="0.25">
      <c r="B78" s="2" t="s">
        <v>109</v>
      </c>
      <c r="C78" s="2" t="s">
        <v>48</v>
      </c>
      <c r="D78" s="39" t="s">
        <v>281</v>
      </c>
      <c r="E78" s="39">
        <v>24</v>
      </c>
      <c r="F78" s="2">
        <f>+VLOOKUP(B78,'Recepcion de Producto'!$B$4:$W$109,22,0)</f>
        <v>640</v>
      </c>
      <c r="G78" s="2">
        <f>VLOOKUP(B78,'Salida de Producto'!$B$4:$DH$111,111,FALSE)</f>
        <v>581</v>
      </c>
      <c r="H78" s="19">
        <f t="shared" si="12"/>
        <v>59</v>
      </c>
      <c r="I78" s="19"/>
      <c r="J78" s="19"/>
      <c r="K78" s="19"/>
      <c r="L78" s="19"/>
      <c r="M78" s="19"/>
      <c r="N78" s="19"/>
      <c r="O78" s="89">
        <f>13+45</f>
        <v>58</v>
      </c>
      <c r="P78" s="71">
        <f t="shared" si="13"/>
        <v>58</v>
      </c>
      <c r="Q78" s="93">
        <f t="shared" si="14"/>
        <v>0</v>
      </c>
      <c r="R78" s="59">
        <f>+VLOOKUP(B78,'Inventario de Profit'!$A$2:E346,5,0)</f>
        <v>58</v>
      </c>
      <c r="S78" s="61">
        <f t="shared" si="15"/>
        <v>0</v>
      </c>
      <c r="T78" s="73"/>
      <c r="U78" s="66">
        <v>13.2</v>
      </c>
      <c r="V78" s="80">
        <f t="shared" si="10"/>
        <v>765.59999999999991</v>
      </c>
      <c r="W78" s="92">
        <v>1</v>
      </c>
      <c r="X78" s="81">
        <v>18</v>
      </c>
      <c r="Y78" s="43">
        <f>+VLOOKUP(B78,'Inventario de Profit'!$A$1:G344,6,0)</f>
        <v>18</v>
      </c>
      <c r="Z78" s="2">
        <f t="shared" si="11"/>
        <v>0</v>
      </c>
      <c r="AA78" s="74"/>
    </row>
    <row r="79" spans="2:29" x14ac:dyDescent="0.25">
      <c r="B79" s="2" t="s">
        <v>13</v>
      </c>
      <c r="C79" s="2" t="s">
        <v>48</v>
      </c>
      <c r="D79" s="39" t="s">
        <v>281</v>
      </c>
      <c r="E79" s="39">
        <v>24</v>
      </c>
      <c r="F79" s="2">
        <f>+VLOOKUP(B79,'Recepcion de Producto'!$B$4:$W$109,22,0)</f>
        <v>640</v>
      </c>
      <c r="G79" s="2">
        <f>VLOOKUP(B79,'Salida de Producto'!$B$4:$DH$111,111,FALSE)</f>
        <v>639</v>
      </c>
      <c r="H79" s="19">
        <f t="shared" si="12"/>
        <v>1</v>
      </c>
      <c r="I79" s="19"/>
      <c r="J79" s="19"/>
      <c r="K79" s="19"/>
      <c r="L79" s="19"/>
      <c r="M79" s="19"/>
      <c r="N79" s="19"/>
      <c r="O79" s="63"/>
      <c r="P79" s="71">
        <f t="shared" si="13"/>
        <v>0</v>
      </c>
      <c r="Q79" s="93">
        <f t="shared" si="14"/>
        <v>0</v>
      </c>
      <c r="R79" s="59">
        <f>+VLOOKUP(B79,'Inventario de Profit'!$A$2:E347,5,0)</f>
        <v>0</v>
      </c>
      <c r="S79" s="61">
        <f t="shared" si="15"/>
        <v>0</v>
      </c>
      <c r="T79" s="73"/>
      <c r="U79" s="66">
        <v>14.3</v>
      </c>
      <c r="V79" s="80">
        <f t="shared" si="10"/>
        <v>0</v>
      </c>
      <c r="W79" s="92">
        <v>1</v>
      </c>
      <c r="X79" s="81">
        <v>18</v>
      </c>
      <c r="Y79" s="43">
        <f>+VLOOKUP(B79,'Inventario de Profit'!$A$1:G345,6,0)</f>
        <v>18</v>
      </c>
      <c r="Z79" s="2">
        <f t="shared" si="11"/>
        <v>0</v>
      </c>
      <c r="AA79" s="84"/>
    </row>
    <row r="80" spans="2:29" x14ac:dyDescent="0.25">
      <c r="B80" s="2" t="s">
        <v>108</v>
      </c>
      <c r="C80" s="2" t="s">
        <v>48</v>
      </c>
      <c r="D80" s="39" t="s">
        <v>281</v>
      </c>
      <c r="E80" s="39">
        <v>24</v>
      </c>
      <c r="F80" s="2">
        <f>+VLOOKUP(B80,'Recepcion de Producto'!$B$4:$W$109,22,0)</f>
        <v>1760</v>
      </c>
      <c r="G80" s="2">
        <f>VLOOKUP(B80,'Salida de Producto'!$B$4:$DH$111,111,FALSE)</f>
        <v>1756</v>
      </c>
      <c r="H80" s="19">
        <f t="shared" si="12"/>
        <v>4</v>
      </c>
      <c r="I80" s="19"/>
      <c r="J80" s="19"/>
      <c r="K80" s="19"/>
      <c r="L80" s="19"/>
      <c r="M80" s="19"/>
      <c r="N80" s="49">
        <v>4</v>
      </c>
      <c r="O80" s="63"/>
      <c r="P80" s="71">
        <f t="shared" si="13"/>
        <v>4</v>
      </c>
      <c r="Q80" s="93">
        <f t="shared" si="14"/>
        <v>1</v>
      </c>
      <c r="R80" s="59">
        <f>+VLOOKUP(B80,'Inventario de Profit'!$A$2:E348,5,0)</f>
        <v>4</v>
      </c>
      <c r="S80" s="61">
        <f t="shared" si="15"/>
        <v>0</v>
      </c>
      <c r="T80" s="73"/>
      <c r="U80" s="66">
        <v>13.7</v>
      </c>
      <c r="V80" s="80">
        <f t="shared" si="10"/>
        <v>54.8</v>
      </c>
      <c r="W80" s="92">
        <v>1</v>
      </c>
      <c r="X80" s="81">
        <v>6</v>
      </c>
      <c r="Y80" s="43">
        <f>+VLOOKUP(B80,'Inventario de Profit'!$A$1:G346,6,0)</f>
        <v>6</v>
      </c>
      <c r="Z80" s="2">
        <f t="shared" si="11"/>
        <v>0</v>
      </c>
      <c r="AA80" s="83"/>
    </row>
    <row r="81" spans="2:27" x14ac:dyDescent="0.25">
      <c r="B81" s="2" t="s">
        <v>16</v>
      </c>
      <c r="C81" s="2" t="s">
        <v>48</v>
      </c>
      <c r="D81" s="39" t="s">
        <v>281</v>
      </c>
      <c r="E81" s="39">
        <v>24</v>
      </c>
      <c r="F81" s="2">
        <f>+VLOOKUP(B81,'Recepcion de Producto'!$B$4:$W$109,22,0)</f>
        <v>2165</v>
      </c>
      <c r="G81" s="2">
        <f>VLOOKUP(B81,'Salida de Producto'!$B$4:$DH$111,111,FALSE)</f>
        <v>1889</v>
      </c>
      <c r="H81" s="19">
        <f t="shared" si="12"/>
        <v>276</v>
      </c>
      <c r="I81" s="19"/>
      <c r="J81" s="19"/>
      <c r="K81" s="19"/>
      <c r="L81" s="19"/>
      <c r="M81" s="19"/>
      <c r="N81" s="19"/>
      <c r="O81" s="64">
        <f>41+3*78</f>
        <v>275</v>
      </c>
      <c r="P81" s="71">
        <f t="shared" si="13"/>
        <v>275</v>
      </c>
      <c r="Q81" s="93">
        <f t="shared" si="14"/>
        <v>0</v>
      </c>
      <c r="R81" s="59">
        <f>+VLOOKUP(B81,'Inventario de Profit'!$A$2:E349,5,0)</f>
        <v>275</v>
      </c>
      <c r="S81" s="61">
        <f t="shared" si="15"/>
        <v>0</v>
      </c>
      <c r="T81" s="73"/>
      <c r="U81" s="66">
        <v>9</v>
      </c>
      <c r="V81" s="80">
        <f t="shared" si="10"/>
        <v>2475</v>
      </c>
      <c r="W81" s="92">
        <v>1</v>
      </c>
      <c r="X81" s="81">
        <v>6</v>
      </c>
      <c r="Y81" s="43">
        <f>+VLOOKUP(B81,'Inventario de Profit'!$A$1:G347,6,0)</f>
        <v>6</v>
      </c>
      <c r="Z81" s="2">
        <f t="shared" si="11"/>
        <v>0</v>
      </c>
      <c r="AA81" s="74"/>
    </row>
    <row r="82" spans="2:27" x14ac:dyDescent="0.25">
      <c r="B82" s="2" t="s">
        <v>17</v>
      </c>
      <c r="C82" s="2" t="s">
        <v>48</v>
      </c>
      <c r="D82" s="39" t="s">
        <v>281</v>
      </c>
      <c r="E82" s="39">
        <v>24</v>
      </c>
      <c r="F82" s="2">
        <f>+VLOOKUP(B82,'Recepcion de Producto'!$B$4:$W$109,22,0)</f>
        <v>7427</v>
      </c>
      <c r="G82" s="2">
        <f>VLOOKUP(B82,'Salida de Producto'!$B$4:$DH$111,111,FALSE)</f>
        <v>5277</v>
      </c>
      <c r="H82" s="19">
        <f t="shared" si="12"/>
        <v>2150</v>
      </c>
      <c r="I82" s="19"/>
      <c r="J82" s="19"/>
      <c r="K82" s="19"/>
      <c r="L82" s="19"/>
      <c r="M82" s="31">
        <f>57+8*91+14</f>
        <v>799</v>
      </c>
      <c r="N82" s="19"/>
      <c r="O82" s="89">
        <f>8*91+76+6*91</f>
        <v>1350</v>
      </c>
      <c r="P82" s="71">
        <f t="shared" si="13"/>
        <v>2149</v>
      </c>
      <c r="Q82" s="93">
        <f t="shared" si="14"/>
        <v>0</v>
      </c>
      <c r="R82" s="59">
        <f>+VLOOKUP(B82,'Inventario de Profit'!$A$2:E350,5,0)</f>
        <v>2149</v>
      </c>
      <c r="S82" s="61">
        <f t="shared" si="15"/>
        <v>0</v>
      </c>
      <c r="T82" s="73"/>
      <c r="U82" s="66">
        <v>8</v>
      </c>
      <c r="V82" s="80">
        <f t="shared" si="10"/>
        <v>17192</v>
      </c>
      <c r="W82" s="92">
        <v>1</v>
      </c>
      <c r="X82" s="81">
        <v>12</v>
      </c>
      <c r="Y82" s="43">
        <f>+VLOOKUP(B82,'Inventario de Profit'!$A$1:G348,6,0)</f>
        <v>12</v>
      </c>
      <c r="Z82" s="2">
        <f t="shared" si="11"/>
        <v>0</v>
      </c>
      <c r="AA82" s="84"/>
    </row>
    <row r="83" spans="2:27" x14ac:dyDescent="0.25">
      <c r="B83" s="2" t="s">
        <v>18</v>
      </c>
      <c r="C83" s="2" t="s">
        <v>48</v>
      </c>
      <c r="D83" s="39" t="s">
        <v>281</v>
      </c>
      <c r="E83" s="39">
        <v>24</v>
      </c>
      <c r="F83" s="2">
        <f>+VLOOKUP(B83,'Recepcion de Producto'!$B$4:$W$109,22,0)</f>
        <v>1345</v>
      </c>
      <c r="G83" s="2">
        <f>VLOOKUP(B83,'Salida de Producto'!$B$4:$DH$111,111,FALSE)</f>
        <v>1344</v>
      </c>
      <c r="H83" s="19">
        <f t="shared" si="12"/>
        <v>1</v>
      </c>
      <c r="I83" s="19"/>
      <c r="J83" s="19"/>
      <c r="K83" s="19"/>
      <c r="L83" s="19"/>
      <c r="M83" s="19"/>
      <c r="N83" s="19"/>
      <c r="O83" s="63"/>
      <c r="P83" s="71">
        <f t="shared" si="13"/>
        <v>0</v>
      </c>
      <c r="Q83" s="93">
        <f t="shared" si="14"/>
        <v>0</v>
      </c>
      <c r="R83" s="59">
        <f>+VLOOKUP(B83,'Inventario de Profit'!$A$2:E351,5,0)</f>
        <v>0</v>
      </c>
      <c r="S83" s="61">
        <f t="shared" si="15"/>
        <v>0</v>
      </c>
      <c r="T83" s="73"/>
      <c r="U83" s="66">
        <v>9</v>
      </c>
      <c r="V83" s="80">
        <f t="shared" si="10"/>
        <v>0</v>
      </c>
      <c r="W83" s="92">
        <v>1</v>
      </c>
      <c r="X83" s="81">
        <v>12</v>
      </c>
      <c r="Y83" s="43">
        <f>+VLOOKUP(B83,'Inventario de Profit'!$A$1:G349,6,0)</f>
        <v>12</v>
      </c>
      <c r="Z83" s="2">
        <f t="shared" si="11"/>
        <v>0</v>
      </c>
      <c r="AA83" s="84"/>
    </row>
    <row r="84" spans="2:27" x14ac:dyDescent="0.25">
      <c r="B84" s="2" t="s">
        <v>19</v>
      </c>
      <c r="C84" s="2" t="s">
        <v>48</v>
      </c>
      <c r="D84" s="39" t="s">
        <v>281</v>
      </c>
      <c r="E84" s="39">
        <v>24</v>
      </c>
      <c r="F84" s="2">
        <f>+VLOOKUP(B84,'Recepcion de Producto'!$B$4:$W$109,22,0)</f>
        <v>3430</v>
      </c>
      <c r="G84" s="2">
        <f>VLOOKUP(B84,'Salida de Producto'!$B$4:$DH$111,111,FALSE)</f>
        <v>2822</v>
      </c>
      <c r="H84" s="19">
        <f t="shared" si="12"/>
        <v>608</v>
      </c>
      <c r="I84" s="19"/>
      <c r="J84" s="19"/>
      <c r="K84" s="19"/>
      <c r="L84" s="19"/>
      <c r="M84" s="19"/>
      <c r="N84" s="19"/>
      <c r="O84" s="64">
        <f>6*91+61</f>
        <v>607</v>
      </c>
      <c r="P84" s="71">
        <f t="shared" si="13"/>
        <v>607</v>
      </c>
      <c r="Q84" s="93">
        <f t="shared" si="14"/>
        <v>0</v>
      </c>
      <c r="R84" s="59">
        <f>+VLOOKUP(B84,'Inventario de Profit'!$A$2:E352,5,0)</f>
        <v>607</v>
      </c>
      <c r="S84" s="61">
        <f t="shared" si="15"/>
        <v>0</v>
      </c>
      <c r="T84" s="73"/>
      <c r="U84" s="66">
        <v>7.7</v>
      </c>
      <c r="V84" s="80">
        <f t="shared" si="10"/>
        <v>4673.9000000000005</v>
      </c>
      <c r="W84" s="92">
        <v>1</v>
      </c>
      <c r="X84" s="81">
        <v>6</v>
      </c>
      <c r="Y84" s="43">
        <f>+VLOOKUP(B84,'Inventario de Profit'!$A$1:G350,6,0)</f>
        <v>6</v>
      </c>
      <c r="Z84" s="2">
        <f t="shared" si="11"/>
        <v>0</v>
      </c>
      <c r="AA84" s="84"/>
    </row>
    <row r="85" spans="2:27" x14ac:dyDescent="0.25">
      <c r="B85" s="42" t="s">
        <v>107</v>
      </c>
      <c r="C85" s="2" t="s">
        <v>48</v>
      </c>
      <c r="D85" s="39" t="s">
        <v>283</v>
      </c>
      <c r="E85" s="39">
        <v>12</v>
      </c>
      <c r="F85" s="2">
        <f>+VLOOKUP(B85,'Recepcion de Producto'!$B$4:$W$109,22,0)</f>
        <v>1300</v>
      </c>
      <c r="G85" s="2">
        <f>VLOOKUP(B85,'Salida de Producto'!$B$4:$DH$111,111,FALSE)</f>
        <v>1299</v>
      </c>
      <c r="H85" s="19">
        <f t="shared" si="12"/>
        <v>1</v>
      </c>
      <c r="I85" s="19"/>
      <c r="J85" s="19"/>
      <c r="K85" s="19"/>
      <c r="L85" s="19"/>
      <c r="M85" s="19"/>
      <c r="N85" s="19"/>
      <c r="O85" s="63"/>
      <c r="P85" s="71">
        <f t="shared" si="13"/>
        <v>0</v>
      </c>
      <c r="Q85" s="93">
        <f t="shared" si="14"/>
        <v>0</v>
      </c>
      <c r="R85" s="59">
        <f>+VLOOKUP(B85,'Inventario de Profit'!$A$2:E353,5,0)</f>
        <v>0</v>
      </c>
      <c r="S85" s="61">
        <f t="shared" si="15"/>
        <v>0</v>
      </c>
      <c r="T85" s="73"/>
      <c r="U85" s="66"/>
      <c r="V85" s="80">
        <f t="shared" si="10"/>
        <v>0</v>
      </c>
      <c r="W85" s="92">
        <v>1</v>
      </c>
      <c r="X85" s="81">
        <v>8</v>
      </c>
      <c r="Y85" s="43">
        <f>+VLOOKUP(B85,'Inventario de Profit'!$A$1:G351,6,0)</f>
        <v>8</v>
      </c>
      <c r="Z85" s="2">
        <f t="shared" si="11"/>
        <v>0</v>
      </c>
      <c r="AA85" s="84"/>
    </row>
    <row r="86" spans="2:27" x14ac:dyDescent="0.25">
      <c r="B86" s="2" t="s">
        <v>20</v>
      </c>
      <c r="C86" s="2" t="s">
        <v>48</v>
      </c>
      <c r="D86" s="39" t="s">
        <v>281</v>
      </c>
      <c r="E86" s="39">
        <v>24</v>
      </c>
      <c r="F86" s="2">
        <f>+VLOOKUP(B86,'Recepcion de Producto'!$B$4:$W$109,22,0)</f>
        <v>2840</v>
      </c>
      <c r="G86" s="2">
        <f>VLOOKUP(B86,'Salida de Producto'!$B$4:$DH$111,111,FALSE)</f>
        <v>2172</v>
      </c>
      <c r="H86" s="19">
        <f t="shared" si="12"/>
        <v>668</v>
      </c>
      <c r="I86" s="19"/>
      <c r="J86" s="19"/>
      <c r="K86" s="19"/>
      <c r="L86" s="19"/>
      <c r="M86" s="19"/>
      <c r="N86" s="19"/>
      <c r="O86" s="64">
        <f>10*66+1+1+6</f>
        <v>668</v>
      </c>
      <c r="P86" s="71">
        <f t="shared" si="13"/>
        <v>668</v>
      </c>
      <c r="Q86" s="93">
        <f t="shared" si="14"/>
        <v>0</v>
      </c>
      <c r="R86" s="59">
        <f>+VLOOKUP(B86,'Inventario de Profit'!$A$2:E354,5,0)</f>
        <v>668</v>
      </c>
      <c r="S86" s="61">
        <f t="shared" si="15"/>
        <v>0</v>
      </c>
      <c r="T86" s="73"/>
      <c r="U86" s="66">
        <v>8</v>
      </c>
      <c r="V86" s="80">
        <f t="shared" si="10"/>
        <v>5344</v>
      </c>
      <c r="W86" s="92">
        <v>0</v>
      </c>
      <c r="X86" s="81"/>
      <c r="Y86" s="43">
        <f>+VLOOKUP(B86,'Inventario de Profit'!$A$1:G352,6,0)</f>
        <v>0</v>
      </c>
      <c r="Z86" s="2">
        <f t="shared" si="11"/>
        <v>0</v>
      </c>
      <c r="AA86" s="84"/>
    </row>
    <row r="87" spans="2:27" x14ac:dyDescent="0.25">
      <c r="B87" s="2" t="s">
        <v>22</v>
      </c>
      <c r="C87" s="2" t="s">
        <v>48</v>
      </c>
      <c r="D87" s="39" t="s">
        <v>281</v>
      </c>
      <c r="E87" s="39">
        <v>24</v>
      </c>
      <c r="F87" s="2">
        <f>+VLOOKUP(B87,'Recepcion de Producto'!$B$4:$W$109,22,0)</f>
        <v>570</v>
      </c>
      <c r="G87" s="2">
        <f>VLOOKUP(B87,'Salida de Producto'!$B$4:$DH$111,111,FALSE)</f>
        <v>569</v>
      </c>
      <c r="H87" s="19">
        <f t="shared" si="12"/>
        <v>1</v>
      </c>
      <c r="I87" s="19"/>
      <c r="J87" s="19"/>
      <c r="K87" s="19"/>
      <c r="L87" s="19"/>
      <c r="M87" s="19"/>
      <c r="N87" s="19"/>
      <c r="O87" s="63"/>
      <c r="P87" s="71">
        <f t="shared" si="13"/>
        <v>0</v>
      </c>
      <c r="Q87" s="93">
        <f t="shared" si="14"/>
        <v>0</v>
      </c>
      <c r="R87" s="59">
        <f>+VLOOKUP(B87,'Inventario de Profit'!$A$2:E355,5,0)</f>
        <v>0</v>
      </c>
      <c r="S87" s="61">
        <f t="shared" si="15"/>
        <v>0</v>
      </c>
      <c r="T87" s="73"/>
      <c r="U87" s="66">
        <v>8.9</v>
      </c>
      <c r="V87" s="80">
        <f t="shared" si="10"/>
        <v>0</v>
      </c>
      <c r="W87" s="92">
        <v>1</v>
      </c>
      <c r="X87" s="81">
        <v>18</v>
      </c>
      <c r="Y87" s="43">
        <f>+VLOOKUP(B87,'Inventario de Profit'!$A$1:G353,6,0)</f>
        <v>18</v>
      </c>
      <c r="Z87" s="2">
        <f t="shared" si="11"/>
        <v>0</v>
      </c>
      <c r="AA87" s="84"/>
    </row>
    <row r="88" spans="2:27" s="8" customFormat="1" x14ac:dyDescent="0.25">
      <c r="B88" s="2" t="s">
        <v>23</v>
      </c>
      <c r="C88" s="2" t="s">
        <v>48</v>
      </c>
      <c r="D88" s="39" t="s">
        <v>281</v>
      </c>
      <c r="E88" s="39">
        <v>24</v>
      </c>
      <c r="F88" s="2">
        <f>+VLOOKUP(B88,'Recepcion de Producto'!$B$4:$W$109,22,0)</f>
        <v>640</v>
      </c>
      <c r="G88" s="2">
        <f>VLOOKUP(B88,'Salida de Producto'!$B$4:$DH$111,111,FALSE)</f>
        <v>494</v>
      </c>
      <c r="H88" s="19">
        <f t="shared" si="12"/>
        <v>146</v>
      </c>
      <c r="I88" s="19"/>
      <c r="J88" s="19"/>
      <c r="K88" s="19"/>
      <c r="L88" s="19"/>
      <c r="M88" s="19"/>
      <c r="N88" s="19"/>
      <c r="O88" s="89">
        <f>39+78+28</f>
        <v>145</v>
      </c>
      <c r="P88" s="71">
        <f t="shared" si="13"/>
        <v>145</v>
      </c>
      <c r="Q88" s="93">
        <f t="shared" si="14"/>
        <v>0</v>
      </c>
      <c r="R88" s="59">
        <f>+VLOOKUP(B88,'Inventario de Profit'!$A$2:E356,5,0)</f>
        <v>145</v>
      </c>
      <c r="S88" s="61">
        <f t="shared" si="15"/>
        <v>0</v>
      </c>
      <c r="T88" s="73"/>
      <c r="U88" s="66">
        <v>8.4</v>
      </c>
      <c r="V88" s="80">
        <f t="shared" si="10"/>
        <v>1218</v>
      </c>
      <c r="W88" s="92">
        <v>1</v>
      </c>
      <c r="X88" s="81">
        <v>18</v>
      </c>
      <c r="Y88" s="43">
        <f>+VLOOKUP(B88,'Inventario de Profit'!$A$1:G354,6,0)</f>
        <v>18</v>
      </c>
      <c r="Z88" s="2">
        <f t="shared" si="11"/>
        <v>0</v>
      </c>
      <c r="AA88" s="74"/>
    </row>
    <row r="89" spans="2:27" s="8" customFormat="1" x14ac:dyDescent="0.25">
      <c r="B89" s="2" t="s">
        <v>24</v>
      </c>
      <c r="C89" s="2" t="s">
        <v>48</v>
      </c>
      <c r="D89" s="39" t="s">
        <v>281</v>
      </c>
      <c r="E89" s="39">
        <v>24</v>
      </c>
      <c r="F89" s="2">
        <f>+VLOOKUP(B89,'Recepcion de Producto'!$B$4:$W$109,22,0)</f>
        <v>7243</v>
      </c>
      <c r="G89" s="2">
        <f>VLOOKUP(B89,'Salida de Producto'!$B$4:$DH$111,111,FALSE)</f>
        <v>4040</v>
      </c>
      <c r="H89" s="19">
        <f t="shared" si="12"/>
        <v>3203</v>
      </c>
      <c r="I89" s="19"/>
      <c r="J89" s="19"/>
      <c r="K89" s="19"/>
      <c r="L89" s="19"/>
      <c r="M89" s="31">
        <f>47+96+109+96+66+96+96+96+96+96+9*96+96</f>
        <v>1854</v>
      </c>
      <c r="N89" s="49">
        <f>10*96+23</f>
        <v>983</v>
      </c>
      <c r="O89" s="89">
        <f>3*96+77</f>
        <v>365</v>
      </c>
      <c r="P89" s="71">
        <f t="shared" si="13"/>
        <v>3202</v>
      </c>
      <c r="Q89" s="93">
        <f t="shared" si="14"/>
        <v>0</v>
      </c>
      <c r="R89" s="59">
        <f>+VLOOKUP(B89,'Inventario de Profit'!$A$2:E357,5,0)</f>
        <v>3202</v>
      </c>
      <c r="S89" s="61">
        <f t="shared" si="15"/>
        <v>0</v>
      </c>
      <c r="T89" s="73"/>
      <c r="U89" s="66">
        <v>6</v>
      </c>
      <c r="V89" s="80">
        <f t="shared" si="10"/>
        <v>19212</v>
      </c>
      <c r="W89" s="92">
        <v>1</v>
      </c>
      <c r="X89" s="81">
        <v>18</v>
      </c>
      <c r="Y89" s="43">
        <f>+VLOOKUP(B89,'Inventario de Profit'!$A$1:G355,6,0)</f>
        <v>24</v>
      </c>
      <c r="Z89" s="2">
        <f t="shared" si="11"/>
        <v>-6</v>
      </c>
      <c r="AA89" s="84" t="s">
        <v>614</v>
      </c>
    </row>
    <row r="90" spans="2:27" x14ac:dyDescent="0.25">
      <c r="B90" s="2" t="s">
        <v>26</v>
      </c>
      <c r="C90" s="2" t="s">
        <v>48</v>
      </c>
      <c r="D90" s="39" t="s">
        <v>281</v>
      </c>
      <c r="E90" s="39">
        <v>24</v>
      </c>
      <c r="F90" s="2">
        <f>+VLOOKUP(B90,'Recepcion de Producto'!$B$4:$W$109,22,0)</f>
        <v>533</v>
      </c>
      <c r="G90" s="2">
        <f>VLOOKUP(B90,'Salida de Producto'!$B$4:$DH$111,111,FALSE)</f>
        <v>462</v>
      </c>
      <c r="H90" s="19">
        <f t="shared" si="12"/>
        <v>71</v>
      </c>
      <c r="I90" s="19"/>
      <c r="J90" s="19"/>
      <c r="K90" s="19"/>
      <c r="L90" s="19"/>
      <c r="M90" s="19"/>
      <c r="N90" s="31">
        <f>16+54</f>
        <v>70</v>
      </c>
      <c r="O90" s="63"/>
      <c r="P90" s="71">
        <f t="shared" si="13"/>
        <v>70</v>
      </c>
      <c r="Q90" s="93">
        <f t="shared" si="14"/>
        <v>0</v>
      </c>
      <c r="R90" s="59">
        <f>+VLOOKUP(B90,'Inventario de Profit'!$A$2:E358,5,0)</f>
        <v>70</v>
      </c>
      <c r="S90" s="61">
        <f t="shared" si="15"/>
        <v>0</v>
      </c>
      <c r="T90" s="73"/>
      <c r="U90" s="66">
        <v>12.6</v>
      </c>
      <c r="V90" s="80">
        <f t="shared" si="10"/>
        <v>882</v>
      </c>
      <c r="W90" s="92">
        <v>1</v>
      </c>
      <c r="X90" s="81">
        <v>12</v>
      </c>
      <c r="Y90" s="43">
        <f>+VLOOKUP(B90,'Inventario de Profit'!$A$1:G356,6,0)</f>
        <v>12</v>
      </c>
      <c r="Z90" s="2">
        <f t="shared" si="11"/>
        <v>0</v>
      </c>
      <c r="AA90" s="84"/>
    </row>
    <row r="91" spans="2:27" x14ac:dyDescent="0.25">
      <c r="B91" s="2" t="s">
        <v>25</v>
      </c>
      <c r="C91" s="2" t="s">
        <v>48</v>
      </c>
      <c r="D91" s="39" t="s">
        <v>281</v>
      </c>
      <c r="E91" s="39">
        <v>24</v>
      </c>
      <c r="F91" s="2">
        <f>+VLOOKUP(B91,'Recepcion de Producto'!$B$4:$W$109,22,0)</f>
        <v>610</v>
      </c>
      <c r="G91" s="2">
        <f>VLOOKUP(B91,'Salida de Producto'!$B$4:$DH$111,111,FALSE)</f>
        <v>609</v>
      </c>
      <c r="H91" s="19">
        <f t="shared" si="12"/>
        <v>1</v>
      </c>
      <c r="I91" s="19"/>
      <c r="J91" s="19"/>
      <c r="K91" s="19"/>
      <c r="L91" s="19"/>
      <c r="M91" s="19"/>
      <c r="N91" s="19"/>
      <c r="O91" s="63"/>
      <c r="P91" s="71">
        <f t="shared" si="13"/>
        <v>0</v>
      </c>
      <c r="Q91" s="93">
        <f t="shared" si="14"/>
        <v>0</v>
      </c>
      <c r="R91" s="59">
        <f>+VLOOKUP(B91,'Inventario de Profit'!$A$2:E359,5,0)</f>
        <v>0</v>
      </c>
      <c r="S91" s="61">
        <f t="shared" si="15"/>
        <v>0</v>
      </c>
      <c r="T91" s="73"/>
      <c r="U91" s="66">
        <v>7.3</v>
      </c>
      <c r="V91" s="80">
        <f t="shared" ref="V91" si="16">P91*U91</f>
        <v>0</v>
      </c>
      <c r="W91" s="92">
        <v>1</v>
      </c>
      <c r="X91" s="81">
        <v>12</v>
      </c>
      <c r="Y91" s="43">
        <f>+VLOOKUP(B91,'Inventario de Profit'!$A$1:G357,6,0)</f>
        <v>12</v>
      </c>
      <c r="Z91" s="2">
        <f t="shared" ref="Z91:Z111" si="17">+X91-Y91</f>
        <v>0</v>
      </c>
      <c r="AA91" s="84"/>
    </row>
    <row r="92" spans="2:27" x14ac:dyDescent="0.25">
      <c r="B92" s="2" t="s">
        <v>382</v>
      </c>
      <c r="C92" s="2" t="s">
        <v>48</v>
      </c>
      <c r="D92" s="54" t="s">
        <v>283</v>
      </c>
      <c r="E92" s="39">
        <v>12</v>
      </c>
      <c r="F92" s="2">
        <f>+VLOOKUP(B92,'Recepcion de Producto'!$B$4:$W$109,22,0)</f>
        <v>100</v>
      </c>
      <c r="G92" s="2">
        <f>VLOOKUP(B92,'Salida de Producto'!$B$4:$DH$111,111,FALSE)</f>
        <v>99</v>
      </c>
      <c r="H92" s="19">
        <f t="shared" si="12"/>
        <v>1</v>
      </c>
      <c r="I92" s="19"/>
      <c r="J92" s="19"/>
      <c r="K92" s="19"/>
      <c r="L92" s="19"/>
      <c r="M92" s="19"/>
      <c r="N92" s="19"/>
      <c r="O92" s="63"/>
      <c r="P92" s="71">
        <f t="shared" si="13"/>
        <v>0</v>
      </c>
      <c r="Q92" s="93">
        <f t="shared" si="14"/>
        <v>0</v>
      </c>
      <c r="R92" s="59">
        <f>+VLOOKUP(B92,'Inventario de Profit'!$A$2:E360,5,0)</f>
        <v>0</v>
      </c>
      <c r="S92" s="61">
        <f t="shared" si="15"/>
        <v>0</v>
      </c>
      <c r="T92" s="73"/>
      <c r="U92" s="66"/>
      <c r="V92" s="80"/>
      <c r="W92" s="92">
        <v>1</v>
      </c>
      <c r="X92" s="81">
        <v>9</v>
      </c>
      <c r="Y92" s="43">
        <f>+VLOOKUP(B92,'Inventario de Profit'!$A$1:G358,6,0)</f>
        <v>9</v>
      </c>
      <c r="Z92" s="2">
        <f t="shared" si="17"/>
        <v>0</v>
      </c>
      <c r="AA92" s="74"/>
    </row>
    <row r="93" spans="2:27" x14ac:dyDescent="0.25">
      <c r="B93" s="2" t="s">
        <v>367</v>
      </c>
      <c r="C93" s="2" t="s">
        <v>48</v>
      </c>
      <c r="D93" s="54" t="s">
        <v>281</v>
      </c>
      <c r="E93" s="39">
        <v>24</v>
      </c>
      <c r="F93" s="2">
        <f>+VLOOKUP(B93,'Recepcion de Producto'!$B$4:$W$109,22,0)</f>
        <v>50</v>
      </c>
      <c r="G93" s="2">
        <f>VLOOKUP(B93,'Salida de Producto'!$B$4:$DH$111,111,FALSE)</f>
        <v>49</v>
      </c>
      <c r="H93" s="19">
        <f t="shared" si="12"/>
        <v>1</v>
      </c>
      <c r="I93" s="19"/>
      <c r="J93" s="19"/>
      <c r="K93" s="19"/>
      <c r="L93" s="19"/>
      <c r="M93" s="19"/>
      <c r="N93" s="19"/>
      <c r="O93" s="63"/>
      <c r="P93" s="71">
        <f t="shared" si="13"/>
        <v>0</v>
      </c>
      <c r="Q93" s="93">
        <f t="shared" si="14"/>
        <v>0</v>
      </c>
      <c r="R93" s="59">
        <f>+VLOOKUP(B93,'Inventario de Profit'!$A$2:E361,5,0)</f>
        <v>0</v>
      </c>
      <c r="S93" s="61">
        <f t="shared" si="15"/>
        <v>0</v>
      </c>
      <c r="T93" s="73"/>
      <c r="U93" s="66"/>
      <c r="V93" s="80"/>
      <c r="W93" s="92">
        <v>1</v>
      </c>
      <c r="X93" s="81">
        <v>21</v>
      </c>
      <c r="Y93" s="43">
        <f>+VLOOKUP(B93,'Inventario de Profit'!$A$1:G359,6,0)</f>
        <v>21</v>
      </c>
      <c r="Z93" s="2">
        <f t="shared" si="17"/>
        <v>0</v>
      </c>
      <c r="AA93" s="74"/>
    </row>
    <row r="94" spans="2:27" x14ac:dyDescent="0.25">
      <c r="B94" s="2" t="s">
        <v>366</v>
      </c>
      <c r="C94" s="2" t="s">
        <v>48</v>
      </c>
      <c r="D94" s="54" t="s">
        <v>281</v>
      </c>
      <c r="E94" s="39">
        <v>24</v>
      </c>
      <c r="F94" s="2">
        <f>+VLOOKUP(B94,'Recepcion de Producto'!$B$4:$W$109,22,0)</f>
        <v>100</v>
      </c>
      <c r="G94" s="2">
        <f>VLOOKUP(B94,'Salida de Producto'!$B$4:$DH$111,111,FALSE)</f>
        <v>78</v>
      </c>
      <c r="H94" s="19">
        <f t="shared" si="12"/>
        <v>22</v>
      </c>
      <c r="I94" s="19"/>
      <c r="J94" s="19"/>
      <c r="K94" s="19"/>
      <c r="L94" s="19"/>
      <c r="M94" s="19"/>
      <c r="N94" s="49">
        <v>21</v>
      </c>
      <c r="O94" s="63"/>
      <c r="P94" s="71">
        <f t="shared" si="13"/>
        <v>21</v>
      </c>
      <c r="Q94" s="93">
        <f t="shared" si="14"/>
        <v>0</v>
      </c>
      <c r="R94" s="59">
        <f>+VLOOKUP(B94,'Inventario de Profit'!$A$2:E362,5,0)</f>
        <v>21</v>
      </c>
      <c r="S94" s="61">
        <f t="shared" si="15"/>
        <v>0</v>
      </c>
      <c r="T94" s="73"/>
      <c r="U94" s="66"/>
      <c r="V94" s="80"/>
      <c r="W94" s="92">
        <v>1</v>
      </c>
      <c r="X94" s="81">
        <v>21</v>
      </c>
      <c r="Y94" s="43">
        <f>+VLOOKUP(B94,'Inventario de Profit'!$A$1:G360,6,0)</f>
        <v>21</v>
      </c>
      <c r="Z94" s="2">
        <f t="shared" si="17"/>
        <v>0</v>
      </c>
      <c r="AA94" s="84"/>
    </row>
    <row r="95" spans="2:27" x14ac:dyDescent="0.25">
      <c r="B95" s="2" t="s">
        <v>381</v>
      </c>
      <c r="C95" s="2" t="s">
        <v>48</v>
      </c>
      <c r="D95" s="54" t="s">
        <v>283</v>
      </c>
      <c r="E95" s="39">
        <v>12</v>
      </c>
      <c r="F95" s="2">
        <f>+VLOOKUP(B95,'Recepcion de Producto'!$B$4:$W$109,22,0)</f>
        <v>100</v>
      </c>
      <c r="G95" s="2">
        <f>VLOOKUP(B95,'Salida de Producto'!$B$4:$DH$111,111,FALSE)</f>
        <v>88</v>
      </c>
      <c r="H95" s="19">
        <f t="shared" si="12"/>
        <v>12</v>
      </c>
      <c r="I95" s="19"/>
      <c r="J95" s="19"/>
      <c r="K95" s="19"/>
      <c r="L95" s="19"/>
      <c r="M95" s="19"/>
      <c r="N95" s="19"/>
      <c r="O95" s="89">
        <v>12</v>
      </c>
      <c r="P95" s="71">
        <f t="shared" si="13"/>
        <v>12</v>
      </c>
      <c r="Q95" s="93">
        <f t="shared" si="14"/>
        <v>0</v>
      </c>
      <c r="R95" s="59">
        <f>+VLOOKUP(B95,'Inventario de Profit'!$A$2:E363,5,0)</f>
        <v>12</v>
      </c>
      <c r="S95" s="61">
        <f t="shared" si="15"/>
        <v>0</v>
      </c>
      <c r="T95" s="73"/>
      <c r="U95" s="66"/>
      <c r="V95" s="80"/>
      <c r="W95" s="92">
        <v>0</v>
      </c>
      <c r="X95" s="81"/>
      <c r="Y95" s="43">
        <f>+VLOOKUP(B95,'Inventario de Profit'!$A$1:G361,6,0)</f>
        <v>0</v>
      </c>
      <c r="Z95" s="2">
        <f t="shared" si="17"/>
        <v>0</v>
      </c>
      <c r="AA95" s="74"/>
    </row>
    <row r="96" spans="2:27" x14ac:dyDescent="0.25">
      <c r="B96" s="2" t="s">
        <v>371</v>
      </c>
      <c r="C96" s="2" t="s">
        <v>48</v>
      </c>
      <c r="D96" s="54" t="s">
        <v>283</v>
      </c>
      <c r="E96" s="39">
        <v>12</v>
      </c>
      <c r="F96" s="2">
        <f>+VLOOKUP(B96,'Recepcion de Producto'!$B$4:$W$109,22,0)</f>
        <v>100</v>
      </c>
      <c r="G96" s="2">
        <f>VLOOKUP(B96,'Salida de Producto'!$B$4:$DH$111,111,FALSE)</f>
        <v>99</v>
      </c>
      <c r="H96" s="19">
        <f t="shared" si="12"/>
        <v>1</v>
      </c>
      <c r="I96" s="19"/>
      <c r="J96" s="19"/>
      <c r="K96" s="19"/>
      <c r="L96" s="19"/>
      <c r="M96" s="19"/>
      <c r="N96" s="19"/>
      <c r="O96" s="63"/>
      <c r="P96" s="71">
        <f t="shared" si="13"/>
        <v>0</v>
      </c>
      <c r="Q96" s="93">
        <f t="shared" si="14"/>
        <v>0</v>
      </c>
      <c r="R96" s="59">
        <f>+VLOOKUP(B96,'Inventario de Profit'!$A$2:E364,5,0)</f>
        <v>0</v>
      </c>
      <c r="S96" s="61">
        <f t="shared" si="15"/>
        <v>0</v>
      </c>
      <c r="T96" s="73"/>
      <c r="U96" s="66"/>
      <c r="V96" s="80"/>
      <c r="W96" s="92">
        <v>1</v>
      </c>
      <c r="X96" s="81">
        <v>9</v>
      </c>
      <c r="Y96" s="43">
        <f>+VLOOKUP(B96,'Inventario de Profit'!$A$1:G362,6,0)</f>
        <v>9</v>
      </c>
      <c r="Z96" s="2">
        <f t="shared" si="17"/>
        <v>0</v>
      </c>
      <c r="AA96" s="84"/>
    </row>
    <row r="97" spans="2:27" x14ac:dyDescent="0.25">
      <c r="B97" s="2" t="s">
        <v>379</v>
      </c>
      <c r="C97" s="2" t="s">
        <v>48</v>
      </c>
      <c r="D97" s="54" t="s">
        <v>283</v>
      </c>
      <c r="E97" s="39">
        <v>12</v>
      </c>
      <c r="F97" s="2">
        <f>+VLOOKUP(B97,'Recepcion de Producto'!$B$4:$W$109,22,0)</f>
        <v>100</v>
      </c>
      <c r="G97" s="2">
        <f>VLOOKUP(B97,'Salida de Producto'!$B$4:$DH$111,111,FALSE)</f>
        <v>62</v>
      </c>
      <c r="H97" s="19">
        <f t="shared" si="12"/>
        <v>38</v>
      </c>
      <c r="I97" s="19"/>
      <c r="J97" s="19"/>
      <c r="K97" s="19"/>
      <c r="L97" s="19"/>
      <c r="M97" s="19"/>
      <c r="N97" s="49">
        <f>30+7</f>
        <v>37</v>
      </c>
      <c r="O97" s="63"/>
      <c r="P97" s="71">
        <f t="shared" si="13"/>
        <v>37</v>
      </c>
      <c r="Q97" s="93">
        <f t="shared" si="14"/>
        <v>0</v>
      </c>
      <c r="R97" s="59">
        <f>+VLOOKUP(B97,'Inventario de Profit'!$A$2:E365,5,0)</f>
        <v>37</v>
      </c>
      <c r="S97" s="61">
        <f t="shared" si="15"/>
        <v>0</v>
      </c>
      <c r="T97" s="73"/>
      <c r="U97" s="66"/>
      <c r="V97" s="80"/>
      <c r="W97" s="92">
        <v>1</v>
      </c>
      <c r="X97" s="81">
        <v>9</v>
      </c>
      <c r="Y97" s="43">
        <f>+VLOOKUP(B97,'Inventario de Profit'!$A$1:G363,6,0)</f>
        <v>9</v>
      </c>
      <c r="Z97" s="2">
        <f t="shared" si="17"/>
        <v>0</v>
      </c>
      <c r="AA97" s="74"/>
    </row>
    <row r="98" spans="2:27" x14ac:dyDescent="0.25">
      <c r="B98" s="2" t="s">
        <v>355</v>
      </c>
      <c r="C98" s="2" t="s">
        <v>48</v>
      </c>
      <c r="D98" s="39" t="s">
        <v>281</v>
      </c>
      <c r="E98" s="39">
        <v>24</v>
      </c>
      <c r="F98" s="2">
        <f>+VLOOKUP(B98,'Recepcion de Producto'!$B$4:$W$109,22,0)</f>
        <v>60</v>
      </c>
      <c r="G98" s="2">
        <f>VLOOKUP(B98,'Salida de Producto'!$B$4:$DH$111,111,FALSE)</f>
        <v>59</v>
      </c>
      <c r="H98" s="19">
        <f t="shared" si="12"/>
        <v>1</v>
      </c>
      <c r="I98" s="19"/>
      <c r="J98" s="19"/>
      <c r="K98" s="19"/>
      <c r="L98" s="19"/>
      <c r="M98" s="19"/>
      <c r="N98" s="19"/>
      <c r="O98" s="63"/>
      <c r="P98" s="71">
        <f t="shared" si="13"/>
        <v>0</v>
      </c>
      <c r="Q98" s="93">
        <f t="shared" si="14"/>
        <v>0</v>
      </c>
      <c r="R98" s="59">
        <f>+VLOOKUP(B98,'Inventario de Profit'!$A$2:E366,5,0)</f>
        <v>0</v>
      </c>
      <c r="S98" s="61">
        <f t="shared" si="15"/>
        <v>0</v>
      </c>
      <c r="T98" s="73"/>
      <c r="U98" s="66"/>
      <c r="V98" s="80"/>
      <c r="W98" s="92">
        <v>1</v>
      </c>
      <c r="X98" s="81">
        <v>21</v>
      </c>
      <c r="Y98" s="43">
        <f>+VLOOKUP(B98,'Inventario de Profit'!$A$1:G364,6,0)</f>
        <v>21</v>
      </c>
      <c r="Z98" s="2">
        <f t="shared" si="17"/>
        <v>0</v>
      </c>
      <c r="AA98" s="74"/>
    </row>
    <row r="99" spans="2:27" x14ac:dyDescent="0.25">
      <c r="B99" s="2" t="s">
        <v>368</v>
      </c>
      <c r="C99" s="2" t="s">
        <v>48</v>
      </c>
      <c r="D99" s="54" t="s">
        <v>283</v>
      </c>
      <c r="E99" s="39">
        <v>12</v>
      </c>
      <c r="F99" s="2">
        <f>+VLOOKUP(B99,'Recepcion de Producto'!$B$4:$W$109,22,0)</f>
        <v>100</v>
      </c>
      <c r="G99" s="2">
        <f>VLOOKUP(B99,'Salida de Producto'!$B$4:$DH$111,111,FALSE)</f>
        <v>99</v>
      </c>
      <c r="H99" s="19">
        <f t="shared" si="12"/>
        <v>1</v>
      </c>
      <c r="I99" s="19"/>
      <c r="J99" s="19"/>
      <c r="K99" s="19"/>
      <c r="L99" s="19"/>
      <c r="M99" s="19"/>
      <c r="N99" s="19"/>
      <c r="O99" s="63"/>
      <c r="P99" s="71">
        <f t="shared" si="13"/>
        <v>0</v>
      </c>
      <c r="Q99" s="93">
        <f t="shared" si="14"/>
        <v>0</v>
      </c>
      <c r="R99" s="59">
        <f>+VLOOKUP(B99,'Inventario de Profit'!$A$2:E367,5,0)</f>
        <v>0</v>
      </c>
      <c r="S99" s="61">
        <f t="shared" si="15"/>
        <v>0</v>
      </c>
      <c r="T99" s="73"/>
      <c r="U99" s="66"/>
      <c r="V99" s="80"/>
      <c r="W99" s="92">
        <v>1</v>
      </c>
      <c r="X99" s="81">
        <v>9</v>
      </c>
      <c r="Y99" s="43">
        <f>+VLOOKUP(B99,'Inventario de Profit'!$A$1:G365,6,0)</f>
        <v>9</v>
      </c>
      <c r="Z99" s="2">
        <f t="shared" si="17"/>
        <v>0</v>
      </c>
      <c r="AA99" s="84"/>
    </row>
    <row r="100" spans="2:27" x14ac:dyDescent="0.25">
      <c r="B100" s="2" t="s">
        <v>378</v>
      </c>
      <c r="C100" s="2" t="s">
        <v>48</v>
      </c>
      <c r="D100" s="54" t="s">
        <v>283</v>
      </c>
      <c r="E100" s="39">
        <v>12</v>
      </c>
      <c r="F100" s="2">
        <f>+VLOOKUP(B100,'Recepcion de Producto'!$B$4:$W$109,22,0)</f>
        <v>100</v>
      </c>
      <c r="G100" s="2">
        <f>VLOOKUP(B100,'Salida de Producto'!$B$4:$DH$111,111,FALSE)</f>
        <v>89</v>
      </c>
      <c r="H100" s="19">
        <f t="shared" ref="H100:H111" si="18">F100-G100</f>
        <v>11</v>
      </c>
      <c r="I100" s="19"/>
      <c r="J100" s="19"/>
      <c r="K100" s="19"/>
      <c r="L100" s="19"/>
      <c r="M100" s="19"/>
      <c r="N100" s="49">
        <f>10+1</f>
        <v>11</v>
      </c>
      <c r="O100" s="63"/>
      <c r="P100" s="71">
        <f t="shared" si="13"/>
        <v>11</v>
      </c>
      <c r="Q100" s="93">
        <f t="shared" si="14"/>
        <v>1</v>
      </c>
      <c r="R100" s="59">
        <f>+VLOOKUP(B100,'Inventario de Profit'!$A$2:E368,5,0)</f>
        <v>11</v>
      </c>
      <c r="S100" s="61">
        <f t="shared" si="15"/>
        <v>0</v>
      </c>
      <c r="T100" s="73"/>
      <c r="U100" s="66"/>
      <c r="V100" s="80"/>
      <c r="W100" s="92">
        <v>1</v>
      </c>
      <c r="X100" s="81">
        <v>9</v>
      </c>
      <c r="Y100" s="43">
        <f>+VLOOKUP(B100,'Inventario de Profit'!$A$1:G366,6,0)</f>
        <v>9</v>
      </c>
      <c r="Z100" s="2">
        <f t="shared" si="17"/>
        <v>0</v>
      </c>
      <c r="AA100" s="74"/>
    </row>
    <row r="101" spans="2:27" x14ac:dyDescent="0.25">
      <c r="B101" s="2" t="s">
        <v>376</v>
      </c>
      <c r="C101" s="2" t="s">
        <v>48</v>
      </c>
      <c r="D101" s="54" t="s">
        <v>283</v>
      </c>
      <c r="E101" s="39">
        <v>12</v>
      </c>
      <c r="F101" s="2">
        <f>+VLOOKUP(B101,'Recepcion de Producto'!$B$4:$W$109,22,0)</f>
        <v>100</v>
      </c>
      <c r="G101" s="2">
        <f>VLOOKUP(B101,'Salida de Producto'!$B$4:$DH$111,111,FALSE)</f>
        <v>100</v>
      </c>
      <c r="H101" s="19">
        <f t="shared" si="18"/>
        <v>0</v>
      </c>
      <c r="I101" s="19"/>
      <c r="J101" s="19"/>
      <c r="K101" s="19"/>
      <c r="L101" s="19"/>
      <c r="M101" s="19"/>
      <c r="N101" s="19"/>
      <c r="O101" s="63"/>
      <c r="P101" s="71">
        <f t="shared" si="13"/>
        <v>0</v>
      </c>
      <c r="Q101" s="93">
        <f t="shared" si="14"/>
        <v>0</v>
      </c>
      <c r="R101" s="59">
        <f>+VLOOKUP(B101,'Inventario de Profit'!$A$2:E369,5,0)</f>
        <v>0</v>
      </c>
      <c r="S101" s="61">
        <f t="shared" si="15"/>
        <v>0</v>
      </c>
      <c r="T101" s="73"/>
      <c r="U101" s="66"/>
      <c r="V101" s="80"/>
      <c r="W101" s="92">
        <v>0</v>
      </c>
      <c r="X101" s="81"/>
      <c r="Y101" s="43">
        <f>+VLOOKUP(B101,'Inventario de Profit'!$A$1:G367,6,0)</f>
        <v>0</v>
      </c>
      <c r="Z101" s="2">
        <f t="shared" si="17"/>
        <v>0</v>
      </c>
      <c r="AA101" s="74"/>
    </row>
    <row r="102" spans="2:27" x14ac:dyDescent="0.25">
      <c r="B102" s="2" t="s">
        <v>380</v>
      </c>
      <c r="C102" s="2" t="s">
        <v>48</v>
      </c>
      <c r="D102" s="54" t="s">
        <v>283</v>
      </c>
      <c r="E102" s="39">
        <v>12</v>
      </c>
      <c r="F102" s="2">
        <f>+VLOOKUP(B102,'Recepcion de Producto'!$B$4:$W$109,22,0)</f>
        <v>250</v>
      </c>
      <c r="G102" s="2">
        <f>VLOOKUP(B102,'Salida de Producto'!$B$4:$DH$111,111,FALSE)</f>
        <v>6</v>
      </c>
      <c r="H102" s="19">
        <f t="shared" si="18"/>
        <v>244</v>
      </c>
      <c r="I102" s="19"/>
      <c r="J102" s="19"/>
      <c r="K102" s="19"/>
      <c r="L102" s="19"/>
      <c r="M102" s="19"/>
      <c r="N102" s="49">
        <f>42+33+42+42+2*42</f>
        <v>243</v>
      </c>
      <c r="O102" s="63"/>
      <c r="P102" s="71">
        <f t="shared" si="13"/>
        <v>243</v>
      </c>
      <c r="Q102" s="93">
        <f t="shared" si="14"/>
        <v>0</v>
      </c>
      <c r="R102" s="59">
        <f>+VLOOKUP(B102,'Inventario de Profit'!$A$2:E370,5,0)</f>
        <v>243</v>
      </c>
      <c r="S102" s="61">
        <f t="shared" si="15"/>
        <v>0</v>
      </c>
      <c r="T102" s="74" t="s">
        <v>613</v>
      </c>
      <c r="U102" s="66"/>
      <c r="V102" s="80"/>
      <c r="W102" s="92">
        <v>1</v>
      </c>
      <c r="X102" s="81">
        <v>9</v>
      </c>
      <c r="Y102" s="43">
        <f>+VLOOKUP(B102,'Inventario de Profit'!$A$1:G368,6,0)</f>
        <v>9</v>
      </c>
      <c r="Z102" s="2">
        <f t="shared" si="17"/>
        <v>0</v>
      </c>
      <c r="AA102" s="74" t="s">
        <v>613</v>
      </c>
    </row>
    <row r="103" spans="2:27" x14ac:dyDescent="0.25">
      <c r="B103" s="2" t="s">
        <v>377</v>
      </c>
      <c r="C103" s="2" t="s">
        <v>48</v>
      </c>
      <c r="D103" s="54" t="s">
        <v>283</v>
      </c>
      <c r="E103" s="39">
        <v>12</v>
      </c>
      <c r="F103" s="2">
        <f>+VLOOKUP(B103,'Recepcion de Producto'!$B$4:$W$109,22,0)</f>
        <v>100</v>
      </c>
      <c r="G103" s="2">
        <f>VLOOKUP(B103,'Salida de Producto'!$B$4:$DH$111,111,FALSE)</f>
        <v>99</v>
      </c>
      <c r="H103" s="19">
        <f t="shared" si="18"/>
        <v>1</v>
      </c>
      <c r="I103" s="19"/>
      <c r="J103" s="19"/>
      <c r="K103" s="19"/>
      <c r="L103" s="19"/>
      <c r="M103" s="19"/>
      <c r="N103" s="19"/>
      <c r="O103" s="63"/>
      <c r="P103" s="71">
        <f t="shared" si="13"/>
        <v>0</v>
      </c>
      <c r="Q103" s="93">
        <f t="shared" si="14"/>
        <v>0</v>
      </c>
      <c r="R103" s="59">
        <f>+VLOOKUP(B103,'Inventario de Profit'!$A$2:E371,5,0)</f>
        <v>0</v>
      </c>
      <c r="S103" s="61">
        <f t="shared" si="15"/>
        <v>0</v>
      </c>
      <c r="T103" s="73"/>
      <c r="U103" s="66"/>
      <c r="V103" s="80"/>
      <c r="W103" s="92">
        <v>1</v>
      </c>
      <c r="X103" s="81">
        <v>9</v>
      </c>
      <c r="Y103" s="43">
        <f>+VLOOKUP(B103,'Inventario de Profit'!$A$1:G369,6,0)</f>
        <v>9</v>
      </c>
      <c r="Z103" s="2">
        <f t="shared" si="17"/>
        <v>0</v>
      </c>
      <c r="AA103" s="84"/>
    </row>
    <row r="104" spans="2:27" x14ac:dyDescent="0.25">
      <c r="B104" s="2" t="s">
        <v>369</v>
      </c>
      <c r="C104" s="2" t="s">
        <v>48</v>
      </c>
      <c r="D104" s="54" t="s">
        <v>283</v>
      </c>
      <c r="E104" s="39">
        <v>12</v>
      </c>
      <c r="F104" s="2">
        <f>+VLOOKUP(B104,'Recepcion de Producto'!$B$4:$W$109,22,0)</f>
        <v>100</v>
      </c>
      <c r="G104" s="2">
        <f>VLOOKUP(B104,'Salida de Producto'!$B$4:$DH$111,111,FALSE)</f>
        <v>99</v>
      </c>
      <c r="H104" s="19">
        <f t="shared" si="18"/>
        <v>1</v>
      </c>
      <c r="I104" s="19"/>
      <c r="J104" s="19"/>
      <c r="K104" s="19"/>
      <c r="L104" s="19"/>
      <c r="M104" s="19"/>
      <c r="N104" s="19"/>
      <c r="O104" s="63"/>
      <c r="P104" s="71">
        <f t="shared" si="13"/>
        <v>0</v>
      </c>
      <c r="Q104" s="93">
        <f t="shared" si="14"/>
        <v>0</v>
      </c>
      <c r="R104" s="59">
        <f>+VLOOKUP(B104,'Inventario de Profit'!$A$2:E372,5,0)</f>
        <v>0</v>
      </c>
      <c r="S104" s="61">
        <f t="shared" si="15"/>
        <v>0</v>
      </c>
      <c r="T104" s="73"/>
      <c r="U104" s="66"/>
      <c r="V104" s="80"/>
      <c r="W104" s="92">
        <v>1</v>
      </c>
      <c r="X104" s="81">
        <v>9</v>
      </c>
      <c r="Y104" s="43">
        <f>+VLOOKUP(B104,'Inventario de Profit'!$A$1:G370,6,0)</f>
        <v>9</v>
      </c>
      <c r="Z104" s="2">
        <f t="shared" si="17"/>
        <v>0</v>
      </c>
      <c r="AA104" s="74"/>
    </row>
    <row r="105" spans="2:27" x14ac:dyDescent="0.25">
      <c r="B105" s="2" t="s">
        <v>27</v>
      </c>
      <c r="C105" s="2" t="s">
        <v>48</v>
      </c>
      <c r="D105" s="39" t="s">
        <v>281</v>
      </c>
      <c r="E105" s="39">
        <v>24</v>
      </c>
      <c r="F105" s="2">
        <f>+VLOOKUP(B105,'Recepcion de Producto'!$B$4:$W$109,22,0)</f>
        <v>430</v>
      </c>
      <c r="G105" s="2">
        <f>VLOOKUP(B105,'Salida de Producto'!$B$4:$DH$111,111,FALSE)</f>
        <v>328</v>
      </c>
      <c r="H105" s="19">
        <f t="shared" si="18"/>
        <v>102</v>
      </c>
      <c r="I105" s="19"/>
      <c r="J105" s="19"/>
      <c r="K105" s="19"/>
      <c r="L105" s="19"/>
      <c r="M105" s="19"/>
      <c r="N105" s="49">
        <f>36+65</f>
        <v>101</v>
      </c>
      <c r="O105" s="63"/>
      <c r="P105" s="71">
        <f t="shared" si="13"/>
        <v>101</v>
      </c>
      <c r="Q105" s="93">
        <f t="shared" si="14"/>
        <v>0</v>
      </c>
      <c r="R105" s="59">
        <f>+VLOOKUP(B105,'Inventario de Profit'!$A$2:E373,5,0)</f>
        <v>101</v>
      </c>
      <c r="S105" s="61">
        <f t="shared" si="15"/>
        <v>0</v>
      </c>
      <c r="T105" s="73"/>
      <c r="U105" s="66">
        <v>8.3000000000000007</v>
      </c>
      <c r="V105" s="80">
        <f>P105*U105</f>
        <v>838.30000000000007</v>
      </c>
      <c r="W105" s="92">
        <v>1</v>
      </c>
      <c r="X105" s="81">
        <v>18</v>
      </c>
      <c r="Y105" s="43">
        <f>+VLOOKUP(B105,'Inventario de Profit'!$A$1:G371,6,0)</f>
        <v>18</v>
      </c>
      <c r="Z105" s="2">
        <f t="shared" si="17"/>
        <v>0</v>
      </c>
      <c r="AA105" s="84"/>
    </row>
    <row r="106" spans="2:27" x14ac:dyDescent="0.25">
      <c r="B106" s="2" t="s">
        <v>370</v>
      </c>
      <c r="C106" s="2" t="s">
        <v>48</v>
      </c>
      <c r="D106" s="54" t="s">
        <v>283</v>
      </c>
      <c r="E106" s="39">
        <v>12</v>
      </c>
      <c r="F106" s="2">
        <f>+VLOOKUP(B106,'Recepcion de Producto'!$B$4:$W$109,22,0)</f>
        <v>100</v>
      </c>
      <c r="G106" s="2">
        <f>VLOOKUP(B106,'Salida de Producto'!$B$4:$DH$111,111,FALSE)</f>
        <v>90</v>
      </c>
      <c r="H106" s="19">
        <f t="shared" si="18"/>
        <v>10</v>
      </c>
      <c r="I106" s="19"/>
      <c r="J106" s="19"/>
      <c r="K106" s="19"/>
      <c r="L106" s="19"/>
      <c r="M106" s="19"/>
      <c r="N106" s="49">
        <v>9</v>
      </c>
      <c r="O106" s="63"/>
      <c r="P106" s="71">
        <f t="shared" si="13"/>
        <v>9</v>
      </c>
      <c r="Q106" s="93">
        <f t="shared" si="14"/>
        <v>0</v>
      </c>
      <c r="R106" s="59">
        <f>+VLOOKUP(B106,'Inventario de Profit'!$A$2:E374,5,0)</f>
        <v>9</v>
      </c>
      <c r="S106" s="61">
        <f t="shared" si="15"/>
        <v>0</v>
      </c>
      <c r="T106" s="73"/>
      <c r="U106" s="66"/>
      <c r="V106" s="80"/>
      <c r="W106" s="92">
        <v>1</v>
      </c>
      <c r="X106" s="81">
        <v>9</v>
      </c>
      <c r="Y106" s="43">
        <f>+VLOOKUP(B106,'Inventario de Profit'!$A$1:G372,6,0)</f>
        <v>9</v>
      </c>
      <c r="Z106" s="2">
        <f t="shared" si="17"/>
        <v>0</v>
      </c>
      <c r="AA106" s="74"/>
    </row>
    <row r="107" spans="2:27" x14ac:dyDescent="0.25">
      <c r="B107" s="42" t="s">
        <v>28</v>
      </c>
      <c r="C107" s="40" t="s">
        <v>48</v>
      </c>
      <c r="D107" s="41" t="s">
        <v>281</v>
      </c>
      <c r="E107" s="39">
        <v>24</v>
      </c>
      <c r="F107" s="2">
        <f>+VLOOKUP(B107,'Recepcion de Producto'!$B$4:$W$109,22,0)</f>
        <v>430</v>
      </c>
      <c r="G107" s="2">
        <f>VLOOKUP(B107,'Salida de Producto'!$B$4:$DH$111,111,FALSE)</f>
        <v>429</v>
      </c>
      <c r="H107" s="19">
        <f t="shared" si="18"/>
        <v>1</v>
      </c>
      <c r="I107" s="19"/>
      <c r="J107" s="19"/>
      <c r="K107" s="19"/>
      <c r="L107" s="19"/>
      <c r="M107" s="19"/>
      <c r="N107" s="19"/>
      <c r="O107" s="63"/>
      <c r="P107" s="71">
        <f t="shared" si="13"/>
        <v>0</v>
      </c>
      <c r="Q107" s="93">
        <f t="shared" si="14"/>
        <v>0</v>
      </c>
      <c r="R107" s="59">
        <f>+VLOOKUP(B107,'Inventario de Profit'!$A$2:E375,5,0)</f>
        <v>0</v>
      </c>
      <c r="S107" s="61">
        <f t="shared" si="15"/>
        <v>0</v>
      </c>
      <c r="T107" s="73"/>
      <c r="U107" s="66">
        <v>5.7</v>
      </c>
      <c r="V107" s="80">
        <f>P107*U107</f>
        <v>0</v>
      </c>
      <c r="W107" s="92">
        <v>1</v>
      </c>
      <c r="X107" s="81">
        <v>12</v>
      </c>
      <c r="Y107" s="43">
        <f>+VLOOKUP(B107,'Inventario de Profit'!$A$1:G373,6,0)</f>
        <v>12</v>
      </c>
      <c r="Z107" s="2">
        <f t="shared" si="17"/>
        <v>0</v>
      </c>
      <c r="AA107" s="84"/>
    </row>
    <row r="108" spans="2:27" x14ac:dyDescent="0.25">
      <c r="B108" s="42" t="s">
        <v>21</v>
      </c>
      <c r="C108" s="40" t="s">
        <v>48</v>
      </c>
      <c r="D108" s="41" t="s">
        <v>281</v>
      </c>
      <c r="E108" s="39">
        <v>24</v>
      </c>
      <c r="F108" s="2">
        <f>+VLOOKUP(B108,'Recepcion de Producto'!$B$4:$W$109,22,0)</f>
        <v>2860</v>
      </c>
      <c r="G108" s="2">
        <f>VLOOKUP(B108,'Salida de Producto'!$B$4:$DH$111,111,FALSE)</f>
        <v>2248</v>
      </c>
      <c r="H108" s="19">
        <f t="shared" si="18"/>
        <v>612</v>
      </c>
      <c r="I108" s="19"/>
      <c r="J108" s="19"/>
      <c r="K108" s="19"/>
      <c r="L108" s="19"/>
      <c r="M108" s="19"/>
      <c r="N108" s="19"/>
      <c r="O108" s="89">
        <f>6*96+35</f>
        <v>611</v>
      </c>
      <c r="P108" s="71">
        <f t="shared" si="13"/>
        <v>611</v>
      </c>
      <c r="Q108" s="93">
        <f t="shared" si="14"/>
        <v>0</v>
      </c>
      <c r="R108" s="59">
        <f>+VLOOKUP(B108,'Inventario de Profit'!$A$2:E376,5,0)</f>
        <v>611</v>
      </c>
      <c r="S108" s="61">
        <f t="shared" si="15"/>
        <v>0</v>
      </c>
      <c r="T108" s="73"/>
      <c r="U108" s="66">
        <v>6.3</v>
      </c>
      <c r="V108" s="80">
        <f>P108*U108</f>
        <v>3849.2999999999997</v>
      </c>
      <c r="W108" s="92">
        <v>1</v>
      </c>
      <c r="X108" s="81">
        <v>12</v>
      </c>
      <c r="Y108" s="43">
        <f>+VLOOKUP(B108,'Inventario de Profit'!$A$1:G374,6,0)</f>
        <v>12</v>
      </c>
      <c r="Z108" s="2">
        <f t="shared" si="17"/>
        <v>0</v>
      </c>
      <c r="AA108" s="84"/>
    </row>
    <row r="109" spans="2:27" x14ac:dyDescent="0.25">
      <c r="B109" s="2" t="s">
        <v>11</v>
      </c>
      <c r="C109" s="2" t="s">
        <v>48</v>
      </c>
      <c r="D109" s="39" t="s">
        <v>281</v>
      </c>
      <c r="E109" s="39">
        <v>24</v>
      </c>
      <c r="F109" s="2">
        <f>+VLOOKUP(B109,'Recepcion de Producto'!$B$4:$W$109,22,0)</f>
        <v>1080</v>
      </c>
      <c r="G109" s="2">
        <f>VLOOKUP(B109,'Salida de Producto'!$B$4:$DH$111,111,FALSE)</f>
        <v>1079</v>
      </c>
      <c r="H109" s="19">
        <f t="shared" si="18"/>
        <v>1</v>
      </c>
      <c r="I109" s="19"/>
      <c r="J109" s="19"/>
      <c r="K109" s="19"/>
      <c r="L109" s="19"/>
      <c r="M109" s="19"/>
      <c r="N109" s="19"/>
      <c r="O109" s="63"/>
      <c r="P109" s="71">
        <f t="shared" si="13"/>
        <v>0</v>
      </c>
      <c r="Q109" s="93">
        <f t="shared" si="14"/>
        <v>0</v>
      </c>
      <c r="R109" s="59">
        <f>+VLOOKUP(B109,'Inventario de Profit'!$A$2:E377,5,0)</f>
        <v>0</v>
      </c>
      <c r="S109" s="61">
        <f t="shared" si="15"/>
        <v>0</v>
      </c>
      <c r="T109" s="73"/>
      <c r="U109" s="66">
        <v>14.3</v>
      </c>
      <c r="V109" s="80">
        <f>P109*U109</f>
        <v>0</v>
      </c>
      <c r="W109" s="92">
        <v>1</v>
      </c>
      <c r="X109" s="81">
        <v>18</v>
      </c>
      <c r="Y109" s="43">
        <f>+VLOOKUP(B109,'Inventario de Profit'!$A$1:G375,6,0)</f>
        <v>18</v>
      </c>
      <c r="Z109" s="2">
        <f t="shared" si="17"/>
        <v>0</v>
      </c>
      <c r="AA109" s="83"/>
    </row>
    <row r="110" spans="2:27" x14ac:dyDescent="0.25">
      <c r="B110" s="2" t="s">
        <v>32</v>
      </c>
      <c r="C110" s="2" t="s">
        <v>48</v>
      </c>
      <c r="D110" s="39" t="s">
        <v>282</v>
      </c>
      <c r="E110" s="39">
        <v>48</v>
      </c>
      <c r="F110" s="2">
        <f>+VLOOKUP(B110,'Recepcion de Producto'!$B$4:$W$111,22,0)</f>
        <v>410</v>
      </c>
      <c r="G110" s="2">
        <f>VLOOKUP(B110,'Salida de Producto'!$B$4:$DH$111,111,FALSE)</f>
        <v>187</v>
      </c>
      <c r="H110" s="19">
        <f t="shared" si="18"/>
        <v>223</v>
      </c>
      <c r="I110" s="19"/>
      <c r="J110" s="19"/>
      <c r="K110" s="19"/>
      <c r="L110" s="49">
        <v>40</v>
      </c>
      <c r="M110" s="49">
        <v>57</v>
      </c>
      <c r="N110" s="19"/>
      <c r="O110" s="89">
        <f>61+64</f>
        <v>125</v>
      </c>
      <c r="P110" s="71">
        <f t="shared" si="13"/>
        <v>222</v>
      </c>
      <c r="Q110" s="93">
        <f t="shared" si="14"/>
        <v>0</v>
      </c>
      <c r="R110" s="59">
        <f>+VLOOKUP(B110,'Inventario de Profit'!$A$2:E378,5,0)</f>
        <v>222</v>
      </c>
      <c r="S110" s="61">
        <f t="shared" si="15"/>
        <v>0</v>
      </c>
      <c r="T110" s="73"/>
      <c r="U110" s="66">
        <v>3.7</v>
      </c>
      <c r="V110" s="80">
        <f>P110*U110</f>
        <v>821.40000000000009</v>
      </c>
      <c r="W110" s="92">
        <v>1</v>
      </c>
      <c r="X110" s="81">
        <v>42</v>
      </c>
      <c r="Y110" s="43">
        <f>+VLOOKUP(B110,'Inventario de Profit'!$A$1:G376,6,0)</f>
        <v>42</v>
      </c>
      <c r="Z110" s="2">
        <f t="shared" si="17"/>
        <v>0</v>
      </c>
      <c r="AA110" s="84"/>
    </row>
    <row r="111" spans="2:27" ht="15.75" thickBot="1" x14ac:dyDescent="0.3">
      <c r="B111" s="2" t="s">
        <v>507</v>
      </c>
      <c r="C111" s="2" t="s">
        <v>48</v>
      </c>
      <c r="D111" s="39" t="s">
        <v>282</v>
      </c>
      <c r="E111" s="39">
        <v>48</v>
      </c>
      <c r="F111" s="2">
        <f>+VLOOKUP(B111,'Recepcion de Producto'!$B$4:$W$111,22,0)</f>
        <v>50</v>
      </c>
      <c r="G111" s="2">
        <f>VLOOKUP(B111,'Salida de Producto'!$B$4:$DH$111,111,FALSE)</f>
        <v>46</v>
      </c>
      <c r="H111" s="19">
        <f t="shared" si="18"/>
        <v>4</v>
      </c>
      <c r="I111" s="19"/>
      <c r="J111" s="19"/>
      <c r="K111" s="19"/>
      <c r="L111" s="19"/>
      <c r="M111" s="19"/>
      <c r="N111" s="49">
        <v>3</v>
      </c>
      <c r="O111" s="63"/>
      <c r="P111" s="75">
        <f t="shared" si="13"/>
        <v>3</v>
      </c>
      <c r="Q111" s="93">
        <f t="shared" si="14"/>
        <v>0</v>
      </c>
      <c r="R111" s="76">
        <f>+VLOOKUP(B111,'Inventario de Profit'!$A$2:E379,5,0)</f>
        <v>3</v>
      </c>
      <c r="S111" s="77">
        <f t="shared" si="15"/>
        <v>0</v>
      </c>
      <c r="T111" s="78"/>
      <c r="U111" s="67"/>
      <c r="V111" s="80"/>
      <c r="W111" s="92">
        <v>1</v>
      </c>
      <c r="X111" s="85">
        <v>42</v>
      </c>
      <c r="Y111" s="86">
        <f>+VLOOKUP(B111,'Inventario de Profit'!$A$1:G377,6,0)</f>
        <v>42</v>
      </c>
      <c r="Z111" s="87">
        <f t="shared" si="17"/>
        <v>0</v>
      </c>
      <c r="AA111" s="88"/>
    </row>
    <row r="112" spans="2:27" x14ac:dyDescent="0.25">
      <c r="G112" s="8"/>
      <c r="H112" s="8"/>
      <c r="M112"/>
      <c r="P112" s="8"/>
      <c r="T112" s="62"/>
      <c r="U112"/>
      <c r="V112"/>
      <c r="X112"/>
      <c r="Y112"/>
      <c r="Z112" s="14"/>
    </row>
    <row r="113" spans="7:26" x14ac:dyDescent="0.25">
      <c r="G113" s="8"/>
      <c r="H113" s="8"/>
      <c r="M113"/>
      <c r="P113" s="8"/>
      <c r="T113" s="62"/>
      <c r="U113"/>
      <c r="V113"/>
      <c r="X113"/>
      <c r="Y113"/>
      <c r="Z113"/>
    </row>
    <row r="114" spans="7:26" x14ac:dyDescent="0.25">
      <c r="T114" s="62"/>
      <c r="U114" s="8"/>
      <c r="V114" s="8"/>
      <c r="X114"/>
      <c r="Y114"/>
      <c r="Z114"/>
    </row>
    <row r="115" spans="7:26" x14ac:dyDescent="0.25">
      <c r="T115" s="62"/>
    </row>
    <row r="116" spans="7:26" x14ac:dyDescent="0.25">
      <c r="T116" s="62"/>
    </row>
    <row r="117" spans="7:26" x14ac:dyDescent="0.25">
      <c r="T117" s="14"/>
    </row>
    <row r="118" spans="7:26" x14ac:dyDescent="0.25">
      <c r="T118" s="14"/>
    </row>
  </sheetData>
  <autoFilter ref="B3:AA111" xr:uid="{B0BBBF7A-C439-4E00-8DC5-8C68BDAFD347}">
    <sortState ref="B4:Z111">
      <sortCondition ref="C3:C109"/>
    </sortState>
  </autoFilter>
  <conditionalFormatting sqref="AB27:AC44">
    <cfRule type="cellIs" dxfId="14" priority="45" operator="greaterThan">
      <formula>0</formula>
    </cfRule>
  </conditionalFormatting>
  <conditionalFormatting sqref="AB13:AC14 AB22:AC22 AB10:AC10 AB27:AC45 AB47:AC48 AB50:AC58">
    <cfRule type="cellIs" dxfId="13" priority="43" operator="lessThan">
      <formula>0</formula>
    </cfRule>
    <cfRule type="cellIs" dxfId="12" priority="44" operator="greaterThan">
      <formula>0</formula>
    </cfRule>
  </conditionalFormatting>
  <conditionalFormatting sqref="I3:K3">
    <cfRule type="containsText" dxfId="11" priority="19" operator="containsText" text="amarillo y naranja">
      <formula>NOT(ISERROR(SEARCH("amarillo y naranja",I3)))</formula>
    </cfRule>
    <cfRule type="containsText" dxfId="10" priority="20" operator="containsText" text="amarillo y naranja">
      <formula>NOT(ISERROR(SEARCH("amarillo y naranja",I3)))</formula>
    </cfRule>
    <cfRule type="containsText" dxfId="9" priority="21" operator="containsText" text="amarillo y naranja ">
      <formula>NOT(ISERROR(SEARCH("amarillo y naranja ",I3)))</formula>
    </cfRule>
    <cfRule type="containsText" dxfId="8" priority="22" operator="containsText" text="Naranja">
      <formula>NOT(ISERROR(SEARCH("Naranja",I3)))</formula>
    </cfRule>
    <cfRule type="containsText" dxfId="7" priority="23" operator="containsText" text="Naranja">
      <formula>NOT(ISERROR(SEARCH("Naranja",I3)))</formula>
    </cfRule>
    <cfRule type="containsText" dxfId="6" priority="24" operator="containsText" text="amarillo ">
      <formula>NOT(ISERROR(SEARCH("amarillo ",I3)))</formula>
    </cfRule>
  </conditionalFormatting>
  <conditionalFormatting sqref="AB49:AC49">
    <cfRule type="cellIs" dxfId="5" priority="9" operator="lessThan">
      <formula>0</formula>
    </cfRule>
    <cfRule type="cellIs" dxfId="4" priority="10" operator="greaterThan">
      <formula>0</formula>
    </cfRule>
  </conditionalFormatting>
  <conditionalFormatting sqref="S4:T9 S10:S1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Z4:Z1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scale="52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388C-9679-4142-8975-AF401646EF98}">
  <dimension ref="A1:J58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RowHeight="12.75" x14ac:dyDescent="0.2"/>
  <cols>
    <col min="1" max="1" width="11.85546875" style="45" bestFit="1" customWidth="1"/>
    <col min="2" max="2" width="12.85546875" style="45" bestFit="1" customWidth="1"/>
    <col min="3" max="3" width="18" style="45" bestFit="1" customWidth="1"/>
    <col min="4" max="4" width="26.140625" style="45" bestFit="1" customWidth="1"/>
    <col min="5" max="5" width="17.85546875" style="45" bestFit="1" customWidth="1"/>
    <col min="6" max="6" width="24.85546875" style="45" bestFit="1" customWidth="1"/>
    <col min="7" max="7" width="17.85546875" style="45" bestFit="1" customWidth="1"/>
    <col min="8" max="8" width="17.28515625" style="45" bestFit="1" customWidth="1"/>
    <col min="9" max="9" width="22.28515625" style="45" bestFit="1" customWidth="1"/>
    <col min="10" max="10" width="23.85546875" style="45" bestFit="1" customWidth="1"/>
    <col min="11" max="16384" width="11.42578125" style="45"/>
  </cols>
  <sheetData>
    <row r="1" spans="1:10" ht="15.75" x14ac:dyDescent="0.2">
      <c r="A1" s="44" t="s">
        <v>218</v>
      </c>
      <c r="B1" s="44" t="s">
        <v>219</v>
      </c>
      <c r="C1" s="44" t="s">
        <v>331</v>
      </c>
      <c r="D1" s="44" t="s">
        <v>332</v>
      </c>
      <c r="E1" s="44" t="s">
        <v>333</v>
      </c>
      <c r="F1" s="44" t="s">
        <v>334</v>
      </c>
      <c r="G1" s="44" t="s">
        <v>335</v>
      </c>
      <c r="H1" s="44" t="s">
        <v>220</v>
      </c>
      <c r="I1" s="44" t="s">
        <v>221</v>
      </c>
      <c r="J1" s="44" t="s">
        <v>222</v>
      </c>
    </row>
    <row r="2" spans="1:10" x14ac:dyDescent="0.2">
      <c r="A2" s="45" t="s">
        <v>623</v>
      </c>
      <c r="B2" s="45" t="s">
        <v>624</v>
      </c>
      <c r="C2" s="45" t="s">
        <v>349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</row>
    <row r="3" spans="1:10" x14ac:dyDescent="0.2">
      <c r="A3" s="45" t="s">
        <v>625</v>
      </c>
      <c r="B3" s="45" t="s">
        <v>626</v>
      </c>
      <c r="C3" s="45" t="s">
        <v>349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</row>
    <row r="4" spans="1:10" x14ac:dyDescent="0.2">
      <c r="A4" s="45" t="s">
        <v>627</v>
      </c>
      <c r="B4" s="45" t="s">
        <v>628</v>
      </c>
      <c r="C4" s="45" t="s">
        <v>349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</row>
    <row r="5" spans="1:10" x14ac:dyDescent="0.2">
      <c r="A5" s="45" t="s">
        <v>629</v>
      </c>
      <c r="B5" s="45" t="s">
        <v>630</v>
      </c>
      <c r="C5" s="45" t="s">
        <v>349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</row>
    <row r="6" spans="1:10" x14ac:dyDescent="0.2">
      <c r="A6" s="45" t="s">
        <v>631</v>
      </c>
      <c r="B6" s="45" t="s">
        <v>632</v>
      </c>
      <c r="C6" s="45" t="s">
        <v>349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</row>
    <row r="7" spans="1:10" x14ac:dyDescent="0.2">
      <c r="A7" s="45" t="s">
        <v>633</v>
      </c>
      <c r="B7" s="45" t="s">
        <v>634</v>
      </c>
      <c r="C7" s="45" t="s">
        <v>349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</row>
    <row r="8" spans="1:10" x14ac:dyDescent="0.2">
      <c r="A8" s="45" t="s">
        <v>635</v>
      </c>
      <c r="B8" s="45" t="s">
        <v>636</v>
      </c>
      <c r="C8" s="45" t="s">
        <v>349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</row>
    <row r="9" spans="1:10" x14ac:dyDescent="0.2">
      <c r="A9" s="45" t="s">
        <v>637</v>
      </c>
      <c r="B9" s="45" t="s">
        <v>638</v>
      </c>
      <c r="C9" s="45" t="s">
        <v>349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</row>
    <row r="10" spans="1:10" x14ac:dyDescent="0.2">
      <c r="A10" s="45" t="s">
        <v>639</v>
      </c>
      <c r="B10" s="45" t="s">
        <v>640</v>
      </c>
      <c r="C10" s="45" t="s">
        <v>349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</row>
    <row r="11" spans="1:10" x14ac:dyDescent="0.2">
      <c r="A11" s="45" t="s">
        <v>641</v>
      </c>
      <c r="B11" s="45" t="s">
        <v>642</v>
      </c>
      <c r="C11" s="45" t="s">
        <v>349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</row>
    <row r="12" spans="1:10" x14ac:dyDescent="0.2">
      <c r="A12" s="45" t="s">
        <v>643</v>
      </c>
      <c r="B12" s="45" t="s">
        <v>644</v>
      </c>
      <c r="C12" s="45" t="s">
        <v>349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</row>
    <row r="13" spans="1:10" x14ac:dyDescent="0.2">
      <c r="A13" s="45" t="s">
        <v>645</v>
      </c>
      <c r="B13" s="45" t="s">
        <v>644</v>
      </c>
      <c r="C13" s="45" t="s">
        <v>349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</row>
    <row r="14" spans="1:10" x14ac:dyDescent="0.2">
      <c r="A14" s="45" t="s">
        <v>646</v>
      </c>
      <c r="B14" s="45" t="s">
        <v>647</v>
      </c>
      <c r="C14" s="45" t="s">
        <v>349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</row>
    <row r="15" spans="1:10" x14ac:dyDescent="0.2">
      <c r="A15" s="45" t="s">
        <v>648</v>
      </c>
      <c r="B15" s="45" t="s">
        <v>649</v>
      </c>
      <c r="C15" s="45" t="s">
        <v>349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</row>
    <row r="16" spans="1:10" x14ac:dyDescent="0.2">
      <c r="A16" s="45" t="s">
        <v>650</v>
      </c>
      <c r="B16" s="45" t="s">
        <v>651</v>
      </c>
      <c r="C16" s="45" t="s">
        <v>349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</row>
    <row r="17" spans="1:10" x14ac:dyDescent="0.2">
      <c r="A17" s="45" t="s">
        <v>652</v>
      </c>
      <c r="B17" s="45" t="s">
        <v>653</v>
      </c>
      <c r="C17" s="45" t="s">
        <v>349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</row>
    <row r="18" spans="1:10" x14ac:dyDescent="0.2">
      <c r="A18" s="45" t="s">
        <v>654</v>
      </c>
      <c r="B18" s="45" t="s">
        <v>655</v>
      </c>
      <c r="C18" s="45" t="s">
        <v>349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</row>
    <row r="19" spans="1:10" x14ac:dyDescent="0.2">
      <c r="A19" s="45" t="s">
        <v>656</v>
      </c>
      <c r="B19" s="45" t="s">
        <v>657</v>
      </c>
      <c r="C19" s="45" t="s">
        <v>349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</row>
    <row r="20" spans="1:10" x14ac:dyDescent="0.2">
      <c r="A20" s="45" t="s">
        <v>658</v>
      </c>
      <c r="B20" s="45" t="s">
        <v>659</v>
      </c>
      <c r="C20" s="45" t="s">
        <v>349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</row>
    <row r="21" spans="1:10" x14ac:dyDescent="0.2">
      <c r="A21" s="45" t="s">
        <v>508</v>
      </c>
      <c r="B21" s="45" t="s">
        <v>111</v>
      </c>
      <c r="C21" s="45" t="s">
        <v>336</v>
      </c>
      <c r="D21" s="50">
        <v>5908</v>
      </c>
      <c r="E21" s="50">
        <v>5908</v>
      </c>
      <c r="F21" s="50">
        <v>3</v>
      </c>
      <c r="G21" s="50">
        <v>3</v>
      </c>
      <c r="H21" s="50">
        <v>5911</v>
      </c>
      <c r="I21" s="50">
        <v>5911</v>
      </c>
      <c r="J21" s="50">
        <v>1</v>
      </c>
    </row>
    <row r="22" spans="1:10" x14ac:dyDescent="0.2">
      <c r="A22" s="45" t="s">
        <v>509</v>
      </c>
      <c r="B22" s="45" t="s">
        <v>112</v>
      </c>
      <c r="C22" s="45" t="s">
        <v>336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1</v>
      </c>
    </row>
    <row r="23" spans="1:10" x14ac:dyDescent="0.2">
      <c r="A23" s="45" t="s">
        <v>510</v>
      </c>
      <c r="B23" s="45" t="s">
        <v>113</v>
      </c>
      <c r="C23" s="45" t="s">
        <v>336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1</v>
      </c>
    </row>
    <row r="24" spans="1:10" x14ac:dyDescent="0.2">
      <c r="A24" s="45" t="s">
        <v>511</v>
      </c>
      <c r="B24" s="45" t="s">
        <v>114</v>
      </c>
      <c r="C24" s="45" t="s">
        <v>337</v>
      </c>
      <c r="D24" s="50">
        <v>115</v>
      </c>
      <c r="E24" s="50">
        <v>115</v>
      </c>
      <c r="F24" s="50">
        <v>85</v>
      </c>
      <c r="G24" s="50">
        <v>85</v>
      </c>
      <c r="H24" s="50">
        <v>200</v>
      </c>
      <c r="I24" s="50">
        <v>200</v>
      </c>
      <c r="J24" s="50">
        <v>0</v>
      </c>
    </row>
    <row r="25" spans="1:10" x14ac:dyDescent="0.2">
      <c r="A25" s="45" t="s">
        <v>512</v>
      </c>
      <c r="B25" s="45" t="s">
        <v>115</v>
      </c>
      <c r="C25" s="45" t="s">
        <v>336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1</v>
      </c>
    </row>
    <row r="26" spans="1:10" x14ac:dyDescent="0.2">
      <c r="A26" s="45" t="s">
        <v>513</v>
      </c>
      <c r="B26" s="45" t="s">
        <v>115</v>
      </c>
      <c r="C26" s="45" t="s">
        <v>336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1</v>
      </c>
    </row>
    <row r="27" spans="1:10" x14ac:dyDescent="0.2">
      <c r="A27" s="45" t="s">
        <v>514</v>
      </c>
      <c r="B27" s="45" t="s">
        <v>116</v>
      </c>
      <c r="C27" s="45" t="s">
        <v>338</v>
      </c>
      <c r="D27" s="50">
        <v>350</v>
      </c>
      <c r="E27" s="50">
        <v>350</v>
      </c>
      <c r="F27" s="50">
        <v>2</v>
      </c>
      <c r="G27" s="50">
        <v>2</v>
      </c>
      <c r="H27" s="50">
        <v>352</v>
      </c>
      <c r="I27" s="50">
        <v>352</v>
      </c>
      <c r="J27" s="50">
        <v>0</v>
      </c>
    </row>
    <row r="28" spans="1:10" x14ac:dyDescent="0.2">
      <c r="A28" s="45" t="s">
        <v>515</v>
      </c>
      <c r="B28" s="45" t="s">
        <v>117</v>
      </c>
      <c r="C28" s="45" t="s">
        <v>337</v>
      </c>
      <c r="D28" s="50">
        <v>844</v>
      </c>
      <c r="E28" s="50">
        <v>844</v>
      </c>
      <c r="F28" s="50">
        <v>87</v>
      </c>
      <c r="G28" s="50">
        <v>87</v>
      </c>
      <c r="H28" s="50">
        <v>931</v>
      </c>
      <c r="I28" s="50">
        <v>931</v>
      </c>
      <c r="J28" s="50">
        <v>0</v>
      </c>
    </row>
    <row r="29" spans="1:10" x14ac:dyDescent="0.2">
      <c r="A29" s="45" t="s">
        <v>516</v>
      </c>
      <c r="B29" s="45" t="s">
        <v>118</v>
      </c>
      <c r="C29" s="45" t="s">
        <v>338</v>
      </c>
      <c r="D29" s="50">
        <v>6501</v>
      </c>
      <c r="E29" s="50">
        <v>6501</v>
      </c>
      <c r="F29" s="50">
        <v>59</v>
      </c>
      <c r="G29" s="50">
        <v>59</v>
      </c>
      <c r="H29" s="50">
        <v>6560</v>
      </c>
      <c r="I29" s="50">
        <v>6560</v>
      </c>
      <c r="J29" s="50">
        <v>0</v>
      </c>
    </row>
    <row r="30" spans="1:10" x14ac:dyDescent="0.2">
      <c r="A30" s="45" t="s">
        <v>517</v>
      </c>
      <c r="B30" s="45" t="s">
        <v>119</v>
      </c>
      <c r="C30" s="45" t="s">
        <v>337</v>
      </c>
      <c r="D30" s="50">
        <v>320</v>
      </c>
      <c r="E30" s="50">
        <v>320</v>
      </c>
      <c r="F30" s="50">
        <v>0</v>
      </c>
      <c r="G30" s="50">
        <v>0</v>
      </c>
      <c r="H30" s="50">
        <v>320</v>
      </c>
      <c r="I30" s="50">
        <v>320</v>
      </c>
      <c r="J30" s="50">
        <v>0</v>
      </c>
    </row>
    <row r="31" spans="1:10" x14ac:dyDescent="0.2">
      <c r="A31" s="45" t="s">
        <v>518</v>
      </c>
      <c r="B31" s="45" t="s">
        <v>120</v>
      </c>
      <c r="C31" s="45" t="s">
        <v>338</v>
      </c>
      <c r="D31" s="50">
        <v>4054</v>
      </c>
      <c r="E31" s="50">
        <v>4054</v>
      </c>
      <c r="F31" s="50">
        <v>102</v>
      </c>
      <c r="G31" s="50">
        <v>102</v>
      </c>
      <c r="H31" s="50">
        <v>4156</v>
      </c>
      <c r="I31" s="50">
        <v>4156</v>
      </c>
      <c r="J31" s="50">
        <v>0</v>
      </c>
    </row>
    <row r="32" spans="1:10" x14ac:dyDescent="0.2">
      <c r="A32" s="45" t="s">
        <v>519</v>
      </c>
      <c r="B32" s="45" t="s">
        <v>121</v>
      </c>
      <c r="C32" s="45" t="s">
        <v>338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</row>
    <row r="33" spans="1:10" x14ac:dyDescent="0.2">
      <c r="A33" s="45" t="s">
        <v>520</v>
      </c>
      <c r="B33" s="45" t="s">
        <v>122</v>
      </c>
      <c r="C33" s="45" t="s">
        <v>336</v>
      </c>
      <c r="D33" s="50">
        <v>832</v>
      </c>
      <c r="E33" s="50">
        <v>832</v>
      </c>
      <c r="F33" s="50">
        <v>0</v>
      </c>
      <c r="G33" s="50">
        <v>0</v>
      </c>
      <c r="H33" s="50">
        <v>832</v>
      </c>
      <c r="I33" s="50">
        <v>832</v>
      </c>
      <c r="J33" s="50">
        <v>1</v>
      </c>
    </row>
    <row r="34" spans="1:10" x14ac:dyDescent="0.2">
      <c r="A34" s="45" t="s">
        <v>521</v>
      </c>
      <c r="B34" s="45" t="s">
        <v>123</v>
      </c>
      <c r="C34" s="45" t="s">
        <v>336</v>
      </c>
      <c r="D34" s="50">
        <v>18633</v>
      </c>
      <c r="E34" s="50">
        <v>18633</v>
      </c>
      <c r="F34" s="50">
        <v>0</v>
      </c>
      <c r="G34" s="50">
        <v>0</v>
      </c>
      <c r="H34" s="50">
        <v>18633</v>
      </c>
      <c r="I34" s="50">
        <v>18633</v>
      </c>
      <c r="J34" s="50">
        <v>1</v>
      </c>
    </row>
    <row r="35" spans="1:10" x14ac:dyDescent="0.2">
      <c r="A35" s="45" t="s">
        <v>522</v>
      </c>
      <c r="B35" s="45" t="s">
        <v>124</v>
      </c>
      <c r="C35" s="45" t="s">
        <v>337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</row>
    <row r="36" spans="1:10" x14ac:dyDescent="0.2">
      <c r="A36" s="45" t="s">
        <v>523</v>
      </c>
      <c r="B36" s="45" t="s">
        <v>125</v>
      </c>
      <c r="C36" s="45" t="s">
        <v>338</v>
      </c>
      <c r="D36" s="50">
        <v>0</v>
      </c>
      <c r="E36" s="50">
        <v>0</v>
      </c>
      <c r="F36" s="50">
        <v>1</v>
      </c>
      <c r="G36" s="50">
        <v>1</v>
      </c>
      <c r="H36" s="50">
        <v>1</v>
      </c>
      <c r="I36" s="50">
        <v>1</v>
      </c>
      <c r="J36" s="50">
        <v>0</v>
      </c>
    </row>
    <row r="37" spans="1:10" x14ac:dyDescent="0.2">
      <c r="A37" s="45" t="s">
        <v>524</v>
      </c>
      <c r="B37" s="45" t="s">
        <v>126</v>
      </c>
      <c r="C37" s="45" t="s">
        <v>336</v>
      </c>
      <c r="D37" s="50">
        <v>2</v>
      </c>
      <c r="E37" s="50">
        <v>2</v>
      </c>
      <c r="F37" s="50">
        <v>0</v>
      </c>
      <c r="G37" s="50">
        <v>0</v>
      </c>
      <c r="H37" s="50">
        <v>2</v>
      </c>
      <c r="I37" s="50">
        <v>2</v>
      </c>
      <c r="J37" s="50">
        <v>1</v>
      </c>
    </row>
    <row r="38" spans="1:10" x14ac:dyDescent="0.2">
      <c r="A38" s="45" t="s">
        <v>525</v>
      </c>
      <c r="B38" s="45" t="s">
        <v>127</v>
      </c>
      <c r="C38" s="45" t="s">
        <v>336</v>
      </c>
      <c r="D38" s="50">
        <v>6</v>
      </c>
      <c r="E38" s="50">
        <v>6</v>
      </c>
      <c r="F38" s="50">
        <v>1</v>
      </c>
      <c r="G38" s="50">
        <v>1</v>
      </c>
      <c r="H38" s="50">
        <v>7</v>
      </c>
      <c r="I38" s="50">
        <v>7</v>
      </c>
      <c r="J38" s="50">
        <v>1</v>
      </c>
    </row>
    <row r="39" spans="1:10" x14ac:dyDescent="0.2">
      <c r="A39" s="45" t="s">
        <v>526</v>
      </c>
      <c r="B39" s="45" t="s">
        <v>128</v>
      </c>
      <c r="C39" s="45" t="s">
        <v>338</v>
      </c>
      <c r="D39" s="50">
        <v>99</v>
      </c>
      <c r="E39" s="50">
        <v>99</v>
      </c>
      <c r="F39" s="50">
        <v>4</v>
      </c>
      <c r="G39" s="50">
        <v>4</v>
      </c>
      <c r="H39" s="50">
        <v>103</v>
      </c>
      <c r="I39" s="50">
        <v>103</v>
      </c>
      <c r="J39" s="50">
        <v>0</v>
      </c>
    </row>
    <row r="40" spans="1:10" x14ac:dyDescent="0.2">
      <c r="A40" s="45" t="s">
        <v>527</v>
      </c>
      <c r="B40" s="45" t="s">
        <v>129</v>
      </c>
      <c r="C40" s="45" t="s">
        <v>338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</row>
    <row r="41" spans="1:10" x14ac:dyDescent="0.2">
      <c r="A41" s="45" t="s">
        <v>528</v>
      </c>
      <c r="B41" s="45" t="s">
        <v>130</v>
      </c>
      <c r="C41" s="45" t="s">
        <v>338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</row>
    <row r="42" spans="1:10" x14ac:dyDescent="0.2">
      <c r="A42" s="45" t="s">
        <v>529</v>
      </c>
      <c r="B42" s="45" t="s">
        <v>131</v>
      </c>
      <c r="C42" s="45" t="s">
        <v>337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</row>
    <row r="43" spans="1:10" x14ac:dyDescent="0.2">
      <c r="A43" s="45" t="s">
        <v>530</v>
      </c>
      <c r="B43" s="45" t="s">
        <v>132</v>
      </c>
      <c r="C43" s="45" t="s">
        <v>337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</row>
    <row r="44" spans="1:10" x14ac:dyDescent="0.2">
      <c r="A44" s="45" t="s">
        <v>531</v>
      </c>
      <c r="B44" s="45" t="s">
        <v>133</v>
      </c>
      <c r="C44" s="45" t="s">
        <v>338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</row>
    <row r="45" spans="1:10" x14ac:dyDescent="0.2">
      <c r="A45" s="45" t="s">
        <v>532</v>
      </c>
      <c r="B45" s="45" t="s">
        <v>134</v>
      </c>
      <c r="C45" s="45" t="s">
        <v>339</v>
      </c>
      <c r="D45" s="50">
        <v>89391.51</v>
      </c>
      <c r="E45" s="50">
        <v>89391.51</v>
      </c>
      <c r="F45" s="50">
        <v>0</v>
      </c>
      <c r="G45" s="50">
        <v>0</v>
      </c>
      <c r="H45" s="50">
        <v>89391.51</v>
      </c>
      <c r="I45" s="50">
        <v>89391.51</v>
      </c>
      <c r="J45" s="50">
        <v>0</v>
      </c>
    </row>
    <row r="46" spans="1:10" x14ac:dyDescent="0.2">
      <c r="A46" s="45" t="s">
        <v>533</v>
      </c>
      <c r="B46" s="45" t="s">
        <v>135</v>
      </c>
      <c r="C46" s="45" t="s">
        <v>337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</row>
    <row r="47" spans="1:10" x14ac:dyDescent="0.2">
      <c r="A47" s="45" t="s">
        <v>534</v>
      </c>
      <c r="B47" s="45" t="s">
        <v>391</v>
      </c>
      <c r="C47" s="45" t="s">
        <v>337</v>
      </c>
      <c r="D47" s="50">
        <v>92</v>
      </c>
      <c r="E47" s="50">
        <v>92</v>
      </c>
      <c r="F47" s="50">
        <v>2</v>
      </c>
      <c r="G47" s="50">
        <v>2</v>
      </c>
      <c r="H47" s="50">
        <v>94</v>
      </c>
      <c r="I47" s="50">
        <v>94</v>
      </c>
      <c r="J47" s="50">
        <v>0</v>
      </c>
    </row>
    <row r="48" spans="1:10" x14ac:dyDescent="0.2">
      <c r="A48" s="45" t="s">
        <v>535</v>
      </c>
      <c r="B48" s="45" t="s">
        <v>136</v>
      </c>
      <c r="C48" s="45" t="s">
        <v>337</v>
      </c>
      <c r="D48" s="50">
        <v>0</v>
      </c>
      <c r="E48" s="50">
        <v>0</v>
      </c>
      <c r="F48" s="50">
        <v>1</v>
      </c>
      <c r="G48" s="50">
        <v>1</v>
      </c>
      <c r="H48" s="50">
        <v>1</v>
      </c>
      <c r="I48" s="50">
        <v>1</v>
      </c>
      <c r="J48" s="50">
        <v>0</v>
      </c>
    </row>
    <row r="49" spans="1:10" x14ac:dyDescent="0.2">
      <c r="A49" s="45" t="s">
        <v>536</v>
      </c>
      <c r="B49" s="45" t="s">
        <v>137</v>
      </c>
      <c r="C49" s="45" t="s">
        <v>338</v>
      </c>
      <c r="D49" s="50">
        <v>1451</v>
      </c>
      <c r="E49" s="50">
        <v>1451</v>
      </c>
      <c r="F49" s="50">
        <v>56</v>
      </c>
      <c r="G49" s="50">
        <v>56</v>
      </c>
      <c r="H49" s="50">
        <v>1507</v>
      </c>
      <c r="I49" s="50">
        <v>1507</v>
      </c>
      <c r="J49" s="50">
        <v>0</v>
      </c>
    </row>
    <row r="50" spans="1:10" x14ac:dyDescent="0.2">
      <c r="A50" s="45" t="s">
        <v>537</v>
      </c>
      <c r="B50" s="45" t="s">
        <v>138</v>
      </c>
      <c r="C50" s="45" t="s">
        <v>338</v>
      </c>
      <c r="D50" s="50">
        <v>358</v>
      </c>
      <c r="E50" s="50">
        <v>358</v>
      </c>
      <c r="F50" s="50">
        <v>114</v>
      </c>
      <c r="G50" s="50">
        <v>114</v>
      </c>
      <c r="H50" s="50">
        <v>472</v>
      </c>
      <c r="I50" s="50">
        <v>472</v>
      </c>
      <c r="J50" s="50">
        <v>0</v>
      </c>
    </row>
    <row r="51" spans="1:10" x14ac:dyDescent="0.2">
      <c r="A51" s="45" t="s">
        <v>538</v>
      </c>
      <c r="B51" s="45" t="s">
        <v>139</v>
      </c>
      <c r="C51" s="45" t="s">
        <v>337</v>
      </c>
      <c r="D51" s="50">
        <v>95</v>
      </c>
      <c r="E51" s="50">
        <v>95</v>
      </c>
      <c r="F51" s="50">
        <v>0</v>
      </c>
      <c r="G51" s="50">
        <v>0</v>
      </c>
      <c r="H51" s="50">
        <v>95</v>
      </c>
      <c r="I51" s="50">
        <v>95</v>
      </c>
      <c r="J51" s="50">
        <v>0</v>
      </c>
    </row>
    <row r="52" spans="1:10" x14ac:dyDescent="0.2">
      <c r="A52" s="45" t="s">
        <v>539</v>
      </c>
      <c r="B52" s="45" t="s">
        <v>140</v>
      </c>
      <c r="C52" s="45" t="s">
        <v>338</v>
      </c>
      <c r="D52" s="50">
        <v>395</v>
      </c>
      <c r="E52" s="50">
        <v>395</v>
      </c>
      <c r="F52" s="50">
        <v>0</v>
      </c>
      <c r="G52" s="50">
        <v>0</v>
      </c>
      <c r="H52" s="50">
        <v>395</v>
      </c>
      <c r="I52" s="50">
        <v>395</v>
      </c>
      <c r="J52" s="50">
        <v>0</v>
      </c>
    </row>
    <row r="53" spans="1:10" x14ac:dyDescent="0.2">
      <c r="A53" s="45" t="s">
        <v>540</v>
      </c>
      <c r="B53" s="45" t="s">
        <v>340</v>
      </c>
      <c r="C53" s="45" t="s">
        <v>338</v>
      </c>
      <c r="D53" s="50">
        <v>25</v>
      </c>
      <c r="E53" s="50">
        <v>25</v>
      </c>
      <c r="F53" s="50">
        <v>0</v>
      </c>
      <c r="G53" s="50">
        <v>0</v>
      </c>
      <c r="H53" s="50">
        <v>25</v>
      </c>
      <c r="I53" s="50">
        <v>25</v>
      </c>
      <c r="J53" s="50">
        <v>0</v>
      </c>
    </row>
    <row r="54" spans="1:10" x14ac:dyDescent="0.2">
      <c r="A54" s="45" t="s">
        <v>541</v>
      </c>
      <c r="B54" s="45" t="s">
        <v>141</v>
      </c>
      <c r="C54" s="45" t="s">
        <v>338</v>
      </c>
      <c r="D54" s="50">
        <v>6231</v>
      </c>
      <c r="E54" s="50">
        <v>6231</v>
      </c>
      <c r="F54" s="50">
        <v>1</v>
      </c>
      <c r="G54" s="50">
        <v>1</v>
      </c>
      <c r="H54" s="50">
        <v>6232</v>
      </c>
      <c r="I54" s="50">
        <v>6232</v>
      </c>
      <c r="J54" s="50">
        <v>0</v>
      </c>
    </row>
    <row r="55" spans="1:10" x14ac:dyDescent="0.2">
      <c r="A55" s="45" t="s">
        <v>542</v>
      </c>
      <c r="B55" s="45" t="s">
        <v>142</v>
      </c>
      <c r="C55" s="45" t="s">
        <v>337</v>
      </c>
      <c r="D55" s="50">
        <v>304</v>
      </c>
      <c r="E55" s="50">
        <v>304</v>
      </c>
      <c r="F55" s="50">
        <v>45</v>
      </c>
      <c r="G55" s="50">
        <v>45</v>
      </c>
      <c r="H55" s="50">
        <v>349</v>
      </c>
      <c r="I55" s="50">
        <v>349</v>
      </c>
      <c r="J55" s="50">
        <v>0</v>
      </c>
    </row>
    <row r="56" spans="1:10" x14ac:dyDescent="0.2">
      <c r="A56" s="45" t="s">
        <v>543</v>
      </c>
      <c r="B56" s="45" t="s">
        <v>143</v>
      </c>
      <c r="C56" s="45" t="s">
        <v>338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</row>
    <row r="57" spans="1:10" x14ac:dyDescent="0.2">
      <c r="A57" s="45" t="s">
        <v>544</v>
      </c>
      <c r="B57" s="45" t="s">
        <v>144</v>
      </c>
      <c r="C57" s="45" t="s">
        <v>337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</row>
    <row r="58" spans="1:10" x14ac:dyDescent="0.2">
      <c r="A58" s="45" t="s">
        <v>545</v>
      </c>
      <c r="B58" s="45" t="s">
        <v>145</v>
      </c>
      <c r="C58" s="45" t="s">
        <v>337</v>
      </c>
      <c r="D58" s="50">
        <v>21</v>
      </c>
      <c r="E58" s="50">
        <v>21</v>
      </c>
      <c r="F58" s="50">
        <v>1</v>
      </c>
      <c r="G58" s="50">
        <v>1</v>
      </c>
      <c r="H58" s="50">
        <v>22</v>
      </c>
      <c r="I58" s="50">
        <v>22</v>
      </c>
      <c r="J58" s="50">
        <v>0</v>
      </c>
    </row>
    <row r="59" spans="1:10" x14ac:dyDescent="0.2">
      <c r="A59" s="45" t="s">
        <v>546</v>
      </c>
      <c r="B59" s="45" t="s">
        <v>146</v>
      </c>
      <c r="C59" s="45" t="s">
        <v>338</v>
      </c>
      <c r="D59" s="50">
        <v>0</v>
      </c>
      <c r="E59" s="50">
        <v>0</v>
      </c>
      <c r="F59" s="50">
        <v>1</v>
      </c>
      <c r="G59" s="50">
        <v>1</v>
      </c>
      <c r="H59" s="50">
        <v>1</v>
      </c>
      <c r="I59" s="50">
        <v>1</v>
      </c>
      <c r="J59" s="50">
        <v>0</v>
      </c>
    </row>
    <row r="60" spans="1:10" x14ac:dyDescent="0.2">
      <c r="A60" s="45" t="s">
        <v>547</v>
      </c>
      <c r="B60" s="45" t="s">
        <v>147</v>
      </c>
      <c r="C60" s="45" t="s">
        <v>337</v>
      </c>
      <c r="D60" s="50">
        <v>20</v>
      </c>
      <c r="E60" s="50">
        <v>20</v>
      </c>
      <c r="F60" s="50">
        <v>4</v>
      </c>
      <c r="G60" s="50">
        <v>4</v>
      </c>
      <c r="H60" s="50">
        <v>24</v>
      </c>
      <c r="I60" s="50">
        <v>24</v>
      </c>
      <c r="J60" s="50">
        <v>0</v>
      </c>
    </row>
    <row r="61" spans="1:10" x14ac:dyDescent="0.2">
      <c r="A61" s="45" t="s">
        <v>548</v>
      </c>
      <c r="B61" s="45" t="s">
        <v>341</v>
      </c>
      <c r="C61" s="45" t="s">
        <v>337</v>
      </c>
      <c r="D61" s="50">
        <v>58</v>
      </c>
      <c r="E61" s="50">
        <v>58</v>
      </c>
      <c r="F61" s="50">
        <v>1</v>
      </c>
      <c r="G61" s="50">
        <v>1</v>
      </c>
      <c r="H61" s="50">
        <v>59</v>
      </c>
      <c r="I61" s="50">
        <v>59</v>
      </c>
      <c r="J61" s="50">
        <v>0</v>
      </c>
    </row>
    <row r="62" spans="1:10" x14ac:dyDescent="0.2">
      <c r="A62" s="45" t="s">
        <v>549</v>
      </c>
      <c r="B62" s="45" t="s">
        <v>148</v>
      </c>
      <c r="C62" s="45" t="s">
        <v>337</v>
      </c>
      <c r="D62" s="50">
        <v>28</v>
      </c>
      <c r="E62" s="50">
        <v>28</v>
      </c>
      <c r="F62" s="50">
        <v>0</v>
      </c>
      <c r="G62" s="50">
        <v>0</v>
      </c>
      <c r="H62" s="50">
        <v>28</v>
      </c>
      <c r="I62" s="50">
        <v>28</v>
      </c>
      <c r="J62" s="50">
        <v>0</v>
      </c>
    </row>
    <row r="63" spans="1:10" x14ac:dyDescent="0.2">
      <c r="A63" s="45" t="s">
        <v>550</v>
      </c>
      <c r="B63" s="45" t="s">
        <v>342</v>
      </c>
      <c r="C63" s="45" t="s">
        <v>337</v>
      </c>
      <c r="D63" s="50">
        <v>0</v>
      </c>
      <c r="E63" s="50"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</row>
    <row r="64" spans="1:10" x14ac:dyDescent="0.2">
      <c r="A64" s="45" t="s">
        <v>551</v>
      </c>
      <c r="B64" s="45" t="s">
        <v>149</v>
      </c>
      <c r="C64" s="45" t="s">
        <v>338</v>
      </c>
      <c r="D64" s="50">
        <v>426</v>
      </c>
      <c r="E64" s="50">
        <v>426</v>
      </c>
      <c r="F64" s="50">
        <v>9</v>
      </c>
      <c r="G64" s="50">
        <v>9</v>
      </c>
      <c r="H64" s="50">
        <v>435</v>
      </c>
      <c r="I64" s="50">
        <v>435</v>
      </c>
      <c r="J64" s="50">
        <v>0</v>
      </c>
    </row>
    <row r="65" spans="1:10" x14ac:dyDescent="0.2">
      <c r="A65" s="45" t="s">
        <v>552</v>
      </c>
      <c r="B65" s="45" t="s">
        <v>150</v>
      </c>
      <c r="C65" s="45" t="s">
        <v>336</v>
      </c>
      <c r="D65" s="50">
        <v>0</v>
      </c>
      <c r="E65" s="50">
        <v>0</v>
      </c>
      <c r="F65" s="50">
        <v>72</v>
      </c>
      <c r="G65" s="50">
        <v>72</v>
      </c>
      <c r="H65" s="50">
        <v>72</v>
      </c>
      <c r="I65" s="50">
        <v>72</v>
      </c>
      <c r="J65" s="50">
        <v>1</v>
      </c>
    </row>
    <row r="66" spans="1:10" x14ac:dyDescent="0.2">
      <c r="A66" s="45" t="s">
        <v>553</v>
      </c>
      <c r="B66" s="45" t="s">
        <v>343</v>
      </c>
      <c r="C66" s="45" t="s">
        <v>337</v>
      </c>
      <c r="D66" s="50">
        <v>2</v>
      </c>
      <c r="E66" s="50">
        <v>2</v>
      </c>
      <c r="F66" s="50">
        <v>0</v>
      </c>
      <c r="G66" s="50">
        <v>0</v>
      </c>
      <c r="H66" s="50">
        <v>2</v>
      </c>
      <c r="I66" s="50">
        <v>2</v>
      </c>
      <c r="J66" s="50">
        <v>0</v>
      </c>
    </row>
    <row r="67" spans="1:10" x14ac:dyDescent="0.2">
      <c r="A67" s="45" t="s">
        <v>554</v>
      </c>
      <c r="B67" s="45" t="s">
        <v>151</v>
      </c>
      <c r="C67" s="45" t="s">
        <v>337</v>
      </c>
      <c r="D67" s="50">
        <v>0</v>
      </c>
      <c r="E67" s="50">
        <v>0</v>
      </c>
      <c r="F67" s="50">
        <v>8</v>
      </c>
      <c r="G67" s="50">
        <v>8</v>
      </c>
      <c r="H67" s="50">
        <v>8</v>
      </c>
      <c r="I67" s="50">
        <v>8</v>
      </c>
      <c r="J67" s="50">
        <v>0</v>
      </c>
    </row>
    <row r="68" spans="1:10" x14ac:dyDescent="0.2">
      <c r="A68" s="45" t="s">
        <v>555</v>
      </c>
      <c r="B68" s="45" t="s">
        <v>152</v>
      </c>
      <c r="C68" s="45" t="s">
        <v>337</v>
      </c>
      <c r="D68" s="50">
        <v>40</v>
      </c>
      <c r="E68" s="50">
        <v>40</v>
      </c>
      <c r="F68" s="50">
        <v>0</v>
      </c>
      <c r="G68" s="50">
        <v>0</v>
      </c>
      <c r="H68" s="50">
        <v>40</v>
      </c>
      <c r="I68" s="50">
        <v>40</v>
      </c>
      <c r="J68" s="50">
        <v>0</v>
      </c>
    </row>
    <row r="69" spans="1:10" x14ac:dyDescent="0.2">
      <c r="A69" s="45" t="s">
        <v>556</v>
      </c>
      <c r="B69" s="45" t="s">
        <v>153</v>
      </c>
      <c r="C69" s="45" t="s">
        <v>337</v>
      </c>
      <c r="D69" s="50">
        <v>25</v>
      </c>
      <c r="E69" s="50">
        <v>25</v>
      </c>
      <c r="F69" s="50">
        <v>1</v>
      </c>
      <c r="G69" s="50">
        <v>1</v>
      </c>
      <c r="H69" s="50">
        <v>26</v>
      </c>
      <c r="I69" s="50">
        <v>26</v>
      </c>
      <c r="J69" s="50">
        <v>0</v>
      </c>
    </row>
    <row r="70" spans="1:10" x14ac:dyDescent="0.2">
      <c r="A70" s="45" t="s">
        <v>557</v>
      </c>
      <c r="B70" s="45" t="s">
        <v>154</v>
      </c>
      <c r="C70" s="45" t="s">
        <v>337</v>
      </c>
      <c r="D70" s="50">
        <v>79</v>
      </c>
      <c r="E70" s="50">
        <v>79</v>
      </c>
      <c r="F70" s="50">
        <v>5</v>
      </c>
      <c r="G70" s="50">
        <v>5</v>
      </c>
      <c r="H70" s="50">
        <v>84</v>
      </c>
      <c r="I70" s="50">
        <v>84</v>
      </c>
      <c r="J70" s="50">
        <v>0</v>
      </c>
    </row>
    <row r="71" spans="1:10" x14ac:dyDescent="0.2">
      <c r="A71" s="45" t="s">
        <v>558</v>
      </c>
      <c r="B71" s="45" t="s">
        <v>117</v>
      </c>
      <c r="C71" s="45" t="s">
        <v>337</v>
      </c>
      <c r="D71" s="50">
        <v>0</v>
      </c>
      <c r="E71" s="50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</row>
    <row r="72" spans="1:10" x14ac:dyDescent="0.2">
      <c r="A72" s="45" t="s">
        <v>559</v>
      </c>
      <c r="B72" s="45" t="s">
        <v>155</v>
      </c>
      <c r="C72" s="45" t="s">
        <v>337</v>
      </c>
      <c r="D72" s="50">
        <v>98</v>
      </c>
      <c r="E72" s="50">
        <v>98</v>
      </c>
      <c r="F72" s="50">
        <v>1</v>
      </c>
      <c r="G72" s="50">
        <v>1</v>
      </c>
      <c r="H72" s="50">
        <v>99</v>
      </c>
      <c r="I72" s="50">
        <v>99</v>
      </c>
      <c r="J72" s="50">
        <v>0</v>
      </c>
    </row>
    <row r="73" spans="1:10" x14ac:dyDescent="0.2">
      <c r="A73" s="45" t="s">
        <v>560</v>
      </c>
      <c r="B73" s="45" t="s">
        <v>330</v>
      </c>
      <c r="C73" s="45" t="s">
        <v>337</v>
      </c>
      <c r="D73" s="50">
        <v>983</v>
      </c>
      <c r="E73" s="50">
        <v>983</v>
      </c>
      <c r="F73" s="50">
        <v>2</v>
      </c>
      <c r="G73" s="50">
        <v>2</v>
      </c>
      <c r="H73" s="50">
        <v>985</v>
      </c>
      <c r="I73" s="50">
        <v>985</v>
      </c>
      <c r="J73" s="50">
        <v>0</v>
      </c>
    </row>
    <row r="74" spans="1:10" x14ac:dyDescent="0.2">
      <c r="A74" s="45" t="s">
        <v>561</v>
      </c>
      <c r="B74" s="45" t="s">
        <v>156</v>
      </c>
      <c r="C74" s="45" t="s">
        <v>338</v>
      </c>
      <c r="D74" s="50">
        <v>184</v>
      </c>
      <c r="E74" s="50">
        <v>184</v>
      </c>
      <c r="F74" s="50">
        <v>1</v>
      </c>
      <c r="G74" s="50">
        <v>1</v>
      </c>
      <c r="H74" s="50">
        <v>185</v>
      </c>
      <c r="I74" s="50">
        <v>185</v>
      </c>
      <c r="J74" s="50">
        <v>0</v>
      </c>
    </row>
    <row r="75" spans="1:10" x14ac:dyDescent="0.2">
      <c r="A75" s="45" t="s">
        <v>562</v>
      </c>
      <c r="B75" s="45" t="s">
        <v>157</v>
      </c>
      <c r="C75" s="45" t="s">
        <v>336</v>
      </c>
      <c r="D75" s="50">
        <v>8</v>
      </c>
      <c r="E75" s="50">
        <v>8</v>
      </c>
      <c r="F75" s="50">
        <v>0</v>
      </c>
      <c r="G75" s="50">
        <v>0</v>
      </c>
      <c r="H75" s="50">
        <v>8</v>
      </c>
      <c r="I75" s="50">
        <v>8</v>
      </c>
      <c r="J75" s="50">
        <v>1</v>
      </c>
    </row>
    <row r="76" spans="1:10" x14ac:dyDescent="0.2">
      <c r="A76" s="45" t="s">
        <v>563</v>
      </c>
      <c r="B76" s="45" t="s">
        <v>158</v>
      </c>
      <c r="C76" s="45" t="s">
        <v>336</v>
      </c>
      <c r="D76" s="50">
        <v>3</v>
      </c>
      <c r="E76" s="50">
        <v>3</v>
      </c>
      <c r="F76" s="50">
        <v>0</v>
      </c>
      <c r="G76" s="50">
        <v>0</v>
      </c>
      <c r="H76" s="50">
        <v>3</v>
      </c>
      <c r="I76" s="50">
        <v>3</v>
      </c>
      <c r="J76" s="50">
        <v>1</v>
      </c>
    </row>
    <row r="77" spans="1:10" x14ac:dyDescent="0.2">
      <c r="A77" s="45" t="s">
        <v>564</v>
      </c>
      <c r="B77" s="45" t="s">
        <v>268</v>
      </c>
      <c r="C77" s="45" t="s">
        <v>336</v>
      </c>
      <c r="D77" s="50">
        <v>5660</v>
      </c>
      <c r="E77" s="50">
        <v>5660</v>
      </c>
      <c r="F77" s="50">
        <v>0</v>
      </c>
      <c r="G77" s="50">
        <v>0</v>
      </c>
      <c r="H77" s="50">
        <v>5660</v>
      </c>
      <c r="I77" s="50">
        <v>5660</v>
      </c>
      <c r="J77" s="50">
        <v>1</v>
      </c>
    </row>
    <row r="78" spans="1:10" x14ac:dyDescent="0.2">
      <c r="A78" s="45" t="s">
        <v>565</v>
      </c>
      <c r="B78" s="45" t="s">
        <v>159</v>
      </c>
      <c r="C78" s="45" t="s">
        <v>336</v>
      </c>
      <c r="D78" s="50">
        <v>9663</v>
      </c>
      <c r="E78" s="50">
        <v>9663</v>
      </c>
      <c r="F78" s="50">
        <v>1</v>
      </c>
      <c r="G78" s="50">
        <v>1</v>
      </c>
      <c r="H78" s="50">
        <v>9664</v>
      </c>
      <c r="I78" s="50">
        <v>9664</v>
      </c>
      <c r="J78" s="50">
        <v>1</v>
      </c>
    </row>
    <row r="79" spans="1:10" x14ac:dyDescent="0.2">
      <c r="A79" s="45" t="s">
        <v>566</v>
      </c>
      <c r="B79" s="45" t="s">
        <v>160</v>
      </c>
      <c r="C79" s="45" t="s">
        <v>336</v>
      </c>
      <c r="D79" s="50">
        <v>55502</v>
      </c>
      <c r="E79" s="50">
        <v>55502</v>
      </c>
      <c r="F79" s="50">
        <v>3</v>
      </c>
      <c r="G79" s="50">
        <v>3</v>
      </c>
      <c r="H79" s="50">
        <v>55505</v>
      </c>
      <c r="I79" s="50">
        <v>55505</v>
      </c>
      <c r="J79" s="50">
        <v>1</v>
      </c>
    </row>
    <row r="80" spans="1:10" x14ac:dyDescent="0.2">
      <c r="A80" s="45" t="s">
        <v>567</v>
      </c>
      <c r="B80" s="45" t="s">
        <v>269</v>
      </c>
      <c r="C80" s="45" t="s">
        <v>336</v>
      </c>
      <c r="D80" s="50">
        <v>2638</v>
      </c>
      <c r="E80" s="50">
        <v>2638</v>
      </c>
      <c r="F80" s="50">
        <v>4</v>
      </c>
      <c r="G80" s="50">
        <v>4</v>
      </c>
      <c r="H80" s="50">
        <v>2642</v>
      </c>
      <c r="I80" s="50">
        <v>2642</v>
      </c>
      <c r="J80" s="50">
        <v>1</v>
      </c>
    </row>
    <row r="81" spans="1:10" x14ac:dyDescent="0.2">
      <c r="A81" s="45" t="s">
        <v>568</v>
      </c>
      <c r="B81" s="45" t="s">
        <v>161</v>
      </c>
      <c r="C81" s="45" t="s">
        <v>336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1</v>
      </c>
    </row>
    <row r="82" spans="1:10" x14ac:dyDescent="0.2">
      <c r="A82" s="45" t="s">
        <v>569</v>
      </c>
      <c r="B82" s="45" t="s">
        <v>162</v>
      </c>
      <c r="C82" s="45" t="s">
        <v>337</v>
      </c>
      <c r="D82" s="50">
        <v>264</v>
      </c>
      <c r="E82" s="50">
        <v>264</v>
      </c>
      <c r="F82" s="50">
        <v>12</v>
      </c>
      <c r="G82" s="50">
        <v>12</v>
      </c>
      <c r="H82" s="50">
        <v>276</v>
      </c>
      <c r="I82" s="50">
        <v>276</v>
      </c>
      <c r="J82" s="50">
        <v>0</v>
      </c>
    </row>
    <row r="83" spans="1:10" x14ac:dyDescent="0.2">
      <c r="A83" s="45" t="s">
        <v>570</v>
      </c>
      <c r="B83" s="45" t="s">
        <v>163</v>
      </c>
      <c r="C83" s="45" t="s">
        <v>337</v>
      </c>
      <c r="D83" s="50">
        <v>19</v>
      </c>
      <c r="E83" s="50">
        <v>19</v>
      </c>
      <c r="F83" s="50">
        <v>3</v>
      </c>
      <c r="G83" s="50">
        <v>3</v>
      </c>
      <c r="H83" s="50">
        <v>22</v>
      </c>
      <c r="I83" s="50">
        <v>22</v>
      </c>
      <c r="J83" s="50">
        <v>0</v>
      </c>
    </row>
    <row r="84" spans="1:10" x14ac:dyDescent="0.2">
      <c r="A84" s="45" t="s">
        <v>571</v>
      </c>
      <c r="B84" s="45" t="s">
        <v>572</v>
      </c>
      <c r="C84" s="45" t="s">
        <v>337</v>
      </c>
      <c r="D84" s="50">
        <v>31</v>
      </c>
      <c r="E84" s="50">
        <v>31</v>
      </c>
      <c r="F84" s="50">
        <v>0</v>
      </c>
      <c r="G84" s="50">
        <v>0</v>
      </c>
      <c r="H84" s="50">
        <v>31</v>
      </c>
      <c r="I84" s="50">
        <v>31</v>
      </c>
      <c r="J84" s="50">
        <v>0</v>
      </c>
    </row>
    <row r="85" spans="1:10" x14ac:dyDescent="0.2">
      <c r="A85" s="45" t="s">
        <v>573</v>
      </c>
      <c r="B85" s="45" t="s">
        <v>403</v>
      </c>
      <c r="C85" s="45" t="s">
        <v>337</v>
      </c>
      <c r="D85" s="50">
        <v>6</v>
      </c>
      <c r="E85" s="50">
        <v>6</v>
      </c>
      <c r="F85" s="50">
        <v>0</v>
      </c>
      <c r="G85" s="50">
        <v>0</v>
      </c>
      <c r="H85" s="50">
        <v>6</v>
      </c>
      <c r="I85" s="50">
        <v>6</v>
      </c>
      <c r="J85" s="50">
        <v>0</v>
      </c>
    </row>
    <row r="86" spans="1:10" x14ac:dyDescent="0.2">
      <c r="A86" s="45" t="s">
        <v>574</v>
      </c>
      <c r="B86" s="45" t="s">
        <v>404</v>
      </c>
      <c r="C86" s="45" t="s">
        <v>344</v>
      </c>
      <c r="D86" s="50">
        <v>0</v>
      </c>
      <c r="E86" s="50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</row>
    <row r="87" spans="1:10" x14ac:dyDescent="0.2">
      <c r="A87" s="45" t="s">
        <v>575</v>
      </c>
      <c r="B87" s="45" t="s">
        <v>164</v>
      </c>
      <c r="C87" s="45" t="s">
        <v>336</v>
      </c>
      <c r="D87" s="50">
        <v>1612</v>
      </c>
      <c r="E87" s="50">
        <v>1612</v>
      </c>
      <c r="F87" s="50">
        <v>54</v>
      </c>
      <c r="G87" s="50">
        <v>54</v>
      </c>
      <c r="H87" s="50">
        <v>1666</v>
      </c>
      <c r="I87" s="50">
        <v>1666</v>
      </c>
      <c r="J87" s="50">
        <v>1</v>
      </c>
    </row>
    <row r="88" spans="1:10" x14ac:dyDescent="0.2">
      <c r="A88" s="45" t="s">
        <v>576</v>
      </c>
      <c r="B88" s="45" t="s">
        <v>165</v>
      </c>
      <c r="C88" s="45" t="s">
        <v>336</v>
      </c>
      <c r="D88" s="50">
        <v>440</v>
      </c>
      <c r="E88" s="50">
        <v>440</v>
      </c>
      <c r="F88" s="50">
        <v>0</v>
      </c>
      <c r="G88" s="50">
        <v>0</v>
      </c>
      <c r="H88" s="50">
        <v>440</v>
      </c>
      <c r="I88" s="50">
        <v>440</v>
      </c>
      <c r="J88" s="50">
        <v>1</v>
      </c>
    </row>
    <row r="89" spans="1:10" x14ac:dyDescent="0.2">
      <c r="A89" s="45" t="s">
        <v>577</v>
      </c>
      <c r="B89" s="45" t="s">
        <v>327</v>
      </c>
      <c r="C89" s="45" t="s">
        <v>336</v>
      </c>
      <c r="D89" s="50">
        <v>2271</v>
      </c>
      <c r="E89" s="50">
        <v>2271</v>
      </c>
      <c r="F89" s="50">
        <v>4</v>
      </c>
      <c r="G89" s="50">
        <v>4</v>
      </c>
      <c r="H89" s="50">
        <v>2275</v>
      </c>
      <c r="I89" s="50">
        <v>2275</v>
      </c>
      <c r="J89" s="50">
        <v>1</v>
      </c>
    </row>
    <row r="90" spans="1:10" x14ac:dyDescent="0.2">
      <c r="A90" s="45" t="s">
        <v>578</v>
      </c>
      <c r="B90" s="45" t="s">
        <v>328</v>
      </c>
      <c r="C90" s="45" t="s">
        <v>336</v>
      </c>
      <c r="D90" s="50">
        <v>1925</v>
      </c>
      <c r="E90" s="50">
        <v>1925</v>
      </c>
      <c r="F90" s="50">
        <v>0</v>
      </c>
      <c r="G90" s="50">
        <v>0</v>
      </c>
      <c r="H90" s="50">
        <v>1925</v>
      </c>
      <c r="I90" s="50">
        <v>1925</v>
      </c>
      <c r="J90" s="50">
        <v>1</v>
      </c>
    </row>
    <row r="91" spans="1:10" x14ac:dyDescent="0.2">
      <c r="A91" s="45" t="s">
        <v>579</v>
      </c>
      <c r="B91" s="45" t="s">
        <v>166</v>
      </c>
      <c r="C91" s="45" t="s">
        <v>336</v>
      </c>
      <c r="D91" s="50">
        <v>1388</v>
      </c>
      <c r="E91" s="50">
        <v>1388</v>
      </c>
      <c r="F91" s="50">
        <v>0</v>
      </c>
      <c r="G91" s="50">
        <v>0</v>
      </c>
      <c r="H91" s="50">
        <v>1388</v>
      </c>
      <c r="I91" s="50">
        <v>1388</v>
      </c>
      <c r="J91" s="50">
        <v>1</v>
      </c>
    </row>
    <row r="92" spans="1:10" x14ac:dyDescent="0.2">
      <c r="A92" s="45" t="s">
        <v>580</v>
      </c>
      <c r="B92" s="45" t="s">
        <v>167</v>
      </c>
      <c r="C92" s="45" t="s">
        <v>336</v>
      </c>
      <c r="D92" s="50">
        <v>1219</v>
      </c>
      <c r="E92" s="50">
        <v>1219</v>
      </c>
      <c r="F92" s="50">
        <v>0</v>
      </c>
      <c r="G92" s="50">
        <v>0</v>
      </c>
      <c r="H92" s="50">
        <v>1219</v>
      </c>
      <c r="I92" s="50">
        <v>1219</v>
      </c>
      <c r="J92" s="50">
        <v>1</v>
      </c>
    </row>
    <row r="93" spans="1:10" x14ac:dyDescent="0.2">
      <c r="A93" s="45" t="s">
        <v>581</v>
      </c>
      <c r="B93" s="45" t="s">
        <v>168</v>
      </c>
      <c r="C93" s="45" t="s">
        <v>336</v>
      </c>
      <c r="D93" s="50">
        <v>4515</v>
      </c>
      <c r="E93" s="50">
        <v>4515</v>
      </c>
      <c r="F93" s="50">
        <v>0</v>
      </c>
      <c r="G93" s="50">
        <v>0</v>
      </c>
      <c r="H93" s="50">
        <v>4515</v>
      </c>
      <c r="I93" s="50">
        <v>4515</v>
      </c>
      <c r="J93" s="50">
        <v>1</v>
      </c>
    </row>
    <row r="94" spans="1:10" x14ac:dyDescent="0.2">
      <c r="A94" s="45" t="s">
        <v>582</v>
      </c>
      <c r="B94" s="45" t="s">
        <v>169</v>
      </c>
      <c r="C94" s="45" t="s">
        <v>338</v>
      </c>
      <c r="D94" s="50">
        <v>41</v>
      </c>
      <c r="E94" s="50">
        <v>41</v>
      </c>
      <c r="F94" s="50">
        <v>1</v>
      </c>
      <c r="G94" s="50">
        <v>1</v>
      </c>
      <c r="H94" s="50">
        <v>42</v>
      </c>
      <c r="I94" s="50">
        <v>42</v>
      </c>
      <c r="J94" s="50">
        <v>0</v>
      </c>
    </row>
    <row r="95" spans="1:10" x14ac:dyDescent="0.2">
      <c r="A95" s="45" t="s">
        <v>583</v>
      </c>
      <c r="B95" s="45" t="s">
        <v>170</v>
      </c>
      <c r="C95" s="45" t="s">
        <v>338</v>
      </c>
      <c r="D95" s="50">
        <v>0</v>
      </c>
      <c r="E95" s="50">
        <v>0</v>
      </c>
      <c r="F95" s="50">
        <v>0</v>
      </c>
      <c r="G95" s="50">
        <v>0</v>
      </c>
      <c r="H95" s="50">
        <v>0</v>
      </c>
      <c r="I95" s="50">
        <v>0</v>
      </c>
      <c r="J95" s="50">
        <v>0</v>
      </c>
    </row>
    <row r="96" spans="1:10" x14ac:dyDescent="0.2">
      <c r="A96" s="45" t="s">
        <v>584</v>
      </c>
      <c r="B96" s="45" t="s">
        <v>171</v>
      </c>
      <c r="C96" s="45" t="s">
        <v>336</v>
      </c>
      <c r="D96" s="50">
        <v>0</v>
      </c>
      <c r="E96" s="50">
        <v>0</v>
      </c>
      <c r="F96" s="50">
        <v>0</v>
      </c>
      <c r="G96" s="50">
        <v>0</v>
      </c>
      <c r="H96" s="50">
        <v>0</v>
      </c>
      <c r="I96" s="50">
        <v>0</v>
      </c>
      <c r="J96" s="50">
        <v>1</v>
      </c>
    </row>
    <row r="97" spans="1:10" x14ac:dyDescent="0.2">
      <c r="A97" s="45" t="s">
        <v>585</v>
      </c>
      <c r="B97" s="45" t="s">
        <v>172</v>
      </c>
      <c r="C97" s="45" t="s">
        <v>336</v>
      </c>
      <c r="D97" s="50">
        <v>0</v>
      </c>
      <c r="E97" s="50">
        <v>0</v>
      </c>
      <c r="F97" s="50">
        <v>0</v>
      </c>
      <c r="G97" s="50">
        <v>0</v>
      </c>
      <c r="H97" s="50">
        <v>0</v>
      </c>
      <c r="I97" s="50">
        <v>0</v>
      </c>
      <c r="J97" s="50">
        <v>1</v>
      </c>
    </row>
    <row r="98" spans="1:10" x14ac:dyDescent="0.2">
      <c r="A98" s="45" t="s">
        <v>586</v>
      </c>
      <c r="B98" s="45" t="s">
        <v>345</v>
      </c>
      <c r="C98" s="45" t="s">
        <v>337</v>
      </c>
      <c r="D98" s="50">
        <v>8</v>
      </c>
      <c r="E98" s="50">
        <v>8</v>
      </c>
      <c r="F98" s="50">
        <v>0</v>
      </c>
      <c r="G98" s="50">
        <v>0</v>
      </c>
      <c r="H98" s="50">
        <v>8</v>
      </c>
      <c r="I98" s="50">
        <v>8</v>
      </c>
      <c r="J98" s="50">
        <v>0</v>
      </c>
    </row>
    <row r="99" spans="1:10" x14ac:dyDescent="0.2">
      <c r="A99" s="45" t="s">
        <v>587</v>
      </c>
      <c r="B99" s="45" t="s">
        <v>173</v>
      </c>
      <c r="C99" s="45" t="s">
        <v>337</v>
      </c>
      <c r="D99" s="50">
        <v>16</v>
      </c>
      <c r="E99" s="50">
        <v>16</v>
      </c>
      <c r="F99" s="50">
        <v>1</v>
      </c>
      <c r="G99" s="50">
        <v>1</v>
      </c>
      <c r="H99" s="50">
        <v>17</v>
      </c>
      <c r="I99" s="50">
        <v>17</v>
      </c>
      <c r="J99" s="50">
        <v>0</v>
      </c>
    </row>
    <row r="100" spans="1:10" x14ac:dyDescent="0.2">
      <c r="A100" s="45" t="s">
        <v>588</v>
      </c>
      <c r="B100" s="45" t="s">
        <v>174</v>
      </c>
      <c r="C100" s="45" t="s">
        <v>337</v>
      </c>
      <c r="D100" s="50">
        <v>29</v>
      </c>
      <c r="E100" s="50">
        <v>29</v>
      </c>
      <c r="F100" s="50">
        <v>1</v>
      </c>
      <c r="G100" s="50">
        <v>1</v>
      </c>
      <c r="H100" s="50">
        <v>30</v>
      </c>
      <c r="I100" s="50">
        <v>30</v>
      </c>
      <c r="J100" s="50">
        <v>0</v>
      </c>
    </row>
    <row r="101" spans="1:10" x14ac:dyDescent="0.2">
      <c r="A101" s="45" t="s">
        <v>589</v>
      </c>
      <c r="B101" s="45" t="s">
        <v>175</v>
      </c>
      <c r="C101" s="45" t="s">
        <v>337</v>
      </c>
      <c r="D101" s="50">
        <v>11</v>
      </c>
      <c r="E101" s="50">
        <v>11</v>
      </c>
      <c r="F101" s="50">
        <v>0</v>
      </c>
      <c r="G101" s="50">
        <v>0</v>
      </c>
      <c r="H101" s="50">
        <v>11</v>
      </c>
      <c r="I101" s="50">
        <v>11</v>
      </c>
      <c r="J101" s="50">
        <v>0</v>
      </c>
    </row>
    <row r="102" spans="1:10" x14ac:dyDescent="0.2">
      <c r="A102" s="45" t="s">
        <v>590</v>
      </c>
      <c r="B102" s="45" t="s">
        <v>329</v>
      </c>
      <c r="C102" s="45" t="s">
        <v>336</v>
      </c>
      <c r="D102" s="50">
        <v>1662</v>
      </c>
      <c r="E102" s="50">
        <v>1662</v>
      </c>
      <c r="F102" s="50">
        <v>14</v>
      </c>
      <c r="G102" s="50">
        <v>14</v>
      </c>
      <c r="H102" s="50">
        <v>1676</v>
      </c>
      <c r="I102" s="50">
        <v>1676</v>
      </c>
      <c r="J102" s="50">
        <v>1</v>
      </c>
    </row>
    <row r="103" spans="1:10" x14ac:dyDescent="0.2">
      <c r="A103" s="45" t="s">
        <v>591</v>
      </c>
      <c r="B103" s="45" t="s">
        <v>265</v>
      </c>
      <c r="C103" s="45" t="s">
        <v>338</v>
      </c>
      <c r="D103" s="50">
        <v>0</v>
      </c>
      <c r="E103" s="50">
        <v>0</v>
      </c>
      <c r="F103" s="50">
        <v>1</v>
      </c>
      <c r="G103" s="50">
        <v>1</v>
      </c>
      <c r="H103" s="50">
        <v>1</v>
      </c>
      <c r="I103" s="50">
        <v>1</v>
      </c>
      <c r="J103" s="50">
        <v>0</v>
      </c>
    </row>
    <row r="104" spans="1:10" x14ac:dyDescent="0.2">
      <c r="A104" s="45" t="s">
        <v>592</v>
      </c>
      <c r="B104" s="45" t="s">
        <v>176</v>
      </c>
      <c r="C104" s="45" t="s">
        <v>337</v>
      </c>
      <c r="D104" s="50">
        <v>133</v>
      </c>
      <c r="E104" s="50">
        <v>133</v>
      </c>
      <c r="F104" s="50">
        <v>4</v>
      </c>
      <c r="G104" s="50">
        <v>4</v>
      </c>
      <c r="H104" s="50">
        <v>137</v>
      </c>
      <c r="I104" s="50">
        <v>137</v>
      </c>
      <c r="J104" s="50">
        <v>0</v>
      </c>
    </row>
    <row r="105" spans="1:10" x14ac:dyDescent="0.2">
      <c r="A105" s="45" t="s">
        <v>593</v>
      </c>
      <c r="B105" s="45" t="s">
        <v>392</v>
      </c>
      <c r="C105" s="45" t="s">
        <v>336</v>
      </c>
      <c r="D105" s="50">
        <v>1244</v>
      </c>
      <c r="E105" s="50">
        <v>1244</v>
      </c>
      <c r="F105" s="50">
        <v>7</v>
      </c>
      <c r="G105" s="50">
        <v>7</v>
      </c>
      <c r="H105" s="50">
        <v>1251</v>
      </c>
      <c r="I105" s="50">
        <v>1251</v>
      </c>
      <c r="J105" s="50">
        <v>1</v>
      </c>
    </row>
    <row r="106" spans="1:10" x14ac:dyDescent="0.2">
      <c r="A106" s="45" t="s">
        <v>594</v>
      </c>
      <c r="B106" s="45" t="s">
        <v>177</v>
      </c>
      <c r="C106" s="45" t="s">
        <v>336</v>
      </c>
      <c r="D106" s="50">
        <v>9945</v>
      </c>
      <c r="E106" s="50">
        <v>9945</v>
      </c>
      <c r="F106" s="50">
        <v>100</v>
      </c>
      <c r="G106" s="50">
        <v>100</v>
      </c>
      <c r="H106" s="50">
        <v>10045</v>
      </c>
      <c r="I106" s="50">
        <v>10045</v>
      </c>
      <c r="J106" s="50">
        <v>1</v>
      </c>
    </row>
    <row r="107" spans="1:10" x14ac:dyDescent="0.2">
      <c r="A107" s="45" t="s">
        <v>595</v>
      </c>
      <c r="B107" s="45" t="s">
        <v>346</v>
      </c>
      <c r="C107" s="45" t="s">
        <v>337</v>
      </c>
      <c r="D107" s="50">
        <v>2</v>
      </c>
      <c r="E107" s="50">
        <v>2</v>
      </c>
      <c r="F107" s="50">
        <v>1</v>
      </c>
      <c r="G107" s="50">
        <v>1</v>
      </c>
      <c r="H107" s="50">
        <v>3</v>
      </c>
      <c r="I107" s="50">
        <v>3</v>
      </c>
      <c r="J107" s="50">
        <v>0</v>
      </c>
    </row>
    <row r="108" spans="1:10" x14ac:dyDescent="0.2">
      <c r="A108" s="45" t="s">
        <v>596</v>
      </c>
      <c r="B108" s="45" t="s">
        <v>178</v>
      </c>
      <c r="C108" s="45" t="s">
        <v>336</v>
      </c>
      <c r="D108" s="50">
        <v>2573</v>
      </c>
      <c r="E108" s="50">
        <v>2573</v>
      </c>
      <c r="F108" s="50">
        <v>0</v>
      </c>
      <c r="G108" s="50">
        <v>0</v>
      </c>
      <c r="H108" s="50">
        <v>2573</v>
      </c>
      <c r="I108" s="50">
        <v>2573</v>
      </c>
      <c r="J108" s="50">
        <v>1</v>
      </c>
    </row>
    <row r="109" spans="1:10" x14ac:dyDescent="0.2">
      <c r="A109" s="45" t="s">
        <v>611</v>
      </c>
      <c r="B109" s="45" t="s">
        <v>664</v>
      </c>
      <c r="C109" s="45" t="s">
        <v>336</v>
      </c>
      <c r="D109" s="50">
        <v>0</v>
      </c>
      <c r="E109" s="50">
        <v>0</v>
      </c>
      <c r="F109" s="50">
        <v>0</v>
      </c>
      <c r="G109" s="50">
        <v>0</v>
      </c>
      <c r="H109" s="50">
        <v>0</v>
      </c>
      <c r="I109" s="50">
        <v>0</v>
      </c>
      <c r="J109" s="50">
        <v>1</v>
      </c>
    </row>
    <row r="110" spans="1:10" x14ac:dyDescent="0.2">
      <c r="A110" s="45" t="s">
        <v>597</v>
      </c>
      <c r="B110" s="45" t="s">
        <v>179</v>
      </c>
      <c r="C110" s="45" t="s">
        <v>336</v>
      </c>
      <c r="D110" s="50">
        <v>6391</v>
      </c>
      <c r="E110" s="50">
        <v>6391</v>
      </c>
      <c r="F110" s="50">
        <v>2</v>
      </c>
      <c r="G110" s="50">
        <v>2</v>
      </c>
      <c r="H110" s="50">
        <v>6393</v>
      </c>
      <c r="I110" s="50">
        <v>6393</v>
      </c>
      <c r="J110" s="50">
        <v>1</v>
      </c>
    </row>
    <row r="111" spans="1:10" x14ac:dyDescent="0.2">
      <c r="A111" s="45" t="s">
        <v>598</v>
      </c>
      <c r="B111" s="45" t="s">
        <v>347</v>
      </c>
      <c r="C111" s="45" t="s">
        <v>336</v>
      </c>
      <c r="D111" s="50">
        <v>1662</v>
      </c>
      <c r="E111" s="50">
        <v>1662</v>
      </c>
      <c r="F111" s="50">
        <v>0</v>
      </c>
      <c r="G111" s="50">
        <v>0</v>
      </c>
      <c r="H111" s="50">
        <v>1662</v>
      </c>
      <c r="I111" s="50">
        <v>1662</v>
      </c>
      <c r="J111" s="50">
        <v>1</v>
      </c>
    </row>
    <row r="112" spans="1:10" x14ac:dyDescent="0.2">
      <c r="A112" s="45" t="s">
        <v>599</v>
      </c>
      <c r="B112" s="45" t="s">
        <v>348</v>
      </c>
      <c r="C112" s="45" t="s">
        <v>336</v>
      </c>
      <c r="D112" s="50">
        <v>88</v>
      </c>
      <c r="E112" s="50">
        <v>88</v>
      </c>
      <c r="F112" s="50">
        <v>0</v>
      </c>
      <c r="G112" s="50">
        <v>0</v>
      </c>
      <c r="H112" s="50">
        <v>88</v>
      </c>
      <c r="I112" s="50">
        <v>88</v>
      </c>
      <c r="J112" s="50">
        <v>1</v>
      </c>
    </row>
    <row r="113" spans="1:10" x14ac:dyDescent="0.2">
      <c r="A113" s="45" t="s">
        <v>600</v>
      </c>
      <c r="B113" s="45" t="s">
        <v>180</v>
      </c>
      <c r="C113" s="45" t="s">
        <v>337</v>
      </c>
      <c r="D113" s="50">
        <v>0</v>
      </c>
      <c r="E113" s="50">
        <v>0</v>
      </c>
      <c r="F113" s="50">
        <v>6</v>
      </c>
      <c r="G113" s="50">
        <v>6</v>
      </c>
      <c r="H113" s="50">
        <v>6</v>
      </c>
      <c r="I113" s="50">
        <v>6</v>
      </c>
      <c r="J113" s="50">
        <v>0</v>
      </c>
    </row>
    <row r="114" spans="1:10" x14ac:dyDescent="0.2">
      <c r="A114" s="45" t="s">
        <v>601</v>
      </c>
      <c r="B114" s="45" t="s">
        <v>266</v>
      </c>
      <c r="C114" s="45" t="s">
        <v>337</v>
      </c>
      <c r="D114" s="50">
        <v>15</v>
      </c>
      <c r="E114" s="50">
        <v>15</v>
      </c>
      <c r="F114" s="50">
        <v>6</v>
      </c>
      <c r="G114" s="50">
        <v>6</v>
      </c>
      <c r="H114" s="50">
        <v>21</v>
      </c>
      <c r="I114" s="50">
        <v>21</v>
      </c>
      <c r="J114" s="50">
        <v>0</v>
      </c>
    </row>
    <row r="115" spans="1:10" x14ac:dyDescent="0.2">
      <c r="A115" s="45" t="s">
        <v>602</v>
      </c>
      <c r="B115" s="45" t="s">
        <v>181</v>
      </c>
      <c r="C115" s="45" t="s">
        <v>337</v>
      </c>
      <c r="D115" s="50">
        <v>134</v>
      </c>
      <c r="E115" s="50">
        <v>134</v>
      </c>
      <c r="F115" s="50">
        <v>4</v>
      </c>
      <c r="G115" s="50">
        <v>4</v>
      </c>
      <c r="H115" s="50">
        <v>138</v>
      </c>
      <c r="I115" s="50">
        <v>138</v>
      </c>
      <c r="J115" s="50">
        <v>0</v>
      </c>
    </row>
    <row r="116" spans="1:10" x14ac:dyDescent="0.2">
      <c r="A116" s="45" t="s">
        <v>660</v>
      </c>
      <c r="B116" s="45" t="s">
        <v>661</v>
      </c>
      <c r="C116" s="45" t="s">
        <v>349</v>
      </c>
      <c r="D116" s="50">
        <v>0</v>
      </c>
      <c r="E116" s="50">
        <v>0</v>
      </c>
      <c r="F116" s="50">
        <v>0</v>
      </c>
      <c r="G116" s="50">
        <v>0</v>
      </c>
      <c r="H116" s="50">
        <v>0</v>
      </c>
      <c r="I116" s="50">
        <v>0</v>
      </c>
      <c r="J116" s="50">
        <v>0</v>
      </c>
    </row>
    <row r="117" spans="1:10" x14ac:dyDescent="0.2">
      <c r="A117" s="45" t="s">
        <v>662</v>
      </c>
      <c r="B117" s="45" t="s">
        <v>663</v>
      </c>
      <c r="C117" s="45" t="s">
        <v>349</v>
      </c>
      <c r="D117" s="50">
        <v>0</v>
      </c>
      <c r="E117" s="50">
        <v>0</v>
      </c>
      <c r="F117" s="50">
        <v>0</v>
      </c>
      <c r="G117" s="50">
        <v>0</v>
      </c>
      <c r="H117" s="50">
        <v>0</v>
      </c>
      <c r="I117" s="50">
        <v>0</v>
      </c>
      <c r="J117" s="50">
        <v>0</v>
      </c>
    </row>
    <row r="118" spans="1:10" x14ac:dyDescent="0.2">
      <c r="A118" s="45" t="s">
        <v>270</v>
      </c>
      <c r="B118" s="45" t="s">
        <v>287</v>
      </c>
      <c r="C118" s="45" t="s">
        <v>349</v>
      </c>
      <c r="D118" s="50">
        <v>0</v>
      </c>
      <c r="E118" s="50">
        <v>0</v>
      </c>
      <c r="F118" s="50">
        <v>0</v>
      </c>
      <c r="G118" s="50">
        <v>0</v>
      </c>
      <c r="H118" s="50">
        <v>0</v>
      </c>
      <c r="I118" s="50">
        <v>0</v>
      </c>
      <c r="J118" s="50">
        <v>0</v>
      </c>
    </row>
    <row r="119" spans="1:10" x14ac:dyDescent="0.2">
      <c r="A119" s="45" t="s">
        <v>271</v>
      </c>
      <c r="B119" s="45" t="s">
        <v>288</v>
      </c>
      <c r="C119" s="45" t="s">
        <v>349</v>
      </c>
      <c r="D119" s="50">
        <v>0</v>
      </c>
      <c r="E119" s="50">
        <v>0</v>
      </c>
      <c r="F119" s="50">
        <v>0</v>
      </c>
      <c r="G119" s="50">
        <v>0</v>
      </c>
      <c r="H119" s="50">
        <v>0</v>
      </c>
      <c r="I119" s="50">
        <v>0</v>
      </c>
      <c r="J119" s="50">
        <v>0</v>
      </c>
    </row>
    <row r="120" spans="1:10" x14ac:dyDescent="0.2">
      <c r="A120" s="45" t="s">
        <v>272</v>
      </c>
      <c r="B120" s="45" t="s">
        <v>289</v>
      </c>
      <c r="C120" s="45" t="s">
        <v>349</v>
      </c>
      <c r="D120" s="50">
        <v>0</v>
      </c>
      <c r="E120" s="50">
        <v>0</v>
      </c>
      <c r="F120" s="50">
        <v>0</v>
      </c>
      <c r="G120" s="50">
        <v>0</v>
      </c>
      <c r="H120" s="50">
        <v>0</v>
      </c>
      <c r="I120" s="50">
        <v>0</v>
      </c>
      <c r="J120" s="50">
        <v>0</v>
      </c>
    </row>
    <row r="121" spans="1:10" x14ac:dyDescent="0.2">
      <c r="A121" s="45" t="s">
        <v>38</v>
      </c>
      <c r="B121" s="45" t="s">
        <v>405</v>
      </c>
      <c r="C121" s="45" t="s">
        <v>349</v>
      </c>
      <c r="D121" s="50">
        <v>360</v>
      </c>
      <c r="E121" s="50">
        <v>15</v>
      </c>
      <c r="F121" s="50">
        <v>21</v>
      </c>
      <c r="G121" s="50">
        <v>0.875</v>
      </c>
      <c r="H121" s="50">
        <v>381</v>
      </c>
      <c r="I121" s="50">
        <v>15.875</v>
      </c>
      <c r="J121" s="50">
        <v>24</v>
      </c>
    </row>
    <row r="122" spans="1:10" x14ac:dyDescent="0.2">
      <c r="A122" s="45" t="s">
        <v>39</v>
      </c>
      <c r="B122" s="45" t="s">
        <v>406</v>
      </c>
      <c r="C122" s="45" t="s">
        <v>349</v>
      </c>
      <c r="D122" s="50">
        <v>240</v>
      </c>
      <c r="E122" s="50">
        <v>10</v>
      </c>
      <c r="F122" s="50">
        <v>15</v>
      </c>
      <c r="G122" s="50">
        <v>0.625</v>
      </c>
      <c r="H122" s="50">
        <v>255</v>
      </c>
      <c r="I122" s="50">
        <v>10.625</v>
      </c>
      <c r="J122" s="50">
        <v>24</v>
      </c>
    </row>
    <row r="123" spans="1:10" x14ac:dyDescent="0.2">
      <c r="A123" s="45" t="s">
        <v>33</v>
      </c>
      <c r="B123" s="45" t="s">
        <v>407</v>
      </c>
      <c r="C123" s="45" t="s">
        <v>349</v>
      </c>
      <c r="D123" s="50">
        <v>1008</v>
      </c>
      <c r="E123" s="50">
        <v>42</v>
      </c>
      <c r="F123" s="50">
        <v>16</v>
      </c>
      <c r="G123" s="50">
        <v>0.66666999999999998</v>
      </c>
      <c r="H123" s="50">
        <v>1024</v>
      </c>
      <c r="I123" s="50">
        <v>42.666670000000003</v>
      </c>
      <c r="J123" s="50">
        <v>24</v>
      </c>
    </row>
    <row r="124" spans="1:10" x14ac:dyDescent="0.2">
      <c r="A124" s="45" t="s">
        <v>34</v>
      </c>
      <c r="B124" s="45" t="s">
        <v>408</v>
      </c>
      <c r="C124" s="45" t="s">
        <v>349</v>
      </c>
      <c r="D124" s="50">
        <v>480</v>
      </c>
      <c r="E124" s="50">
        <v>20</v>
      </c>
      <c r="F124" s="50">
        <v>22</v>
      </c>
      <c r="G124" s="50">
        <v>0.91666999999999998</v>
      </c>
      <c r="H124" s="50">
        <v>502</v>
      </c>
      <c r="I124" s="50">
        <v>20.91667</v>
      </c>
      <c r="J124" s="50">
        <v>24</v>
      </c>
    </row>
    <row r="125" spans="1:10" x14ac:dyDescent="0.2">
      <c r="A125" s="45" t="s">
        <v>35</v>
      </c>
      <c r="B125" s="45" t="s">
        <v>409</v>
      </c>
      <c r="C125" s="45" t="s">
        <v>349</v>
      </c>
      <c r="D125" s="50">
        <v>0</v>
      </c>
      <c r="E125" s="50">
        <v>0</v>
      </c>
      <c r="F125" s="50">
        <v>19</v>
      </c>
      <c r="G125" s="50">
        <v>0.79166999999999998</v>
      </c>
      <c r="H125" s="50">
        <v>19</v>
      </c>
      <c r="I125" s="50">
        <v>0.79166999999999998</v>
      </c>
      <c r="J125" s="50">
        <v>24</v>
      </c>
    </row>
    <row r="126" spans="1:10" x14ac:dyDescent="0.2">
      <c r="A126" s="45" t="s">
        <v>36</v>
      </c>
      <c r="B126" s="45" t="s">
        <v>410</v>
      </c>
      <c r="C126" s="45" t="s">
        <v>349</v>
      </c>
      <c r="D126" s="50">
        <v>408</v>
      </c>
      <c r="E126" s="50">
        <v>17</v>
      </c>
      <c r="F126" s="50">
        <v>15</v>
      </c>
      <c r="G126" s="50">
        <v>0.625</v>
      </c>
      <c r="H126" s="50">
        <v>423</v>
      </c>
      <c r="I126" s="50">
        <v>17.625</v>
      </c>
      <c r="J126" s="50">
        <v>24</v>
      </c>
    </row>
    <row r="127" spans="1:10" x14ac:dyDescent="0.2">
      <c r="A127" s="45" t="s">
        <v>40</v>
      </c>
      <c r="B127" s="45" t="s">
        <v>411</v>
      </c>
      <c r="C127" s="45" t="s">
        <v>349</v>
      </c>
      <c r="D127" s="50">
        <v>384</v>
      </c>
      <c r="E127" s="50">
        <v>16</v>
      </c>
      <c r="F127" s="50">
        <v>24</v>
      </c>
      <c r="G127" s="50">
        <v>1</v>
      </c>
      <c r="H127" s="50">
        <v>408</v>
      </c>
      <c r="I127" s="50">
        <v>17</v>
      </c>
      <c r="J127" s="50">
        <v>24</v>
      </c>
    </row>
    <row r="128" spans="1:10" x14ac:dyDescent="0.2">
      <c r="A128" s="45" t="s">
        <v>37</v>
      </c>
      <c r="B128" s="45" t="s">
        <v>412</v>
      </c>
      <c r="C128" s="45" t="s">
        <v>349</v>
      </c>
      <c r="D128" s="50">
        <v>384</v>
      </c>
      <c r="E128" s="50">
        <v>16</v>
      </c>
      <c r="F128" s="50">
        <v>16</v>
      </c>
      <c r="G128" s="50">
        <v>0.66666999999999998</v>
      </c>
      <c r="H128" s="50">
        <v>400</v>
      </c>
      <c r="I128" s="50">
        <v>16.66667</v>
      </c>
      <c r="J128" s="50">
        <v>24</v>
      </c>
    </row>
    <row r="129" spans="1:10" x14ac:dyDescent="0.2">
      <c r="A129" s="45" t="s">
        <v>102</v>
      </c>
      <c r="B129" s="45" t="s">
        <v>413</v>
      </c>
      <c r="C129" s="45" t="s">
        <v>349</v>
      </c>
      <c r="D129" s="50">
        <v>432</v>
      </c>
      <c r="E129" s="50">
        <v>18</v>
      </c>
      <c r="F129" s="50">
        <v>20</v>
      </c>
      <c r="G129" s="50">
        <v>0.83333000000000002</v>
      </c>
      <c r="H129" s="50">
        <v>452</v>
      </c>
      <c r="I129" s="50">
        <v>18.83333</v>
      </c>
      <c r="J129" s="50">
        <v>24</v>
      </c>
    </row>
    <row r="130" spans="1:10" x14ac:dyDescent="0.2">
      <c r="A130" s="45" t="s">
        <v>372</v>
      </c>
      <c r="B130" s="45" t="s">
        <v>414</v>
      </c>
      <c r="C130" s="45" t="s">
        <v>349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0">
        <v>0</v>
      </c>
      <c r="J130" s="50">
        <v>12</v>
      </c>
    </row>
    <row r="131" spans="1:10" x14ac:dyDescent="0.2">
      <c r="A131" s="45" t="s">
        <v>356</v>
      </c>
      <c r="B131" s="45" t="s">
        <v>415</v>
      </c>
      <c r="C131" s="45" t="s">
        <v>349</v>
      </c>
      <c r="D131" s="50">
        <v>0</v>
      </c>
      <c r="E131" s="50">
        <v>0</v>
      </c>
      <c r="F131" s="50">
        <v>1</v>
      </c>
      <c r="G131" s="50">
        <v>0.25</v>
      </c>
      <c r="H131" s="50">
        <v>1</v>
      </c>
      <c r="I131" s="50">
        <v>0.25</v>
      </c>
      <c r="J131" s="50">
        <v>4</v>
      </c>
    </row>
    <row r="132" spans="1:10" x14ac:dyDescent="0.2">
      <c r="A132" s="45" t="s">
        <v>104</v>
      </c>
      <c r="B132" s="45" t="s">
        <v>416</v>
      </c>
      <c r="C132" s="45" t="s">
        <v>349</v>
      </c>
      <c r="D132" s="50">
        <v>0</v>
      </c>
      <c r="E132" s="50">
        <v>0</v>
      </c>
      <c r="F132" s="50">
        <v>20</v>
      </c>
      <c r="G132" s="50">
        <v>0.83333000000000002</v>
      </c>
      <c r="H132" s="50">
        <v>20</v>
      </c>
      <c r="I132" s="50">
        <v>0.83333000000000002</v>
      </c>
      <c r="J132" s="50">
        <v>24</v>
      </c>
    </row>
    <row r="133" spans="1:10" x14ac:dyDescent="0.2">
      <c r="A133" s="45" t="s">
        <v>103</v>
      </c>
      <c r="B133" s="45" t="s">
        <v>417</v>
      </c>
      <c r="C133" s="45" t="s">
        <v>349</v>
      </c>
      <c r="D133" s="50">
        <v>0</v>
      </c>
      <c r="E133" s="50">
        <v>0</v>
      </c>
      <c r="F133" s="50">
        <v>20</v>
      </c>
      <c r="G133" s="50">
        <v>0.83333000000000002</v>
      </c>
      <c r="H133" s="50">
        <v>20</v>
      </c>
      <c r="I133" s="50">
        <v>0.83333000000000002</v>
      </c>
      <c r="J133" s="50">
        <v>24</v>
      </c>
    </row>
    <row r="134" spans="1:10" x14ac:dyDescent="0.2">
      <c r="A134" s="45" t="s">
        <v>99</v>
      </c>
      <c r="B134" s="45" t="s">
        <v>418</v>
      </c>
      <c r="C134" s="45" t="s">
        <v>349</v>
      </c>
      <c r="D134" s="50">
        <v>576</v>
      </c>
      <c r="E134" s="50">
        <v>24</v>
      </c>
      <c r="F134" s="50">
        <v>17</v>
      </c>
      <c r="G134" s="50">
        <v>0.70833000000000002</v>
      </c>
      <c r="H134" s="50">
        <v>593</v>
      </c>
      <c r="I134" s="50">
        <v>24.70833</v>
      </c>
      <c r="J134" s="50">
        <v>24</v>
      </c>
    </row>
    <row r="135" spans="1:10" x14ac:dyDescent="0.2">
      <c r="A135" s="45" t="s">
        <v>101</v>
      </c>
      <c r="B135" s="45" t="s">
        <v>419</v>
      </c>
      <c r="C135" s="45" t="s">
        <v>349</v>
      </c>
      <c r="D135" s="50">
        <v>0</v>
      </c>
      <c r="E135" s="50">
        <v>0</v>
      </c>
      <c r="F135" s="50">
        <v>7</v>
      </c>
      <c r="G135" s="50">
        <v>0.58333000000000002</v>
      </c>
      <c r="H135" s="50">
        <v>7</v>
      </c>
      <c r="I135" s="50">
        <v>0.58333000000000002</v>
      </c>
      <c r="J135" s="50">
        <v>12</v>
      </c>
    </row>
    <row r="136" spans="1:10" x14ac:dyDescent="0.2">
      <c r="A136" s="45" t="s">
        <v>100</v>
      </c>
      <c r="B136" s="45" t="s">
        <v>420</v>
      </c>
      <c r="C136" s="45" t="s">
        <v>349</v>
      </c>
      <c r="D136" s="50">
        <v>24</v>
      </c>
      <c r="E136" s="50">
        <v>1</v>
      </c>
      <c r="F136" s="50">
        <v>17</v>
      </c>
      <c r="G136" s="50">
        <v>0.70833000000000002</v>
      </c>
      <c r="H136" s="50">
        <v>41</v>
      </c>
      <c r="I136" s="50">
        <v>1.7083299999999999</v>
      </c>
      <c r="J136" s="50">
        <v>24</v>
      </c>
    </row>
    <row r="137" spans="1:10" x14ac:dyDescent="0.2">
      <c r="A137" s="45" t="s">
        <v>506</v>
      </c>
      <c r="B137" s="45" t="s">
        <v>603</v>
      </c>
      <c r="C137" s="45" t="s">
        <v>349</v>
      </c>
      <c r="D137" s="50">
        <v>0</v>
      </c>
      <c r="E137" s="50">
        <v>0</v>
      </c>
      <c r="F137" s="50">
        <v>23</v>
      </c>
      <c r="G137" s="50">
        <v>0.95833000000000002</v>
      </c>
      <c r="H137" s="50">
        <v>23</v>
      </c>
      <c r="I137" s="50">
        <v>0.95833000000000002</v>
      </c>
      <c r="J137" s="50">
        <v>24</v>
      </c>
    </row>
    <row r="138" spans="1:10" x14ac:dyDescent="0.2">
      <c r="A138" s="45" t="s">
        <v>41</v>
      </c>
      <c r="B138" s="45" t="s">
        <v>421</v>
      </c>
      <c r="C138" s="45" t="s">
        <v>349</v>
      </c>
      <c r="D138" s="50">
        <v>0</v>
      </c>
      <c r="E138" s="50">
        <v>0</v>
      </c>
      <c r="F138" s="50">
        <v>22</v>
      </c>
      <c r="G138" s="50">
        <v>0.91666999999999998</v>
      </c>
      <c r="H138" s="50">
        <v>22</v>
      </c>
      <c r="I138" s="50">
        <v>0.91666999999999998</v>
      </c>
      <c r="J138" s="50">
        <v>24</v>
      </c>
    </row>
    <row r="139" spans="1:10" x14ac:dyDescent="0.2">
      <c r="A139" s="45" t="s">
        <v>42</v>
      </c>
      <c r="B139" s="45" t="s">
        <v>422</v>
      </c>
      <c r="C139" s="45" t="s">
        <v>349</v>
      </c>
      <c r="D139" s="50">
        <v>1032</v>
      </c>
      <c r="E139" s="50">
        <v>43</v>
      </c>
      <c r="F139" s="50">
        <v>22</v>
      </c>
      <c r="G139" s="50">
        <v>0.91666999999999998</v>
      </c>
      <c r="H139" s="50">
        <v>1054</v>
      </c>
      <c r="I139" s="50">
        <v>43.916670000000003</v>
      </c>
      <c r="J139" s="50">
        <v>24</v>
      </c>
    </row>
    <row r="140" spans="1:10" x14ac:dyDescent="0.2">
      <c r="A140" s="45" t="s">
        <v>43</v>
      </c>
      <c r="B140" s="45" t="s">
        <v>423</v>
      </c>
      <c r="C140" s="45" t="s">
        <v>349</v>
      </c>
      <c r="D140" s="50">
        <v>0</v>
      </c>
      <c r="E140" s="50">
        <v>0</v>
      </c>
      <c r="F140" s="50">
        <v>21</v>
      </c>
      <c r="G140" s="50">
        <v>0.875</v>
      </c>
      <c r="H140" s="50">
        <v>21</v>
      </c>
      <c r="I140" s="50">
        <v>0.875</v>
      </c>
      <c r="J140" s="50">
        <v>24</v>
      </c>
    </row>
    <row r="141" spans="1:10" x14ac:dyDescent="0.2">
      <c r="A141" s="45" t="s">
        <v>44</v>
      </c>
      <c r="B141" s="45" t="s">
        <v>424</v>
      </c>
      <c r="C141" s="45" t="s">
        <v>349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24</v>
      </c>
    </row>
    <row r="142" spans="1:10" x14ac:dyDescent="0.2">
      <c r="A142" s="45" t="s">
        <v>45</v>
      </c>
      <c r="B142" s="45" t="s">
        <v>425</v>
      </c>
      <c r="C142" s="45" t="s">
        <v>349</v>
      </c>
      <c r="D142" s="50">
        <v>984</v>
      </c>
      <c r="E142" s="50">
        <v>41</v>
      </c>
      <c r="F142" s="50">
        <v>22</v>
      </c>
      <c r="G142" s="50">
        <v>0.91666999999999998</v>
      </c>
      <c r="H142" s="50">
        <v>1006</v>
      </c>
      <c r="I142" s="50">
        <v>41.916670000000003</v>
      </c>
      <c r="J142" s="50">
        <v>24</v>
      </c>
    </row>
    <row r="143" spans="1:10" x14ac:dyDescent="0.2">
      <c r="A143" s="45" t="s">
        <v>46</v>
      </c>
      <c r="B143" s="45" t="s">
        <v>426</v>
      </c>
      <c r="C143" s="45" t="s">
        <v>349</v>
      </c>
      <c r="D143" s="50">
        <v>600</v>
      </c>
      <c r="E143" s="50">
        <v>25</v>
      </c>
      <c r="F143" s="50">
        <v>16</v>
      </c>
      <c r="G143" s="50">
        <v>0.66666999999999998</v>
      </c>
      <c r="H143" s="50">
        <v>616</v>
      </c>
      <c r="I143" s="50">
        <v>25.66667</v>
      </c>
      <c r="J143" s="50">
        <v>24</v>
      </c>
    </row>
    <row r="144" spans="1:10" x14ac:dyDescent="0.2">
      <c r="A144" s="45" t="s">
        <v>294</v>
      </c>
      <c r="B144" s="45" t="s">
        <v>295</v>
      </c>
      <c r="C144" s="45" t="s">
        <v>349</v>
      </c>
      <c r="D144" s="50">
        <v>0</v>
      </c>
      <c r="E144" s="50">
        <v>0</v>
      </c>
      <c r="F144" s="50">
        <v>0</v>
      </c>
      <c r="G144" s="50">
        <v>0</v>
      </c>
      <c r="H144" s="50">
        <v>0</v>
      </c>
      <c r="I144" s="50">
        <v>0</v>
      </c>
      <c r="J144" s="50">
        <v>0</v>
      </c>
    </row>
    <row r="145" spans="1:10" x14ac:dyDescent="0.2">
      <c r="A145" s="45" t="s">
        <v>296</v>
      </c>
      <c r="B145" s="45" t="s">
        <v>297</v>
      </c>
      <c r="C145" s="45" t="s">
        <v>349</v>
      </c>
      <c r="D145" s="50">
        <v>0</v>
      </c>
      <c r="E145" s="50">
        <v>0</v>
      </c>
      <c r="F145" s="50">
        <v>0</v>
      </c>
      <c r="G145" s="50">
        <v>0</v>
      </c>
      <c r="H145" s="50">
        <v>0</v>
      </c>
      <c r="I145" s="50">
        <v>0</v>
      </c>
      <c r="J145" s="50">
        <v>0</v>
      </c>
    </row>
    <row r="146" spans="1:10" x14ac:dyDescent="0.2">
      <c r="A146" s="45" t="s">
        <v>298</v>
      </c>
      <c r="B146" s="45" t="s">
        <v>299</v>
      </c>
      <c r="C146" s="45" t="s">
        <v>349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0">
        <v>0</v>
      </c>
      <c r="J146" s="50">
        <v>0</v>
      </c>
    </row>
    <row r="147" spans="1:10" x14ac:dyDescent="0.2">
      <c r="A147" s="45" t="s">
        <v>300</v>
      </c>
      <c r="B147" s="45" t="s">
        <v>301</v>
      </c>
      <c r="C147" s="45" t="s">
        <v>349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0">
        <v>0</v>
      </c>
      <c r="J147" s="50">
        <v>0</v>
      </c>
    </row>
    <row r="148" spans="1:10" x14ac:dyDescent="0.2">
      <c r="A148" s="45" t="s">
        <v>302</v>
      </c>
      <c r="B148" s="45" t="s">
        <v>319</v>
      </c>
      <c r="C148" s="45" t="s">
        <v>349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0">
        <v>0</v>
      </c>
      <c r="J148" s="50">
        <v>0</v>
      </c>
    </row>
    <row r="149" spans="1:10" x14ac:dyDescent="0.2">
      <c r="A149" s="45" t="s">
        <v>223</v>
      </c>
      <c r="B149" s="45" t="s">
        <v>182</v>
      </c>
      <c r="C149" s="45" t="s">
        <v>336</v>
      </c>
      <c r="D149" s="50">
        <v>112</v>
      </c>
      <c r="E149" s="50">
        <v>112</v>
      </c>
      <c r="F149" s="50">
        <v>7</v>
      </c>
      <c r="G149" s="50">
        <v>7</v>
      </c>
      <c r="H149" s="50">
        <v>119</v>
      </c>
      <c r="I149" s="50">
        <v>119</v>
      </c>
      <c r="J149" s="50">
        <v>1</v>
      </c>
    </row>
    <row r="150" spans="1:10" x14ac:dyDescent="0.2">
      <c r="A150" s="45" t="s">
        <v>303</v>
      </c>
      <c r="B150" s="45" t="s">
        <v>304</v>
      </c>
      <c r="C150" s="45" t="s">
        <v>349</v>
      </c>
      <c r="D150" s="50">
        <v>0</v>
      </c>
      <c r="E150" s="50">
        <v>0</v>
      </c>
      <c r="F150" s="50">
        <v>0</v>
      </c>
      <c r="G150" s="50">
        <v>0</v>
      </c>
      <c r="H150" s="50">
        <v>0</v>
      </c>
      <c r="I150" s="50">
        <v>0</v>
      </c>
      <c r="J150" s="50">
        <v>0</v>
      </c>
    </row>
    <row r="151" spans="1:10" x14ac:dyDescent="0.2">
      <c r="A151" s="45" t="s">
        <v>305</v>
      </c>
      <c r="B151" s="45" t="s">
        <v>306</v>
      </c>
      <c r="C151" s="45" t="s">
        <v>349</v>
      </c>
      <c r="D151" s="50">
        <v>0</v>
      </c>
      <c r="E151" s="50">
        <v>0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</row>
    <row r="152" spans="1:10" x14ac:dyDescent="0.2">
      <c r="A152" s="45" t="s">
        <v>307</v>
      </c>
      <c r="B152" s="45" t="s">
        <v>308</v>
      </c>
      <c r="C152" s="45" t="s">
        <v>349</v>
      </c>
      <c r="D152" s="50">
        <v>0</v>
      </c>
      <c r="E152" s="50">
        <v>0</v>
      </c>
      <c r="F152" s="50">
        <v>0</v>
      </c>
      <c r="G152" s="50">
        <v>0</v>
      </c>
      <c r="H152" s="50">
        <v>0</v>
      </c>
      <c r="I152" s="50">
        <v>0</v>
      </c>
      <c r="J152" s="50">
        <v>0</v>
      </c>
    </row>
    <row r="153" spans="1:10" x14ac:dyDescent="0.2">
      <c r="A153" s="45" t="s">
        <v>309</v>
      </c>
      <c r="B153" s="45" t="s">
        <v>310</v>
      </c>
      <c r="C153" s="45" t="s">
        <v>349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</row>
    <row r="154" spans="1:10" x14ac:dyDescent="0.2">
      <c r="A154" s="45" t="s">
        <v>311</v>
      </c>
      <c r="B154" s="45" t="s">
        <v>312</v>
      </c>
      <c r="C154" s="45" t="s">
        <v>349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0">
        <v>0</v>
      </c>
      <c r="J154" s="50">
        <v>0</v>
      </c>
    </row>
    <row r="155" spans="1:10" x14ac:dyDescent="0.2">
      <c r="A155" s="45" t="s">
        <v>313</v>
      </c>
      <c r="B155" s="45" t="s">
        <v>314</v>
      </c>
      <c r="C155" s="45" t="s">
        <v>349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0">
        <v>0</v>
      </c>
      <c r="J155" s="50">
        <v>0</v>
      </c>
    </row>
    <row r="156" spans="1:10" x14ac:dyDescent="0.2">
      <c r="A156" s="45" t="s">
        <v>315</v>
      </c>
      <c r="B156" s="45" t="s">
        <v>320</v>
      </c>
      <c r="C156" s="45" t="s">
        <v>349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0">
        <v>0</v>
      </c>
      <c r="J156" s="50">
        <v>0</v>
      </c>
    </row>
    <row r="157" spans="1:10" x14ac:dyDescent="0.2">
      <c r="A157" s="45" t="s">
        <v>316</v>
      </c>
      <c r="B157" s="45" t="s">
        <v>317</v>
      </c>
      <c r="C157" s="45" t="s">
        <v>349</v>
      </c>
      <c r="D157" s="50">
        <v>0</v>
      </c>
      <c r="E157" s="50">
        <v>0</v>
      </c>
      <c r="F157" s="50">
        <v>0</v>
      </c>
      <c r="G157" s="50">
        <v>0</v>
      </c>
      <c r="H157" s="50">
        <v>0</v>
      </c>
      <c r="I157" s="50">
        <v>0</v>
      </c>
      <c r="J157" s="50">
        <v>0</v>
      </c>
    </row>
    <row r="158" spans="1:10" x14ac:dyDescent="0.2">
      <c r="A158" s="45" t="s">
        <v>350</v>
      </c>
      <c r="B158" s="45" t="s">
        <v>351</v>
      </c>
      <c r="C158" s="45" t="s">
        <v>349</v>
      </c>
      <c r="D158" s="50">
        <v>0</v>
      </c>
      <c r="E158" s="50">
        <v>0</v>
      </c>
      <c r="F158" s="50">
        <v>0</v>
      </c>
      <c r="G158" s="50">
        <v>0</v>
      </c>
      <c r="H158" s="50">
        <v>0</v>
      </c>
      <c r="I158" s="50">
        <v>0</v>
      </c>
      <c r="J158" s="50">
        <v>0</v>
      </c>
    </row>
    <row r="159" spans="1:10" x14ac:dyDescent="0.2">
      <c r="A159" s="45" t="s">
        <v>393</v>
      </c>
      <c r="B159" s="45" t="s">
        <v>394</v>
      </c>
      <c r="C159" s="45" t="s">
        <v>349</v>
      </c>
      <c r="D159" s="50">
        <v>0</v>
      </c>
      <c r="E159" s="50">
        <v>0</v>
      </c>
      <c r="F159" s="50">
        <v>0</v>
      </c>
      <c r="G159" s="50">
        <v>0</v>
      </c>
      <c r="H159" s="50">
        <v>0</v>
      </c>
      <c r="I159" s="50">
        <v>0</v>
      </c>
      <c r="J159" s="50">
        <v>0</v>
      </c>
    </row>
    <row r="160" spans="1:10" x14ac:dyDescent="0.2">
      <c r="A160" s="45" t="s">
        <v>273</v>
      </c>
      <c r="B160" s="45" t="s">
        <v>290</v>
      </c>
      <c r="C160" s="45" t="s">
        <v>349</v>
      </c>
      <c r="D160" s="50">
        <v>0</v>
      </c>
      <c r="E160" s="50">
        <v>0</v>
      </c>
      <c r="F160" s="50">
        <v>0</v>
      </c>
      <c r="G160" s="50">
        <v>0</v>
      </c>
      <c r="H160" s="50">
        <v>0</v>
      </c>
      <c r="I160" s="50">
        <v>0</v>
      </c>
      <c r="J160" s="50">
        <v>0</v>
      </c>
    </row>
    <row r="161" spans="1:10" x14ac:dyDescent="0.2">
      <c r="A161" s="45" t="s">
        <v>274</v>
      </c>
      <c r="B161" s="45" t="s">
        <v>291</v>
      </c>
      <c r="C161" s="45" t="s">
        <v>349</v>
      </c>
      <c r="D161" s="50">
        <v>0</v>
      </c>
      <c r="E161" s="50">
        <v>0</v>
      </c>
      <c r="F161" s="50">
        <v>0</v>
      </c>
      <c r="G161" s="50">
        <v>0</v>
      </c>
      <c r="H161" s="50">
        <v>0</v>
      </c>
      <c r="I161" s="50">
        <v>0</v>
      </c>
      <c r="J161" s="50">
        <v>0</v>
      </c>
    </row>
    <row r="162" spans="1:10" x14ac:dyDescent="0.2">
      <c r="A162" s="45" t="s">
        <v>68</v>
      </c>
      <c r="B162" s="45" t="s">
        <v>427</v>
      </c>
      <c r="C162" s="45" t="s">
        <v>349</v>
      </c>
      <c r="D162" s="50">
        <v>400</v>
      </c>
      <c r="E162" s="50">
        <v>8</v>
      </c>
      <c r="F162" s="50">
        <v>46</v>
      </c>
      <c r="G162" s="50">
        <v>0.92</v>
      </c>
      <c r="H162" s="50">
        <v>446</v>
      </c>
      <c r="I162" s="50">
        <v>8.92</v>
      </c>
      <c r="J162" s="50">
        <v>50</v>
      </c>
    </row>
    <row r="163" spans="1:10" x14ac:dyDescent="0.2">
      <c r="A163" s="45" t="s">
        <v>69</v>
      </c>
      <c r="B163" s="45" t="s">
        <v>428</v>
      </c>
      <c r="C163" s="45" t="s">
        <v>349</v>
      </c>
      <c r="D163" s="50">
        <v>0</v>
      </c>
      <c r="E163" s="50">
        <v>0</v>
      </c>
      <c r="F163" s="50">
        <v>46</v>
      </c>
      <c r="G163" s="50">
        <v>0.92</v>
      </c>
      <c r="H163" s="50">
        <v>46</v>
      </c>
      <c r="I163" s="50">
        <v>0.92</v>
      </c>
      <c r="J163" s="50">
        <v>50</v>
      </c>
    </row>
    <row r="164" spans="1:10" x14ac:dyDescent="0.2">
      <c r="A164" s="45" t="s">
        <v>70</v>
      </c>
      <c r="B164" s="45" t="s">
        <v>429</v>
      </c>
      <c r="C164" s="45" t="s">
        <v>349</v>
      </c>
      <c r="D164" s="50">
        <v>7600</v>
      </c>
      <c r="E164" s="50">
        <v>152</v>
      </c>
      <c r="F164" s="50">
        <v>46</v>
      </c>
      <c r="G164" s="50">
        <v>0.92</v>
      </c>
      <c r="H164" s="50">
        <v>7646</v>
      </c>
      <c r="I164" s="50">
        <v>152.91999999999999</v>
      </c>
      <c r="J164" s="50">
        <v>50</v>
      </c>
    </row>
    <row r="165" spans="1:10" x14ac:dyDescent="0.2">
      <c r="A165" s="45" t="s">
        <v>71</v>
      </c>
      <c r="B165" s="45" t="s">
        <v>430</v>
      </c>
      <c r="C165" s="45" t="s">
        <v>349</v>
      </c>
      <c r="D165" s="50">
        <v>1300</v>
      </c>
      <c r="E165" s="50">
        <v>26</v>
      </c>
      <c r="F165" s="50">
        <v>46</v>
      </c>
      <c r="G165" s="50">
        <v>0.92</v>
      </c>
      <c r="H165" s="50">
        <v>1346</v>
      </c>
      <c r="I165" s="50">
        <v>26.92</v>
      </c>
      <c r="J165" s="50">
        <v>50</v>
      </c>
    </row>
    <row r="166" spans="1:10" x14ac:dyDescent="0.2">
      <c r="A166" s="45" t="s">
        <v>72</v>
      </c>
      <c r="B166" s="45" t="s">
        <v>431</v>
      </c>
      <c r="C166" s="45" t="s">
        <v>349</v>
      </c>
      <c r="D166" s="50">
        <v>0</v>
      </c>
      <c r="E166" s="50">
        <v>0</v>
      </c>
      <c r="F166" s="50">
        <v>928</v>
      </c>
      <c r="G166" s="50">
        <v>18.559999999999999</v>
      </c>
      <c r="H166" s="50">
        <v>928</v>
      </c>
      <c r="I166" s="50">
        <v>18.559999999999999</v>
      </c>
      <c r="J166" s="50">
        <v>50</v>
      </c>
    </row>
    <row r="167" spans="1:10" x14ac:dyDescent="0.2">
      <c r="A167" s="45" t="s">
        <v>65</v>
      </c>
      <c r="B167" s="45" t="s">
        <v>432</v>
      </c>
      <c r="C167" s="45" t="s">
        <v>349</v>
      </c>
      <c r="D167" s="50">
        <v>0</v>
      </c>
      <c r="E167" s="50">
        <v>0</v>
      </c>
      <c r="F167" s="50">
        <v>96</v>
      </c>
      <c r="G167" s="50">
        <v>0.96</v>
      </c>
      <c r="H167" s="50">
        <v>96</v>
      </c>
      <c r="I167" s="50">
        <v>0.96</v>
      </c>
      <c r="J167" s="50">
        <v>100</v>
      </c>
    </row>
    <row r="168" spans="1:10" x14ac:dyDescent="0.2">
      <c r="A168" s="45" t="s">
        <v>73</v>
      </c>
      <c r="B168" s="45" t="s">
        <v>433</v>
      </c>
      <c r="C168" s="45" t="s">
        <v>349</v>
      </c>
      <c r="D168" s="50">
        <v>0</v>
      </c>
      <c r="E168" s="50">
        <v>0</v>
      </c>
      <c r="F168" s="50">
        <v>46</v>
      </c>
      <c r="G168" s="50">
        <v>0.92</v>
      </c>
      <c r="H168" s="50">
        <v>46</v>
      </c>
      <c r="I168" s="50">
        <v>0.92</v>
      </c>
      <c r="J168" s="50">
        <v>50</v>
      </c>
    </row>
    <row r="169" spans="1:10" x14ac:dyDescent="0.2">
      <c r="A169" s="45" t="s">
        <v>224</v>
      </c>
      <c r="B169" s="45" t="s">
        <v>434</v>
      </c>
      <c r="C169" s="45" t="s">
        <v>349</v>
      </c>
      <c r="D169" s="50">
        <v>250</v>
      </c>
      <c r="E169" s="50">
        <v>5</v>
      </c>
      <c r="F169" s="50">
        <v>48</v>
      </c>
      <c r="G169" s="50">
        <v>0.96</v>
      </c>
      <c r="H169" s="50">
        <v>298</v>
      </c>
      <c r="I169" s="50">
        <v>5.96</v>
      </c>
      <c r="J169" s="50">
        <v>50</v>
      </c>
    </row>
    <row r="170" spans="1:10" x14ac:dyDescent="0.2">
      <c r="A170" s="45" t="s">
        <v>74</v>
      </c>
      <c r="B170" s="45" t="s">
        <v>435</v>
      </c>
      <c r="C170" s="45" t="s">
        <v>349</v>
      </c>
      <c r="D170" s="50">
        <v>0</v>
      </c>
      <c r="E170" s="50">
        <v>0</v>
      </c>
      <c r="F170" s="50">
        <v>46</v>
      </c>
      <c r="G170" s="50">
        <v>0.92</v>
      </c>
      <c r="H170" s="50">
        <v>46</v>
      </c>
      <c r="I170" s="50">
        <v>0.92</v>
      </c>
      <c r="J170" s="50">
        <v>50</v>
      </c>
    </row>
    <row r="171" spans="1:10" x14ac:dyDescent="0.2">
      <c r="A171" s="45" t="s">
        <v>75</v>
      </c>
      <c r="B171" s="45" t="s">
        <v>436</v>
      </c>
      <c r="C171" s="45" t="s">
        <v>349</v>
      </c>
      <c r="D171" s="50">
        <v>0</v>
      </c>
      <c r="E171" s="50">
        <v>0</v>
      </c>
      <c r="F171" s="50">
        <v>46</v>
      </c>
      <c r="G171" s="50">
        <v>0.92</v>
      </c>
      <c r="H171" s="50">
        <v>46</v>
      </c>
      <c r="I171" s="50">
        <v>0.92</v>
      </c>
      <c r="J171" s="50">
        <v>50</v>
      </c>
    </row>
    <row r="172" spans="1:10" x14ac:dyDescent="0.2">
      <c r="A172" s="45" t="s">
        <v>76</v>
      </c>
      <c r="B172" s="45" t="s">
        <v>437</v>
      </c>
      <c r="C172" s="45" t="s">
        <v>349</v>
      </c>
      <c r="D172" s="50">
        <v>150</v>
      </c>
      <c r="E172" s="50">
        <v>3</v>
      </c>
      <c r="F172" s="50">
        <v>0</v>
      </c>
      <c r="G172" s="50">
        <v>0</v>
      </c>
      <c r="H172" s="50">
        <v>150</v>
      </c>
      <c r="I172" s="50">
        <v>3</v>
      </c>
      <c r="J172" s="50">
        <v>50</v>
      </c>
    </row>
    <row r="173" spans="1:10" x14ac:dyDescent="0.2">
      <c r="A173" s="45" t="s">
        <v>77</v>
      </c>
      <c r="B173" s="45" t="s">
        <v>438</v>
      </c>
      <c r="C173" s="45" t="s">
        <v>349</v>
      </c>
      <c r="D173" s="50">
        <v>0</v>
      </c>
      <c r="E173" s="50">
        <v>0</v>
      </c>
      <c r="F173" s="50">
        <v>99</v>
      </c>
      <c r="G173" s="50">
        <v>0.99</v>
      </c>
      <c r="H173" s="50">
        <v>99</v>
      </c>
      <c r="I173" s="50">
        <v>0.99</v>
      </c>
      <c r="J173" s="50">
        <v>100</v>
      </c>
    </row>
    <row r="174" spans="1:10" x14ac:dyDescent="0.2">
      <c r="A174" s="45" t="s">
        <v>78</v>
      </c>
      <c r="B174" s="45" t="s">
        <v>439</v>
      </c>
      <c r="C174" s="45" t="s">
        <v>349</v>
      </c>
      <c r="D174" s="50">
        <v>250</v>
      </c>
      <c r="E174" s="50">
        <v>5</v>
      </c>
      <c r="F174" s="50">
        <v>46</v>
      </c>
      <c r="G174" s="50">
        <v>0.92</v>
      </c>
      <c r="H174" s="50">
        <v>296</v>
      </c>
      <c r="I174" s="50">
        <v>5.92</v>
      </c>
      <c r="J174" s="50">
        <v>50</v>
      </c>
    </row>
    <row r="175" spans="1:10" x14ac:dyDescent="0.2">
      <c r="A175" s="45" t="s">
        <v>225</v>
      </c>
      <c r="B175" s="45" t="s">
        <v>440</v>
      </c>
      <c r="C175" s="45" t="s">
        <v>349</v>
      </c>
      <c r="D175" s="50">
        <v>0</v>
      </c>
      <c r="E175" s="50">
        <v>0</v>
      </c>
      <c r="F175" s="50">
        <v>48</v>
      </c>
      <c r="G175" s="50">
        <v>0.96</v>
      </c>
      <c r="H175" s="50">
        <v>48</v>
      </c>
      <c r="I175" s="50">
        <v>0.96</v>
      </c>
      <c r="J175" s="50">
        <v>50</v>
      </c>
    </row>
    <row r="176" spans="1:10" x14ac:dyDescent="0.2">
      <c r="A176" s="45" t="s">
        <v>79</v>
      </c>
      <c r="B176" s="45" t="s">
        <v>441</v>
      </c>
      <c r="C176" s="45" t="s">
        <v>349</v>
      </c>
      <c r="D176" s="50">
        <v>0</v>
      </c>
      <c r="E176" s="50">
        <v>0</v>
      </c>
      <c r="F176" s="50">
        <v>40</v>
      </c>
      <c r="G176" s="50">
        <v>0.8</v>
      </c>
      <c r="H176" s="50">
        <v>40</v>
      </c>
      <c r="I176" s="50">
        <v>0.8</v>
      </c>
      <c r="J176" s="50">
        <v>50</v>
      </c>
    </row>
    <row r="177" spans="1:10" x14ac:dyDescent="0.2">
      <c r="A177" s="45" t="s">
        <v>66</v>
      </c>
      <c r="B177" s="45" t="s">
        <v>442</v>
      </c>
      <c r="C177" s="45" t="s">
        <v>349</v>
      </c>
      <c r="D177" s="50">
        <v>13900</v>
      </c>
      <c r="E177" s="50">
        <v>278</v>
      </c>
      <c r="F177" s="50">
        <v>40</v>
      </c>
      <c r="G177" s="50">
        <v>0.8</v>
      </c>
      <c r="H177" s="50">
        <v>13940</v>
      </c>
      <c r="I177" s="50">
        <v>278.8</v>
      </c>
      <c r="J177" s="50">
        <v>50</v>
      </c>
    </row>
    <row r="178" spans="1:10" x14ac:dyDescent="0.2">
      <c r="A178" s="45" t="s">
        <v>67</v>
      </c>
      <c r="B178" s="45" t="s">
        <v>443</v>
      </c>
      <c r="C178" s="45" t="s">
        <v>349</v>
      </c>
      <c r="D178" s="50">
        <v>7300</v>
      </c>
      <c r="E178" s="50">
        <v>146</v>
      </c>
      <c r="F178" s="50">
        <v>41</v>
      </c>
      <c r="G178" s="50">
        <v>0.82</v>
      </c>
      <c r="H178" s="50">
        <v>7341</v>
      </c>
      <c r="I178" s="50">
        <v>146.82</v>
      </c>
      <c r="J178" s="50">
        <v>50</v>
      </c>
    </row>
    <row r="179" spans="1:10" x14ac:dyDescent="0.2">
      <c r="A179" s="45" t="s">
        <v>80</v>
      </c>
      <c r="B179" s="45" t="s">
        <v>444</v>
      </c>
      <c r="C179" s="45" t="s">
        <v>349</v>
      </c>
      <c r="D179" s="50">
        <v>0</v>
      </c>
      <c r="E179" s="50">
        <v>0</v>
      </c>
      <c r="F179" s="50">
        <v>46</v>
      </c>
      <c r="G179" s="50">
        <v>0.92</v>
      </c>
      <c r="H179" s="50">
        <v>46</v>
      </c>
      <c r="I179" s="50">
        <v>0.92</v>
      </c>
      <c r="J179" s="50">
        <v>50</v>
      </c>
    </row>
    <row r="180" spans="1:10" x14ac:dyDescent="0.2">
      <c r="A180" s="45" t="s">
        <v>81</v>
      </c>
      <c r="B180" s="45" t="s">
        <v>445</v>
      </c>
      <c r="C180" s="45" t="s">
        <v>349</v>
      </c>
      <c r="D180" s="50">
        <v>0</v>
      </c>
      <c r="E180" s="50">
        <v>0</v>
      </c>
      <c r="F180" s="50">
        <v>196</v>
      </c>
      <c r="G180" s="50">
        <v>3.92</v>
      </c>
      <c r="H180" s="50">
        <v>196</v>
      </c>
      <c r="I180" s="50">
        <v>3.92</v>
      </c>
      <c r="J180" s="50">
        <v>50</v>
      </c>
    </row>
    <row r="181" spans="1:10" x14ac:dyDescent="0.2">
      <c r="A181" s="45" t="s">
        <v>82</v>
      </c>
      <c r="B181" s="45" t="s">
        <v>446</v>
      </c>
      <c r="C181" s="45" t="s">
        <v>349</v>
      </c>
      <c r="D181" s="50">
        <v>250</v>
      </c>
      <c r="E181" s="50">
        <v>5</v>
      </c>
      <c r="F181" s="50">
        <v>43</v>
      </c>
      <c r="G181" s="50">
        <v>0.86</v>
      </c>
      <c r="H181" s="50">
        <v>293</v>
      </c>
      <c r="I181" s="50">
        <v>5.86</v>
      </c>
      <c r="J181" s="50">
        <v>50</v>
      </c>
    </row>
    <row r="182" spans="1:10" x14ac:dyDescent="0.2">
      <c r="A182" s="45" t="s">
        <v>83</v>
      </c>
      <c r="B182" s="45" t="s">
        <v>447</v>
      </c>
      <c r="C182" s="45" t="s">
        <v>349</v>
      </c>
      <c r="D182" s="50">
        <v>0</v>
      </c>
      <c r="E182" s="50">
        <v>0</v>
      </c>
      <c r="F182" s="50">
        <v>46</v>
      </c>
      <c r="G182" s="50">
        <v>0.92</v>
      </c>
      <c r="H182" s="50">
        <v>46</v>
      </c>
      <c r="I182" s="50">
        <v>0.92</v>
      </c>
      <c r="J182" s="50">
        <v>50</v>
      </c>
    </row>
    <row r="183" spans="1:10" x14ac:dyDescent="0.2">
      <c r="A183" s="45" t="s">
        <v>84</v>
      </c>
      <c r="B183" s="45" t="s">
        <v>448</v>
      </c>
      <c r="C183" s="45" t="s">
        <v>349</v>
      </c>
      <c r="D183" s="50">
        <v>700</v>
      </c>
      <c r="E183" s="50">
        <v>14</v>
      </c>
      <c r="F183" s="50">
        <v>46</v>
      </c>
      <c r="G183" s="50">
        <v>0.92</v>
      </c>
      <c r="H183" s="50">
        <v>746</v>
      </c>
      <c r="I183" s="50">
        <v>14.92</v>
      </c>
      <c r="J183" s="50">
        <v>50</v>
      </c>
    </row>
    <row r="184" spans="1:10" x14ac:dyDescent="0.2">
      <c r="A184" s="45" t="s">
        <v>85</v>
      </c>
      <c r="B184" s="45" t="s">
        <v>449</v>
      </c>
      <c r="C184" s="45" t="s">
        <v>349</v>
      </c>
      <c r="D184" s="50">
        <v>0</v>
      </c>
      <c r="E184" s="50">
        <v>0</v>
      </c>
      <c r="F184" s="50">
        <v>235</v>
      </c>
      <c r="G184" s="50">
        <v>4.7</v>
      </c>
      <c r="H184" s="50">
        <v>235</v>
      </c>
      <c r="I184" s="50">
        <v>4.7</v>
      </c>
      <c r="J184" s="50">
        <v>50</v>
      </c>
    </row>
    <row r="185" spans="1:10" x14ac:dyDescent="0.2">
      <c r="A185" s="45" t="s">
        <v>86</v>
      </c>
      <c r="B185" s="45" t="s">
        <v>450</v>
      </c>
      <c r="C185" s="45" t="s">
        <v>349</v>
      </c>
      <c r="D185" s="50">
        <v>600</v>
      </c>
      <c r="E185" s="50">
        <v>12</v>
      </c>
      <c r="F185" s="50">
        <v>387</v>
      </c>
      <c r="G185" s="50">
        <v>7.74</v>
      </c>
      <c r="H185" s="50">
        <v>987</v>
      </c>
      <c r="I185" s="50">
        <v>19.739999999999998</v>
      </c>
      <c r="J185" s="50">
        <v>50</v>
      </c>
    </row>
    <row r="186" spans="1:10" x14ac:dyDescent="0.2">
      <c r="A186" s="45" t="s">
        <v>226</v>
      </c>
      <c r="B186" s="45" t="s">
        <v>451</v>
      </c>
      <c r="C186" s="45" t="s">
        <v>349</v>
      </c>
      <c r="D186" s="50">
        <v>3242</v>
      </c>
      <c r="E186" s="50">
        <v>64.84</v>
      </c>
      <c r="F186" s="50">
        <v>48</v>
      </c>
      <c r="G186" s="50">
        <v>0.96</v>
      </c>
      <c r="H186" s="50">
        <v>3290</v>
      </c>
      <c r="I186" s="50">
        <v>65.8</v>
      </c>
      <c r="J186" s="50">
        <v>50</v>
      </c>
    </row>
    <row r="187" spans="1:10" x14ac:dyDescent="0.2">
      <c r="A187" s="45" t="s">
        <v>227</v>
      </c>
      <c r="B187" s="45" t="s">
        <v>452</v>
      </c>
      <c r="C187" s="45" t="s">
        <v>349</v>
      </c>
      <c r="D187" s="50">
        <v>250</v>
      </c>
      <c r="E187" s="50">
        <v>5</v>
      </c>
      <c r="F187" s="50">
        <v>48</v>
      </c>
      <c r="G187" s="50">
        <v>0.96</v>
      </c>
      <c r="H187" s="50">
        <v>298</v>
      </c>
      <c r="I187" s="50">
        <v>5.96</v>
      </c>
      <c r="J187" s="50">
        <v>50</v>
      </c>
    </row>
    <row r="188" spans="1:10" x14ac:dyDescent="0.2">
      <c r="A188" s="45" t="s">
        <v>321</v>
      </c>
      <c r="B188" s="45" t="s">
        <v>322</v>
      </c>
      <c r="C188" s="45" t="s">
        <v>349</v>
      </c>
      <c r="D188" s="50">
        <v>0</v>
      </c>
      <c r="E188" s="50">
        <v>0</v>
      </c>
      <c r="F188" s="50">
        <v>0</v>
      </c>
      <c r="G188" s="50">
        <v>0</v>
      </c>
      <c r="H188" s="50">
        <v>0</v>
      </c>
      <c r="I188" s="50">
        <v>0</v>
      </c>
      <c r="J188" s="50">
        <v>0</v>
      </c>
    </row>
    <row r="189" spans="1:10" x14ac:dyDescent="0.2">
      <c r="A189" s="45" t="s">
        <v>323</v>
      </c>
      <c r="B189" s="45" t="s">
        <v>324</v>
      </c>
      <c r="C189" s="45" t="s">
        <v>349</v>
      </c>
      <c r="D189" s="50">
        <v>0</v>
      </c>
      <c r="E189" s="50">
        <v>0</v>
      </c>
      <c r="F189" s="50">
        <v>0</v>
      </c>
      <c r="G189" s="50">
        <v>0</v>
      </c>
      <c r="H189" s="50">
        <v>0</v>
      </c>
      <c r="I189" s="50">
        <v>0</v>
      </c>
      <c r="J189" s="50">
        <v>0</v>
      </c>
    </row>
    <row r="190" spans="1:10" x14ac:dyDescent="0.2">
      <c r="A190" s="45" t="s">
        <v>384</v>
      </c>
      <c r="B190" s="45" t="s">
        <v>453</v>
      </c>
      <c r="C190" s="45" t="s">
        <v>349</v>
      </c>
      <c r="D190" s="50">
        <v>432</v>
      </c>
      <c r="E190" s="50">
        <v>9</v>
      </c>
      <c r="F190" s="50">
        <v>45</v>
      </c>
      <c r="G190" s="50">
        <v>0.9375</v>
      </c>
      <c r="H190" s="50">
        <v>477</v>
      </c>
      <c r="I190" s="50">
        <v>9.9375</v>
      </c>
      <c r="J190" s="50">
        <v>48</v>
      </c>
    </row>
    <row r="191" spans="1:10" x14ac:dyDescent="0.2">
      <c r="A191" s="45" t="s">
        <v>385</v>
      </c>
      <c r="B191" s="45" t="s">
        <v>454</v>
      </c>
      <c r="C191" s="45" t="s">
        <v>349</v>
      </c>
      <c r="D191" s="50">
        <v>576</v>
      </c>
      <c r="E191" s="50">
        <v>12</v>
      </c>
      <c r="F191" s="50">
        <v>45</v>
      </c>
      <c r="G191" s="50">
        <v>0.9375</v>
      </c>
      <c r="H191" s="50">
        <v>621</v>
      </c>
      <c r="I191" s="50">
        <v>12.9375</v>
      </c>
      <c r="J191" s="50">
        <v>48</v>
      </c>
    </row>
    <row r="192" spans="1:10" x14ac:dyDescent="0.2">
      <c r="A192" s="45" t="s">
        <v>390</v>
      </c>
      <c r="B192" s="45" t="s">
        <v>455</v>
      </c>
      <c r="C192" s="45" t="s">
        <v>349</v>
      </c>
      <c r="D192" s="50">
        <v>1968</v>
      </c>
      <c r="E192" s="50">
        <v>82</v>
      </c>
      <c r="F192" s="50">
        <v>21</v>
      </c>
      <c r="G192" s="50">
        <v>0.875</v>
      </c>
      <c r="H192" s="50">
        <v>1989</v>
      </c>
      <c r="I192" s="50">
        <v>82.875</v>
      </c>
      <c r="J192" s="50">
        <v>24</v>
      </c>
    </row>
    <row r="193" spans="1:10" x14ac:dyDescent="0.2">
      <c r="A193" s="45" t="s">
        <v>389</v>
      </c>
      <c r="B193" s="45" t="s">
        <v>456</v>
      </c>
      <c r="C193" s="45" t="s">
        <v>349</v>
      </c>
      <c r="D193" s="50">
        <v>2112</v>
      </c>
      <c r="E193" s="50">
        <v>88</v>
      </c>
      <c r="F193" s="50">
        <v>21</v>
      </c>
      <c r="G193" s="50">
        <v>0.875</v>
      </c>
      <c r="H193" s="50">
        <v>2133</v>
      </c>
      <c r="I193" s="50">
        <v>88.875</v>
      </c>
      <c r="J193" s="50">
        <v>24</v>
      </c>
    </row>
    <row r="194" spans="1:10" x14ac:dyDescent="0.2">
      <c r="A194" s="45" t="s">
        <v>386</v>
      </c>
      <c r="B194" s="45" t="s">
        <v>457</v>
      </c>
      <c r="C194" s="45" t="s">
        <v>349</v>
      </c>
      <c r="D194" s="50">
        <v>1848</v>
      </c>
      <c r="E194" s="50">
        <v>77</v>
      </c>
      <c r="F194" s="50">
        <v>21</v>
      </c>
      <c r="G194" s="50">
        <v>0.875</v>
      </c>
      <c r="H194" s="50">
        <v>1869</v>
      </c>
      <c r="I194" s="50">
        <v>77.875</v>
      </c>
      <c r="J194" s="50">
        <v>24</v>
      </c>
    </row>
    <row r="195" spans="1:10" x14ac:dyDescent="0.2">
      <c r="A195" s="45" t="s">
        <v>359</v>
      </c>
      <c r="B195" s="45" t="s">
        <v>458</v>
      </c>
      <c r="C195" s="45" t="s">
        <v>349</v>
      </c>
      <c r="D195" s="50">
        <v>6920</v>
      </c>
      <c r="E195" s="50">
        <v>173</v>
      </c>
      <c r="F195" s="50">
        <v>37</v>
      </c>
      <c r="G195" s="50">
        <v>0.92500000000000004</v>
      </c>
      <c r="H195" s="50">
        <v>6957</v>
      </c>
      <c r="I195" s="50">
        <v>173.92500000000001</v>
      </c>
      <c r="J195" s="50">
        <v>40</v>
      </c>
    </row>
    <row r="196" spans="1:10" x14ac:dyDescent="0.2">
      <c r="A196" s="45" t="s">
        <v>375</v>
      </c>
      <c r="B196" s="45" t="s">
        <v>459</v>
      </c>
      <c r="C196" s="45" t="s">
        <v>349</v>
      </c>
      <c r="D196" s="50">
        <v>2064</v>
      </c>
      <c r="E196" s="50">
        <v>172</v>
      </c>
      <c r="F196" s="50">
        <v>9</v>
      </c>
      <c r="G196" s="50">
        <v>0.75</v>
      </c>
      <c r="H196" s="50">
        <v>2073</v>
      </c>
      <c r="I196" s="50">
        <v>172.75</v>
      </c>
      <c r="J196" s="50">
        <v>12</v>
      </c>
    </row>
    <row r="197" spans="1:10" x14ac:dyDescent="0.2">
      <c r="A197" s="45" t="s">
        <v>374</v>
      </c>
      <c r="B197" s="45" t="s">
        <v>460</v>
      </c>
      <c r="C197" s="45" t="s">
        <v>349</v>
      </c>
      <c r="D197" s="50">
        <v>1848</v>
      </c>
      <c r="E197" s="50">
        <v>154</v>
      </c>
      <c r="F197" s="50">
        <v>9</v>
      </c>
      <c r="G197" s="50">
        <v>0.75</v>
      </c>
      <c r="H197" s="50">
        <v>1857</v>
      </c>
      <c r="I197" s="50">
        <v>154.75</v>
      </c>
      <c r="J197" s="50">
        <v>12</v>
      </c>
    </row>
    <row r="198" spans="1:10" x14ac:dyDescent="0.2">
      <c r="A198" s="45" t="s">
        <v>364</v>
      </c>
      <c r="B198" s="45" t="s">
        <v>461</v>
      </c>
      <c r="C198" s="45" t="s">
        <v>349</v>
      </c>
      <c r="D198" s="50">
        <v>840</v>
      </c>
      <c r="E198" s="50">
        <v>70</v>
      </c>
      <c r="F198" s="50">
        <v>9</v>
      </c>
      <c r="G198" s="50">
        <v>0.75</v>
      </c>
      <c r="H198" s="50">
        <v>849</v>
      </c>
      <c r="I198" s="50">
        <v>70.75</v>
      </c>
      <c r="J198" s="50">
        <v>12</v>
      </c>
    </row>
    <row r="199" spans="1:10" x14ac:dyDescent="0.2">
      <c r="A199" s="45" t="s">
        <v>383</v>
      </c>
      <c r="B199" s="45" t="s">
        <v>462</v>
      </c>
      <c r="C199" s="45" t="s">
        <v>349</v>
      </c>
      <c r="D199" s="50">
        <v>0</v>
      </c>
      <c r="E199" s="50">
        <v>0</v>
      </c>
      <c r="F199" s="50">
        <v>37</v>
      </c>
      <c r="G199" s="50">
        <v>0.92500000000000004</v>
      </c>
      <c r="H199" s="50">
        <v>37</v>
      </c>
      <c r="I199" s="50">
        <v>0.92500000000000004</v>
      </c>
      <c r="J199" s="50">
        <v>40</v>
      </c>
    </row>
    <row r="200" spans="1:10" x14ac:dyDescent="0.2">
      <c r="A200" s="45" t="s">
        <v>387</v>
      </c>
      <c r="B200" s="45" t="s">
        <v>463</v>
      </c>
      <c r="C200" s="45" t="s">
        <v>349</v>
      </c>
      <c r="D200" s="50">
        <v>4656</v>
      </c>
      <c r="E200" s="50">
        <v>194</v>
      </c>
      <c r="F200" s="50">
        <v>21</v>
      </c>
      <c r="G200" s="50">
        <v>0.875</v>
      </c>
      <c r="H200" s="50">
        <v>4677</v>
      </c>
      <c r="I200" s="50">
        <v>194.875</v>
      </c>
      <c r="J200" s="50">
        <v>24</v>
      </c>
    </row>
    <row r="201" spans="1:10" x14ac:dyDescent="0.2">
      <c r="A201" s="45" t="s">
        <v>388</v>
      </c>
      <c r="B201" s="45" t="s">
        <v>464</v>
      </c>
      <c r="C201" s="45" t="s">
        <v>349</v>
      </c>
      <c r="D201" s="50">
        <v>0</v>
      </c>
      <c r="E201" s="50">
        <v>0</v>
      </c>
      <c r="F201" s="50">
        <v>21</v>
      </c>
      <c r="G201" s="50">
        <v>0.875</v>
      </c>
      <c r="H201" s="50">
        <v>21</v>
      </c>
      <c r="I201" s="50">
        <v>0.875</v>
      </c>
      <c r="J201" s="50">
        <v>24</v>
      </c>
    </row>
    <row r="202" spans="1:10" x14ac:dyDescent="0.2">
      <c r="A202" s="45" t="s">
        <v>361</v>
      </c>
      <c r="B202" s="45" t="s">
        <v>465</v>
      </c>
      <c r="C202" s="45" t="s">
        <v>349</v>
      </c>
      <c r="D202" s="50">
        <v>48</v>
      </c>
      <c r="E202" s="50">
        <v>2</v>
      </c>
      <c r="F202" s="50">
        <v>21</v>
      </c>
      <c r="G202" s="50">
        <v>0.875</v>
      </c>
      <c r="H202" s="50">
        <v>69</v>
      </c>
      <c r="I202" s="50">
        <v>2.875</v>
      </c>
      <c r="J202" s="50">
        <v>24</v>
      </c>
    </row>
    <row r="203" spans="1:10" x14ac:dyDescent="0.2">
      <c r="A203" s="45" t="s">
        <v>363</v>
      </c>
      <c r="B203" s="45" t="s">
        <v>466</v>
      </c>
      <c r="C203" s="45" t="s">
        <v>349</v>
      </c>
      <c r="D203" s="50">
        <v>1332</v>
      </c>
      <c r="E203" s="50">
        <v>111</v>
      </c>
      <c r="F203" s="50">
        <v>9</v>
      </c>
      <c r="G203" s="50">
        <v>0.75</v>
      </c>
      <c r="H203" s="50">
        <v>1341</v>
      </c>
      <c r="I203" s="50">
        <v>111.75</v>
      </c>
      <c r="J203" s="50">
        <v>12</v>
      </c>
    </row>
    <row r="204" spans="1:10" x14ac:dyDescent="0.2">
      <c r="A204" s="45" t="s">
        <v>362</v>
      </c>
      <c r="B204" s="45" t="s">
        <v>466</v>
      </c>
      <c r="C204" s="45" t="s">
        <v>349</v>
      </c>
      <c r="D204" s="50">
        <v>1080</v>
      </c>
      <c r="E204" s="50">
        <v>90</v>
      </c>
      <c r="F204" s="50">
        <v>9</v>
      </c>
      <c r="G204" s="50">
        <v>0.75</v>
      </c>
      <c r="H204" s="50">
        <v>1089</v>
      </c>
      <c r="I204" s="50">
        <v>90.75</v>
      </c>
      <c r="J204" s="50">
        <v>12</v>
      </c>
    </row>
    <row r="205" spans="1:10" x14ac:dyDescent="0.2">
      <c r="A205" s="45" t="s">
        <v>373</v>
      </c>
      <c r="B205" s="45" t="s">
        <v>467</v>
      </c>
      <c r="C205" s="45" t="s">
        <v>349</v>
      </c>
      <c r="D205" s="50">
        <v>0</v>
      </c>
      <c r="E205" s="50">
        <v>0</v>
      </c>
      <c r="F205" s="50">
        <v>21</v>
      </c>
      <c r="G205" s="50">
        <v>0.875</v>
      </c>
      <c r="H205" s="50">
        <v>21</v>
      </c>
      <c r="I205" s="50">
        <v>0.875</v>
      </c>
      <c r="J205" s="50">
        <v>24</v>
      </c>
    </row>
    <row r="206" spans="1:10" x14ac:dyDescent="0.2">
      <c r="A206" s="45" t="s">
        <v>360</v>
      </c>
      <c r="B206" s="45" t="s">
        <v>468</v>
      </c>
      <c r="C206" s="45" t="s">
        <v>349</v>
      </c>
      <c r="D206" s="50">
        <v>96</v>
      </c>
      <c r="E206" s="50">
        <v>4</v>
      </c>
      <c r="F206" s="50">
        <v>21</v>
      </c>
      <c r="G206" s="50">
        <v>0.875</v>
      </c>
      <c r="H206" s="50">
        <v>117</v>
      </c>
      <c r="I206" s="50">
        <v>4.875</v>
      </c>
      <c r="J206" s="50">
        <v>24</v>
      </c>
    </row>
    <row r="207" spans="1:10" x14ac:dyDescent="0.2">
      <c r="A207" s="45" t="s">
        <v>106</v>
      </c>
      <c r="B207" s="45" t="s">
        <v>463</v>
      </c>
      <c r="C207" s="45" t="s">
        <v>349</v>
      </c>
      <c r="D207" s="50">
        <v>0</v>
      </c>
      <c r="E207" s="50">
        <v>0</v>
      </c>
      <c r="F207" s="50">
        <v>20</v>
      </c>
      <c r="G207" s="50">
        <v>0.83333000000000002</v>
      </c>
      <c r="H207" s="50">
        <v>20</v>
      </c>
      <c r="I207" s="50">
        <v>0.83333000000000002</v>
      </c>
      <c r="J207" s="50">
        <v>24</v>
      </c>
    </row>
    <row r="208" spans="1:10" x14ac:dyDescent="0.2">
      <c r="A208" s="45" t="s">
        <v>105</v>
      </c>
      <c r="B208" s="45" t="s">
        <v>464</v>
      </c>
      <c r="C208" s="45" t="s">
        <v>349</v>
      </c>
      <c r="D208" s="50">
        <v>0</v>
      </c>
      <c r="E208" s="50">
        <v>0</v>
      </c>
      <c r="F208" s="50">
        <v>20</v>
      </c>
      <c r="G208" s="50">
        <v>0.83333000000000002</v>
      </c>
      <c r="H208" s="50">
        <v>20</v>
      </c>
      <c r="I208" s="50">
        <v>0.83333000000000002</v>
      </c>
      <c r="J208" s="50">
        <v>24</v>
      </c>
    </row>
    <row r="209" spans="1:10" x14ac:dyDescent="0.2">
      <c r="A209" s="45" t="s">
        <v>358</v>
      </c>
      <c r="B209" s="45" t="s">
        <v>469</v>
      </c>
      <c r="C209" s="45" t="s">
        <v>349</v>
      </c>
      <c r="D209" s="50">
        <v>1536</v>
      </c>
      <c r="E209" s="50">
        <v>32</v>
      </c>
      <c r="F209" s="50">
        <v>45</v>
      </c>
      <c r="G209" s="50">
        <v>0.9375</v>
      </c>
      <c r="H209" s="50">
        <v>1581</v>
      </c>
      <c r="I209" s="50">
        <v>32.9375</v>
      </c>
      <c r="J209" s="50">
        <v>48</v>
      </c>
    </row>
    <row r="210" spans="1:10" x14ac:dyDescent="0.2">
      <c r="A210" s="45" t="s">
        <v>228</v>
      </c>
      <c r="B210" s="45" t="s">
        <v>183</v>
      </c>
      <c r="C210" s="45" t="s">
        <v>337</v>
      </c>
      <c r="D210" s="50">
        <v>0</v>
      </c>
      <c r="E210" s="50">
        <v>0</v>
      </c>
      <c r="F210" s="50">
        <v>0</v>
      </c>
      <c r="G210" s="50">
        <v>0</v>
      </c>
      <c r="H210" s="50">
        <v>0</v>
      </c>
      <c r="I210" s="50">
        <v>0</v>
      </c>
      <c r="J210" s="50">
        <v>0</v>
      </c>
    </row>
    <row r="211" spans="1:10" x14ac:dyDescent="0.2">
      <c r="A211" s="45" t="s">
        <v>229</v>
      </c>
      <c r="B211" s="45" t="s">
        <v>184</v>
      </c>
      <c r="C211" s="45" t="s">
        <v>336</v>
      </c>
      <c r="D211" s="50">
        <v>49</v>
      </c>
      <c r="E211" s="50">
        <v>49</v>
      </c>
      <c r="F211" s="50">
        <v>1</v>
      </c>
      <c r="G211" s="50">
        <v>1</v>
      </c>
      <c r="H211" s="50">
        <v>50</v>
      </c>
      <c r="I211" s="50">
        <v>50</v>
      </c>
      <c r="J211" s="50">
        <v>1</v>
      </c>
    </row>
    <row r="212" spans="1:10" x14ac:dyDescent="0.2">
      <c r="A212" s="45" t="s">
        <v>230</v>
      </c>
      <c r="B212" s="45" t="s">
        <v>185</v>
      </c>
      <c r="C212" s="45" t="s">
        <v>336</v>
      </c>
      <c r="D212" s="50">
        <v>9</v>
      </c>
      <c r="E212" s="50">
        <v>9</v>
      </c>
      <c r="F212" s="50">
        <v>0</v>
      </c>
      <c r="G212" s="50">
        <v>0</v>
      </c>
      <c r="H212" s="50">
        <v>9</v>
      </c>
      <c r="I212" s="50">
        <v>9</v>
      </c>
      <c r="J212" s="50">
        <v>1</v>
      </c>
    </row>
    <row r="213" spans="1:10" x14ac:dyDescent="0.2">
      <c r="A213" s="45" t="s">
        <v>231</v>
      </c>
      <c r="B213" s="45" t="s">
        <v>186</v>
      </c>
      <c r="C213" s="45" t="s">
        <v>337</v>
      </c>
      <c r="D213" s="50">
        <v>0</v>
      </c>
      <c r="E213" s="50">
        <v>0</v>
      </c>
      <c r="F213" s="50">
        <v>0</v>
      </c>
      <c r="G213" s="50">
        <v>0</v>
      </c>
      <c r="H213" s="50">
        <v>0</v>
      </c>
      <c r="I213" s="50">
        <v>0</v>
      </c>
      <c r="J213" s="50">
        <v>0</v>
      </c>
    </row>
    <row r="214" spans="1:10" x14ac:dyDescent="0.2">
      <c r="A214" s="45" t="s">
        <v>232</v>
      </c>
      <c r="B214" s="45" t="s">
        <v>187</v>
      </c>
      <c r="C214" s="45" t="s">
        <v>336</v>
      </c>
      <c r="D214" s="50">
        <v>3071</v>
      </c>
      <c r="E214" s="50">
        <v>3071</v>
      </c>
      <c r="F214" s="50">
        <v>1</v>
      </c>
      <c r="G214" s="50">
        <v>1</v>
      </c>
      <c r="H214" s="50">
        <v>3072</v>
      </c>
      <c r="I214" s="50">
        <v>3072</v>
      </c>
      <c r="J214" s="50">
        <v>1</v>
      </c>
    </row>
    <row r="215" spans="1:10" x14ac:dyDescent="0.2">
      <c r="A215" s="45" t="s">
        <v>233</v>
      </c>
      <c r="B215" s="45" t="s">
        <v>188</v>
      </c>
      <c r="C215" s="45" t="s">
        <v>336</v>
      </c>
      <c r="D215" s="50">
        <v>1434</v>
      </c>
      <c r="E215" s="50">
        <v>1434</v>
      </c>
      <c r="F215" s="50">
        <v>0</v>
      </c>
      <c r="G215" s="50">
        <v>0</v>
      </c>
      <c r="H215" s="50">
        <v>1434</v>
      </c>
      <c r="I215" s="50">
        <v>1434</v>
      </c>
      <c r="J215" s="50">
        <v>1</v>
      </c>
    </row>
    <row r="216" spans="1:10" x14ac:dyDescent="0.2">
      <c r="A216" s="45" t="s">
        <v>234</v>
      </c>
      <c r="B216" s="45" t="s">
        <v>189</v>
      </c>
      <c r="C216" s="45" t="s">
        <v>336</v>
      </c>
      <c r="D216" s="50">
        <v>3256</v>
      </c>
      <c r="E216" s="50">
        <v>3256</v>
      </c>
      <c r="F216" s="50">
        <v>0</v>
      </c>
      <c r="G216" s="50">
        <v>0</v>
      </c>
      <c r="H216" s="50">
        <v>3256</v>
      </c>
      <c r="I216" s="50">
        <v>3256</v>
      </c>
      <c r="J216" s="50">
        <v>1</v>
      </c>
    </row>
    <row r="217" spans="1:10" x14ac:dyDescent="0.2">
      <c r="A217" s="45" t="s">
        <v>235</v>
      </c>
      <c r="B217" s="45" t="s">
        <v>190</v>
      </c>
      <c r="C217" s="45" t="s">
        <v>336</v>
      </c>
      <c r="D217" s="50">
        <v>1156</v>
      </c>
      <c r="E217" s="50">
        <v>1156</v>
      </c>
      <c r="F217" s="50">
        <v>2</v>
      </c>
      <c r="G217" s="50">
        <v>2</v>
      </c>
      <c r="H217" s="50">
        <v>1158</v>
      </c>
      <c r="I217" s="50">
        <v>1158</v>
      </c>
      <c r="J217" s="50">
        <v>1</v>
      </c>
    </row>
    <row r="218" spans="1:10" x14ac:dyDescent="0.2">
      <c r="A218" s="45" t="s">
        <v>236</v>
      </c>
      <c r="B218" s="45" t="s">
        <v>191</v>
      </c>
      <c r="C218" s="45" t="s">
        <v>336</v>
      </c>
      <c r="D218" s="50">
        <v>0</v>
      </c>
      <c r="E218" s="50">
        <v>0</v>
      </c>
      <c r="F218" s="50">
        <v>5</v>
      </c>
      <c r="G218" s="50">
        <v>5</v>
      </c>
      <c r="H218" s="50">
        <v>5</v>
      </c>
      <c r="I218" s="50">
        <v>5</v>
      </c>
      <c r="J218" s="50">
        <v>1</v>
      </c>
    </row>
    <row r="219" spans="1:10" x14ac:dyDescent="0.2">
      <c r="A219" s="45" t="s">
        <v>237</v>
      </c>
      <c r="B219" s="45" t="s">
        <v>192</v>
      </c>
      <c r="C219" s="45" t="s">
        <v>336</v>
      </c>
      <c r="D219" s="50">
        <v>1</v>
      </c>
      <c r="E219" s="50">
        <v>1</v>
      </c>
      <c r="F219" s="50">
        <v>3</v>
      </c>
      <c r="G219" s="50">
        <v>3</v>
      </c>
      <c r="H219" s="50">
        <v>4</v>
      </c>
      <c r="I219" s="50">
        <v>4</v>
      </c>
      <c r="J219" s="50">
        <v>1</v>
      </c>
    </row>
    <row r="220" spans="1:10" x14ac:dyDescent="0.2">
      <c r="A220" s="45" t="s">
        <v>238</v>
      </c>
      <c r="B220" s="45" t="s">
        <v>193</v>
      </c>
      <c r="C220" s="45" t="s">
        <v>336</v>
      </c>
      <c r="D220" s="50">
        <v>0</v>
      </c>
      <c r="E220" s="50">
        <v>0</v>
      </c>
      <c r="F220" s="50">
        <v>0</v>
      </c>
      <c r="G220" s="50">
        <v>0</v>
      </c>
      <c r="H220" s="50">
        <v>0</v>
      </c>
      <c r="I220" s="50">
        <v>0</v>
      </c>
      <c r="J220" s="50">
        <v>1</v>
      </c>
    </row>
    <row r="221" spans="1:10" x14ac:dyDescent="0.2">
      <c r="A221" s="45" t="s">
        <v>284</v>
      </c>
      <c r="B221" s="45" t="s">
        <v>285</v>
      </c>
      <c r="C221" s="45" t="s">
        <v>337</v>
      </c>
      <c r="D221" s="50">
        <v>0</v>
      </c>
      <c r="E221" s="50">
        <v>0</v>
      </c>
      <c r="F221" s="50">
        <v>0</v>
      </c>
      <c r="G221" s="50">
        <v>0</v>
      </c>
      <c r="H221" s="50">
        <v>0</v>
      </c>
      <c r="I221" s="50">
        <v>0</v>
      </c>
      <c r="J221" s="50">
        <v>0</v>
      </c>
    </row>
    <row r="222" spans="1:10" x14ac:dyDescent="0.2">
      <c r="A222" s="45" t="s">
        <v>14</v>
      </c>
      <c r="B222" s="45" t="s">
        <v>470</v>
      </c>
      <c r="C222" s="45" t="s">
        <v>349</v>
      </c>
      <c r="D222" s="50">
        <v>0</v>
      </c>
      <c r="E222" s="50">
        <v>0</v>
      </c>
      <c r="F222" s="50">
        <v>12</v>
      </c>
      <c r="G222" s="50">
        <v>0.5</v>
      </c>
      <c r="H222" s="50">
        <v>12</v>
      </c>
      <c r="I222" s="50">
        <v>0.5</v>
      </c>
      <c r="J222" s="50">
        <v>24</v>
      </c>
    </row>
    <row r="223" spans="1:10" x14ac:dyDescent="0.2">
      <c r="A223" s="45" t="s">
        <v>29</v>
      </c>
      <c r="B223" s="45" t="s">
        <v>471</v>
      </c>
      <c r="C223" s="45" t="s">
        <v>349</v>
      </c>
      <c r="D223" s="50">
        <v>10416</v>
      </c>
      <c r="E223" s="50">
        <v>217</v>
      </c>
      <c r="F223" s="50">
        <v>0</v>
      </c>
      <c r="G223" s="50">
        <v>0</v>
      </c>
      <c r="H223" s="50">
        <v>10416</v>
      </c>
      <c r="I223" s="50">
        <v>217</v>
      </c>
      <c r="J223" s="50">
        <v>48</v>
      </c>
    </row>
    <row r="224" spans="1:10" x14ac:dyDescent="0.2">
      <c r="A224" s="45" t="s">
        <v>507</v>
      </c>
      <c r="B224" s="45" t="s">
        <v>604</v>
      </c>
      <c r="C224" s="45" t="s">
        <v>349</v>
      </c>
      <c r="D224" s="50">
        <v>144</v>
      </c>
      <c r="E224" s="50">
        <v>3</v>
      </c>
      <c r="F224" s="50">
        <v>42</v>
      </c>
      <c r="G224" s="50">
        <v>0.875</v>
      </c>
      <c r="H224" s="50">
        <v>186</v>
      </c>
      <c r="I224" s="50">
        <v>3.875</v>
      </c>
      <c r="J224" s="50">
        <v>48</v>
      </c>
    </row>
    <row r="225" spans="1:10" x14ac:dyDescent="0.2">
      <c r="A225" s="45" t="s">
        <v>30</v>
      </c>
      <c r="B225" s="45" t="s">
        <v>472</v>
      </c>
      <c r="C225" s="45" t="s">
        <v>349</v>
      </c>
      <c r="D225" s="50">
        <v>11184</v>
      </c>
      <c r="E225" s="50">
        <v>233</v>
      </c>
      <c r="F225" s="50">
        <v>6</v>
      </c>
      <c r="G225" s="50">
        <v>0.125</v>
      </c>
      <c r="H225" s="50">
        <v>11190</v>
      </c>
      <c r="I225" s="50">
        <v>233.125</v>
      </c>
      <c r="J225" s="50">
        <v>48</v>
      </c>
    </row>
    <row r="226" spans="1:10" x14ac:dyDescent="0.2">
      <c r="A226" s="45" t="s">
        <v>31</v>
      </c>
      <c r="B226" s="45" t="s">
        <v>473</v>
      </c>
      <c r="C226" s="45" t="s">
        <v>349</v>
      </c>
      <c r="D226" s="50">
        <v>11280</v>
      </c>
      <c r="E226" s="50">
        <v>235</v>
      </c>
      <c r="F226" s="50">
        <v>84</v>
      </c>
      <c r="G226" s="50">
        <v>1.75</v>
      </c>
      <c r="H226" s="50">
        <v>11364</v>
      </c>
      <c r="I226" s="50">
        <v>236.75</v>
      </c>
      <c r="J226" s="50">
        <v>48</v>
      </c>
    </row>
    <row r="227" spans="1:10" x14ac:dyDescent="0.2">
      <c r="A227" s="45" t="s">
        <v>15</v>
      </c>
      <c r="B227" s="45" t="s">
        <v>474</v>
      </c>
      <c r="C227" s="45" t="s">
        <v>349</v>
      </c>
      <c r="D227" s="50">
        <v>5688</v>
      </c>
      <c r="E227" s="50">
        <v>237</v>
      </c>
      <c r="F227" s="50">
        <v>18</v>
      </c>
      <c r="G227" s="50">
        <v>0.75</v>
      </c>
      <c r="H227" s="50">
        <v>5706</v>
      </c>
      <c r="I227" s="50">
        <v>237.75</v>
      </c>
      <c r="J227" s="50">
        <v>24</v>
      </c>
    </row>
    <row r="228" spans="1:10" x14ac:dyDescent="0.2">
      <c r="A228" s="45" t="s">
        <v>109</v>
      </c>
      <c r="B228" s="45" t="s">
        <v>475</v>
      </c>
      <c r="C228" s="45" t="s">
        <v>349</v>
      </c>
      <c r="D228" s="50">
        <v>1392</v>
      </c>
      <c r="E228" s="50">
        <v>58</v>
      </c>
      <c r="F228" s="50">
        <v>18</v>
      </c>
      <c r="G228" s="50">
        <v>0.75</v>
      </c>
      <c r="H228" s="50">
        <v>1410</v>
      </c>
      <c r="I228" s="50">
        <v>58.75</v>
      </c>
      <c r="J228" s="50">
        <v>24</v>
      </c>
    </row>
    <row r="229" spans="1:10" x14ac:dyDescent="0.2">
      <c r="A229" s="45" t="s">
        <v>13</v>
      </c>
      <c r="B229" s="45" t="s">
        <v>476</v>
      </c>
      <c r="C229" s="45" t="s">
        <v>349</v>
      </c>
      <c r="D229" s="50">
        <v>0</v>
      </c>
      <c r="E229" s="50">
        <v>0</v>
      </c>
      <c r="F229" s="50">
        <v>18</v>
      </c>
      <c r="G229" s="50">
        <v>0.75</v>
      </c>
      <c r="H229" s="50">
        <v>18</v>
      </c>
      <c r="I229" s="50">
        <v>0.75</v>
      </c>
      <c r="J229" s="50">
        <v>24</v>
      </c>
    </row>
    <row r="230" spans="1:10" x14ac:dyDescent="0.2">
      <c r="A230" s="45" t="s">
        <v>108</v>
      </c>
      <c r="B230" s="45" t="s">
        <v>477</v>
      </c>
      <c r="C230" s="45" t="s">
        <v>349</v>
      </c>
      <c r="D230" s="50">
        <v>96</v>
      </c>
      <c r="E230" s="50">
        <v>4</v>
      </c>
      <c r="F230" s="50">
        <v>6</v>
      </c>
      <c r="G230" s="50">
        <v>0.25</v>
      </c>
      <c r="H230" s="50">
        <v>102</v>
      </c>
      <c r="I230" s="50">
        <v>4.25</v>
      </c>
      <c r="J230" s="50">
        <v>24</v>
      </c>
    </row>
    <row r="231" spans="1:10" x14ac:dyDescent="0.2">
      <c r="A231" s="45" t="s">
        <v>16</v>
      </c>
      <c r="B231" s="45" t="s">
        <v>478</v>
      </c>
      <c r="C231" s="45" t="s">
        <v>349</v>
      </c>
      <c r="D231" s="50">
        <v>6600</v>
      </c>
      <c r="E231" s="50">
        <v>275</v>
      </c>
      <c r="F231" s="50">
        <v>6</v>
      </c>
      <c r="G231" s="50">
        <v>0.25</v>
      </c>
      <c r="H231" s="50">
        <v>6606</v>
      </c>
      <c r="I231" s="50">
        <v>275.25</v>
      </c>
      <c r="J231" s="50">
        <v>24</v>
      </c>
    </row>
    <row r="232" spans="1:10" x14ac:dyDescent="0.2">
      <c r="A232" s="45" t="s">
        <v>17</v>
      </c>
      <c r="B232" s="45" t="s">
        <v>479</v>
      </c>
      <c r="C232" s="45" t="s">
        <v>349</v>
      </c>
      <c r="D232" s="50">
        <v>51576</v>
      </c>
      <c r="E232" s="50">
        <v>2149</v>
      </c>
      <c r="F232" s="50">
        <v>12</v>
      </c>
      <c r="G232" s="50">
        <v>0.5</v>
      </c>
      <c r="H232" s="50">
        <v>51588</v>
      </c>
      <c r="I232" s="50">
        <v>2149.5</v>
      </c>
      <c r="J232" s="50">
        <v>24</v>
      </c>
    </row>
    <row r="233" spans="1:10" x14ac:dyDescent="0.2">
      <c r="A233" s="45" t="s">
        <v>18</v>
      </c>
      <c r="B233" s="45" t="s">
        <v>480</v>
      </c>
      <c r="C233" s="45" t="s">
        <v>349</v>
      </c>
      <c r="D233" s="50">
        <v>0</v>
      </c>
      <c r="E233" s="50">
        <v>0</v>
      </c>
      <c r="F233" s="50">
        <v>12</v>
      </c>
      <c r="G233" s="50">
        <v>0.5</v>
      </c>
      <c r="H233" s="50">
        <v>12</v>
      </c>
      <c r="I233" s="50">
        <v>0.5</v>
      </c>
      <c r="J233" s="50">
        <v>24</v>
      </c>
    </row>
    <row r="234" spans="1:10" x14ac:dyDescent="0.2">
      <c r="A234" s="45" t="s">
        <v>19</v>
      </c>
      <c r="B234" s="45" t="s">
        <v>481</v>
      </c>
      <c r="C234" s="45" t="s">
        <v>349</v>
      </c>
      <c r="D234" s="50">
        <v>14568</v>
      </c>
      <c r="E234" s="50">
        <v>607</v>
      </c>
      <c r="F234" s="50">
        <v>6</v>
      </c>
      <c r="G234" s="50">
        <v>0.25</v>
      </c>
      <c r="H234" s="50">
        <v>14574</v>
      </c>
      <c r="I234" s="50">
        <v>607.25</v>
      </c>
      <c r="J234" s="50">
        <v>24</v>
      </c>
    </row>
    <row r="235" spans="1:10" x14ac:dyDescent="0.2">
      <c r="A235" s="45" t="s">
        <v>107</v>
      </c>
      <c r="B235" s="45" t="s">
        <v>464</v>
      </c>
      <c r="C235" s="45" t="s">
        <v>349</v>
      </c>
      <c r="D235" s="50">
        <v>0</v>
      </c>
      <c r="E235" s="50">
        <v>0</v>
      </c>
      <c r="F235" s="50">
        <v>8</v>
      </c>
      <c r="G235" s="50">
        <v>0.66666999999999998</v>
      </c>
      <c r="H235" s="50">
        <v>8</v>
      </c>
      <c r="I235" s="50">
        <v>0.66666999999999998</v>
      </c>
      <c r="J235" s="50">
        <v>12</v>
      </c>
    </row>
    <row r="236" spans="1:10" x14ac:dyDescent="0.2">
      <c r="A236" s="45" t="s">
        <v>20</v>
      </c>
      <c r="B236" s="45" t="s">
        <v>482</v>
      </c>
      <c r="C236" s="45" t="s">
        <v>349</v>
      </c>
      <c r="D236" s="50">
        <v>16032</v>
      </c>
      <c r="E236" s="50">
        <v>668</v>
      </c>
      <c r="F236" s="50">
        <v>0</v>
      </c>
      <c r="G236" s="50">
        <v>0</v>
      </c>
      <c r="H236" s="50">
        <v>16032</v>
      </c>
      <c r="I236" s="50">
        <v>668</v>
      </c>
      <c r="J236" s="50">
        <v>24</v>
      </c>
    </row>
    <row r="237" spans="1:10" x14ac:dyDescent="0.2">
      <c r="A237" s="45" t="s">
        <v>22</v>
      </c>
      <c r="B237" s="45" t="s">
        <v>483</v>
      </c>
      <c r="C237" s="45" t="s">
        <v>349</v>
      </c>
      <c r="D237" s="50">
        <v>0</v>
      </c>
      <c r="E237" s="50">
        <v>0</v>
      </c>
      <c r="F237" s="50">
        <v>18</v>
      </c>
      <c r="G237" s="50">
        <v>0.75</v>
      </c>
      <c r="H237" s="50">
        <v>18</v>
      </c>
      <c r="I237" s="50">
        <v>0.75</v>
      </c>
      <c r="J237" s="50">
        <v>24</v>
      </c>
    </row>
    <row r="238" spans="1:10" x14ac:dyDescent="0.2">
      <c r="A238" s="45" t="s">
        <v>23</v>
      </c>
      <c r="B238" s="45" t="s">
        <v>484</v>
      </c>
      <c r="C238" s="45" t="s">
        <v>349</v>
      </c>
      <c r="D238" s="50">
        <v>3480</v>
      </c>
      <c r="E238" s="50">
        <v>145</v>
      </c>
      <c r="F238" s="50">
        <v>18</v>
      </c>
      <c r="G238" s="50">
        <v>0.75</v>
      </c>
      <c r="H238" s="50">
        <v>3498</v>
      </c>
      <c r="I238" s="50">
        <v>145.75</v>
      </c>
      <c r="J238" s="50">
        <v>24</v>
      </c>
    </row>
    <row r="239" spans="1:10" x14ac:dyDescent="0.2">
      <c r="A239" s="45" t="s">
        <v>24</v>
      </c>
      <c r="B239" s="45" t="s">
        <v>485</v>
      </c>
      <c r="C239" s="45" t="s">
        <v>349</v>
      </c>
      <c r="D239" s="50">
        <v>76848</v>
      </c>
      <c r="E239" s="50">
        <v>3202</v>
      </c>
      <c r="F239" s="50">
        <v>24</v>
      </c>
      <c r="G239" s="50">
        <v>1</v>
      </c>
      <c r="H239" s="50">
        <v>76872</v>
      </c>
      <c r="I239" s="50">
        <v>3203</v>
      </c>
      <c r="J239" s="50">
        <v>24</v>
      </c>
    </row>
    <row r="240" spans="1:10" x14ac:dyDescent="0.2">
      <c r="A240" s="45" t="s">
        <v>26</v>
      </c>
      <c r="B240" s="45" t="s">
        <v>486</v>
      </c>
      <c r="C240" s="45" t="s">
        <v>349</v>
      </c>
      <c r="D240" s="50">
        <v>1680</v>
      </c>
      <c r="E240" s="50">
        <v>70</v>
      </c>
      <c r="F240" s="50">
        <v>12</v>
      </c>
      <c r="G240" s="50">
        <v>0.5</v>
      </c>
      <c r="H240" s="50">
        <v>1692</v>
      </c>
      <c r="I240" s="50">
        <v>70.5</v>
      </c>
      <c r="J240" s="50">
        <v>24</v>
      </c>
    </row>
    <row r="241" spans="1:10" x14ac:dyDescent="0.2">
      <c r="A241" s="45" t="s">
        <v>25</v>
      </c>
      <c r="B241" s="45" t="s">
        <v>487</v>
      </c>
      <c r="C241" s="45" t="s">
        <v>349</v>
      </c>
      <c r="D241" s="50">
        <v>0</v>
      </c>
      <c r="E241" s="50">
        <v>0</v>
      </c>
      <c r="F241" s="50">
        <v>12</v>
      </c>
      <c r="G241" s="50">
        <v>0.5</v>
      </c>
      <c r="H241" s="50">
        <v>12</v>
      </c>
      <c r="I241" s="50">
        <v>0.5</v>
      </c>
      <c r="J241" s="50">
        <v>24</v>
      </c>
    </row>
    <row r="242" spans="1:10" x14ac:dyDescent="0.2">
      <c r="A242" s="45" t="s">
        <v>382</v>
      </c>
      <c r="B242" s="45" t="s">
        <v>488</v>
      </c>
      <c r="C242" s="45" t="s">
        <v>349</v>
      </c>
      <c r="D242" s="50">
        <v>0</v>
      </c>
      <c r="E242" s="50">
        <v>0</v>
      </c>
      <c r="F242" s="50">
        <v>9</v>
      </c>
      <c r="G242" s="50">
        <v>0.75</v>
      </c>
      <c r="H242" s="50">
        <v>9</v>
      </c>
      <c r="I242" s="50">
        <v>0.75</v>
      </c>
      <c r="J242" s="50">
        <v>12</v>
      </c>
    </row>
    <row r="243" spans="1:10" x14ac:dyDescent="0.2">
      <c r="A243" s="45" t="s">
        <v>367</v>
      </c>
      <c r="B243" s="45" t="s">
        <v>489</v>
      </c>
      <c r="C243" s="45" t="s">
        <v>349</v>
      </c>
      <c r="D243" s="50">
        <v>0</v>
      </c>
      <c r="E243" s="50">
        <v>0</v>
      </c>
      <c r="F243" s="50">
        <v>21</v>
      </c>
      <c r="G243" s="50">
        <v>0.875</v>
      </c>
      <c r="H243" s="50">
        <v>21</v>
      </c>
      <c r="I243" s="50">
        <v>0.875</v>
      </c>
      <c r="J243" s="50">
        <v>24</v>
      </c>
    </row>
    <row r="244" spans="1:10" x14ac:dyDescent="0.2">
      <c r="A244" s="45" t="s">
        <v>366</v>
      </c>
      <c r="B244" s="45" t="s">
        <v>490</v>
      </c>
      <c r="C244" s="45" t="s">
        <v>349</v>
      </c>
      <c r="D244" s="50">
        <v>504</v>
      </c>
      <c r="E244" s="50">
        <v>21</v>
      </c>
      <c r="F244" s="50">
        <v>21</v>
      </c>
      <c r="G244" s="50">
        <v>0.875</v>
      </c>
      <c r="H244" s="50">
        <v>525</v>
      </c>
      <c r="I244" s="50">
        <v>21.875</v>
      </c>
      <c r="J244" s="50">
        <v>24</v>
      </c>
    </row>
    <row r="245" spans="1:10" x14ac:dyDescent="0.2">
      <c r="A245" s="45" t="s">
        <v>381</v>
      </c>
      <c r="B245" s="45" t="s">
        <v>491</v>
      </c>
      <c r="C245" s="45" t="s">
        <v>349</v>
      </c>
      <c r="D245" s="50">
        <v>144</v>
      </c>
      <c r="E245" s="50">
        <v>12</v>
      </c>
      <c r="F245" s="50">
        <v>0</v>
      </c>
      <c r="G245" s="50">
        <v>0</v>
      </c>
      <c r="H245" s="50">
        <v>144</v>
      </c>
      <c r="I245" s="50">
        <v>12</v>
      </c>
      <c r="J245" s="50">
        <v>12</v>
      </c>
    </row>
    <row r="246" spans="1:10" x14ac:dyDescent="0.2">
      <c r="A246" s="45" t="s">
        <v>371</v>
      </c>
      <c r="B246" s="45" t="s">
        <v>492</v>
      </c>
      <c r="C246" s="45" t="s">
        <v>349</v>
      </c>
      <c r="D246" s="50">
        <v>0</v>
      </c>
      <c r="E246" s="50">
        <v>0</v>
      </c>
      <c r="F246" s="50">
        <v>9</v>
      </c>
      <c r="G246" s="50">
        <v>0.75</v>
      </c>
      <c r="H246" s="50">
        <v>9</v>
      </c>
      <c r="I246" s="50">
        <v>0.75</v>
      </c>
      <c r="J246" s="50">
        <v>12</v>
      </c>
    </row>
    <row r="247" spans="1:10" x14ac:dyDescent="0.2">
      <c r="A247" s="45" t="s">
        <v>379</v>
      </c>
      <c r="B247" s="45" t="s">
        <v>493</v>
      </c>
      <c r="C247" s="45" t="s">
        <v>349</v>
      </c>
      <c r="D247" s="50">
        <v>444</v>
      </c>
      <c r="E247" s="50">
        <v>37</v>
      </c>
      <c r="F247" s="50">
        <v>9</v>
      </c>
      <c r="G247" s="50">
        <v>0.75</v>
      </c>
      <c r="H247" s="50">
        <v>453</v>
      </c>
      <c r="I247" s="50">
        <v>37.75</v>
      </c>
      <c r="J247" s="50">
        <v>12</v>
      </c>
    </row>
    <row r="248" spans="1:10" x14ac:dyDescent="0.2">
      <c r="A248" s="45" t="s">
        <v>355</v>
      </c>
      <c r="B248" s="45" t="s">
        <v>465</v>
      </c>
      <c r="C248" s="45" t="s">
        <v>349</v>
      </c>
      <c r="D248" s="50">
        <v>0</v>
      </c>
      <c r="E248" s="50">
        <v>0</v>
      </c>
      <c r="F248" s="50">
        <v>21</v>
      </c>
      <c r="G248" s="50">
        <v>0.875</v>
      </c>
      <c r="H248" s="50">
        <v>21</v>
      </c>
      <c r="I248" s="50">
        <v>0.875</v>
      </c>
      <c r="J248" s="50">
        <v>24</v>
      </c>
    </row>
    <row r="249" spans="1:10" x14ac:dyDescent="0.2">
      <c r="A249" s="45" t="s">
        <v>368</v>
      </c>
      <c r="B249" s="45" t="s">
        <v>494</v>
      </c>
      <c r="C249" s="45" t="s">
        <v>349</v>
      </c>
      <c r="D249" s="50">
        <v>0</v>
      </c>
      <c r="E249" s="50">
        <v>0</v>
      </c>
      <c r="F249" s="50">
        <v>9</v>
      </c>
      <c r="G249" s="50">
        <v>0.75</v>
      </c>
      <c r="H249" s="50">
        <v>9</v>
      </c>
      <c r="I249" s="50">
        <v>0.75</v>
      </c>
      <c r="J249" s="50">
        <v>12</v>
      </c>
    </row>
    <row r="250" spans="1:10" x14ac:dyDescent="0.2">
      <c r="A250" s="45" t="s">
        <v>378</v>
      </c>
      <c r="B250" s="45" t="s">
        <v>495</v>
      </c>
      <c r="C250" s="45" t="s">
        <v>349</v>
      </c>
      <c r="D250" s="50">
        <v>132</v>
      </c>
      <c r="E250" s="50">
        <v>11</v>
      </c>
      <c r="F250" s="50">
        <v>9</v>
      </c>
      <c r="G250" s="50">
        <v>0.75</v>
      </c>
      <c r="H250" s="50">
        <v>141</v>
      </c>
      <c r="I250" s="50">
        <v>11.75</v>
      </c>
      <c r="J250" s="50">
        <v>12</v>
      </c>
    </row>
    <row r="251" spans="1:10" x14ac:dyDescent="0.2">
      <c r="A251" s="45" t="s">
        <v>376</v>
      </c>
      <c r="B251" s="45" t="s">
        <v>496</v>
      </c>
      <c r="C251" s="45" t="s">
        <v>349</v>
      </c>
      <c r="D251" s="50">
        <v>0</v>
      </c>
      <c r="E251" s="50">
        <v>0</v>
      </c>
      <c r="F251" s="50">
        <v>0</v>
      </c>
      <c r="G251" s="50">
        <v>0</v>
      </c>
      <c r="H251" s="50">
        <v>0</v>
      </c>
      <c r="I251" s="50">
        <v>0</v>
      </c>
      <c r="J251" s="50">
        <v>12</v>
      </c>
    </row>
    <row r="252" spans="1:10" x14ac:dyDescent="0.2">
      <c r="A252" s="45" t="s">
        <v>380</v>
      </c>
      <c r="B252" s="45" t="s">
        <v>464</v>
      </c>
      <c r="C252" s="45" t="s">
        <v>349</v>
      </c>
      <c r="D252" s="50">
        <v>2916</v>
      </c>
      <c r="E252" s="50">
        <v>243</v>
      </c>
      <c r="F252" s="50">
        <v>9</v>
      </c>
      <c r="G252" s="50">
        <v>0.75</v>
      </c>
      <c r="H252" s="50">
        <v>2925</v>
      </c>
      <c r="I252" s="50">
        <v>243.75</v>
      </c>
      <c r="J252" s="50">
        <v>12</v>
      </c>
    </row>
    <row r="253" spans="1:10" x14ac:dyDescent="0.2">
      <c r="A253" s="45" t="s">
        <v>377</v>
      </c>
      <c r="B253" s="45" t="s">
        <v>497</v>
      </c>
      <c r="C253" s="45" t="s">
        <v>349</v>
      </c>
      <c r="D253" s="50">
        <v>0</v>
      </c>
      <c r="E253" s="50">
        <v>0</v>
      </c>
      <c r="F253" s="50">
        <v>9</v>
      </c>
      <c r="G253" s="50">
        <v>0.75</v>
      </c>
      <c r="H253" s="50">
        <v>9</v>
      </c>
      <c r="I253" s="50">
        <v>0.75</v>
      </c>
      <c r="J253" s="50">
        <v>12</v>
      </c>
    </row>
    <row r="254" spans="1:10" x14ac:dyDescent="0.2">
      <c r="A254" s="45" t="s">
        <v>369</v>
      </c>
      <c r="B254" s="45" t="s">
        <v>498</v>
      </c>
      <c r="C254" s="45" t="s">
        <v>349</v>
      </c>
      <c r="D254" s="50">
        <v>0</v>
      </c>
      <c r="E254" s="50">
        <v>0</v>
      </c>
      <c r="F254" s="50">
        <v>9</v>
      </c>
      <c r="G254" s="50">
        <v>0.75</v>
      </c>
      <c r="H254" s="50">
        <v>9</v>
      </c>
      <c r="I254" s="50">
        <v>0.75</v>
      </c>
      <c r="J254" s="50">
        <v>12</v>
      </c>
    </row>
    <row r="255" spans="1:10" x14ac:dyDescent="0.2">
      <c r="A255" s="45" t="s">
        <v>27</v>
      </c>
      <c r="B255" s="45" t="s">
        <v>499</v>
      </c>
      <c r="C255" s="45" t="s">
        <v>349</v>
      </c>
      <c r="D255" s="50">
        <v>2424</v>
      </c>
      <c r="E255" s="50">
        <v>101</v>
      </c>
      <c r="F255" s="50">
        <v>18</v>
      </c>
      <c r="G255" s="50">
        <v>0.75</v>
      </c>
      <c r="H255" s="50">
        <v>2442</v>
      </c>
      <c r="I255" s="50">
        <v>101.75</v>
      </c>
      <c r="J255" s="50">
        <v>24</v>
      </c>
    </row>
    <row r="256" spans="1:10" x14ac:dyDescent="0.2">
      <c r="A256" s="45" t="s">
        <v>370</v>
      </c>
      <c r="B256" s="45" t="s">
        <v>500</v>
      </c>
      <c r="C256" s="45" t="s">
        <v>349</v>
      </c>
      <c r="D256" s="50">
        <v>108</v>
      </c>
      <c r="E256" s="50">
        <v>9</v>
      </c>
      <c r="F256" s="50">
        <v>9</v>
      </c>
      <c r="G256" s="50">
        <v>0.75</v>
      </c>
      <c r="H256" s="50">
        <v>117</v>
      </c>
      <c r="I256" s="50">
        <v>9.75</v>
      </c>
      <c r="J256" s="50">
        <v>12</v>
      </c>
    </row>
    <row r="257" spans="1:10" x14ac:dyDescent="0.2">
      <c r="A257" s="45" t="s">
        <v>28</v>
      </c>
      <c r="B257" s="45" t="s">
        <v>501</v>
      </c>
      <c r="C257" s="45" t="s">
        <v>349</v>
      </c>
      <c r="D257" s="50">
        <v>0</v>
      </c>
      <c r="E257" s="50">
        <v>0</v>
      </c>
      <c r="F257" s="50">
        <v>12</v>
      </c>
      <c r="G257" s="50">
        <v>0.5</v>
      </c>
      <c r="H257" s="50">
        <v>12</v>
      </c>
      <c r="I257" s="50">
        <v>0.5</v>
      </c>
      <c r="J257" s="50">
        <v>24</v>
      </c>
    </row>
    <row r="258" spans="1:10" x14ac:dyDescent="0.2">
      <c r="A258" s="45" t="s">
        <v>21</v>
      </c>
      <c r="B258" s="45" t="s">
        <v>502</v>
      </c>
      <c r="C258" s="45" t="s">
        <v>349</v>
      </c>
      <c r="D258" s="50">
        <v>14664</v>
      </c>
      <c r="E258" s="50">
        <v>611</v>
      </c>
      <c r="F258" s="50">
        <v>12</v>
      </c>
      <c r="G258" s="50">
        <v>0.5</v>
      </c>
      <c r="H258" s="50">
        <v>14676</v>
      </c>
      <c r="I258" s="50">
        <v>611.5</v>
      </c>
      <c r="J258" s="50">
        <v>24</v>
      </c>
    </row>
    <row r="259" spans="1:10" x14ac:dyDescent="0.2">
      <c r="A259" s="45" t="s">
        <v>11</v>
      </c>
      <c r="B259" s="45" t="s">
        <v>503</v>
      </c>
      <c r="C259" s="45" t="s">
        <v>349</v>
      </c>
      <c r="D259" s="50">
        <v>0</v>
      </c>
      <c r="E259" s="50">
        <v>0</v>
      </c>
      <c r="F259" s="50">
        <v>18</v>
      </c>
      <c r="G259" s="50">
        <v>0.75</v>
      </c>
      <c r="H259" s="50">
        <v>18</v>
      </c>
      <c r="I259" s="50">
        <v>0.75</v>
      </c>
      <c r="J259" s="50">
        <v>24</v>
      </c>
    </row>
    <row r="260" spans="1:10" x14ac:dyDescent="0.2">
      <c r="A260" s="45" t="s">
        <v>32</v>
      </c>
      <c r="B260" s="45" t="s">
        <v>504</v>
      </c>
      <c r="C260" s="45" t="s">
        <v>349</v>
      </c>
      <c r="D260" s="50">
        <v>10656</v>
      </c>
      <c r="E260" s="50">
        <v>222</v>
      </c>
      <c r="F260" s="50">
        <v>42</v>
      </c>
      <c r="G260" s="50">
        <v>0.875</v>
      </c>
      <c r="H260" s="50">
        <v>10698</v>
      </c>
      <c r="I260" s="50">
        <v>222.875</v>
      </c>
      <c r="J260" s="50">
        <v>48</v>
      </c>
    </row>
    <row r="261" spans="1:10" x14ac:dyDescent="0.2">
      <c r="A261" s="45" t="s">
        <v>275</v>
      </c>
      <c r="B261" s="45" t="s">
        <v>292</v>
      </c>
      <c r="C261" s="45" t="s">
        <v>349</v>
      </c>
      <c r="D261" s="50">
        <v>0</v>
      </c>
      <c r="E261" s="50">
        <v>0</v>
      </c>
      <c r="F261" s="50">
        <v>0</v>
      </c>
      <c r="G261" s="50">
        <v>0</v>
      </c>
      <c r="H261" s="50">
        <v>0</v>
      </c>
      <c r="I261" s="50">
        <v>0</v>
      </c>
      <c r="J261" s="50">
        <v>0</v>
      </c>
    </row>
    <row r="262" spans="1:10" x14ac:dyDescent="0.2">
      <c r="A262" s="45" t="s">
        <v>239</v>
      </c>
      <c r="B262" s="45" t="s">
        <v>194</v>
      </c>
      <c r="C262" s="45" t="s">
        <v>336</v>
      </c>
      <c r="D262" s="50">
        <v>2102</v>
      </c>
      <c r="E262" s="50">
        <v>2102</v>
      </c>
      <c r="F262" s="50">
        <v>2</v>
      </c>
      <c r="G262" s="50">
        <v>2</v>
      </c>
      <c r="H262" s="50">
        <v>2104</v>
      </c>
      <c r="I262" s="50">
        <v>2104</v>
      </c>
      <c r="J262" s="50">
        <v>1</v>
      </c>
    </row>
    <row r="263" spans="1:10" x14ac:dyDescent="0.2">
      <c r="A263" s="45" t="s">
        <v>395</v>
      </c>
      <c r="B263" s="45" t="s">
        <v>396</v>
      </c>
      <c r="C263" s="45" t="s">
        <v>336</v>
      </c>
      <c r="D263" s="50">
        <v>1363</v>
      </c>
      <c r="E263" s="50">
        <v>1363</v>
      </c>
      <c r="F263" s="50">
        <v>0</v>
      </c>
      <c r="G263" s="50">
        <v>0</v>
      </c>
      <c r="H263" s="50">
        <v>1363</v>
      </c>
      <c r="I263" s="50">
        <v>1363</v>
      </c>
      <c r="J263" s="50">
        <v>1</v>
      </c>
    </row>
    <row r="264" spans="1:10" x14ac:dyDescent="0.2">
      <c r="A264" s="45" t="s">
        <v>240</v>
      </c>
      <c r="B264" s="45" t="s">
        <v>195</v>
      </c>
      <c r="C264" s="45" t="s">
        <v>337</v>
      </c>
      <c r="D264" s="50">
        <v>0</v>
      </c>
      <c r="E264" s="50">
        <v>0</v>
      </c>
      <c r="F264" s="50">
        <v>0</v>
      </c>
      <c r="G264" s="50">
        <v>0</v>
      </c>
      <c r="H264" s="50">
        <v>0</v>
      </c>
      <c r="I264" s="50">
        <v>0</v>
      </c>
      <c r="J264" s="50">
        <v>0</v>
      </c>
    </row>
    <row r="265" spans="1:10" x14ac:dyDescent="0.2">
      <c r="A265" s="45" t="s">
        <v>241</v>
      </c>
      <c r="B265" s="45" t="s">
        <v>196</v>
      </c>
      <c r="C265" s="45" t="s">
        <v>336</v>
      </c>
      <c r="D265" s="50">
        <v>1506</v>
      </c>
      <c r="E265" s="50">
        <v>1506</v>
      </c>
      <c r="F265" s="50">
        <v>0</v>
      </c>
      <c r="G265" s="50">
        <v>0</v>
      </c>
      <c r="H265" s="50">
        <v>1506</v>
      </c>
      <c r="I265" s="50">
        <v>1506</v>
      </c>
      <c r="J265" s="50">
        <v>1</v>
      </c>
    </row>
    <row r="266" spans="1:10" x14ac:dyDescent="0.2">
      <c r="A266" s="45" t="s">
        <v>397</v>
      </c>
      <c r="B266" s="45" t="s">
        <v>398</v>
      </c>
      <c r="C266" s="45" t="s">
        <v>336</v>
      </c>
      <c r="D266" s="50">
        <v>1275</v>
      </c>
      <c r="E266" s="50">
        <v>1275</v>
      </c>
      <c r="F266" s="50">
        <v>0</v>
      </c>
      <c r="G266" s="50">
        <v>0</v>
      </c>
      <c r="H266" s="50">
        <v>1275</v>
      </c>
      <c r="I266" s="50">
        <v>1275</v>
      </c>
      <c r="J266" s="50">
        <v>1</v>
      </c>
    </row>
    <row r="267" spans="1:10" x14ac:dyDescent="0.2">
      <c r="A267" s="45" t="s">
        <v>242</v>
      </c>
      <c r="B267" s="45" t="s">
        <v>197</v>
      </c>
      <c r="C267" s="45" t="s">
        <v>337</v>
      </c>
      <c r="D267" s="50">
        <v>0</v>
      </c>
      <c r="E267" s="50">
        <v>0</v>
      </c>
      <c r="F267" s="50">
        <v>0</v>
      </c>
      <c r="G267" s="50">
        <v>0</v>
      </c>
      <c r="H267" s="50">
        <v>0</v>
      </c>
      <c r="I267" s="50">
        <v>0</v>
      </c>
      <c r="J267" s="50">
        <v>0</v>
      </c>
    </row>
    <row r="268" spans="1:10" x14ac:dyDescent="0.2">
      <c r="A268" s="45" t="s">
        <v>243</v>
      </c>
      <c r="B268" s="45" t="s">
        <v>198</v>
      </c>
      <c r="C268" s="45" t="s">
        <v>336</v>
      </c>
      <c r="D268" s="50">
        <v>1287</v>
      </c>
      <c r="E268" s="50">
        <v>1287</v>
      </c>
      <c r="F268" s="50">
        <v>0</v>
      </c>
      <c r="G268" s="50">
        <v>0</v>
      </c>
      <c r="H268" s="50">
        <v>1287</v>
      </c>
      <c r="I268" s="50">
        <v>1287</v>
      </c>
      <c r="J268" s="50">
        <v>1</v>
      </c>
    </row>
    <row r="269" spans="1:10" x14ac:dyDescent="0.2">
      <c r="A269" s="45" t="s">
        <v>244</v>
      </c>
      <c r="B269" s="45" t="s">
        <v>199</v>
      </c>
      <c r="C269" s="45" t="s">
        <v>337</v>
      </c>
      <c r="D269" s="50">
        <v>12</v>
      </c>
      <c r="E269" s="50">
        <v>12</v>
      </c>
      <c r="F269" s="50">
        <v>1</v>
      </c>
      <c r="G269" s="50">
        <v>1</v>
      </c>
      <c r="H269" s="50">
        <v>13</v>
      </c>
      <c r="I269" s="50">
        <v>13</v>
      </c>
      <c r="J269" s="50">
        <v>0</v>
      </c>
    </row>
    <row r="270" spans="1:10" x14ac:dyDescent="0.2">
      <c r="A270" s="45" t="s">
        <v>399</v>
      </c>
      <c r="B270" s="45" t="s">
        <v>400</v>
      </c>
      <c r="C270" s="45" t="s">
        <v>336</v>
      </c>
      <c r="D270" s="50">
        <v>984</v>
      </c>
      <c r="E270" s="50">
        <v>984</v>
      </c>
      <c r="F270" s="50">
        <v>0</v>
      </c>
      <c r="G270" s="50">
        <v>0</v>
      </c>
      <c r="H270" s="50">
        <v>984</v>
      </c>
      <c r="I270" s="50">
        <v>984</v>
      </c>
      <c r="J270" s="50">
        <v>1</v>
      </c>
    </row>
    <row r="271" spans="1:10" x14ac:dyDescent="0.2">
      <c r="A271" s="45" t="s">
        <v>401</v>
      </c>
      <c r="B271" s="45" t="s">
        <v>402</v>
      </c>
      <c r="C271" s="45" t="s">
        <v>337</v>
      </c>
      <c r="D271" s="50">
        <v>58</v>
      </c>
      <c r="E271" s="50">
        <v>58</v>
      </c>
      <c r="F271" s="50">
        <v>0</v>
      </c>
      <c r="G271" s="50">
        <v>0</v>
      </c>
      <c r="H271" s="50">
        <v>58</v>
      </c>
      <c r="I271" s="50">
        <v>58</v>
      </c>
      <c r="J271" s="50">
        <v>0</v>
      </c>
    </row>
    <row r="272" spans="1:10" x14ac:dyDescent="0.2">
      <c r="A272" s="45" t="s">
        <v>245</v>
      </c>
      <c r="B272" s="45" t="s">
        <v>200</v>
      </c>
      <c r="C272" s="45" t="s">
        <v>336</v>
      </c>
      <c r="D272" s="50">
        <v>55</v>
      </c>
      <c r="E272" s="50">
        <v>55</v>
      </c>
      <c r="F272" s="50">
        <v>12</v>
      </c>
      <c r="G272" s="50">
        <v>12</v>
      </c>
      <c r="H272" s="50">
        <v>67</v>
      </c>
      <c r="I272" s="50">
        <v>67</v>
      </c>
      <c r="J272" s="50">
        <v>1</v>
      </c>
    </row>
    <row r="273" spans="1:10" x14ac:dyDescent="0.2">
      <c r="A273" s="45" t="s">
        <v>246</v>
      </c>
      <c r="B273" s="45" t="s">
        <v>201</v>
      </c>
      <c r="C273" s="45" t="s">
        <v>336</v>
      </c>
      <c r="D273" s="50">
        <v>157</v>
      </c>
      <c r="E273" s="50">
        <v>157</v>
      </c>
      <c r="F273" s="50">
        <v>2</v>
      </c>
      <c r="G273" s="50">
        <v>2</v>
      </c>
      <c r="H273" s="50">
        <v>159</v>
      </c>
      <c r="I273" s="50">
        <v>159</v>
      </c>
      <c r="J273" s="50">
        <v>1</v>
      </c>
    </row>
    <row r="274" spans="1:10" x14ac:dyDescent="0.2">
      <c r="A274" s="45" t="s">
        <v>247</v>
      </c>
      <c r="B274" s="45" t="s">
        <v>202</v>
      </c>
      <c r="C274" s="45" t="s">
        <v>337</v>
      </c>
      <c r="D274" s="50">
        <v>2</v>
      </c>
      <c r="E274" s="50">
        <v>2</v>
      </c>
      <c r="F274" s="50">
        <v>0</v>
      </c>
      <c r="G274" s="50">
        <v>0</v>
      </c>
      <c r="H274" s="50">
        <v>2</v>
      </c>
      <c r="I274" s="50">
        <v>2</v>
      </c>
      <c r="J274" s="50">
        <v>0</v>
      </c>
    </row>
    <row r="275" spans="1:10" x14ac:dyDescent="0.2">
      <c r="A275" s="45" t="s">
        <v>325</v>
      </c>
      <c r="B275" s="45" t="s">
        <v>326</v>
      </c>
      <c r="C275" s="45" t="s">
        <v>349</v>
      </c>
      <c r="D275" s="50">
        <v>0</v>
      </c>
      <c r="E275" s="50">
        <v>0</v>
      </c>
      <c r="F275" s="50">
        <v>0</v>
      </c>
      <c r="G275" s="50">
        <v>0</v>
      </c>
      <c r="H275" s="50">
        <v>0</v>
      </c>
      <c r="I275" s="50">
        <v>0</v>
      </c>
      <c r="J275" s="50">
        <v>0</v>
      </c>
    </row>
    <row r="276" spans="1:10" x14ac:dyDescent="0.2">
      <c r="A276" s="45" t="s">
        <v>276</v>
      </c>
      <c r="B276" s="45" t="s">
        <v>293</v>
      </c>
      <c r="C276" s="45" t="s">
        <v>349</v>
      </c>
      <c r="D276" s="50">
        <v>0</v>
      </c>
      <c r="E276" s="50">
        <v>0</v>
      </c>
      <c r="F276" s="50">
        <v>0</v>
      </c>
      <c r="G276" s="50">
        <v>0</v>
      </c>
      <c r="H276" s="50">
        <v>0</v>
      </c>
      <c r="I276" s="50">
        <v>0</v>
      </c>
      <c r="J276" s="50">
        <v>0</v>
      </c>
    </row>
    <row r="277" spans="1:10" x14ac:dyDescent="0.2">
      <c r="A277" s="45" t="s">
        <v>277</v>
      </c>
      <c r="B277" s="45" t="s">
        <v>318</v>
      </c>
      <c r="C277" s="45" t="s">
        <v>349</v>
      </c>
      <c r="D277" s="50">
        <v>0</v>
      </c>
      <c r="E277" s="50">
        <v>0</v>
      </c>
      <c r="F277" s="50">
        <v>0</v>
      </c>
      <c r="G277" s="50">
        <v>0</v>
      </c>
      <c r="H277" s="50">
        <v>0</v>
      </c>
      <c r="I277" s="50">
        <v>0</v>
      </c>
      <c r="J277" s="50">
        <v>0</v>
      </c>
    </row>
    <row r="278" spans="1:10" x14ac:dyDescent="0.2">
      <c r="A278" s="45" t="s">
        <v>352</v>
      </c>
      <c r="B278" s="45" t="s">
        <v>353</v>
      </c>
      <c r="C278" s="45" t="s">
        <v>349</v>
      </c>
      <c r="D278" s="50">
        <v>0</v>
      </c>
      <c r="E278" s="50">
        <v>0</v>
      </c>
      <c r="F278" s="50">
        <v>0</v>
      </c>
      <c r="G278" s="50">
        <v>0</v>
      </c>
      <c r="H278" s="50">
        <v>0</v>
      </c>
      <c r="I278" s="50">
        <v>0</v>
      </c>
      <c r="J278" s="50">
        <v>0</v>
      </c>
    </row>
    <row r="279" spans="1:10" x14ac:dyDescent="0.2">
      <c r="A279" s="45" t="s">
        <v>248</v>
      </c>
      <c r="B279" s="45" t="s">
        <v>203</v>
      </c>
      <c r="C279" s="45" t="s">
        <v>349</v>
      </c>
      <c r="D279" s="50">
        <v>0</v>
      </c>
      <c r="E279" s="50">
        <v>0</v>
      </c>
      <c r="F279" s="50">
        <v>0</v>
      </c>
      <c r="G279" s="50">
        <v>0</v>
      </c>
      <c r="H279" s="50">
        <v>0</v>
      </c>
      <c r="I279" s="50">
        <v>0</v>
      </c>
      <c r="J279" s="50">
        <v>0</v>
      </c>
    </row>
    <row r="280" spans="1:10" x14ac:dyDescent="0.2">
      <c r="A280" s="45" t="s">
        <v>249</v>
      </c>
      <c r="B280" s="45" t="s">
        <v>204</v>
      </c>
      <c r="C280" s="45" t="s">
        <v>349</v>
      </c>
      <c r="D280" s="50">
        <v>0</v>
      </c>
      <c r="E280" s="50">
        <v>0</v>
      </c>
      <c r="F280" s="50">
        <v>0</v>
      </c>
      <c r="G280" s="50">
        <v>0</v>
      </c>
      <c r="H280" s="50">
        <v>0</v>
      </c>
      <c r="I280" s="50">
        <v>0</v>
      </c>
      <c r="J280" s="50">
        <v>0</v>
      </c>
    </row>
    <row r="281" spans="1:10" x14ac:dyDescent="0.2">
      <c r="A281" s="45" t="s">
        <v>250</v>
      </c>
      <c r="B281" s="45" t="s">
        <v>205</v>
      </c>
      <c r="C281" s="45" t="s">
        <v>349</v>
      </c>
      <c r="D281" s="50">
        <v>0</v>
      </c>
      <c r="E281" s="50">
        <v>0</v>
      </c>
      <c r="F281" s="50">
        <v>0</v>
      </c>
      <c r="G281" s="50">
        <v>0</v>
      </c>
      <c r="H281" s="50">
        <v>0</v>
      </c>
      <c r="I281" s="50">
        <v>0</v>
      </c>
      <c r="J281" s="50">
        <v>0</v>
      </c>
    </row>
    <row r="282" spans="1:10" x14ac:dyDescent="0.2">
      <c r="A282" s="45" t="s">
        <v>251</v>
      </c>
      <c r="B282" s="45" t="s">
        <v>206</v>
      </c>
      <c r="C282" s="45" t="s">
        <v>349</v>
      </c>
      <c r="D282" s="50">
        <v>0</v>
      </c>
      <c r="E282" s="50">
        <v>0</v>
      </c>
      <c r="F282" s="50">
        <v>0</v>
      </c>
      <c r="G282" s="50">
        <v>0</v>
      </c>
      <c r="H282" s="50">
        <v>0</v>
      </c>
      <c r="I282" s="50">
        <v>0</v>
      </c>
      <c r="J282" s="50">
        <v>0</v>
      </c>
    </row>
    <row r="283" spans="1:10" x14ac:dyDescent="0.2">
      <c r="A283" s="45" t="s">
        <v>252</v>
      </c>
      <c r="B283" s="45" t="s">
        <v>207</v>
      </c>
      <c r="C283" s="45" t="s">
        <v>349</v>
      </c>
      <c r="D283" s="50">
        <v>0</v>
      </c>
      <c r="E283" s="50">
        <v>0</v>
      </c>
      <c r="F283" s="50">
        <v>0</v>
      </c>
      <c r="G283" s="50">
        <v>0</v>
      </c>
      <c r="H283" s="50">
        <v>0</v>
      </c>
      <c r="I283" s="50">
        <v>0</v>
      </c>
      <c r="J283" s="50">
        <v>0</v>
      </c>
    </row>
    <row r="284" spans="1:10" x14ac:dyDescent="0.2">
      <c r="A284" s="45" t="s">
        <v>253</v>
      </c>
      <c r="B284" s="45" t="s">
        <v>208</v>
      </c>
      <c r="C284" s="45" t="s">
        <v>349</v>
      </c>
      <c r="D284" s="50">
        <v>0</v>
      </c>
      <c r="E284" s="50">
        <v>0</v>
      </c>
      <c r="F284" s="50">
        <v>0</v>
      </c>
      <c r="G284" s="50">
        <v>0</v>
      </c>
      <c r="H284" s="50">
        <v>0</v>
      </c>
      <c r="I284" s="50">
        <v>0</v>
      </c>
      <c r="J284" s="50">
        <v>0</v>
      </c>
    </row>
    <row r="285" spans="1:10" x14ac:dyDescent="0.2">
      <c r="A285" s="45" t="s">
        <v>254</v>
      </c>
      <c r="B285" s="45" t="s">
        <v>209</v>
      </c>
      <c r="C285" s="45" t="s">
        <v>349</v>
      </c>
      <c r="D285" s="50">
        <v>0</v>
      </c>
      <c r="E285" s="50">
        <v>0</v>
      </c>
      <c r="F285" s="50">
        <v>0</v>
      </c>
      <c r="G285" s="50">
        <v>0</v>
      </c>
      <c r="H285" s="50">
        <v>0</v>
      </c>
      <c r="I285" s="50">
        <v>0</v>
      </c>
      <c r="J285" s="50">
        <v>0</v>
      </c>
    </row>
    <row r="286" spans="1:10" x14ac:dyDescent="0.2">
      <c r="A286" s="45" t="s">
        <v>255</v>
      </c>
      <c r="B286" s="45" t="s">
        <v>210</v>
      </c>
      <c r="C286" s="45" t="s">
        <v>349</v>
      </c>
      <c r="D286" s="50">
        <v>0</v>
      </c>
      <c r="E286" s="50">
        <v>0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</row>
    <row r="287" spans="1:10" x14ac:dyDescent="0.2">
      <c r="A287" s="45" t="s">
        <v>256</v>
      </c>
      <c r="B287" s="45" t="s">
        <v>211</v>
      </c>
      <c r="C287" s="45" t="s">
        <v>349</v>
      </c>
      <c r="D287" s="50">
        <v>0</v>
      </c>
      <c r="E287" s="50">
        <v>0</v>
      </c>
      <c r="F287" s="50">
        <v>0</v>
      </c>
      <c r="G287" s="50">
        <v>0</v>
      </c>
      <c r="H287" s="50">
        <v>0</v>
      </c>
      <c r="I287" s="50">
        <v>0</v>
      </c>
      <c r="J287" s="50">
        <v>0</v>
      </c>
    </row>
    <row r="288" spans="1:10" x14ac:dyDescent="0.2">
      <c r="A288" s="45" t="s">
        <v>257</v>
      </c>
      <c r="B288" s="45" t="s">
        <v>212</v>
      </c>
      <c r="C288" s="45" t="s">
        <v>349</v>
      </c>
      <c r="D288" s="50">
        <v>0</v>
      </c>
      <c r="E288" s="50">
        <v>0</v>
      </c>
      <c r="F288" s="50">
        <v>0</v>
      </c>
      <c r="G288" s="50">
        <v>0</v>
      </c>
      <c r="H288" s="50">
        <v>0</v>
      </c>
      <c r="I288" s="50">
        <v>0</v>
      </c>
      <c r="J288" s="50">
        <v>0</v>
      </c>
    </row>
    <row r="289" spans="1:10" x14ac:dyDescent="0.2">
      <c r="A289" s="45" t="s">
        <v>258</v>
      </c>
      <c r="B289" s="45" t="s">
        <v>213</v>
      </c>
      <c r="C289" s="45" t="s">
        <v>349</v>
      </c>
      <c r="D289" s="50">
        <v>0</v>
      </c>
      <c r="E289" s="50">
        <v>0</v>
      </c>
      <c r="F289" s="50">
        <v>0</v>
      </c>
      <c r="G289" s="50">
        <v>0</v>
      </c>
      <c r="H289" s="50">
        <v>0</v>
      </c>
      <c r="I289" s="50">
        <v>0</v>
      </c>
      <c r="J289" s="50">
        <v>0</v>
      </c>
    </row>
    <row r="290" spans="1:10" x14ac:dyDescent="0.2">
      <c r="A290" s="45" t="s">
        <v>259</v>
      </c>
      <c r="B290" s="45" t="s">
        <v>214</v>
      </c>
      <c r="C290" s="45" t="s">
        <v>349</v>
      </c>
      <c r="D290" s="50">
        <v>0</v>
      </c>
      <c r="E290" s="50">
        <v>0</v>
      </c>
      <c r="F290" s="50">
        <v>0</v>
      </c>
      <c r="G290" s="50">
        <v>0</v>
      </c>
      <c r="H290" s="50">
        <v>0</v>
      </c>
      <c r="I290" s="50">
        <v>0</v>
      </c>
      <c r="J290" s="50">
        <v>0</v>
      </c>
    </row>
    <row r="291" spans="1:10" x14ac:dyDescent="0.2">
      <c r="A291" s="45" t="s">
        <v>260</v>
      </c>
      <c r="B291" s="45" t="s">
        <v>215</v>
      </c>
      <c r="C291" s="45" t="s">
        <v>349</v>
      </c>
      <c r="D291" s="50">
        <v>0</v>
      </c>
      <c r="E291" s="50">
        <v>0</v>
      </c>
      <c r="F291" s="50">
        <v>0</v>
      </c>
      <c r="G291" s="50">
        <v>0</v>
      </c>
      <c r="H291" s="50">
        <v>0</v>
      </c>
      <c r="I291" s="50">
        <v>0</v>
      </c>
      <c r="J291" s="50">
        <v>0</v>
      </c>
    </row>
    <row r="292" spans="1:10" x14ac:dyDescent="0.2">
      <c r="A292" s="45" t="s">
        <v>261</v>
      </c>
      <c r="B292" s="45" t="s">
        <v>216</v>
      </c>
      <c r="C292" s="45" t="s">
        <v>349</v>
      </c>
      <c r="D292" s="50">
        <v>0</v>
      </c>
      <c r="E292" s="50">
        <v>0</v>
      </c>
      <c r="F292" s="50">
        <v>0</v>
      </c>
      <c r="G292" s="50">
        <v>0</v>
      </c>
      <c r="H292" s="50">
        <v>0</v>
      </c>
      <c r="I292" s="50">
        <v>0</v>
      </c>
      <c r="J292" s="50">
        <v>0</v>
      </c>
    </row>
    <row r="293" spans="1:10" x14ac:dyDescent="0.2">
      <c r="A293" s="45" t="s">
        <v>262</v>
      </c>
      <c r="B293" s="45" t="s">
        <v>217</v>
      </c>
      <c r="C293" s="45" t="s">
        <v>349</v>
      </c>
      <c r="D293" s="50">
        <v>0</v>
      </c>
      <c r="E293" s="50">
        <v>0</v>
      </c>
      <c r="F293" s="50">
        <v>0</v>
      </c>
      <c r="G293" s="50">
        <v>0</v>
      </c>
      <c r="H293" s="50">
        <v>0</v>
      </c>
      <c r="I293" s="50">
        <v>0</v>
      </c>
      <c r="J293" s="50">
        <v>0</v>
      </c>
    </row>
    <row r="294" spans="1:10" x14ac:dyDescent="0.2">
      <c r="A294" s="45" t="s">
        <v>278</v>
      </c>
      <c r="B294" s="45" t="s">
        <v>279</v>
      </c>
      <c r="C294" s="45" t="s">
        <v>349</v>
      </c>
      <c r="D294" s="50">
        <v>0</v>
      </c>
      <c r="E294" s="50">
        <v>0</v>
      </c>
      <c r="F294" s="50">
        <v>0</v>
      </c>
      <c r="G294" s="50">
        <v>0</v>
      </c>
      <c r="H294" s="50">
        <v>0</v>
      </c>
      <c r="I294" s="50">
        <v>0</v>
      </c>
      <c r="J294" s="50">
        <v>0</v>
      </c>
    </row>
    <row r="295" spans="1:10" x14ac:dyDescent="0.2">
      <c r="D295" s="50"/>
      <c r="E295" s="50"/>
      <c r="F295" s="50"/>
      <c r="G295" s="50"/>
      <c r="H295" s="50"/>
      <c r="I295" s="50"/>
      <c r="J295" s="50"/>
    </row>
    <row r="296" spans="1:10" x14ac:dyDescent="0.2">
      <c r="D296" s="50"/>
      <c r="E296" s="50"/>
      <c r="F296" s="50"/>
      <c r="G296" s="50"/>
      <c r="H296" s="50"/>
      <c r="I296" s="50"/>
      <c r="J296" s="50"/>
    </row>
    <row r="297" spans="1:10" x14ac:dyDescent="0.2">
      <c r="D297" s="50"/>
      <c r="E297" s="50"/>
      <c r="F297" s="50"/>
      <c r="G297" s="50"/>
      <c r="H297" s="50"/>
      <c r="I297" s="50"/>
      <c r="J297" s="50"/>
    </row>
    <row r="298" spans="1:10" x14ac:dyDescent="0.2">
      <c r="D298" s="50"/>
      <c r="E298" s="50"/>
      <c r="F298" s="50"/>
      <c r="G298" s="50"/>
      <c r="H298" s="50"/>
      <c r="I298" s="50"/>
      <c r="J298" s="50"/>
    </row>
    <row r="299" spans="1:10" x14ac:dyDescent="0.2">
      <c r="D299" s="50"/>
      <c r="E299" s="50"/>
      <c r="F299" s="50"/>
      <c r="G299" s="50"/>
      <c r="H299" s="50"/>
      <c r="I299" s="50"/>
      <c r="J299" s="50"/>
    </row>
    <row r="300" spans="1:10" x14ac:dyDescent="0.2">
      <c r="D300" s="50"/>
      <c r="E300" s="50"/>
      <c r="F300" s="50"/>
      <c r="G300" s="50"/>
      <c r="H300" s="50"/>
      <c r="I300" s="50"/>
      <c r="J300" s="50"/>
    </row>
    <row r="301" spans="1:10" x14ac:dyDescent="0.2">
      <c r="D301" s="50"/>
      <c r="E301" s="50"/>
      <c r="F301" s="50"/>
      <c r="G301" s="50"/>
      <c r="H301" s="50"/>
      <c r="I301" s="50"/>
      <c r="J301" s="50"/>
    </row>
    <row r="302" spans="1:10" x14ac:dyDescent="0.2">
      <c r="D302" s="50"/>
      <c r="E302" s="50"/>
      <c r="F302" s="50"/>
      <c r="G302" s="50"/>
      <c r="H302" s="50"/>
      <c r="I302" s="50"/>
      <c r="J302" s="50"/>
    </row>
    <row r="303" spans="1:10" x14ac:dyDescent="0.2">
      <c r="D303" s="50"/>
      <c r="E303" s="50"/>
      <c r="F303" s="50"/>
      <c r="G303" s="50"/>
      <c r="H303" s="50"/>
      <c r="I303" s="50"/>
      <c r="J303" s="50"/>
    </row>
    <row r="304" spans="1:10" x14ac:dyDescent="0.2">
      <c r="D304" s="50"/>
      <c r="E304" s="50"/>
      <c r="F304" s="50"/>
      <c r="G304" s="50"/>
      <c r="H304" s="50"/>
      <c r="I304" s="50"/>
      <c r="J304" s="50"/>
    </row>
    <row r="305" spans="4:10" x14ac:dyDescent="0.2">
      <c r="D305" s="50"/>
      <c r="E305" s="50"/>
      <c r="F305" s="50"/>
      <c r="G305" s="50"/>
      <c r="H305" s="50"/>
      <c r="I305" s="50"/>
      <c r="J305" s="50"/>
    </row>
    <row r="306" spans="4:10" x14ac:dyDescent="0.2">
      <c r="D306" s="50"/>
      <c r="E306" s="50"/>
      <c r="F306" s="50"/>
      <c r="G306" s="50"/>
      <c r="H306" s="50"/>
      <c r="I306" s="50"/>
      <c r="J306" s="50"/>
    </row>
    <row r="307" spans="4:10" x14ac:dyDescent="0.2">
      <c r="D307" s="50"/>
      <c r="E307" s="50"/>
      <c r="F307" s="50"/>
      <c r="G307" s="50"/>
      <c r="H307" s="50"/>
      <c r="I307" s="50"/>
      <c r="J307" s="50"/>
    </row>
    <row r="308" spans="4:10" x14ac:dyDescent="0.2">
      <c r="D308" s="50"/>
      <c r="E308" s="50"/>
      <c r="F308" s="50"/>
      <c r="G308" s="50"/>
      <c r="H308" s="50"/>
      <c r="I308" s="50"/>
      <c r="J308" s="50"/>
    </row>
    <row r="309" spans="4:10" x14ac:dyDescent="0.2">
      <c r="D309" s="50"/>
      <c r="E309" s="50"/>
      <c r="F309" s="50"/>
      <c r="G309" s="50"/>
      <c r="H309" s="50"/>
      <c r="I309" s="50"/>
      <c r="J309" s="50"/>
    </row>
    <row r="310" spans="4:10" x14ac:dyDescent="0.2">
      <c r="D310" s="50"/>
      <c r="E310" s="50"/>
      <c r="F310" s="50"/>
      <c r="G310" s="50"/>
      <c r="H310" s="50"/>
      <c r="I310" s="50"/>
      <c r="J310" s="50"/>
    </row>
    <row r="311" spans="4:10" x14ac:dyDescent="0.2">
      <c r="D311" s="50"/>
      <c r="E311" s="50"/>
      <c r="F311" s="50"/>
      <c r="G311" s="50"/>
      <c r="H311" s="50"/>
      <c r="I311" s="50"/>
      <c r="J311" s="50"/>
    </row>
    <row r="312" spans="4:10" x14ac:dyDescent="0.2">
      <c r="D312" s="50"/>
      <c r="E312" s="50"/>
      <c r="F312" s="50"/>
      <c r="G312" s="50"/>
      <c r="H312" s="50"/>
      <c r="I312" s="50"/>
      <c r="J312" s="50"/>
    </row>
    <row r="313" spans="4:10" x14ac:dyDescent="0.2">
      <c r="D313" s="50"/>
      <c r="E313" s="50"/>
      <c r="F313" s="50"/>
      <c r="G313" s="50"/>
      <c r="H313" s="50"/>
      <c r="I313" s="50"/>
      <c r="J313" s="50"/>
    </row>
    <row r="314" spans="4:10" x14ac:dyDescent="0.2">
      <c r="D314" s="50"/>
      <c r="E314" s="50"/>
      <c r="F314" s="50"/>
      <c r="G314" s="50"/>
      <c r="H314" s="50"/>
      <c r="I314" s="50"/>
      <c r="J314" s="50"/>
    </row>
    <row r="315" spans="4:10" x14ac:dyDescent="0.2">
      <c r="D315" s="50"/>
      <c r="E315" s="50"/>
      <c r="F315" s="50"/>
      <c r="G315" s="50"/>
      <c r="H315" s="50"/>
      <c r="I315" s="50"/>
      <c r="J315" s="50"/>
    </row>
    <row r="316" spans="4:10" x14ac:dyDescent="0.2">
      <c r="D316" s="50"/>
      <c r="E316" s="50"/>
      <c r="F316" s="50"/>
      <c r="G316" s="50"/>
      <c r="H316" s="50"/>
      <c r="I316" s="50"/>
      <c r="J316" s="50"/>
    </row>
    <row r="317" spans="4:10" x14ac:dyDescent="0.2">
      <c r="D317" s="50"/>
      <c r="E317" s="50"/>
      <c r="F317" s="50"/>
      <c r="G317" s="50"/>
      <c r="H317" s="50"/>
      <c r="I317" s="50"/>
      <c r="J317" s="50"/>
    </row>
    <row r="318" spans="4:10" x14ac:dyDescent="0.2">
      <c r="D318" s="50"/>
      <c r="E318" s="50"/>
      <c r="F318" s="50"/>
      <c r="G318" s="50"/>
      <c r="H318" s="50"/>
      <c r="I318" s="50"/>
      <c r="J318" s="50"/>
    </row>
    <row r="319" spans="4:10" x14ac:dyDescent="0.2">
      <c r="D319" s="50"/>
      <c r="E319" s="50"/>
      <c r="F319" s="50"/>
      <c r="G319" s="50"/>
      <c r="H319" s="50"/>
      <c r="I319" s="50"/>
      <c r="J319" s="50"/>
    </row>
    <row r="320" spans="4:10" x14ac:dyDescent="0.2">
      <c r="D320" s="50"/>
      <c r="E320" s="50"/>
      <c r="F320" s="50"/>
      <c r="G320" s="50"/>
      <c r="H320" s="50"/>
      <c r="I320" s="50"/>
      <c r="J320" s="50"/>
    </row>
    <row r="321" spans="4:10" x14ac:dyDescent="0.2">
      <c r="D321" s="50"/>
      <c r="E321" s="50"/>
      <c r="F321" s="50"/>
      <c r="G321" s="50"/>
      <c r="H321" s="50"/>
      <c r="I321" s="50"/>
      <c r="J321" s="50"/>
    </row>
    <row r="322" spans="4:10" x14ac:dyDescent="0.2">
      <c r="D322" s="50"/>
      <c r="E322" s="50"/>
      <c r="F322" s="50"/>
      <c r="G322" s="50"/>
      <c r="H322" s="50"/>
      <c r="I322" s="50"/>
      <c r="J322" s="50"/>
    </row>
    <row r="323" spans="4:10" x14ac:dyDescent="0.2">
      <c r="D323" s="50"/>
      <c r="E323" s="50"/>
      <c r="F323" s="50"/>
      <c r="G323" s="50"/>
      <c r="H323" s="50"/>
      <c r="I323" s="50"/>
      <c r="J323" s="50"/>
    </row>
    <row r="324" spans="4:10" x14ac:dyDescent="0.2">
      <c r="D324" s="50"/>
      <c r="E324" s="50"/>
      <c r="F324" s="50"/>
      <c r="G324" s="50"/>
      <c r="H324" s="50"/>
      <c r="I324" s="50"/>
      <c r="J324" s="50"/>
    </row>
    <row r="325" spans="4:10" x14ac:dyDescent="0.2">
      <c r="D325" s="50"/>
      <c r="E325" s="50"/>
      <c r="F325" s="50"/>
      <c r="G325" s="50"/>
      <c r="H325" s="50"/>
      <c r="I325" s="50"/>
      <c r="J325" s="50"/>
    </row>
    <row r="326" spans="4:10" x14ac:dyDescent="0.2">
      <c r="D326" s="50"/>
      <c r="E326" s="50"/>
      <c r="F326" s="50"/>
      <c r="G326" s="50"/>
      <c r="H326" s="50"/>
      <c r="I326" s="50"/>
      <c r="J326" s="50"/>
    </row>
    <row r="327" spans="4:10" x14ac:dyDescent="0.2">
      <c r="D327" s="50"/>
      <c r="E327" s="50"/>
      <c r="F327" s="50"/>
      <c r="G327" s="50"/>
      <c r="H327" s="50"/>
      <c r="I327" s="50"/>
      <c r="J327" s="50"/>
    </row>
    <row r="328" spans="4:10" x14ac:dyDescent="0.2">
      <c r="D328" s="50"/>
      <c r="E328" s="50"/>
      <c r="F328" s="50"/>
      <c r="G328" s="50"/>
      <c r="H328" s="50"/>
      <c r="I328" s="50"/>
      <c r="J328" s="50"/>
    </row>
    <row r="329" spans="4:10" x14ac:dyDescent="0.2">
      <c r="D329" s="50"/>
      <c r="E329" s="50"/>
      <c r="F329" s="50"/>
      <c r="G329" s="50"/>
      <c r="H329" s="50"/>
      <c r="I329" s="50"/>
      <c r="J329" s="50"/>
    </row>
    <row r="330" spans="4:10" x14ac:dyDescent="0.2">
      <c r="D330" s="50"/>
      <c r="E330" s="50"/>
      <c r="F330" s="50"/>
      <c r="G330" s="50"/>
      <c r="H330" s="50"/>
      <c r="I330" s="50"/>
      <c r="J330" s="50"/>
    </row>
    <row r="331" spans="4:10" x14ac:dyDescent="0.2">
      <c r="D331" s="50"/>
      <c r="E331" s="50"/>
      <c r="F331" s="50"/>
      <c r="G331" s="50"/>
      <c r="H331" s="50"/>
      <c r="I331" s="50"/>
      <c r="J331" s="50"/>
    </row>
    <row r="332" spans="4:10" x14ac:dyDescent="0.2">
      <c r="D332" s="50"/>
      <c r="E332" s="50"/>
      <c r="F332" s="50"/>
      <c r="G332" s="50"/>
      <c r="H332" s="50"/>
      <c r="I332" s="50"/>
      <c r="J332" s="50"/>
    </row>
    <row r="333" spans="4:10" x14ac:dyDescent="0.2">
      <c r="D333" s="50"/>
      <c r="E333" s="50"/>
      <c r="F333" s="50"/>
      <c r="G333" s="50"/>
      <c r="H333" s="50"/>
      <c r="I333" s="50"/>
      <c r="J333" s="50"/>
    </row>
    <row r="334" spans="4:10" x14ac:dyDescent="0.2">
      <c r="D334" s="50"/>
      <c r="E334" s="50"/>
      <c r="F334" s="50"/>
      <c r="G334" s="50"/>
      <c r="H334" s="50"/>
      <c r="I334" s="50"/>
      <c r="J334" s="50"/>
    </row>
    <row r="335" spans="4:10" x14ac:dyDescent="0.2">
      <c r="D335" s="50"/>
      <c r="E335" s="50"/>
      <c r="F335" s="50"/>
      <c r="G335" s="50"/>
      <c r="H335" s="50"/>
      <c r="I335" s="50"/>
      <c r="J335" s="50"/>
    </row>
    <row r="336" spans="4:10" x14ac:dyDescent="0.2">
      <c r="D336" s="50"/>
      <c r="E336" s="50"/>
      <c r="F336" s="50"/>
      <c r="G336" s="50"/>
      <c r="H336" s="50"/>
      <c r="I336" s="50"/>
      <c r="J336" s="50"/>
    </row>
    <row r="337" spans="4:10" x14ac:dyDescent="0.2">
      <c r="D337" s="50"/>
      <c r="E337" s="50"/>
      <c r="F337" s="50"/>
      <c r="G337" s="50"/>
      <c r="H337" s="50"/>
      <c r="I337" s="50"/>
      <c r="J337" s="50"/>
    </row>
    <row r="338" spans="4:10" x14ac:dyDescent="0.2">
      <c r="D338" s="50"/>
      <c r="E338" s="50"/>
      <c r="F338" s="50"/>
      <c r="G338" s="50"/>
      <c r="H338" s="50"/>
      <c r="I338" s="50"/>
      <c r="J338" s="50"/>
    </row>
    <row r="339" spans="4:10" x14ac:dyDescent="0.2">
      <c r="D339" s="50"/>
      <c r="E339" s="50"/>
      <c r="F339" s="50"/>
      <c r="G339" s="50"/>
      <c r="H339" s="50"/>
      <c r="I339" s="50"/>
      <c r="J339" s="50"/>
    </row>
    <row r="340" spans="4:10" x14ac:dyDescent="0.2">
      <c r="D340" s="50"/>
      <c r="E340" s="50"/>
      <c r="F340" s="50"/>
      <c r="G340" s="50"/>
      <c r="H340" s="50"/>
      <c r="I340" s="50"/>
      <c r="J340" s="50"/>
    </row>
    <row r="341" spans="4:10" x14ac:dyDescent="0.2">
      <c r="D341" s="50"/>
      <c r="E341" s="50"/>
      <c r="F341" s="50"/>
      <c r="G341" s="50"/>
      <c r="H341" s="50"/>
      <c r="I341" s="50"/>
      <c r="J341" s="50"/>
    </row>
    <row r="342" spans="4:10" x14ac:dyDescent="0.2">
      <c r="D342" s="50"/>
      <c r="E342" s="50"/>
      <c r="F342" s="50"/>
      <c r="G342" s="50"/>
      <c r="H342" s="50"/>
      <c r="I342" s="50"/>
      <c r="J342" s="50"/>
    </row>
    <row r="343" spans="4:10" x14ac:dyDescent="0.2">
      <c r="D343" s="50"/>
      <c r="E343" s="50"/>
      <c r="F343" s="50"/>
      <c r="G343" s="50"/>
      <c r="H343" s="50"/>
      <c r="I343" s="50"/>
      <c r="J343" s="50"/>
    </row>
    <row r="344" spans="4:10" x14ac:dyDescent="0.2">
      <c r="D344" s="50"/>
      <c r="E344" s="50"/>
      <c r="F344" s="50"/>
      <c r="G344" s="50"/>
      <c r="H344" s="50"/>
      <c r="I344" s="50"/>
      <c r="J344" s="50"/>
    </row>
    <row r="345" spans="4:10" x14ac:dyDescent="0.2">
      <c r="D345" s="50"/>
      <c r="E345" s="50"/>
      <c r="F345" s="50"/>
      <c r="G345" s="50"/>
      <c r="H345" s="50"/>
      <c r="I345" s="50"/>
      <c r="J345" s="50"/>
    </row>
    <row r="346" spans="4:10" x14ac:dyDescent="0.2">
      <c r="D346" s="50"/>
      <c r="E346" s="50"/>
      <c r="F346" s="50"/>
      <c r="G346" s="50"/>
      <c r="H346" s="50"/>
      <c r="I346" s="50"/>
      <c r="J346" s="50"/>
    </row>
    <row r="347" spans="4:10" x14ac:dyDescent="0.2">
      <c r="D347" s="50"/>
      <c r="E347" s="50"/>
      <c r="F347" s="50"/>
      <c r="G347" s="50"/>
      <c r="H347" s="50"/>
      <c r="I347" s="50"/>
      <c r="J347" s="50"/>
    </row>
    <row r="348" spans="4:10" x14ac:dyDescent="0.2">
      <c r="D348" s="50"/>
      <c r="E348" s="50"/>
      <c r="F348" s="50"/>
      <c r="G348" s="50"/>
      <c r="H348" s="50"/>
      <c r="I348" s="50"/>
      <c r="J348" s="50"/>
    </row>
    <row r="349" spans="4:10" x14ac:dyDescent="0.2">
      <c r="D349" s="50"/>
      <c r="E349" s="50"/>
      <c r="F349" s="50"/>
      <c r="G349" s="50"/>
      <c r="H349" s="50"/>
      <c r="I349" s="50"/>
      <c r="J349" s="50"/>
    </row>
    <row r="350" spans="4:10" x14ac:dyDescent="0.2">
      <c r="D350" s="50"/>
      <c r="E350" s="50"/>
      <c r="F350" s="50"/>
      <c r="G350" s="50"/>
      <c r="H350" s="50"/>
      <c r="I350" s="50"/>
      <c r="J350" s="50"/>
    </row>
    <row r="351" spans="4:10" x14ac:dyDescent="0.2">
      <c r="D351" s="50"/>
      <c r="E351" s="50"/>
      <c r="F351" s="50"/>
      <c r="G351" s="50"/>
      <c r="H351" s="50"/>
      <c r="I351" s="50"/>
      <c r="J351" s="50"/>
    </row>
    <row r="352" spans="4:10" x14ac:dyDescent="0.2">
      <c r="D352" s="50"/>
      <c r="E352" s="50"/>
      <c r="F352" s="50"/>
      <c r="G352" s="50"/>
      <c r="H352" s="50"/>
      <c r="I352" s="50"/>
      <c r="J352" s="50"/>
    </row>
    <row r="353" spans="4:10" x14ac:dyDescent="0.2">
      <c r="D353" s="50"/>
      <c r="E353" s="50"/>
      <c r="F353" s="50"/>
      <c r="G353" s="50"/>
      <c r="H353" s="50"/>
      <c r="I353" s="50"/>
      <c r="J353" s="50"/>
    </row>
    <row r="354" spans="4:10" x14ac:dyDescent="0.2">
      <c r="D354" s="50"/>
      <c r="E354" s="50"/>
      <c r="F354" s="50"/>
      <c r="G354" s="50"/>
      <c r="H354" s="50"/>
      <c r="I354" s="50"/>
      <c r="J354" s="50"/>
    </row>
    <row r="355" spans="4:10" x14ac:dyDescent="0.2">
      <c r="D355" s="50"/>
      <c r="E355" s="50"/>
      <c r="F355" s="50"/>
      <c r="G355" s="50"/>
      <c r="H355" s="50"/>
      <c r="I355" s="50"/>
      <c r="J355" s="50"/>
    </row>
    <row r="356" spans="4:10" x14ac:dyDescent="0.2">
      <c r="D356" s="50"/>
      <c r="E356" s="50"/>
      <c r="F356" s="50"/>
      <c r="G356" s="50"/>
      <c r="H356" s="50"/>
      <c r="I356" s="50"/>
      <c r="J356" s="50"/>
    </row>
    <row r="357" spans="4:10" x14ac:dyDescent="0.2">
      <c r="D357" s="50"/>
      <c r="E357" s="50"/>
      <c r="F357" s="50"/>
      <c r="G357" s="50"/>
      <c r="H357" s="50"/>
      <c r="I357" s="50"/>
      <c r="J357" s="50"/>
    </row>
    <row r="358" spans="4:10" x14ac:dyDescent="0.2">
      <c r="D358" s="50"/>
      <c r="E358" s="50"/>
      <c r="F358" s="50"/>
      <c r="G358" s="50"/>
      <c r="H358" s="50"/>
      <c r="I358" s="50"/>
      <c r="J358" s="50"/>
    </row>
    <row r="359" spans="4:10" x14ac:dyDescent="0.2">
      <c r="D359" s="50"/>
      <c r="E359" s="50"/>
      <c r="F359" s="50"/>
      <c r="G359" s="50"/>
      <c r="H359" s="50"/>
      <c r="I359" s="50"/>
      <c r="J359" s="50"/>
    </row>
    <row r="360" spans="4:10" x14ac:dyDescent="0.2">
      <c r="D360" s="50"/>
      <c r="E360" s="50"/>
      <c r="F360" s="50"/>
      <c r="G360" s="50"/>
      <c r="H360" s="50"/>
      <c r="I360" s="50"/>
      <c r="J360" s="50"/>
    </row>
    <row r="361" spans="4:10" x14ac:dyDescent="0.2">
      <c r="D361" s="50"/>
      <c r="E361" s="50"/>
      <c r="F361" s="50"/>
      <c r="G361" s="50"/>
      <c r="H361" s="50"/>
      <c r="I361" s="50"/>
      <c r="J361" s="50"/>
    </row>
    <row r="362" spans="4:10" x14ac:dyDescent="0.2">
      <c r="D362" s="50"/>
      <c r="E362" s="50"/>
      <c r="F362" s="50"/>
      <c r="G362" s="50"/>
      <c r="H362" s="50"/>
      <c r="I362" s="50"/>
      <c r="J362" s="50"/>
    </row>
    <row r="363" spans="4:10" x14ac:dyDescent="0.2">
      <c r="D363" s="50"/>
      <c r="E363" s="50"/>
      <c r="F363" s="50"/>
      <c r="G363" s="50"/>
      <c r="H363" s="50"/>
      <c r="I363" s="50"/>
      <c r="J363" s="50"/>
    </row>
    <row r="364" spans="4:10" x14ac:dyDescent="0.2">
      <c r="D364" s="50"/>
      <c r="E364" s="50"/>
      <c r="F364" s="50"/>
      <c r="G364" s="50"/>
      <c r="H364" s="50"/>
      <c r="I364" s="50"/>
      <c r="J364" s="50"/>
    </row>
    <row r="365" spans="4:10" x14ac:dyDescent="0.2">
      <c r="D365" s="50"/>
      <c r="E365" s="50"/>
      <c r="F365" s="50"/>
      <c r="G365" s="50"/>
      <c r="H365" s="50"/>
      <c r="I365" s="50"/>
      <c r="J365" s="50"/>
    </row>
    <row r="366" spans="4:10" x14ac:dyDescent="0.2">
      <c r="D366" s="50"/>
      <c r="E366" s="50"/>
      <c r="F366" s="50"/>
      <c r="G366" s="50"/>
      <c r="H366" s="50"/>
      <c r="I366" s="50"/>
      <c r="J366" s="50"/>
    </row>
    <row r="367" spans="4:10" x14ac:dyDescent="0.2">
      <c r="D367" s="50"/>
      <c r="E367" s="50"/>
      <c r="F367" s="50"/>
      <c r="G367" s="50"/>
      <c r="H367" s="50"/>
      <c r="I367" s="50"/>
      <c r="J367" s="50"/>
    </row>
    <row r="368" spans="4:10" x14ac:dyDescent="0.2">
      <c r="D368" s="50"/>
      <c r="E368" s="50"/>
      <c r="F368" s="50"/>
      <c r="G368" s="50"/>
      <c r="H368" s="50"/>
      <c r="I368" s="50"/>
      <c r="J368" s="50"/>
    </row>
    <row r="369" spans="4:10" x14ac:dyDescent="0.2">
      <c r="D369" s="50"/>
      <c r="E369" s="50"/>
      <c r="F369" s="50"/>
      <c r="G369" s="50"/>
      <c r="H369" s="50"/>
      <c r="I369" s="50"/>
      <c r="J369" s="50"/>
    </row>
    <row r="370" spans="4:10" x14ac:dyDescent="0.2">
      <c r="D370" s="50"/>
      <c r="E370" s="50"/>
      <c r="F370" s="50"/>
      <c r="G370" s="50"/>
      <c r="H370" s="50"/>
      <c r="I370" s="50"/>
      <c r="J370" s="50"/>
    </row>
    <row r="371" spans="4:10" x14ac:dyDescent="0.2">
      <c r="D371" s="50"/>
      <c r="E371" s="50"/>
      <c r="F371" s="50"/>
      <c r="G371" s="50"/>
      <c r="H371" s="50"/>
      <c r="I371" s="50"/>
      <c r="J371" s="50"/>
    </row>
    <row r="372" spans="4:10" x14ac:dyDescent="0.2">
      <c r="D372" s="50"/>
      <c r="E372" s="50"/>
      <c r="F372" s="50"/>
      <c r="G372" s="50"/>
      <c r="H372" s="50"/>
      <c r="I372" s="50"/>
      <c r="J372" s="50"/>
    </row>
    <row r="373" spans="4:10" x14ac:dyDescent="0.2">
      <c r="D373" s="50"/>
      <c r="E373" s="50"/>
      <c r="F373" s="50"/>
      <c r="G373" s="50"/>
      <c r="H373" s="50"/>
      <c r="I373" s="50"/>
      <c r="J373" s="50"/>
    </row>
    <row r="374" spans="4:10" x14ac:dyDescent="0.2">
      <c r="D374" s="50"/>
      <c r="E374" s="50"/>
      <c r="F374" s="50"/>
      <c r="G374" s="50"/>
      <c r="H374" s="50"/>
      <c r="I374" s="50"/>
      <c r="J374" s="50"/>
    </row>
    <row r="375" spans="4:10" x14ac:dyDescent="0.2">
      <c r="D375" s="50"/>
      <c r="E375" s="50"/>
      <c r="F375" s="50"/>
      <c r="G375" s="50"/>
      <c r="H375" s="50"/>
      <c r="I375" s="50"/>
      <c r="J375" s="50"/>
    </row>
    <row r="376" spans="4:10" x14ac:dyDescent="0.2">
      <c r="D376" s="50"/>
      <c r="E376" s="50"/>
      <c r="F376" s="50"/>
      <c r="G376" s="50"/>
      <c r="H376" s="50"/>
      <c r="I376" s="50"/>
      <c r="J376" s="50"/>
    </row>
    <row r="377" spans="4:10" x14ac:dyDescent="0.2">
      <c r="D377" s="50"/>
      <c r="E377" s="50"/>
      <c r="F377" s="50"/>
      <c r="G377" s="50"/>
      <c r="H377" s="50"/>
      <c r="I377" s="50"/>
      <c r="J377" s="50"/>
    </row>
    <row r="378" spans="4:10" x14ac:dyDescent="0.2">
      <c r="D378" s="50"/>
      <c r="E378" s="50"/>
      <c r="F378" s="50"/>
      <c r="G378" s="50"/>
      <c r="H378" s="50"/>
      <c r="I378" s="50"/>
      <c r="J378" s="50"/>
    </row>
    <row r="379" spans="4:10" x14ac:dyDescent="0.2">
      <c r="D379" s="50"/>
      <c r="E379" s="50"/>
      <c r="F379" s="50"/>
      <c r="G379" s="50"/>
      <c r="H379" s="50"/>
      <c r="I379" s="50"/>
      <c r="J379" s="50"/>
    </row>
    <row r="380" spans="4:10" x14ac:dyDescent="0.2">
      <c r="D380" s="50"/>
      <c r="E380" s="50"/>
      <c r="F380" s="50"/>
      <c r="G380" s="50"/>
      <c r="H380" s="50"/>
      <c r="I380" s="50"/>
      <c r="J380" s="50"/>
    </row>
    <row r="381" spans="4:10" x14ac:dyDescent="0.2">
      <c r="D381" s="50"/>
      <c r="E381" s="50"/>
      <c r="F381" s="50"/>
      <c r="G381" s="50"/>
      <c r="H381" s="50"/>
      <c r="I381" s="50"/>
      <c r="J381" s="50"/>
    </row>
    <row r="382" spans="4:10" x14ac:dyDescent="0.2">
      <c r="D382" s="50"/>
      <c r="E382" s="50"/>
      <c r="F382" s="50"/>
      <c r="G382" s="50"/>
      <c r="H382" s="50"/>
      <c r="I382" s="50"/>
      <c r="J382" s="50"/>
    </row>
    <row r="383" spans="4:10" x14ac:dyDescent="0.2">
      <c r="D383" s="50"/>
      <c r="E383" s="50"/>
      <c r="F383" s="50"/>
      <c r="G383" s="50"/>
      <c r="H383" s="50"/>
      <c r="I383" s="50"/>
      <c r="J383" s="50"/>
    </row>
    <row r="384" spans="4:10" x14ac:dyDescent="0.2">
      <c r="D384" s="50"/>
      <c r="E384" s="50"/>
      <c r="F384" s="50"/>
      <c r="G384" s="50"/>
      <c r="H384" s="50"/>
      <c r="I384" s="50"/>
      <c r="J384" s="50"/>
    </row>
    <row r="385" spans="4:10" x14ac:dyDescent="0.2">
      <c r="D385" s="50"/>
      <c r="E385" s="50"/>
      <c r="F385" s="50"/>
      <c r="G385" s="50"/>
      <c r="H385" s="50"/>
      <c r="I385" s="50"/>
      <c r="J385" s="50"/>
    </row>
    <row r="386" spans="4:10" x14ac:dyDescent="0.2">
      <c r="D386" s="50"/>
      <c r="E386" s="50"/>
      <c r="F386" s="50"/>
      <c r="G386" s="50"/>
      <c r="H386" s="50"/>
      <c r="I386" s="50"/>
      <c r="J386" s="50"/>
    </row>
    <row r="387" spans="4:10" x14ac:dyDescent="0.2">
      <c r="D387" s="50"/>
      <c r="E387" s="50"/>
      <c r="F387" s="50"/>
      <c r="G387" s="50"/>
      <c r="H387" s="50"/>
      <c r="I387" s="50"/>
      <c r="J387" s="50"/>
    </row>
    <row r="388" spans="4:10" x14ac:dyDescent="0.2">
      <c r="D388" s="50"/>
      <c r="E388" s="50"/>
      <c r="F388" s="50"/>
      <c r="G388" s="50"/>
      <c r="H388" s="50"/>
      <c r="I388" s="50"/>
      <c r="J388" s="50"/>
    </row>
    <row r="389" spans="4:10" x14ac:dyDescent="0.2">
      <c r="D389" s="50"/>
      <c r="E389" s="50"/>
      <c r="F389" s="50"/>
      <c r="G389" s="50"/>
      <c r="H389" s="50"/>
      <c r="I389" s="50"/>
      <c r="J389" s="50"/>
    </row>
    <row r="390" spans="4:10" x14ac:dyDescent="0.2">
      <c r="D390" s="50"/>
      <c r="E390" s="50"/>
      <c r="F390" s="50"/>
      <c r="G390" s="50"/>
      <c r="H390" s="50"/>
      <c r="I390" s="50"/>
      <c r="J390" s="50"/>
    </row>
    <row r="391" spans="4:10" x14ac:dyDescent="0.2">
      <c r="D391" s="50"/>
      <c r="E391" s="50"/>
      <c r="F391" s="50"/>
      <c r="G391" s="50"/>
      <c r="H391" s="50"/>
      <c r="I391" s="50"/>
      <c r="J391" s="50"/>
    </row>
    <row r="392" spans="4:10" x14ac:dyDescent="0.2">
      <c r="D392" s="50"/>
      <c r="E392" s="50"/>
      <c r="F392" s="50"/>
      <c r="G392" s="50"/>
      <c r="H392" s="50"/>
      <c r="I392" s="50"/>
      <c r="J392" s="50"/>
    </row>
    <row r="393" spans="4:10" x14ac:dyDescent="0.2">
      <c r="D393" s="50"/>
      <c r="E393" s="50"/>
      <c r="F393" s="50"/>
      <c r="G393" s="50"/>
      <c r="H393" s="50"/>
      <c r="I393" s="50"/>
      <c r="J393" s="50"/>
    </row>
    <row r="394" spans="4:10" x14ac:dyDescent="0.2">
      <c r="D394" s="50"/>
      <c r="E394" s="50"/>
      <c r="F394" s="50"/>
      <c r="G394" s="50"/>
      <c r="H394" s="50"/>
      <c r="I394" s="50"/>
      <c r="J394" s="50"/>
    </row>
    <row r="395" spans="4:10" x14ac:dyDescent="0.2">
      <c r="D395" s="50"/>
      <c r="E395" s="50"/>
      <c r="F395" s="50"/>
      <c r="G395" s="50"/>
      <c r="H395" s="50"/>
      <c r="I395" s="50"/>
      <c r="J395" s="50"/>
    </row>
    <row r="396" spans="4:10" x14ac:dyDescent="0.2">
      <c r="D396" s="50"/>
      <c r="E396" s="50"/>
      <c r="F396" s="50"/>
      <c r="G396" s="50"/>
      <c r="H396" s="50"/>
      <c r="I396" s="50"/>
      <c r="J396" s="50"/>
    </row>
    <row r="397" spans="4:10" x14ac:dyDescent="0.2">
      <c r="D397" s="50"/>
      <c r="E397" s="50"/>
      <c r="F397" s="50"/>
      <c r="G397" s="50"/>
      <c r="H397" s="50"/>
      <c r="I397" s="50"/>
      <c r="J397" s="50"/>
    </row>
    <row r="398" spans="4:10" x14ac:dyDescent="0.2">
      <c r="D398" s="50"/>
      <c r="E398" s="50"/>
      <c r="F398" s="50"/>
      <c r="G398" s="50"/>
      <c r="H398" s="50"/>
      <c r="I398" s="50"/>
      <c r="J398" s="50"/>
    </row>
    <row r="399" spans="4:10" x14ac:dyDescent="0.2">
      <c r="D399" s="50"/>
      <c r="E399" s="50"/>
      <c r="F399" s="50"/>
      <c r="G399" s="50"/>
      <c r="H399" s="50"/>
      <c r="I399" s="50"/>
      <c r="J399" s="50"/>
    </row>
    <row r="400" spans="4:10" x14ac:dyDescent="0.2">
      <c r="D400" s="50"/>
      <c r="E400" s="50"/>
      <c r="F400" s="50"/>
      <c r="G400" s="50"/>
      <c r="H400" s="50"/>
      <c r="I400" s="50"/>
      <c r="J400" s="50"/>
    </row>
    <row r="401" spans="4:10" x14ac:dyDescent="0.2">
      <c r="D401" s="50"/>
      <c r="E401" s="50"/>
      <c r="F401" s="50"/>
      <c r="G401" s="50"/>
      <c r="H401" s="50"/>
      <c r="I401" s="50"/>
      <c r="J401" s="50"/>
    </row>
    <row r="402" spans="4:10" x14ac:dyDescent="0.2">
      <c r="D402" s="50"/>
      <c r="E402" s="50"/>
      <c r="F402" s="50"/>
      <c r="G402" s="50"/>
      <c r="H402" s="50"/>
      <c r="I402" s="50"/>
      <c r="J402" s="50"/>
    </row>
    <row r="403" spans="4:10" x14ac:dyDescent="0.2">
      <c r="D403" s="50"/>
      <c r="E403" s="50"/>
      <c r="F403" s="50"/>
      <c r="G403" s="50"/>
      <c r="H403" s="50"/>
      <c r="I403" s="50"/>
      <c r="J403" s="50"/>
    </row>
    <row r="404" spans="4:10" x14ac:dyDescent="0.2">
      <c r="D404" s="50"/>
      <c r="E404" s="50"/>
      <c r="F404" s="50"/>
      <c r="G404" s="50"/>
      <c r="H404" s="50"/>
      <c r="I404" s="50"/>
      <c r="J404" s="50"/>
    </row>
    <row r="405" spans="4:10" x14ac:dyDescent="0.2">
      <c r="D405" s="50"/>
      <c r="E405" s="50"/>
      <c r="F405" s="50"/>
      <c r="G405" s="50"/>
      <c r="H405" s="50"/>
      <c r="I405" s="50"/>
      <c r="J405" s="50"/>
    </row>
    <row r="406" spans="4:10" x14ac:dyDescent="0.2">
      <c r="D406" s="50"/>
      <c r="E406" s="50"/>
      <c r="F406" s="50"/>
      <c r="G406" s="50"/>
      <c r="H406" s="50"/>
      <c r="I406" s="50"/>
      <c r="J406" s="50"/>
    </row>
    <row r="407" spans="4:10" x14ac:dyDescent="0.2">
      <c r="D407" s="50"/>
      <c r="E407" s="50"/>
      <c r="F407" s="50"/>
      <c r="G407" s="50"/>
      <c r="H407" s="50"/>
      <c r="I407" s="50"/>
      <c r="J407" s="50"/>
    </row>
    <row r="408" spans="4:10" x14ac:dyDescent="0.2">
      <c r="D408" s="50"/>
      <c r="E408" s="50"/>
      <c r="F408" s="50"/>
      <c r="G408" s="50"/>
      <c r="H408" s="50"/>
      <c r="I408" s="50"/>
      <c r="J408" s="50"/>
    </row>
    <row r="409" spans="4:10" x14ac:dyDescent="0.2">
      <c r="D409" s="50"/>
      <c r="E409" s="50"/>
      <c r="F409" s="50"/>
      <c r="G409" s="50"/>
      <c r="H409" s="50"/>
      <c r="I409" s="50"/>
      <c r="J409" s="50"/>
    </row>
    <row r="410" spans="4:10" x14ac:dyDescent="0.2">
      <c r="D410" s="50"/>
      <c r="E410" s="50"/>
      <c r="F410" s="50"/>
      <c r="G410" s="50"/>
      <c r="H410" s="50"/>
      <c r="I410" s="50"/>
      <c r="J410" s="50"/>
    </row>
    <row r="411" spans="4:10" x14ac:dyDescent="0.2">
      <c r="D411" s="50"/>
      <c r="E411" s="50"/>
      <c r="F411" s="50"/>
      <c r="G411" s="50"/>
      <c r="H411" s="50"/>
      <c r="I411" s="50"/>
      <c r="J411" s="50"/>
    </row>
    <row r="412" spans="4:10" x14ac:dyDescent="0.2">
      <c r="D412" s="50"/>
      <c r="E412" s="50"/>
      <c r="F412" s="50"/>
      <c r="G412" s="50"/>
      <c r="H412" s="50"/>
      <c r="I412" s="50"/>
      <c r="J412" s="50"/>
    </row>
    <row r="413" spans="4:10" x14ac:dyDescent="0.2">
      <c r="D413" s="50"/>
      <c r="E413" s="50"/>
      <c r="F413" s="50"/>
      <c r="G413" s="50"/>
      <c r="H413" s="50"/>
      <c r="I413" s="50"/>
      <c r="J413" s="50"/>
    </row>
    <row r="414" spans="4:10" x14ac:dyDescent="0.2">
      <c r="D414" s="50"/>
      <c r="E414" s="50"/>
      <c r="F414" s="50"/>
      <c r="G414" s="50"/>
      <c r="H414" s="50"/>
      <c r="I414" s="50"/>
      <c r="J414" s="50"/>
    </row>
    <row r="415" spans="4:10" x14ac:dyDescent="0.2">
      <c r="D415" s="50"/>
      <c r="E415" s="50"/>
      <c r="F415" s="50"/>
      <c r="G415" s="50"/>
      <c r="H415" s="50"/>
      <c r="I415" s="50"/>
      <c r="J415" s="50"/>
    </row>
    <row r="416" spans="4:10" x14ac:dyDescent="0.2">
      <c r="D416" s="50"/>
      <c r="E416" s="50"/>
      <c r="F416" s="50"/>
      <c r="G416" s="50"/>
      <c r="H416" s="50"/>
      <c r="I416" s="50"/>
      <c r="J416" s="50"/>
    </row>
    <row r="417" spans="4:10" x14ac:dyDescent="0.2">
      <c r="D417" s="50"/>
      <c r="E417" s="50"/>
      <c r="F417" s="50"/>
      <c r="G417" s="50"/>
      <c r="H417" s="50"/>
      <c r="I417" s="50"/>
      <c r="J417" s="50"/>
    </row>
    <row r="418" spans="4:10" x14ac:dyDescent="0.2">
      <c r="D418" s="50"/>
      <c r="E418" s="50"/>
      <c r="F418" s="50"/>
      <c r="G418" s="50"/>
      <c r="H418" s="50"/>
      <c r="I418" s="50"/>
      <c r="J418" s="50"/>
    </row>
    <row r="419" spans="4:10" x14ac:dyDescent="0.2">
      <c r="D419" s="50"/>
      <c r="E419" s="50"/>
      <c r="F419" s="50"/>
      <c r="G419" s="50"/>
      <c r="H419" s="50"/>
      <c r="I419" s="50"/>
      <c r="J419" s="50"/>
    </row>
    <row r="420" spans="4:10" x14ac:dyDescent="0.2">
      <c r="D420" s="50"/>
      <c r="E420" s="50"/>
      <c r="F420" s="50"/>
      <c r="G420" s="50"/>
      <c r="H420" s="50"/>
      <c r="I420" s="50"/>
      <c r="J420" s="50"/>
    </row>
    <row r="421" spans="4:10" x14ac:dyDescent="0.2">
      <c r="D421" s="50"/>
      <c r="E421" s="50"/>
      <c r="F421" s="50"/>
      <c r="G421" s="50"/>
      <c r="H421" s="50"/>
      <c r="I421" s="50"/>
      <c r="J421" s="50"/>
    </row>
    <row r="422" spans="4:10" x14ac:dyDescent="0.2">
      <c r="D422" s="50"/>
      <c r="E422" s="50"/>
      <c r="F422" s="50"/>
      <c r="G422" s="50"/>
      <c r="H422" s="50"/>
      <c r="I422" s="50"/>
      <c r="J422" s="50"/>
    </row>
    <row r="423" spans="4:10" x14ac:dyDescent="0.2">
      <c r="D423" s="50"/>
      <c r="E423" s="50"/>
      <c r="F423" s="50"/>
      <c r="G423" s="50"/>
      <c r="H423" s="50"/>
      <c r="I423" s="50"/>
      <c r="J423" s="50"/>
    </row>
    <row r="424" spans="4:10" x14ac:dyDescent="0.2">
      <c r="D424" s="50"/>
      <c r="E424" s="50"/>
      <c r="F424" s="50"/>
      <c r="G424" s="50"/>
      <c r="H424" s="50"/>
      <c r="I424" s="50"/>
      <c r="J424" s="50"/>
    </row>
    <row r="425" spans="4:10" x14ac:dyDescent="0.2">
      <c r="D425" s="50"/>
      <c r="E425" s="50"/>
      <c r="F425" s="50"/>
      <c r="G425" s="50"/>
      <c r="H425" s="50"/>
      <c r="I425" s="50"/>
      <c r="J425" s="50"/>
    </row>
    <row r="426" spans="4:10" x14ac:dyDescent="0.2">
      <c r="D426" s="50"/>
      <c r="E426" s="50"/>
      <c r="F426" s="50"/>
      <c r="G426" s="50"/>
      <c r="H426" s="50"/>
      <c r="I426" s="50"/>
      <c r="J426" s="50"/>
    </row>
    <row r="427" spans="4:10" x14ac:dyDescent="0.2">
      <c r="D427" s="50"/>
      <c r="E427" s="50"/>
      <c r="F427" s="50"/>
      <c r="G427" s="50"/>
      <c r="H427" s="50"/>
      <c r="I427" s="50"/>
      <c r="J427" s="50"/>
    </row>
    <row r="428" spans="4:10" x14ac:dyDescent="0.2">
      <c r="D428" s="50"/>
      <c r="E428" s="50"/>
      <c r="F428" s="50"/>
      <c r="G428" s="50"/>
      <c r="H428" s="50"/>
      <c r="I428" s="50"/>
      <c r="J428" s="50"/>
    </row>
    <row r="429" spans="4:10" x14ac:dyDescent="0.2">
      <c r="D429" s="50"/>
      <c r="E429" s="50"/>
      <c r="F429" s="50"/>
      <c r="G429" s="50"/>
      <c r="H429" s="50"/>
      <c r="I429" s="50"/>
      <c r="J429" s="50"/>
    </row>
    <row r="430" spans="4:10" x14ac:dyDescent="0.2">
      <c r="D430" s="50"/>
      <c r="E430" s="50"/>
      <c r="F430" s="50"/>
      <c r="G430" s="50"/>
      <c r="H430" s="50"/>
      <c r="I430" s="50"/>
      <c r="J430" s="50"/>
    </row>
    <row r="431" spans="4:10" x14ac:dyDescent="0.2">
      <c r="D431" s="50"/>
      <c r="E431" s="50"/>
      <c r="F431" s="50"/>
      <c r="G431" s="50"/>
      <c r="H431" s="50"/>
      <c r="I431" s="50"/>
      <c r="J431" s="50"/>
    </row>
    <row r="432" spans="4:10" x14ac:dyDescent="0.2">
      <c r="D432" s="50"/>
      <c r="E432" s="50"/>
      <c r="F432" s="50"/>
      <c r="G432" s="50"/>
      <c r="H432" s="50"/>
      <c r="I432" s="50"/>
      <c r="J432" s="50"/>
    </row>
    <row r="433" spans="4:10" x14ac:dyDescent="0.2">
      <c r="D433" s="50"/>
      <c r="E433" s="50"/>
      <c r="F433" s="50"/>
      <c r="G433" s="50"/>
      <c r="H433" s="50"/>
      <c r="I433" s="50"/>
      <c r="J433" s="50"/>
    </row>
    <row r="434" spans="4:10" x14ac:dyDescent="0.2">
      <c r="D434" s="50"/>
      <c r="E434" s="50"/>
      <c r="F434" s="50"/>
      <c r="G434" s="50"/>
      <c r="H434" s="50"/>
      <c r="I434" s="50"/>
      <c r="J434" s="50"/>
    </row>
    <row r="435" spans="4:10" x14ac:dyDescent="0.2">
      <c r="D435" s="50"/>
      <c r="E435" s="50"/>
      <c r="F435" s="50"/>
      <c r="G435" s="50"/>
      <c r="H435" s="50"/>
      <c r="I435" s="50"/>
      <c r="J435" s="50"/>
    </row>
    <row r="436" spans="4:10" x14ac:dyDescent="0.2">
      <c r="D436" s="50"/>
      <c r="E436" s="50"/>
      <c r="F436" s="50"/>
      <c r="G436" s="50"/>
      <c r="H436" s="50"/>
      <c r="I436" s="50"/>
      <c r="J436" s="50"/>
    </row>
    <row r="437" spans="4:10" x14ac:dyDescent="0.2">
      <c r="D437" s="50"/>
      <c r="E437" s="50"/>
      <c r="F437" s="50"/>
      <c r="G437" s="50"/>
      <c r="H437" s="50"/>
      <c r="I437" s="50"/>
      <c r="J437" s="50"/>
    </row>
    <row r="438" spans="4:10" x14ac:dyDescent="0.2">
      <c r="D438" s="50"/>
      <c r="E438" s="50"/>
      <c r="F438" s="50"/>
      <c r="G438" s="50"/>
      <c r="H438" s="50"/>
      <c r="I438" s="50"/>
      <c r="J438" s="50"/>
    </row>
    <row r="439" spans="4:10" x14ac:dyDescent="0.2">
      <c r="D439" s="50"/>
      <c r="E439" s="50"/>
      <c r="F439" s="50"/>
      <c r="G439" s="50"/>
      <c r="H439" s="50"/>
      <c r="I439" s="50"/>
      <c r="J439" s="50"/>
    </row>
    <row r="440" spans="4:10" x14ac:dyDescent="0.2">
      <c r="D440" s="50"/>
      <c r="E440" s="50"/>
      <c r="F440" s="50"/>
      <c r="G440" s="50"/>
      <c r="H440" s="50"/>
      <c r="I440" s="50"/>
      <c r="J440" s="50"/>
    </row>
    <row r="441" spans="4:10" x14ac:dyDescent="0.2">
      <c r="D441" s="50"/>
      <c r="E441" s="50"/>
      <c r="F441" s="50"/>
      <c r="G441" s="50"/>
      <c r="H441" s="50"/>
      <c r="I441" s="50"/>
      <c r="J441" s="50"/>
    </row>
    <row r="442" spans="4:10" x14ac:dyDescent="0.2">
      <c r="D442" s="50"/>
      <c r="E442" s="50"/>
      <c r="F442" s="50"/>
      <c r="G442" s="50"/>
      <c r="H442" s="50"/>
      <c r="I442" s="50"/>
      <c r="J442" s="50"/>
    </row>
    <row r="443" spans="4:10" x14ac:dyDescent="0.2">
      <c r="D443" s="50"/>
      <c r="E443" s="50"/>
      <c r="F443" s="50"/>
      <c r="G443" s="50"/>
      <c r="H443" s="50"/>
      <c r="I443" s="50"/>
      <c r="J443" s="50"/>
    </row>
    <row r="444" spans="4:10" x14ac:dyDescent="0.2">
      <c r="D444" s="50"/>
      <c r="E444" s="50"/>
      <c r="F444" s="50"/>
      <c r="G444" s="50"/>
      <c r="H444" s="50"/>
      <c r="I444" s="50"/>
      <c r="J444" s="50"/>
    </row>
    <row r="445" spans="4:10" x14ac:dyDescent="0.2">
      <c r="D445" s="50"/>
      <c r="E445" s="50"/>
      <c r="F445" s="50"/>
      <c r="G445" s="50"/>
      <c r="H445" s="50"/>
      <c r="I445" s="50"/>
      <c r="J445" s="50"/>
    </row>
    <row r="446" spans="4:10" x14ac:dyDescent="0.2">
      <c r="D446" s="50"/>
      <c r="E446" s="50"/>
      <c r="F446" s="50"/>
      <c r="G446" s="50"/>
      <c r="H446" s="50"/>
      <c r="I446" s="50"/>
      <c r="J446" s="50"/>
    </row>
    <row r="447" spans="4:10" x14ac:dyDescent="0.2">
      <c r="D447" s="50"/>
      <c r="E447" s="50"/>
      <c r="F447" s="50"/>
      <c r="G447" s="50"/>
      <c r="H447" s="50"/>
      <c r="I447" s="50"/>
      <c r="J447" s="50"/>
    </row>
    <row r="448" spans="4:10" x14ac:dyDescent="0.2">
      <c r="D448" s="50"/>
      <c r="E448" s="50"/>
      <c r="F448" s="50"/>
      <c r="G448" s="50"/>
      <c r="H448" s="50"/>
      <c r="I448" s="50"/>
      <c r="J448" s="50"/>
    </row>
    <row r="449" spans="4:10" x14ac:dyDescent="0.2">
      <c r="D449" s="50"/>
      <c r="E449" s="50"/>
      <c r="F449" s="50"/>
      <c r="G449" s="50"/>
      <c r="H449" s="50"/>
      <c r="I449" s="50"/>
      <c r="J449" s="50"/>
    </row>
    <row r="450" spans="4:10" x14ac:dyDescent="0.2">
      <c r="D450" s="50"/>
      <c r="E450" s="50"/>
      <c r="F450" s="50"/>
      <c r="G450" s="50"/>
      <c r="H450" s="50"/>
      <c r="I450" s="50"/>
      <c r="J450" s="50"/>
    </row>
    <row r="451" spans="4:10" x14ac:dyDescent="0.2">
      <c r="D451" s="50"/>
      <c r="E451" s="50"/>
      <c r="F451" s="50"/>
      <c r="G451" s="50"/>
      <c r="H451" s="50"/>
      <c r="I451" s="50"/>
      <c r="J451" s="50"/>
    </row>
    <row r="452" spans="4:10" x14ac:dyDescent="0.2">
      <c r="D452" s="50"/>
      <c r="E452" s="50"/>
      <c r="F452" s="50"/>
      <c r="G452" s="50"/>
      <c r="H452" s="50"/>
      <c r="I452" s="50"/>
      <c r="J452" s="50"/>
    </row>
    <row r="453" spans="4:10" x14ac:dyDescent="0.2">
      <c r="D453" s="50"/>
      <c r="E453" s="50"/>
      <c r="F453" s="50"/>
      <c r="G453" s="50"/>
      <c r="H453" s="50"/>
      <c r="I453" s="50"/>
      <c r="J453" s="50"/>
    </row>
    <row r="454" spans="4:10" x14ac:dyDescent="0.2">
      <c r="D454" s="50"/>
      <c r="E454" s="50"/>
      <c r="F454" s="50"/>
      <c r="G454" s="50"/>
      <c r="H454" s="50"/>
      <c r="I454" s="50"/>
      <c r="J454" s="50"/>
    </row>
    <row r="455" spans="4:10" x14ac:dyDescent="0.2">
      <c r="D455" s="50"/>
      <c r="E455" s="50"/>
      <c r="F455" s="50"/>
      <c r="G455" s="50"/>
      <c r="H455" s="50"/>
      <c r="I455" s="50"/>
      <c r="J455" s="50"/>
    </row>
    <row r="456" spans="4:10" x14ac:dyDescent="0.2">
      <c r="D456" s="50"/>
      <c r="E456" s="50"/>
      <c r="F456" s="50"/>
      <c r="G456" s="50"/>
      <c r="H456" s="50"/>
      <c r="I456" s="50"/>
      <c r="J456" s="50"/>
    </row>
    <row r="457" spans="4:10" x14ac:dyDescent="0.2">
      <c r="D457" s="50"/>
      <c r="E457" s="50"/>
      <c r="F457" s="50"/>
      <c r="G457" s="50"/>
      <c r="H457" s="50"/>
      <c r="I457" s="50"/>
      <c r="J457" s="50"/>
    </row>
    <row r="458" spans="4:10" x14ac:dyDescent="0.2">
      <c r="D458" s="50"/>
      <c r="E458" s="50"/>
      <c r="F458" s="50"/>
      <c r="G458" s="50"/>
      <c r="H458" s="50"/>
      <c r="I458" s="50"/>
      <c r="J458" s="50"/>
    </row>
    <row r="459" spans="4:10" x14ac:dyDescent="0.2">
      <c r="D459" s="50"/>
      <c r="E459" s="50"/>
      <c r="F459" s="50"/>
      <c r="G459" s="50"/>
      <c r="H459" s="50"/>
      <c r="I459" s="50"/>
      <c r="J459" s="50"/>
    </row>
    <row r="460" spans="4:10" x14ac:dyDescent="0.2">
      <c r="D460" s="50"/>
      <c r="E460" s="50"/>
      <c r="F460" s="50"/>
      <c r="G460" s="50"/>
      <c r="H460" s="50"/>
      <c r="I460" s="50"/>
      <c r="J460" s="50"/>
    </row>
    <row r="461" spans="4:10" x14ac:dyDescent="0.2">
      <c r="D461" s="50"/>
      <c r="E461" s="50"/>
      <c r="F461" s="50"/>
      <c r="G461" s="50"/>
      <c r="H461" s="50"/>
      <c r="I461" s="50"/>
      <c r="J461" s="50"/>
    </row>
    <row r="462" spans="4:10" x14ac:dyDescent="0.2">
      <c r="D462" s="50"/>
      <c r="E462" s="50"/>
      <c r="F462" s="50"/>
      <c r="G462" s="50"/>
      <c r="H462" s="50"/>
      <c r="I462" s="50"/>
      <c r="J462" s="50"/>
    </row>
    <row r="463" spans="4:10" x14ac:dyDescent="0.2">
      <c r="D463" s="50"/>
      <c r="E463" s="50"/>
      <c r="F463" s="50"/>
      <c r="G463" s="50"/>
      <c r="H463" s="50"/>
      <c r="I463" s="50"/>
      <c r="J463" s="50"/>
    </row>
    <row r="464" spans="4:10" x14ac:dyDescent="0.2">
      <c r="D464" s="50"/>
      <c r="E464" s="50"/>
      <c r="F464" s="50"/>
      <c r="G464" s="50"/>
      <c r="H464" s="50"/>
      <c r="I464" s="50"/>
      <c r="J464" s="50"/>
    </row>
    <row r="465" spans="4:10" x14ac:dyDescent="0.2">
      <c r="D465" s="50"/>
      <c r="E465" s="50"/>
      <c r="F465" s="50"/>
      <c r="G465" s="50"/>
      <c r="H465" s="50"/>
      <c r="I465" s="50"/>
      <c r="J465" s="50"/>
    </row>
    <row r="466" spans="4:10" x14ac:dyDescent="0.2">
      <c r="D466" s="50"/>
      <c r="E466" s="50"/>
      <c r="F466" s="50"/>
      <c r="G466" s="50"/>
      <c r="H466" s="50"/>
      <c r="I466" s="50"/>
      <c r="J466" s="50"/>
    </row>
    <row r="467" spans="4:10" x14ac:dyDescent="0.2">
      <c r="D467" s="50"/>
      <c r="E467" s="50"/>
      <c r="F467" s="50"/>
      <c r="G467" s="50"/>
      <c r="H467" s="50"/>
      <c r="I467" s="50"/>
      <c r="J467" s="50"/>
    </row>
    <row r="468" spans="4:10" x14ac:dyDescent="0.2">
      <c r="D468" s="50"/>
      <c r="E468" s="50"/>
      <c r="F468" s="50"/>
      <c r="G468" s="50"/>
      <c r="H468" s="50"/>
      <c r="I468" s="50"/>
      <c r="J468" s="50"/>
    </row>
    <row r="469" spans="4:10" x14ac:dyDescent="0.2">
      <c r="D469" s="50"/>
      <c r="E469" s="50"/>
      <c r="F469" s="50"/>
      <c r="G469" s="50"/>
      <c r="H469" s="50"/>
      <c r="I469" s="50"/>
      <c r="J469" s="50"/>
    </row>
    <row r="470" spans="4:10" x14ac:dyDescent="0.2">
      <c r="D470" s="50"/>
      <c r="E470" s="50"/>
      <c r="F470" s="50"/>
      <c r="G470" s="50"/>
      <c r="H470" s="50"/>
      <c r="I470" s="50"/>
      <c r="J470" s="50"/>
    </row>
    <row r="471" spans="4:10" x14ac:dyDescent="0.2">
      <c r="D471" s="50"/>
      <c r="E471" s="50"/>
      <c r="F471" s="50"/>
      <c r="G471" s="50"/>
      <c r="H471" s="50"/>
      <c r="I471" s="50"/>
      <c r="J471" s="50"/>
    </row>
    <row r="472" spans="4:10" x14ac:dyDescent="0.2">
      <c r="D472" s="50"/>
      <c r="E472" s="50"/>
      <c r="F472" s="50"/>
      <c r="G472" s="50"/>
      <c r="H472" s="50"/>
      <c r="I472" s="50"/>
      <c r="J472" s="50"/>
    </row>
    <row r="473" spans="4:10" x14ac:dyDescent="0.2">
      <c r="D473" s="50"/>
      <c r="E473" s="50"/>
      <c r="F473" s="50"/>
      <c r="G473" s="50"/>
      <c r="H473" s="50"/>
      <c r="I473" s="50"/>
      <c r="J473" s="50"/>
    </row>
    <row r="474" spans="4:10" x14ac:dyDescent="0.2">
      <c r="D474" s="50"/>
      <c r="E474" s="50"/>
      <c r="F474" s="50"/>
      <c r="G474" s="50"/>
      <c r="H474" s="50"/>
      <c r="I474" s="50"/>
      <c r="J474" s="50"/>
    </row>
    <row r="475" spans="4:10" x14ac:dyDescent="0.2">
      <c r="D475" s="50"/>
      <c r="E475" s="50"/>
      <c r="F475" s="50"/>
      <c r="G475" s="50"/>
      <c r="H475" s="50"/>
      <c r="I475" s="50"/>
      <c r="J475" s="50"/>
    </row>
    <row r="476" spans="4:10" x14ac:dyDescent="0.2">
      <c r="D476" s="50"/>
      <c r="E476" s="50"/>
      <c r="F476" s="50"/>
      <c r="G476" s="50"/>
      <c r="H476" s="50"/>
      <c r="I476" s="50"/>
      <c r="J476" s="50"/>
    </row>
    <row r="477" spans="4:10" x14ac:dyDescent="0.2">
      <c r="D477" s="50"/>
      <c r="E477" s="50"/>
      <c r="F477" s="50"/>
      <c r="G477" s="50"/>
      <c r="H477" s="50"/>
      <c r="I477" s="50"/>
      <c r="J477" s="50"/>
    </row>
    <row r="478" spans="4:10" x14ac:dyDescent="0.2">
      <c r="D478" s="50"/>
      <c r="E478" s="50"/>
      <c r="F478" s="50"/>
      <c r="G478" s="50"/>
      <c r="H478" s="50"/>
      <c r="I478" s="50"/>
      <c r="J478" s="50"/>
    </row>
    <row r="479" spans="4:10" x14ac:dyDescent="0.2">
      <c r="D479" s="50"/>
      <c r="E479" s="50"/>
      <c r="F479" s="50"/>
      <c r="G479" s="50"/>
      <c r="H479" s="50"/>
      <c r="I479" s="50"/>
      <c r="J479" s="50"/>
    </row>
    <row r="480" spans="4:10" x14ac:dyDescent="0.2">
      <c r="D480" s="50"/>
      <c r="E480" s="50"/>
      <c r="F480" s="50"/>
      <c r="G480" s="50"/>
      <c r="H480" s="50"/>
      <c r="I480" s="50"/>
      <c r="J480" s="50"/>
    </row>
    <row r="481" spans="4:10" x14ac:dyDescent="0.2">
      <c r="D481" s="50"/>
      <c r="E481" s="50"/>
      <c r="F481" s="50"/>
      <c r="G481" s="50"/>
      <c r="H481" s="50"/>
      <c r="I481" s="50"/>
      <c r="J481" s="50"/>
    </row>
    <row r="482" spans="4:10" x14ac:dyDescent="0.2">
      <c r="D482" s="50"/>
      <c r="E482" s="50"/>
      <c r="F482" s="50"/>
      <c r="G482" s="50"/>
      <c r="H482" s="50"/>
      <c r="I482" s="50"/>
      <c r="J482" s="50"/>
    </row>
    <row r="483" spans="4:10" x14ac:dyDescent="0.2">
      <c r="D483" s="50"/>
      <c r="E483" s="50"/>
      <c r="F483" s="50"/>
      <c r="G483" s="50"/>
      <c r="H483" s="50"/>
      <c r="I483" s="50"/>
      <c r="J483" s="50"/>
    </row>
    <row r="484" spans="4:10" x14ac:dyDescent="0.2">
      <c r="D484" s="50"/>
      <c r="E484" s="50"/>
      <c r="F484" s="50"/>
      <c r="G484" s="50"/>
      <c r="H484" s="50"/>
      <c r="I484" s="50"/>
      <c r="J484" s="50"/>
    </row>
    <row r="485" spans="4:10" x14ac:dyDescent="0.2">
      <c r="D485" s="50"/>
      <c r="E485" s="50"/>
      <c r="F485" s="50"/>
      <c r="G485" s="50"/>
      <c r="H485" s="50"/>
      <c r="I485" s="50"/>
      <c r="J485" s="50"/>
    </row>
    <row r="486" spans="4:10" x14ac:dyDescent="0.2">
      <c r="D486" s="50"/>
      <c r="E486" s="50"/>
      <c r="F486" s="50"/>
      <c r="G486" s="50"/>
      <c r="H486" s="50"/>
      <c r="I486" s="50"/>
      <c r="J486" s="50"/>
    </row>
    <row r="487" spans="4:10" x14ac:dyDescent="0.2">
      <c r="D487" s="50"/>
      <c r="E487" s="50"/>
      <c r="F487" s="50"/>
      <c r="G487" s="50"/>
      <c r="H487" s="50"/>
      <c r="I487" s="50"/>
      <c r="J487" s="50"/>
    </row>
    <row r="488" spans="4:10" x14ac:dyDescent="0.2">
      <c r="D488" s="50"/>
      <c r="E488" s="50"/>
      <c r="F488" s="50"/>
      <c r="G488" s="50"/>
      <c r="H488" s="50"/>
      <c r="I488" s="50"/>
      <c r="J488" s="50"/>
    </row>
    <row r="489" spans="4:10" x14ac:dyDescent="0.2">
      <c r="D489" s="50"/>
      <c r="E489" s="50"/>
      <c r="F489" s="50"/>
      <c r="G489" s="50"/>
      <c r="H489" s="50"/>
      <c r="I489" s="50"/>
      <c r="J489" s="50"/>
    </row>
    <row r="490" spans="4:10" x14ac:dyDescent="0.2">
      <c r="D490" s="50"/>
      <c r="E490" s="50"/>
      <c r="F490" s="50"/>
      <c r="G490" s="50"/>
      <c r="H490" s="50"/>
      <c r="I490" s="50"/>
      <c r="J490" s="50"/>
    </row>
    <row r="491" spans="4:10" x14ac:dyDescent="0.2">
      <c r="D491" s="50"/>
      <c r="E491" s="50"/>
      <c r="F491" s="50"/>
      <c r="G491" s="50"/>
      <c r="H491" s="50"/>
      <c r="I491" s="50"/>
      <c r="J491" s="50"/>
    </row>
    <row r="492" spans="4:10" x14ac:dyDescent="0.2">
      <c r="D492" s="50"/>
      <c r="E492" s="50"/>
      <c r="F492" s="50"/>
      <c r="G492" s="50"/>
      <c r="H492" s="50"/>
      <c r="I492" s="50"/>
      <c r="J492" s="50"/>
    </row>
    <row r="493" spans="4:10" x14ac:dyDescent="0.2">
      <c r="D493" s="50"/>
      <c r="E493" s="50"/>
      <c r="F493" s="50"/>
      <c r="G493" s="50"/>
      <c r="H493" s="50"/>
      <c r="I493" s="50"/>
      <c r="J493" s="50"/>
    </row>
    <row r="494" spans="4:10" x14ac:dyDescent="0.2">
      <c r="D494" s="50"/>
      <c r="E494" s="50"/>
      <c r="F494" s="50"/>
      <c r="G494" s="50"/>
      <c r="H494" s="50"/>
      <c r="I494" s="50"/>
      <c r="J494" s="50"/>
    </row>
    <row r="495" spans="4:10" x14ac:dyDescent="0.2">
      <c r="D495" s="50"/>
      <c r="E495" s="50"/>
      <c r="F495" s="50"/>
      <c r="G495" s="50"/>
      <c r="H495" s="50"/>
      <c r="I495" s="50"/>
      <c r="J495" s="50"/>
    </row>
    <row r="496" spans="4:10" x14ac:dyDescent="0.2">
      <c r="D496" s="50"/>
      <c r="E496" s="50"/>
      <c r="F496" s="50"/>
      <c r="G496" s="50"/>
      <c r="H496" s="50"/>
      <c r="I496" s="50"/>
      <c r="J496" s="50"/>
    </row>
    <row r="497" spans="4:10" x14ac:dyDescent="0.2">
      <c r="D497" s="50"/>
      <c r="E497" s="50"/>
      <c r="F497" s="50"/>
      <c r="G497" s="50"/>
      <c r="H497" s="50"/>
      <c r="I497" s="50"/>
      <c r="J497" s="50"/>
    </row>
    <row r="498" spans="4:10" x14ac:dyDescent="0.2">
      <c r="D498" s="50"/>
      <c r="E498" s="50"/>
      <c r="F498" s="50"/>
      <c r="G498" s="50"/>
      <c r="H498" s="50"/>
      <c r="I498" s="50"/>
      <c r="J498" s="50"/>
    </row>
    <row r="499" spans="4:10" x14ac:dyDescent="0.2">
      <c r="D499" s="50"/>
      <c r="E499" s="50"/>
      <c r="F499" s="50"/>
      <c r="G499" s="50"/>
      <c r="H499" s="50"/>
      <c r="I499" s="50"/>
      <c r="J499" s="50"/>
    </row>
    <row r="500" spans="4:10" x14ac:dyDescent="0.2">
      <c r="D500" s="50"/>
      <c r="E500" s="50"/>
      <c r="F500" s="50"/>
      <c r="G500" s="50"/>
      <c r="H500" s="50"/>
      <c r="I500" s="50"/>
      <c r="J500" s="50"/>
    </row>
    <row r="501" spans="4:10" x14ac:dyDescent="0.2">
      <c r="D501" s="50"/>
      <c r="E501" s="50"/>
      <c r="F501" s="50"/>
      <c r="G501" s="50"/>
      <c r="H501" s="50"/>
      <c r="I501" s="50"/>
      <c r="J501" s="50"/>
    </row>
    <row r="502" spans="4:10" x14ac:dyDescent="0.2">
      <c r="D502" s="50"/>
      <c r="E502" s="50"/>
      <c r="F502" s="50"/>
      <c r="G502" s="50"/>
      <c r="H502" s="50"/>
      <c r="I502" s="50"/>
      <c r="J502" s="50"/>
    </row>
    <row r="503" spans="4:10" x14ac:dyDescent="0.2">
      <c r="D503" s="50"/>
      <c r="E503" s="50"/>
      <c r="F503" s="50"/>
      <c r="G503" s="50"/>
      <c r="H503" s="50"/>
      <c r="I503" s="50"/>
      <c r="J503" s="50"/>
    </row>
    <row r="504" spans="4:10" x14ac:dyDescent="0.2">
      <c r="D504" s="50"/>
      <c r="E504" s="50"/>
      <c r="F504" s="50"/>
      <c r="G504" s="50"/>
      <c r="H504" s="50"/>
      <c r="I504" s="50"/>
      <c r="J504" s="50"/>
    </row>
    <row r="505" spans="4:10" x14ac:dyDescent="0.2">
      <c r="D505" s="50"/>
      <c r="E505" s="50"/>
      <c r="F505" s="50"/>
      <c r="G505" s="50"/>
      <c r="H505" s="50"/>
      <c r="I505" s="50"/>
      <c r="J505" s="50"/>
    </row>
    <row r="506" spans="4:10" x14ac:dyDescent="0.2">
      <c r="D506" s="50"/>
      <c r="E506" s="50"/>
      <c r="F506" s="50"/>
      <c r="G506" s="50"/>
      <c r="H506" s="50"/>
      <c r="I506" s="50"/>
      <c r="J506" s="50"/>
    </row>
    <row r="507" spans="4:10" x14ac:dyDescent="0.2">
      <c r="D507" s="50"/>
      <c r="E507" s="50"/>
      <c r="F507" s="50"/>
      <c r="G507" s="50"/>
      <c r="H507" s="50"/>
      <c r="I507" s="50"/>
      <c r="J507" s="50"/>
    </row>
    <row r="508" spans="4:10" x14ac:dyDescent="0.2">
      <c r="D508" s="50"/>
      <c r="E508" s="50"/>
      <c r="F508" s="50"/>
      <c r="G508" s="50"/>
      <c r="H508" s="50"/>
      <c r="I508" s="50"/>
      <c r="J508" s="50"/>
    </row>
    <row r="509" spans="4:10" x14ac:dyDescent="0.2">
      <c r="D509" s="50"/>
      <c r="E509" s="50"/>
      <c r="F509" s="50"/>
      <c r="G509" s="50"/>
      <c r="H509" s="50"/>
      <c r="I509" s="50"/>
      <c r="J509" s="50"/>
    </row>
    <row r="510" spans="4:10" x14ac:dyDescent="0.2">
      <c r="D510" s="50"/>
      <c r="E510" s="50"/>
      <c r="F510" s="50"/>
      <c r="G510" s="50"/>
      <c r="H510" s="50"/>
      <c r="I510" s="50"/>
      <c r="J510" s="50"/>
    </row>
    <row r="511" spans="4:10" x14ac:dyDescent="0.2">
      <c r="D511" s="50"/>
      <c r="E511" s="50"/>
      <c r="F511" s="50"/>
      <c r="G511" s="50"/>
      <c r="H511" s="50"/>
      <c r="I511" s="50"/>
      <c r="J511" s="50"/>
    </row>
    <row r="512" spans="4:10" x14ac:dyDescent="0.2">
      <c r="D512" s="50"/>
      <c r="E512" s="50"/>
      <c r="F512" s="50"/>
      <c r="G512" s="50"/>
      <c r="H512" s="50"/>
      <c r="I512" s="50"/>
      <c r="J512" s="50"/>
    </row>
    <row r="513" spans="4:10" x14ac:dyDescent="0.2">
      <c r="D513" s="50"/>
      <c r="E513" s="50"/>
      <c r="F513" s="50"/>
      <c r="G513" s="50"/>
      <c r="H513" s="50"/>
      <c r="I513" s="50"/>
      <c r="J513" s="50"/>
    </row>
    <row r="514" spans="4:10" x14ac:dyDescent="0.2">
      <c r="D514" s="50"/>
      <c r="E514" s="50"/>
      <c r="F514" s="50"/>
      <c r="G514" s="50"/>
      <c r="H514" s="50"/>
      <c r="I514" s="50"/>
      <c r="J514" s="50"/>
    </row>
    <row r="515" spans="4:10" x14ac:dyDescent="0.2">
      <c r="D515" s="50"/>
      <c r="E515" s="50"/>
      <c r="F515" s="50"/>
      <c r="G515" s="50"/>
      <c r="H515" s="50"/>
      <c r="I515" s="50"/>
      <c r="J515" s="50"/>
    </row>
    <row r="516" spans="4:10" x14ac:dyDescent="0.2">
      <c r="D516" s="50"/>
      <c r="E516" s="50"/>
      <c r="F516" s="50"/>
      <c r="G516" s="50"/>
      <c r="H516" s="50"/>
      <c r="I516" s="50"/>
      <c r="J516" s="50"/>
    </row>
    <row r="517" spans="4:10" x14ac:dyDescent="0.2">
      <c r="D517" s="50"/>
      <c r="E517" s="50"/>
      <c r="F517" s="50"/>
      <c r="G517" s="50"/>
      <c r="H517" s="50"/>
      <c r="I517" s="50"/>
      <c r="J517" s="50"/>
    </row>
    <row r="518" spans="4:10" x14ac:dyDescent="0.2">
      <c r="D518" s="50"/>
      <c r="E518" s="50"/>
      <c r="F518" s="50"/>
      <c r="G518" s="50"/>
      <c r="H518" s="50"/>
      <c r="I518" s="50"/>
      <c r="J518" s="50"/>
    </row>
    <row r="519" spans="4:10" x14ac:dyDescent="0.2">
      <c r="D519" s="50"/>
      <c r="E519" s="50"/>
      <c r="F519" s="50"/>
      <c r="G519" s="50"/>
      <c r="H519" s="50"/>
      <c r="I519" s="50"/>
      <c r="J519" s="50"/>
    </row>
    <row r="520" spans="4:10" x14ac:dyDescent="0.2">
      <c r="D520" s="50"/>
      <c r="E520" s="50"/>
      <c r="F520" s="50"/>
      <c r="G520" s="50"/>
      <c r="H520" s="50"/>
      <c r="I520" s="50"/>
      <c r="J520" s="50"/>
    </row>
    <row r="521" spans="4:10" x14ac:dyDescent="0.2">
      <c r="D521" s="50"/>
      <c r="E521" s="50"/>
      <c r="F521" s="50"/>
      <c r="G521" s="50"/>
      <c r="H521" s="50"/>
      <c r="I521" s="50"/>
      <c r="J521" s="50"/>
    </row>
    <row r="522" spans="4:10" x14ac:dyDescent="0.2">
      <c r="D522" s="50"/>
      <c r="E522" s="50"/>
      <c r="F522" s="50"/>
      <c r="G522" s="50"/>
      <c r="H522" s="50"/>
      <c r="I522" s="50"/>
      <c r="J522" s="50"/>
    </row>
    <row r="523" spans="4:10" x14ac:dyDescent="0.2">
      <c r="D523" s="50"/>
      <c r="E523" s="50"/>
      <c r="F523" s="50"/>
      <c r="G523" s="50"/>
      <c r="H523" s="50"/>
      <c r="I523" s="50"/>
      <c r="J523" s="50"/>
    </row>
    <row r="524" spans="4:10" x14ac:dyDescent="0.2">
      <c r="D524" s="50"/>
      <c r="E524" s="50"/>
      <c r="F524" s="50"/>
      <c r="G524" s="50"/>
      <c r="H524" s="50"/>
      <c r="I524" s="50"/>
      <c r="J524" s="50"/>
    </row>
    <row r="525" spans="4:10" x14ac:dyDescent="0.2">
      <c r="D525" s="50"/>
      <c r="E525" s="50"/>
      <c r="F525" s="50"/>
      <c r="G525" s="50"/>
      <c r="H525" s="50"/>
      <c r="I525" s="50"/>
      <c r="J525" s="50"/>
    </row>
    <row r="526" spans="4:10" x14ac:dyDescent="0.2">
      <c r="D526" s="50"/>
      <c r="E526" s="50"/>
      <c r="F526" s="50"/>
      <c r="G526" s="50"/>
      <c r="H526" s="50"/>
      <c r="I526" s="50"/>
      <c r="J526" s="50"/>
    </row>
    <row r="527" spans="4:10" x14ac:dyDescent="0.2">
      <c r="D527" s="50"/>
      <c r="E527" s="50"/>
      <c r="F527" s="50"/>
      <c r="G527" s="50"/>
      <c r="H527" s="50"/>
      <c r="I527" s="50"/>
      <c r="J527" s="50"/>
    </row>
    <row r="528" spans="4:10" x14ac:dyDescent="0.2">
      <c r="D528" s="50"/>
      <c r="E528" s="50"/>
      <c r="F528" s="50"/>
      <c r="G528" s="50"/>
      <c r="H528" s="50"/>
      <c r="I528" s="50"/>
      <c r="J528" s="50"/>
    </row>
    <row r="529" spans="4:10" x14ac:dyDescent="0.2">
      <c r="D529" s="50"/>
      <c r="E529" s="50"/>
      <c r="F529" s="50"/>
      <c r="G529" s="50"/>
      <c r="H529" s="50"/>
      <c r="I529" s="50"/>
      <c r="J529" s="50"/>
    </row>
    <row r="530" spans="4:10" x14ac:dyDescent="0.2">
      <c r="D530" s="50"/>
      <c r="E530" s="50"/>
      <c r="F530" s="50"/>
      <c r="G530" s="50"/>
      <c r="H530" s="50"/>
      <c r="I530" s="50"/>
      <c r="J530" s="50"/>
    </row>
    <row r="531" spans="4:10" x14ac:dyDescent="0.2">
      <c r="D531" s="50"/>
      <c r="E531" s="50"/>
      <c r="F531" s="50"/>
      <c r="G531" s="50"/>
      <c r="H531" s="50"/>
      <c r="I531" s="50"/>
      <c r="J531" s="50"/>
    </row>
    <row r="532" spans="4:10" x14ac:dyDescent="0.2">
      <c r="D532" s="50"/>
      <c r="E532" s="50"/>
      <c r="F532" s="50"/>
      <c r="G532" s="50"/>
      <c r="H532" s="50"/>
      <c r="I532" s="50"/>
      <c r="J532" s="50"/>
    </row>
    <row r="533" spans="4:10" x14ac:dyDescent="0.2">
      <c r="D533" s="50"/>
      <c r="E533" s="50"/>
      <c r="F533" s="50"/>
      <c r="G533" s="50"/>
      <c r="H533" s="50"/>
      <c r="I533" s="50"/>
      <c r="J533" s="50"/>
    </row>
    <row r="534" spans="4:10" x14ac:dyDescent="0.2">
      <c r="D534" s="50"/>
      <c r="E534" s="50"/>
      <c r="F534" s="50"/>
      <c r="G534" s="50"/>
      <c r="H534" s="50"/>
      <c r="I534" s="50"/>
      <c r="J534" s="50"/>
    </row>
    <row r="535" spans="4:10" x14ac:dyDescent="0.2">
      <c r="D535" s="50"/>
      <c r="E535" s="50"/>
      <c r="F535" s="50"/>
      <c r="G535" s="50"/>
      <c r="H535" s="50"/>
      <c r="I535" s="50"/>
      <c r="J535" s="50"/>
    </row>
    <row r="536" spans="4:10" x14ac:dyDescent="0.2">
      <c r="D536" s="50"/>
      <c r="E536" s="50"/>
      <c r="F536" s="50"/>
      <c r="G536" s="50"/>
      <c r="H536" s="50"/>
      <c r="I536" s="50"/>
      <c r="J536" s="50"/>
    </row>
    <row r="537" spans="4:10" x14ac:dyDescent="0.2">
      <c r="D537" s="50"/>
      <c r="E537" s="50"/>
      <c r="F537" s="50"/>
      <c r="G537" s="50"/>
      <c r="H537" s="50"/>
      <c r="I537" s="50"/>
      <c r="J537" s="50"/>
    </row>
    <row r="538" spans="4:10" x14ac:dyDescent="0.2">
      <c r="D538" s="50"/>
      <c r="E538" s="50"/>
      <c r="F538" s="50"/>
      <c r="G538" s="50"/>
      <c r="H538" s="50"/>
      <c r="I538" s="50"/>
      <c r="J538" s="50"/>
    </row>
    <row r="539" spans="4:10" x14ac:dyDescent="0.2">
      <c r="D539" s="50"/>
      <c r="E539" s="50"/>
      <c r="F539" s="50"/>
      <c r="G539" s="50"/>
      <c r="H539" s="50"/>
      <c r="I539" s="50"/>
      <c r="J539" s="50"/>
    </row>
    <row r="540" spans="4:10" x14ac:dyDescent="0.2">
      <c r="D540" s="50"/>
      <c r="E540" s="50"/>
      <c r="F540" s="50"/>
      <c r="G540" s="50"/>
      <c r="H540" s="50"/>
      <c r="I540" s="50"/>
      <c r="J540" s="50"/>
    </row>
    <row r="541" spans="4:10" x14ac:dyDescent="0.2">
      <c r="D541" s="50"/>
      <c r="E541" s="50"/>
      <c r="F541" s="50"/>
      <c r="G541" s="50"/>
      <c r="H541" s="50"/>
      <c r="I541" s="50"/>
      <c r="J541" s="50"/>
    </row>
    <row r="542" spans="4:10" x14ac:dyDescent="0.2">
      <c r="D542" s="50"/>
      <c r="E542" s="50"/>
      <c r="F542" s="50"/>
      <c r="G542" s="50"/>
      <c r="H542" s="50"/>
      <c r="I542" s="50"/>
      <c r="J542" s="50"/>
    </row>
    <row r="543" spans="4:10" x14ac:dyDescent="0.2">
      <c r="D543" s="50"/>
      <c r="E543" s="50"/>
      <c r="F543" s="50"/>
      <c r="G543" s="50"/>
      <c r="H543" s="50"/>
      <c r="I543" s="50"/>
      <c r="J543" s="50"/>
    </row>
    <row r="544" spans="4:10" x14ac:dyDescent="0.2">
      <c r="D544" s="50"/>
      <c r="E544" s="50"/>
      <c r="F544" s="50"/>
      <c r="G544" s="50"/>
      <c r="H544" s="50"/>
      <c r="I544" s="50"/>
      <c r="J544" s="50"/>
    </row>
    <row r="545" spans="4:10" x14ac:dyDescent="0.2">
      <c r="D545" s="50"/>
      <c r="E545" s="50"/>
      <c r="F545" s="50"/>
      <c r="G545" s="50"/>
      <c r="H545" s="50"/>
      <c r="I545" s="50"/>
      <c r="J545" s="50"/>
    </row>
    <row r="546" spans="4:10" x14ac:dyDescent="0.2">
      <c r="D546" s="50"/>
      <c r="E546" s="50"/>
      <c r="F546" s="50"/>
      <c r="G546" s="50"/>
      <c r="H546" s="50"/>
      <c r="I546" s="50"/>
      <c r="J546" s="50"/>
    </row>
    <row r="547" spans="4:10" x14ac:dyDescent="0.2">
      <c r="D547" s="50"/>
      <c r="E547" s="50"/>
      <c r="F547" s="50"/>
      <c r="G547" s="50"/>
      <c r="H547" s="50"/>
      <c r="I547" s="50"/>
      <c r="J547" s="50"/>
    </row>
    <row r="548" spans="4:10" x14ac:dyDescent="0.2">
      <c r="D548" s="50"/>
      <c r="E548" s="50"/>
      <c r="F548" s="50"/>
      <c r="G548" s="50"/>
      <c r="H548" s="50"/>
      <c r="I548" s="50"/>
      <c r="J548" s="50"/>
    </row>
    <row r="549" spans="4:10" x14ac:dyDescent="0.2">
      <c r="D549" s="50"/>
      <c r="E549" s="50"/>
      <c r="F549" s="50"/>
      <c r="G549" s="50"/>
      <c r="H549" s="50"/>
      <c r="I549" s="50"/>
      <c r="J549" s="50"/>
    </row>
    <row r="550" spans="4:10" x14ac:dyDescent="0.2">
      <c r="D550" s="50"/>
      <c r="E550" s="50"/>
      <c r="F550" s="50"/>
      <c r="G550" s="50"/>
      <c r="H550" s="50"/>
      <c r="I550" s="50"/>
      <c r="J550" s="50"/>
    </row>
    <row r="551" spans="4:10" x14ac:dyDescent="0.2">
      <c r="D551" s="50"/>
      <c r="E551" s="50"/>
      <c r="F551" s="50"/>
      <c r="G551" s="50"/>
      <c r="H551" s="50"/>
      <c r="I551" s="50"/>
      <c r="J551" s="50"/>
    </row>
    <row r="552" spans="4:10" x14ac:dyDescent="0.2">
      <c r="D552" s="50"/>
      <c r="E552" s="50"/>
      <c r="F552" s="50"/>
      <c r="G552" s="50"/>
      <c r="H552" s="50"/>
      <c r="I552" s="50"/>
      <c r="J552" s="50"/>
    </row>
    <row r="553" spans="4:10" x14ac:dyDescent="0.2">
      <c r="D553" s="50"/>
      <c r="E553" s="50"/>
      <c r="F553" s="50"/>
      <c r="G553" s="50"/>
      <c r="H553" s="50"/>
      <c r="I553" s="50"/>
      <c r="J553" s="50"/>
    </row>
    <row r="554" spans="4:10" x14ac:dyDescent="0.2">
      <c r="D554" s="50"/>
      <c r="E554" s="50"/>
      <c r="F554" s="50"/>
      <c r="G554" s="50"/>
      <c r="H554" s="50"/>
      <c r="I554" s="50"/>
      <c r="J554" s="50"/>
    </row>
    <row r="555" spans="4:10" x14ac:dyDescent="0.2">
      <c r="D555" s="50"/>
      <c r="E555" s="50"/>
      <c r="F555" s="50"/>
      <c r="G555" s="50"/>
      <c r="H555" s="50"/>
      <c r="I555" s="50"/>
      <c r="J555" s="50"/>
    </row>
    <row r="556" spans="4:10" x14ac:dyDescent="0.2">
      <c r="D556" s="50"/>
      <c r="E556" s="50"/>
      <c r="F556" s="50"/>
      <c r="G556" s="50"/>
      <c r="H556" s="50"/>
      <c r="I556" s="50"/>
      <c r="J556" s="50"/>
    </row>
    <row r="557" spans="4:10" x14ac:dyDescent="0.2">
      <c r="D557" s="50"/>
      <c r="E557" s="50"/>
      <c r="F557" s="50"/>
      <c r="G557" s="50"/>
      <c r="H557" s="50"/>
      <c r="I557" s="50"/>
      <c r="J557" s="50"/>
    </row>
    <row r="558" spans="4:10" x14ac:dyDescent="0.2">
      <c r="D558" s="50"/>
      <c r="E558" s="50"/>
      <c r="F558" s="50"/>
      <c r="G558" s="50"/>
      <c r="H558" s="50"/>
      <c r="I558" s="50"/>
      <c r="J558" s="50"/>
    </row>
    <row r="559" spans="4:10" x14ac:dyDescent="0.2">
      <c r="D559" s="50"/>
      <c r="E559" s="50"/>
      <c r="F559" s="50"/>
      <c r="G559" s="50"/>
      <c r="H559" s="50"/>
      <c r="I559" s="50"/>
      <c r="J559" s="50"/>
    </row>
    <row r="560" spans="4:10" x14ac:dyDescent="0.2">
      <c r="D560" s="50"/>
      <c r="E560" s="50"/>
      <c r="F560" s="50"/>
      <c r="G560" s="50"/>
      <c r="H560" s="50"/>
      <c r="I560" s="50"/>
      <c r="J560" s="50"/>
    </row>
    <row r="561" spans="4:10" x14ac:dyDescent="0.2">
      <c r="D561" s="50"/>
      <c r="E561" s="50"/>
      <c r="F561" s="50"/>
      <c r="G561" s="50"/>
      <c r="H561" s="50"/>
      <c r="I561" s="50"/>
      <c r="J561" s="50"/>
    </row>
    <row r="562" spans="4:10" x14ac:dyDescent="0.2">
      <c r="D562" s="50"/>
      <c r="E562" s="50"/>
      <c r="F562" s="50"/>
      <c r="G562" s="50"/>
      <c r="H562" s="50"/>
      <c r="I562" s="50"/>
      <c r="J562" s="50"/>
    </row>
    <row r="563" spans="4:10" x14ac:dyDescent="0.2">
      <c r="D563" s="50"/>
      <c r="E563" s="50"/>
      <c r="F563" s="50"/>
      <c r="G563" s="50"/>
      <c r="H563" s="50"/>
      <c r="I563" s="50"/>
      <c r="J563" s="50"/>
    </row>
    <row r="564" spans="4:10" x14ac:dyDescent="0.2">
      <c r="D564" s="50"/>
      <c r="E564" s="50"/>
      <c r="F564" s="50"/>
      <c r="G564" s="50"/>
      <c r="H564" s="50"/>
      <c r="I564" s="50"/>
      <c r="J564" s="50"/>
    </row>
    <row r="565" spans="4:10" x14ac:dyDescent="0.2">
      <c r="D565" s="50"/>
      <c r="E565" s="50"/>
      <c r="F565" s="50"/>
      <c r="G565" s="50"/>
      <c r="H565" s="50"/>
      <c r="I565" s="50"/>
      <c r="J565" s="50"/>
    </row>
    <row r="566" spans="4:10" x14ac:dyDescent="0.2">
      <c r="D566" s="50"/>
      <c r="E566" s="50"/>
      <c r="F566" s="50"/>
      <c r="G566" s="50"/>
      <c r="H566" s="50"/>
      <c r="I566" s="50"/>
      <c r="J566" s="50"/>
    </row>
    <row r="567" spans="4:10" x14ac:dyDescent="0.2">
      <c r="D567" s="50"/>
      <c r="E567" s="50"/>
      <c r="F567" s="50"/>
      <c r="G567" s="50"/>
      <c r="H567" s="50"/>
      <c r="I567" s="50"/>
      <c r="J567" s="50"/>
    </row>
    <row r="568" spans="4:10" x14ac:dyDescent="0.2">
      <c r="D568" s="50"/>
      <c r="E568" s="50"/>
      <c r="F568" s="50"/>
      <c r="G568" s="50"/>
      <c r="H568" s="50"/>
      <c r="I568" s="50"/>
      <c r="J568" s="50"/>
    </row>
    <row r="569" spans="4:10" x14ac:dyDescent="0.2">
      <c r="D569" s="50"/>
      <c r="E569" s="50"/>
      <c r="F569" s="50"/>
      <c r="G569" s="50"/>
      <c r="H569" s="50"/>
      <c r="I569" s="50"/>
      <c r="J569" s="50"/>
    </row>
    <row r="570" spans="4:10" x14ac:dyDescent="0.2">
      <c r="D570" s="50"/>
      <c r="E570" s="50"/>
      <c r="F570" s="50"/>
      <c r="G570" s="50"/>
      <c r="H570" s="50"/>
      <c r="I570" s="50"/>
      <c r="J570" s="50"/>
    </row>
    <row r="571" spans="4:10" x14ac:dyDescent="0.2">
      <c r="D571" s="50"/>
      <c r="E571" s="50"/>
      <c r="F571" s="50"/>
      <c r="G571" s="50"/>
      <c r="H571" s="50"/>
      <c r="I571" s="50"/>
      <c r="J571" s="50"/>
    </row>
    <row r="572" spans="4:10" x14ac:dyDescent="0.2">
      <c r="D572" s="50"/>
      <c r="E572" s="50"/>
      <c r="F572" s="50"/>
      <c r="G572" s="50"/>
      <c r="H572" s="50"/>
      <c r="I572" s="50"/>
      <c r="J572" s="50"/>
    </row>
    <row r="573" spans="4:10" x14ac:dyDescent="0.2">
      <c r="D573" s="50"/>
      <c r="E573" s="50"/>
      <c r="F573" s="50"/>
      <c r="G573" s="50"/>
      <c r="H573" s="50"/>
      <c r="I573" s="50"/>
      <c r="J573" s="50"/>
    </row>
    <row r="574" spans="4:10" x14ac:dyDescent="0.2">
      <c r="D574" s="50"/>
      <c r="E574" s="50"/>
      <c r="F574" s="50"/>
      <c r="G574" s="50"/>
      <c r="H574" s="50"/>
      <c r="I574" s="50"/>
      <c r="J574" s="50"/>
    </row>
    <row r="575" spans="4:10" x14ac:dyDescent="0.2">
      <c r="D575" s="50"/>
      <c r="E575" s="50"/>
      <c r="F575" s="50"/>
      <c r="G575" s="50"/>
      <c r="H575" s="50"/>
      <c r="I575" s="50"/>
      <c r="J575" s="50"/>
    </row>
    <row r="576" spans="4:10" x14ac:dyDescent="0.2">
      <c r="D576" s="50"/>
      <c r="E576" s="50"/>
      <c r="F576" s="50"/>
      <c r="G576" s="50"/>
      <c r="H576" s="50"/>
      <c r="I576" s="50"/>
      <c r="J576" s="50"/>
    </row>
    <row r="577" spans="4:10" x14ac:dyDescent="0.2">
      <c r="D577" s="50"/>
      <c r="E577" s="50"/>
      <c r="F577" s="50"/>
      <c r="G577" s="50"/>
      <c r="H577" s="50"/>
      <c r="I577" s="50"/>
      <c r="J577" s="50"/>
    </row>
    <row r="578" spans="4:10" x14ac:dyDescent="0.2">
      <c r="D578" s="50"/>
      <c r="E578" s="50"/>
      <c r="F578" s="50"/>
      <c r="G578" s="50"/>
      <c r="H578" s="50"/>
      <c r="I578" s="50"/>
      <c r="J578" s="50"/>
    </row>
    <row r="579" spans="4:10" x14ac:dyDescent="0.2">
      <c r="D579" s="50"/>
      <c r="E579" s="50"/>
      <c r="F579" s="50"/>
      <c r="G579" s="50"/>
      <c r="H579" s="50"/>
      <c r="I579" s="50"/>
      <c r="J579" s="50"/>
    </row>
    <row r="580" spans="4:10" x14ac:dyDescent="0.2">
      <c r="D580" s="50"/>
      <c r="E580" s="50"/>
      <c r="F580" s="50"/>
      <c r="G580" s="50"/>
      <c r="H580" s="50"/>
      <c r="I580" s="50"/>
      <c r="J580" s="50"/>
    </row>
    <row r="581" spans="4:10" x14ac:dyDescent="0.2">
      <c r="D581" s="50"/>
      <c r="E581" s="50"/>
      <c r="F581" s="50"/>
      <c r="G581" s="50"/>
      <c r="H581" s="50"/>
      <c r="I581" s="50"/>
      <c r="J581" s="50"/>
    </row>
    <row r="582" spans="4:10" x14ac:dyDescent="0.2">
      <c r="D582" s="50"/>
      <c r="E582" s="50"/>
      <c r="F582" s="50"/>
      <c r="G582" s="50"/>
      <c r="H582" s="50"/>
      <c r="I582" s="50"/>
      <c r="J582" s="50"/>
    </row>
    <row r="583" spans="4:10" x14ac:dyDescent="0.2">
      <c r="D583" s="50"/>
      <c r="E583" s="50"/>
      <c r="F583" s="50"/>
      <c r="G583" s="50"/>
      <c r="H583" s="50"/>
      <c r="I583" s="50"/>
      <c r="J583" s="50"/>
    </row>
    <row r="584" spans="4:10" x14ac:dyDescent="0.2">
      <c r="D584" s="50"/>
      <c r="E584" s="50"/>
      <c r="F584" s="50"/>
      <c r="G584" s="50"/>
      <c r="H584" s="50"/>
      <c r="I584" s="50"/>
      <c r="J584" s="50"/>
    </row>
    <row r="585" spans="4:10" x14ac:dyDescent="0.2">
      <c r="D585" s="50"/>
      <c r="E585" s="50"/>
      <c r="F585" s="50"/>
      <c r="G585" s="50"/>
      <c r="H585" s="50"/>
      <c r="I585" s="50"/>
      <c r="J585" s="50"/>
    </row>
    <row r="586" spans="4:10" x14ac:dyDescent="0.2">
      <c r="D586" s="50"/>
      <c r="E586" s="50"/>
      <c r="F586" s="50"/>
      <c r="G586" s="50"/>
      <c r="H586" s="50"/>
      <c r="I586" s="50"/>
      <c r="J586" s="50"/>
    </row>
    <row r="587" spans="4:10" x14ac:dyDescent="0.2">
      <c r="D587" s="50"/>
      <c r="E587" s="50"/>
      <c r="F587" s="50"/>
      <c r="G587" s="50"/>
      <c r="H587" s="50"/>
      <c r="I587" s="50"/>
      <c r="J587" s="50"/>
    </row>
  </sheetData>
  <autoFilter ref="A1:K543" xr:uid="{63179383-6701-4921-BAA4-47718D192F6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165B-24AE-4764-9AD6-32EDF1F4BCEE}">
  <dimension ref="B2:E40"/>
  <sheetViews>
    <sheetView showGridLines="0" workbookViewId="0">
      <selection activeCell="H16" sqref="H16"/>
    </sheetView>
  </sheetViews>
  <sheetFormatPr baseColWidth="10" defaultRowHeight="15" x14ac:dyDescent="0.25"/>
  <cols>
    <col min="2" max="2" width="11.42578125" customWidth="1"/>
    <col min="3" max="3" width="20.28515625" customWidth="1"/>
    <col min="4" max="4" width="7.7109375" bestFit="1" customWidth="1"/>
    <col min="5" max="5" width="12.85546875" customWidth="1"/>
  </cols>
  <sheetData>
    <row r="2" spans="2:5" ht="15.75" thickBot="1" x14ac:dyDescent="0.3"/>
    <row r="3" spans="2:5" ht="30.75" thickBot="1" x14ac:dyDescent="0.3">
      <c r="B3" s="3" t="s">
        <v>0</v>
      </c>
      <c r="C3" s="3" t="s">
        <v>47</v>
      </c>
      <c r="D3" s="3" t="s">
        <v>1</v>
      </c>
      <c r="E3" s="3" t="s">
        <v>54</v>
      </c>
    </row>
    <row r="4" spans="2:5" x14ac:dyDescent="0.25">
      <c r="B4" s="12" t="s">
        <v>10</v>
      </c>
      <c r="C4" s="21" t="s">
        <v>48</v>
      </c>
      <c r="D4" s="24" t="s">
        <v>50</v>
      </c>
      <c r="E4" s="26" t="s">
        <v>55</v>
      </c>
    </row>
    <row r="5" spans="2:5" x14ac:dyDescent="0.25">
      <c r="B5" s="6" t="s">
        <v>11</v>
      </c>
      <c r="C5" s="9" t="s">
        <v>48</v>
      </c>
      <c r="D5" s="25" t="s">
        <v>50</v>
      </c>
      <c r="E5" s="27" t="s">
        <v>55</v>
      </c>
    </row>
    <row r="6" spans="2:5" x14ac:dyDescent="0.25">
      <c r="B6" s="9" t="s">
        <v>12</v>
      </c>
      <c r="C6" s="9" t="s">
        <v>48</v>
      </c>
      <c r="D6" s="25" t="s">
        <v>50</v>
      </c>
      <c r="E6" s="27" t="s">
        <v>55</v>
      </c>
    </row>
    <row r="7" spans="2:5" x14ac:dyDescent="0.25">
      <c r="B7" s="9" t="s">
        <v>13</v>
      </c>
      <c r="C7" s="9" t="s">
        <v>48</v>
      </c>
      <c r="D7" s="25" t="s">
        <v>50</v>
      </c>
      <c r="E7" s="27" t="s">
        <v>55</v>
      </c>
    </row>
    <row r="8" spans="2:5" x14ac:dyDescent="0.25">
      <c r="B8" s="9" t="s">
        <v>14</v>
      </c>
      <c r="C8" s="9" t="s">
        <v>48</v>
      </c>
      <c r="D8" s="25" t="s">
        <v>50</v>
      </c>
      <c r="E8" s="27" t="s">
        <v>55</v>
      </c>
    </row>
    <row r="9" spans="2:5" x14ac:dyDescent="0.25">
      <c r="B9" s="9" t="s">
        <v>15</v>
      </c>
      <c r="C9" s="9" t="s">
        <v>48</v>
      </c>
      <c r="D9" s="25" t="s">
        <v>50</v>
      </c>
      <c r="E9" s="27" t="s">
        <v>55</v>
      </c>
    </row>
    <row r="10" spans="2:5" x14ac:dyDescent="0.25">
      <c r="B10" s="9" t="s">
        <v>16</v>
      </c>
      <c r="C10" s="9" t="s">
        <v>48</v>
      </c>
      <c r="D10" s="25" t="s">
        <v>50</v>
      </c>
      <c r="E10" s="27" t="s">
        <v>55</v>
      </c>
    </row>
    <row r="11" spans="2:5" x14ac:dyDescent="0.25">
      <c r="B11" s="9" t="s">
        <v>17</v>
      </c>
      <c r="C11" s="9" t="s">
        <v>48</v>
      </c>
      <c r="D11" s="25" t="s">
        <v>50</v>
      </c>
      <c r="E11" s="27" t="s">
        <v>55</v>
      </c>
    </row>
    <row r="12" spans="2:5" x14ac:dyDescent="0.25">
      <c r="B12" s="9" t="s">
        <v>18</v>
      </c>
      <c r="C12" s="9" t="s">
        <v>48</v>
      </c>
      <c r="D12" s="25" t="s">
        <v>50</v>
      </c>
      <c r="E12" s="27" t="s">
        <v>55</v>
      </c>
    </row>
    <row r="13" spans="2:5" x14ac:dyDescent="0.25">
      <c r="B13" s="9" t="s">
        <v>19</v>
      </c>
      <c r="C13" s="9" t="s">
        <v>48</v>
      </c>
      <c r="D13" s="25" t="s">
        <v>50</v>
      </c>
      <c r="E13" s="27" t="s">
        <v>55</v>
      </c>
    </row>
    <row r="14" spans="2:5" x14ac:dyDescent="0.25">
      <c r="B14" s="9" t="s">
        <v>20</v>
      </c>
      <c r="C14" s="9" t="s">
        <v>48</v>
      </c>
      <c r="D14" s="25" t="s">
        <v>50</v>
      </c>
      <c r="E14" s="27" t="s">
        <v>55</v>
      </c>
    </row>
    <row r="15" spans="2:5" x14ac:dyDescent="0.25">
      <c r="B15" s="9" t="s">
        <v>21</v>
      </c>
      <c r="C15" s="9" t="s">
        <v>48</v>
      </c>
      <c r="D15" s="25" t="s">
        <v>50</v>
      </c>
      <c r="E15" s="27" t="s">
        <v>55</v>
      </c>
    </row>
    <row r="16" spans="2:5" x14ac:dyDescent="0.25">
      <c r="B16" s="9" t="s">
        <v>22</v>
      </c>
      <c r="C16" s="9" t="s">
        <v>48</v>
      </c>
      <c r="D16" s="25" t="s">
        <v>50</v>
      </c>
      <c r="E16" s="27" t="s">
        <v>55</v>
      </c>
    </row>
    <row r="17" spans="2:5" x14ac:dyDescent="0.25">
      <c r="B17" s="9" t="s">
        <v>23</v>
      </c>
      <c r="C17" s="9" t="s">
        <v>48</v>
      </c>
      <c r="D17" s="25" t="s">
        <v>50</v>
      </c>
      <c r="E17" s="27" t="s">
        <v>55</v>
      </c>
    </row>
    <row r="18" spans="2:5" x14ac:dyDescent="0.25">
      <c r="B18" s="9" t="s">
        <v>24</v>
      </c>
      <c r="C18" s="9" t="s">
        <v>48</v>
      </c>
      <c r="D18" s="25" t="s">
        <v>50</v>
      </c>
      <c r="E18" s="27" t="s">
        <v>55</v>
      </c>
    </row>
    <row r="19" spans="2:5" x14ac:dyDescent="0.25">
      <c r="B19" s="9" t="s">
        <v>25</v>
      </c>
      <c r="C19" s="9" t="s">
        <v>48</v>
      </c>
      <c r="D19" s="25" t="s">
        <v>50</v>
      </c>
      <c r="E19" s="27" t="s">
        <v>55</v>
      </c>
    </row>
    <row r="20" spans="2:5" x14ac:dyDescent="0.25">
      <c r="B20" s="9" t="s">
        <v>26</v>
      </c>
      <c r="C20" s="9" t="s">
        <v>48</v>
      </c>
      <c r="D20" s="25" t="s">
        <v>50</v>
      </c>
      <c r="E20" s="27" t="s">
        <v>55</v>
      </c>
    </row>
    <row r="21" spans="2:5" x14ac:dyDescent="0.25">
      <c r="B21" s="9" t="s">
        <v>27</v>
      </c>
      <c r="C21" s="9" t="s">
        <v>48</v>
      </c>
      <c r="D21" s="25" t="s">
        <v>50</v>
      </c>
      <c r="E21" s="27" t="s">
        <v>55</v>
      </c>
    </row>
    <row r="22" spans="2:5" x14ac:dyDescent="0.25">
      <c r="B22" s="9" t="s">
        <v>28</v>
      </c>
      <c r="C22" s="9" t="s">
        <v>48</v>
      </c>
      <c r="D22" s="25" t="s">
        <v>50</v>
      </c>
      <c r="E22" s="27" t="s">
        <v>55</v>
      </c>
    </row>
    <row r="23" spans="2:5" x14ac:dyDescent="0.25">
      <c r="B23" s="9" t="s">
        <v>29</v>
      </c>
      <c r="C23" s="9" t="s">
        <v>48</v>
      </c>
      <c r="D23" s="25" t="s">
        <v>51</v>
      </c>
      <c r="E23" s="27" t="s">
        <v>55</v>
      </c>
    </row>
    <row r="24" spans="2:5" x14ac:dyDescent="0.25">
      <c r="B24" s="9" t="s">
        <v>30</v>
      </c>
      <c r="C24" s="9" t="s">
        <v>48</v>
      </c>
      <c r="D24" s="25" t="s">
        <v>51</v>
      </c>
      <c r="E24" s="27" t="s">
        <v>55</v>
      </c>
    </row>
    <row r="25" spans="2:5" x14ac:dyDescent="0.25">
      <c r="B25" s="9" t="s">
        <v>31</v>
      </c>
      <c r="C25" s="9" t="s">
        <v>48</v>
      </c>
      <c r="D25" s="25" t="s">
        <v>51</v>
      </c>
      <c r="E25" s="27" t="s">
        <v>55</v>
      </c>
    </row>
    <row r="26" spans="2:5" x14ac:dyDescent="0.25">
      <c r="B26" s="9" t="s">
        <v>32</v>
      </c>
      <c r="C26" s="9" t="s">
        <v>48</v>
      </c>
      <c r="D26" s="25" t="s">
        <v>51</v>
      </c>
      <c r="E26" s="27" t="s">
        <v>55</v>
      </c>
    </row>
    <row r="27" spans="2:5" x14ac:dyDescent="0.25">
      <c r="B27" s="9" t="s">
        <v>33</v>
      </c>
      <c r="C27" s="9" t="s">
        <v>49</v>
      </c>
      <c r="D27" s="25" t="s">
        <v>50</v>
      </c>
      <c r="E27" s="27" t="s">
        <v>56</v>
      </c>
    </row>
    <row r="28" spans="2:5" x14ac:dyDescent="0.25">
      <c r="B28" s="9" t="s">
        <v>34</v>
      </c>
      <c r="C28" s="9" t="s">
        <v>49</v>
      </c>
      <c r="D28" s="25" t="s">
        <v>50</v>
      </c>
      <c r="E28" s="27" t="s">
        <v>56</v>
      </c>
    </row>
    <row r="29" spans="2:5" x14ac:dyDescent="0.25">
      <c r="B29" s="9" t="s">
        <v>35</v>
      </c>
      <c r="C29" s="9" t="s">
        <v>49</v>
      </c>
      <c r="D29" s="25" t="s">
        <v>50</v>
      </c>
      <c r="E29" s="27" t="s">
        <v>56</v>
      </c>
    </row>
    <row r="30" spans="2:5" x14ac:dyDescent="0.25">
      <c r="B30" s="9" t="s">
        <v>36</v>
      </c>
      <c r="C30" s="9" t="s">
        <v>49</v>
      </c>
      <c r="D30" s="25" t="s">
        <v>50</v>
      </c>
      <c r="E30" s="27" t="s">
        <v>56</v>
      </c>
    </row>
    <row r="31" spans="2:5" x14ac:dyDescent="0.25">
      <c r="B31" s="9" t="s">
        <v>37</v>
      </c>
      <c r="C31" s="9" t="s">
        <v>49</v>
      </c>
      <c r="D31" s="25" t="s">
        <v>50</v>
      </c>
      <c r="E31" s="27" t="s">
        <v>56</v>
      </c>
    </row>
    <row r="32" spans="2:5" x14ac:dyDescent="0.25">
      <c r="B32" s="9" t="s">
        <v>38</v>
      </c>
      <c r="C32" s="9" t="s">
        <v>49</v>
      </c>
      <c r="D32" s="25" t="s">
        <v>50</v>
      </c>
      <c r="E32" s="27" t="s">
        <v>56</v>
      </c>
    </row>
    <row r="33" spans="2:5" x14ac:dyDescent="0.25">
      <c r="B33" s="9" t="s">
        <v>39</v>
      </c>
      <c r="C33" s="9" t="s">
        <v>49</v>
      </c>
      <c r="D33" s="25" t="s">
        <v>50</v>
      </c>
      <c r="E33" s="27" t="s">
        <v>56</v>
      </c>
    </row>
    <row r="34" spans="2:5" x14ac:dyDescent="0.25">
      <c r="B34" s="9" t="s">
        <v>40</v>
      </c>
      <c r="C34" s="9" t="s">
        <v>49</v>
      </c>
      <c r="D34" s="25" t="s">
        <v>50</v>
      </c>
      <c r="E34" s="27" t="s">
        <v>56</v>
      </c>
    </row>
    <row r="35" spans="2:5" x14ac:dyDescent="0.25">
      <c r="B35" s="13" t="s">
        <v>41</v>
      </c>
      <c r="C35" s="9" t="s">
        <v>49</v>
      </c>
      <c r="D35" s="25" t="s">
        <v>50</v>
      </c>
      <c r="E35" s="27" t="s">
        <v>56</v>
      </c>
    </row>
    <row r="36" spans="2:5" x14ac:dyDescent="0.25">
      <c r="B36" s="17" t="s">
        <v>42</v>
      </c>
      <c r="C36" s="9" t="s">
        <v>49</v>
      </c>
      <c r="D36" s="25" t="s">
        <v>50</v>
      </c>
      <c r="E36" s="27" t="s">
        <v>56</v>
      </c>
    </row>
    <row r="37" spans="2:5" x14ac:dyDescent="0.25">
      <c r="B37" s="9" t="s">
        <v>43</v>
      </c>
      <c r="C37" s="9" t="s">
        <v>49</v>
      </c>
      <c r="D37" s="25" t="s">
        <v>50</v>
      </c>
      <c r="E37" s="27" t="s">
        <v>56</v>
      </c>
    </row>
    <row r="38" spans="2:5" x14ac:dyDescent="0.25">
      <c r="B38" s="9" t="s">
        <v>44</v>
      </c>
      <c r="C38" s="9" t="s">
        <v>49</v>
      </c>
      <c r="D38" s="25" t="s">
        <v>50</v>
      </c>
      <c r="E38" s="27" t="s">
        <v>56</v>
      </c>
    </row>
    <row r="39" spans="2:5" x14ac:dyDescent="0.25">
      <c r="B39" s="9" t="s">
        <v>45</v>
      </c>
      <c r="C39" s="9" t="s">
        <v>49</v>
      </c>
      <c r="D39" s="25" t="s">
        <v>50</v>
      </c>
      <c r="E39" s="27" t="s">
        <v>56</v>
      </c>
    </row>
    <row r="40" spans="2:5" ht="15.75" thickBot="1" x14ac:dyDescent="0.3">
      <c r="B40" s="9" t="s">
        <v>46</v>
      </c>
      <c r="C40" s="9" t="s">
        <v>49</v>
      </c>
      <c r="D40" s="25" t="s">
        <v>50</v>
      </c>
      <c r="E40" s="10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C11D-F5AC-4196-8AF6-D557158D84BB}">
  <sheetPr>
    <pageSetUpPr fitToPage="1"/>
  </sheetPr>
  <dimension ref="B1:H73"/>
  <sheetViews>
    <sheetView showGridLines="0" zoomScaleNormal="100" workbookViewId="0">
      <selection activeCell="E10" sqref="E10:G10"/>
    </sheetView>
  </sheetViews>
  <sheetFormatPr baseColWidth="10" defaultRowHeight="15" x14ac:dyDescent="0.25"/>
  <cols>
    <col min="1" max="1" width="1.7109375" customWidth="1"/>
    <col min="3" max="3" width="20.28515625" bestFit="1" customWidth="1"/>
    <col min="5" max="5" width="11.42578125" style="8"/>
    <col min="6" max="6" width="45.28515625" style="8" customWidth="1"/>
    <col min="7" max="7" width="26.5703125" customWidth="1"/>
    <col min="8" max="8" width="10" customWidth="1"/>
  </cols>
  <sheetData>
    <row r="1" spans="2:8" s="8" customFormat="1" ht="22.5" customHeight="1" x14ac:dyDescent="0.25">
      <c r="G1" s="107" t="s">
        <v>62</v>
      </c>
      <c r="H1" s="107"/>
    </row>
    <row r="2" spans="2:8" s="8" customFormat="1" x14ac:dyDescent="0.25">
      <c r="B2" s="8" t="s">
        <v>60</v>
      </c>
      <c r="E2" s="8" t="s">
        <v>620</v>
      </c>
      <c r="G2" s="107"/>
      <c r="H2" s="107"/>
    </row>
    <row r="3" spans="2:8" s="8" customFormat="1" x14ac:dyDescent="0.25">
      <c r="G3" s="107"/>
      <c r="H3" s="107"/>
    </row>
    <row r="4" spans="2:8" x14ac:dyDescent="0.25">
      <c r="B4" t="s">
        <v>61</v>
      </c>
      <c r="E4" s="8" t="s">
        <v>63</v>
      </c>
      <c r="G4" s="107"/>
      <c r="H4" s="107"/>
    </row>
    <row r="5" spans="2:8" ht="15.75" thickBot="1" x14ac:dyDescent="0.3"/>
    <row r="6" spans="2:8" ht="15.75" thickBot="1" x14ac:dyDescent="0.3">
      <c r="B6" s="3" t="s">
        <v>0</v>
      </c>
      <c r="C6" s="3" t="s">
        <v>47</v>
      </c>
      <c r="D6" s="3" t="s">
        <v>1</v>
      </c>
      <c r="E6" s="101" t="s">
        <v>58</v>
      </c>
      <c r="F6" s="102"/>
      <c r="G6" s="103"/>
      <c r="H6" s="29" t="s">
        <v>59</v>
      </c>
    </row>
    <row r="7" spans="2:8" x14ac:dyDescent="0.25">
      <c r="B7" s="5" t="s">
        <v>108</v>
      </c>
      <c r="C7" s="32" t="s">
        <v>48</v>
      </c>
      <c r="D7" s="33" t="s">
        <v>50</v>
      </c>
      <c r="E7" s="104"/>
      <c r="F7" s="105"/>
      <c r="G7" s="106"/>
      <c r="H7" s="16"/>
    </row>
    <row r="8" spans="2:8" x14ac:dyDescent="0.25">
      <c r="B8" s="6" t="s">
        <v>11</v>
      </c>
      <c r="C8" s="9" t="s">
        <v>48</v>
      </c>
      <c r="D8" s="7" t="s">
        <v>50</v>
      </c>
      <c r="E8" s="95"/>
      <c r="F8" s="96"/>
      <c r="G8" s="97"/>
      <c r="H8" s="11"/>
    </row>
    <row r="9" spans="2:8" x14ac:dyDescent="0.25">
      <c r="B9" s="9" t="s">
        <v>109</v>
      </c>
      <c r="C9" s="9" t="s">
        <v>48</v>
      </c>
      <c r="D9" s="7" t="s">
        <v>50</v>
      </c>
      <c r="E9" s="95"/>
      <c r="F9" s="96"/>
      <c r="G9" s="97"/>
      <c r="H9" s="11"/>
    </row>
    <row r="10" spans="2:8" x14ac:dyDescent="0.25">
      <c r="B10" s="9" t="s">
        <v>13</v>
      </c>
      <c r="C10" s="9" t="s">
        <v>48</v>
      </c>
      <c r="D10" s="7" t="s">
        <v>50</v>
      </c>
      <c r="E10" s="95"/>
      <c r="F10" s="96"/>
      <c r="G10" s="97"/>
      <c r="H10" s="11"/>
    </row>
    <row r="11" spans="2:8" x14ac:dyDescent="0.25">
      <c r="B11" s="9" t="s">
        <v>14</v>
      </c>
      <c r="C11" s="9" t="s">
        <v>48</v>
      </c>
      <c r="D11" s="7" t="s">
        <v>50</v>
      </c>
      <c r="E11" s="95"/>
      <c r="F11" s="96"/>
      <c r="G11" s="97"/>
      <c r="H11" s="11"/>
    </row>
    <row r="12" spans="2:8" s="8" customFormat="1" x14ac:dyDescent="0.25">
      <c r="B12" s="9" t="s">
        <v>29</v>
      </c>
      <c r="C12" s="9" t="s">
        <v>48</v>
      </c>
      <c r="D12" s="7" t="s">
        <v>51</v>
      </c>
      <c r="E12" s="95"/>
      <c r="F12" s="96"/>
      <c r="G12" s="97"/>
      <c r="H12" s="11"/>
    </row>
    <row r="13" spans="2:8" s="8" customFormat="1" x14ac:dyDescent="0.25">
      <c r="B13" s="9" t="s">
        <v>30</v>
      </c>
      <c r="C13" s="9" t="s">
        <v>48</v>
      </c>
      <c r="D13" s="7" t="s">
        <v>51</v>
      </c>
      <c r="E13" s="95"/>
      <c r="F13" s="96"/>
      <c r="G13" s="97"/>
      <c r="H13" s="11"/>
    </row>
    <row r="14" spans="2:8" s="8" customFormat="1" x14ac:dyDescent="0.25">
      <c r="B14" s="9" t="s">
        <v>31</v>
      </c>
      <c r="C14" s="9" t="s">
        <v>48</v>
      </c>
      <c r="D14" s="7" t="s">
        <v>51</v>
      </c>
      <c r="E14" s="95"/>
      <c r="F14" s="96"/>
      <c r="G14" s="97"/>
      <c r="H14" s="11"/>
    </row>
    <row r="15" spans="2:8" x14ac:dyDescent="0.25">
      <c r="B15" s="9" t="s">
        <v>15</v>
      </c>
      <c r="C15" s="9" t="s">
        <v>48</v>
      </c>
      <c r="D15" s="7" t="s">
        <v>50</v>
      </c>
      <c r="E15" s="95"/>
      <c r="F15" s="96"/>
      <c r="G15" s="97"/>
      <c r="H15" s="11"/>
    </row>
    <row r="16" spans="2:8" x14ac:dyDescent="0.25">
      <c r="B16" s="9" t="s">
        <v>16</v>
      </c>
      <c r="C16" s="9" t="s">
        <v>48</v>
      </c>
      <c r="D16" s="7" t="s">
        <v>50</v>
      </c>
      <c r="E16" s="95"/>
      <c r="F16" s="96"/>
      <c r="G16" s="97"/>
      <c r="H16" s="11"/>
    </row>
    <row r="17" spans="2:8" x14ac:dyDescent="0.25">
      <c r="B17" s="9" t="s">
        <v>17</v>
      </c>
      <c r="C17" s="9" t="s">
        <v>48</v>
      </c>
      <c r="D17" s="7" t="s">
        <v>50</v>
      </c>
      <c r="E17" s="95"/>
      <c r="F17" s="96"/>
      <c r="G17" s="97"/>
      <c r="H17" s="11"/>
    </row>
    <row r="18" spans="2:8" x14ac:dyDescent="0.25">
      <c r="B18" s="9" t="s">
        <v>18</v>
      </c>
      <c r="C18" s="9" t="s">
        <v>48</v>
      </c>
      <c r="D18" s="7" t="s">
        <v>50</v>
      </c>
      <c r="E18" s="95"/>
      <c r="F18" s="96"/>
      <c r="G18" s="97"/>
      <c r="H18" s="11"/>
    </row>
    <row r="19" spans="2:8" x14ac:dyDescent="0.25">
      <c r="B19" s="9" t="s">
        <v>107</v>
      </c>
      <c r="C19" s="9" t="s">
        <v>48</v>
      </c>
      <c r="D19" s="7" t="s">
        <v>98</v>
      </c>
      <c r="E19" s="95"/>
      <c r="F19" s="96"/>
      <c r="G19" s="97"/>
      <c r="H19" s="11"/>
    </row>
    <row r="20" spans="2:8" x14ac:dyDescent="0.25">
      <c r="B20" s="9" t="s">
        <v>19</v>
      </c>
      <c r="C20" s="9" t="s">
        <v>48</v>
      </c>
      <c r="D20" s="7" t="s">
        <v>50</v>
      </c>
      <c r="E20" s="95"/>
      <c r="F20" s="96"/>
      <c r="G20" s="97"/>
      <c r="H20" s="11"/>
    </row>
    <row r="21" spans="2:8" s="8" customFormat="1" x14ac:dyDescent="0.25">
      <c r="B21" s="9" t="s">
        <v>20</v>
      </c>
      <c r="C21" s="9" t="s">
        <v>48</v>
      </c>
      <c r="D21" s="7" t="s">
        <v>50</v>
      </c>
      <c r="E21" s="95"/>
      <c r="F21" s="96"/>
      <c r="G21" s="97"/>
      <c r="H21" s="11"/>
    </row>
    <row r="22" spans="2:8" x14ac:dyDescent="0.25">
      <c r="B22" s="9" t="s">
        <v>22</v>
      </c>
      <c r="C22" s="9" t="s">
        <v>48</v>
      </c>
      <c r="D22" s="7" t="s">
        <v>50</v>
      </c>
      <c r="E22" s="95"/>
      <c r="F22" s="96"/>
      <c r="G22" s="97"/>
      <c r="H22" s="11"/>
    </row>
    <row r="23" spans="2:8" x14ac:dyDescent="0.25">
      <c r="B23" s="9" t="s">
        <v>23</v>
      </c>
      <c r="C23" s="9" t="s">
        <v>48</v>
      </c>
      <c r="D23" s="7" t="s">
        <v>50</v>
      </c>
      <c r="E23" s="95"/>
      <c r="F23" s="96"/>
      <c r="G23" s="97"/>
      <c r="H23" s="11"/>
    </row>
    <row r="24" spans="2:8" x14ac:dyDescent="0.25">
      <c r="B24" s="9" t="s">
        <v>24</v>
      </c>
      <c r="C24" s="9" t="s">
        <v>48</v>
      </c>
      <c r="D24" s="7" t="s">
        <v>50</v>
      </c>
      <c r="E24" s="95"/>
      <c r="F24" s="96"/>
      <c r="G24" s="97"/>
      <c r="H24" s="11"/>
    </row>
    <row r="25" spans="2:8" x14ac:dyDescent="0.25">
      <c r="B25" s="9" t="s">
        <v>25</v>
      </c>
      <c r="C25" s="9" t="s">
        <v>48</v>
      </c>
      <c r="D25" s="7" t="s">
        <v>50</v>
      </c>
      <c r="E25" s="95"/>
      <c r="F25" s="96"/>
      <c r="G25" s="97"/>
      <c r="H25" s="11"/>
    </row>
    <row r="26" spans="2:8" x14ac:dyDescent="0.25">
      <c r="B26" s="9" t="s">
        <v>26</v>
      </c>
      <c r="C26" s="9" t="s">
        <v>48</v>
      </c>
      <c r="D26" s="7" t="s">
        <v>50</v>
      </c>
      <c r="E26" s="95"/>
      <c r="F26" s="96"/>
      <c r="G26" s="97"/>
      <c r="H26" s="11"/>
    </row>
    <row r="27" spans="2:8" x14ac:dyDescent="0.25">
      <c r="B27" s="15" t="s">
        <v>27</v>
      </c>
      <c r="C27" s="15" t="s">
        <v>48</v>
      </c>
      <c r="D27" s="28" t="s">
        <v>50</v>
      </c>
      <c r="E27" s="95"/>
      <c r="F27" s="96"/>
      <c r="G27" s="97"/>
      <c r="H27" s="11"/>
    </row>
    <row r="28" spans="2:8" x14ac:dyDescent="0.25">
      <c r="B28" s="15" t="s">
        <v>28</v>
      </c>
      <c r="C28" s="15" t="s">
        <v>48</v>
      </c>
      <c r="D28" s="28" t="s">
        <v>50</v>
      </c>
      <c r="E28" s="95"/>
      <c r="F28" s="96"/>
      <c r="G28" s="97"/>
      <c r="H28" s="11"/>
    </row>
    <row r="29" spans="2:8" x14ac:dyDescent="0.25">
      <c r="B29" s="9" t="s">
        <v>21</v>
      </c>
      <c r="C29" s="9" t="s">
        <v>48</v>
      </c>
      <c r="D29" s="7" t="s">
        <v>50</v>
      </c>
      <c r="E29" s="95"/>
      <c r="F29" s="96"/>
      <c r="G29" s="97"/>
      <c r="H29" s="11"/>
    </row>
    <row r="30" spans="2:8" s="8" customFormat="1" x14ac:dyDescent="0.25">
      <c r="B30" s="9" t="s">
        <v>32</v>
      </c>
      <c r="C30" s="9" t="s">
        <v>48</v>
      </c>
      <c r="D30" s="7" t="s">
        <v>51</v>
      </c>
      <c r="E30" s="95"/>
      <c r="F30" s="96"/>
      <c r="G30" s="97"/>
      <c r="H30" s="11"/>
    </row>
    <row r="31" spans="2:8" s="8" customFormat="1" x14ac:dyDescent="0.25">
      <c r="B31" s="9" t="s">
        <v>38</v>
      </c>
      <c r="C31" s="9" t="s">
        <v>49</v>
      </c>
      <c r="D31" s="7" t="s">
        <v>50</v>
      </c>
      <c r="E31" s="95"/>
      <c r="F31" s="96"/>
      <c r="G31" s="97"/>
      <c r="H31" s="11"/>
    </row>
    <row r="32" spans="2:8" s="8" customFormat="1" x14ac:dyDescent="0.25">
      <c r="B32" s="9" t="s">
        <v>102</v>
      </c>
      <c r="C32" s="9" t="s">
        <v>49</v>
      </c>
      <c r="D32" s="7" t="s">
        <v>50</v>
      </c>
      <c r="E32" s="95"/>
      <c r="F32" s="96"/>
      <c r="G32" s="97"/>
      <c r="H32" s="11"/>
    </row>
    <row r="33" spans="2:8" s="8" customFormat="1" x14ac:dyDescent="0.25">
      <c r="B33" s="9" t="s">
        <v>39</v>
      </c>
      <c r="C33" s="9" t="s">
        <v>49</v>
      </c>
      <c r="D33" s="7" t="s">
        <v>50</v>
      </c>
      <c r="E33" s="95"/>
      <c r="F33" s="96"/>
      <c r="G33" s="97"/>
      <c r="H33" s="11"/>
    </row>
    <row r="34" spans="2:8" s="8" customFormat="1" x14ac:dyDescent="0.25">
      <c r="B34" s="9" t="s">
        <v>33</v>
      </c>
      <c r="C34" s="9" t="s">
        <v>49</v>
      </c>
      <c r="D34" s="7" t="s">
        <v>50</v>
      </c>
      <c r="E34" s="95"/>
      <c r="F34" s="96"/>
      <c r="G34" s="97"/>
      <c r="H34" s="11"/>
    </row>
    <row r="35" spans="2:8" s="8" customFormat="1" x14ac:dyDescent="0.25">
      <c r="B35" s="9" t="s">
        <v>34</v>
      </c>
      <c r="C35" s="9" t="s">
        <v>49</v>
      </c>
      <c r="D35" s="7" t="s">
        <v>50</v>
      </c>
      <c r="E35" s="95"/>
      <c r="F35" s="96"/>
      <c r="G35" s="97"/>
      <c r="H35" s="11"/>
    </row>
    <row r="36" spans="2:8" s="8" customFormat="1" x14ac:dyDescent="0.25">
      <c r="B36" s="9" t="s">
        <v>35</v>
      </c>
      <c r="C36" s="9" t="s">
        <v>49</v>
      </c>
      <c r="D36" s="7" t="s">
        <v>50</v>
      </c>
      <c r="E36" s="95"/>
      <c r="F36" s="96"/>
      <c r="G36" s="97"/>
      <c r="H36" s="11"/>
    </row>
    <row r="37" spans="2:8" s="8" customFormat="1" x14ac:dyDescent="0.25">
      <c r="B37" s="9" t="s">
        <v>36</v>
      </c>
      <c r="C37" s="9" t="s">
        <v>49</v>
      </c>
      <c r="D37" s="7" t="s">
        <v>50</v>
      </c>
      <c r="E37" s="95"/>
      <c r="F37" s="96"/>
      <c r="G37" s="97"/>
      <c r="H37" s="11"/>
    </row>
    <row r="38" spans="2:8" s="8" customFormat="1" x14ac:dyDescent="0.25">
      <c r="B38" s="13" t="s">
        <v>40</v>
      </c>
      <c r="C38" s="9" t="s">
        <v>49</v>
      </c>
      <c r="D38" s="7" t="s">
        <v>50</v>
      </c>
      <c r="E38" s="95"/>
      <c r="F38" s="96"/>
      <c r="G38" s="97"/>
      <c r="H38" s="11"/>
    </row>
    <row r="39" spans="2:8" s="8" customFormat="1" x14ac:dyDescent="0.25">
      <c r="B39" s="17" t="s">
        <v>37</v>
      </c>
      <c r="C39" s="9" t="s">
        <v>49</v>
      </c>
      <c r="D39" s="7" t="s">
        <v>50</v>
      </c>
      <c r="E39" s="95"/>
      <c r="F39" s="96"/>
      <c r="G39" s="97"/>
      <c r="H39" s="11"/>
    </row>
    <row r="40" spans="2:8" s="8" customFormat="1" x14ac:dyDescent="0.25">
      <c r="B40" s="9" t="s">
        <v>104</v>
      </c>
      <c r="C40" s="9" t="s">
        <v>49</v>
      </c>
      <c r="D40" s="7" t="s">
        <v>50</v>
      </c>
      <c r="E40" s="95"/>
      <c r="F40" s="96"/>
      <c r="G40" s="97"/>
      <c r="H40" s="11"/>
    </row>
    <row r="41" spans="2:8" s="8" customFormat="1" x14ac:dyDescent="0.25">
      <c r="B41" s="9" t="s">
        <v>103</v>
      </c>
      <c r="C41" s="9" t="s">
        <v>49</v>
      </c>
      <c r="D41" s="7" t="s">
        <v>50</v>
      </c>
      <c r="E41" s="95"/>
      <c r="F41" s="96"/>
      <c r="G41" s="97"/>
      <c r="H41" s="11"/>
    </row>
    <row r="42" spans="2:8" s="8" customFormat="1" x14ac:dyDescent="0.25">
      <c r="B42" s="9" t="s">
        <v>99</v>
      </c>
      <c r="C42" s="9" t="s">
        <v>49</v>
      </c>
      <c r="D42" s="7" t="s">
        <v>50</v>
      </c>
      <c r="E42" s="95"/>
      <c r="F42" s="96"/>
      <c r="G42" s="97"/>
      <c r="H42" s="11"/>
    </row>
    <row r="43" spans="2:8" s="8" customFormat="1" x14ac:dyDescent="0.25">
      <c r="B43" s="9" t="s">
        <v>101</v>
      </c>
      <c r="C43" s="9" t="s">
        <v>49</v>
      </c>
      <c r="D43" s="7" t="s">
        <v>98</v>
      </c>
      <c r="E43" s="95"/>
      <c r="F43" s="96"/>
      <c r="G43" s="97"/>
      <c r="H43" s="11"/>
    </row>
    <row r="44" spans="2:8" x14ac:dyDescent="0.25">
      <c r="B44" s="9" t="s">
        <v>41</v>
      </c>
      <c r="C44" s="9" t="s">
        <v>49</v>
      </c>
      <c r="D44" s="7" t="s">
        <v>50</v>
      </c>
      <c r="E44" s="95"/>
      <c r="F44" s="96"/>
      <c r="G44" s="97"/>
      <c r="H44" s="11"/>
    </row>
    <row r="45" spans="2:8" x14ac:dyDescent="0.25">
      <c r="B45" s="9" t="s">
        <v>42</v>
      </c>
      <c r="C45" s="9" t="s">
        <v>49</v>
      </c>
      <c r="D45" s="7" t="s">
        <v>50</v>
      </c>
      <c r="E45" s="95"/>
      <c r="F45" s="96"/>
      <c r="G45" s="97"/>
      <c r="H45" s="11"/>
    </row>
    <row r="46" spans="2:8" x14ac:dyDescent="0.25">
      <c r="B46" s="9" t="s">
        <v>43</v>
      </c>
      <c r="C46" s="9" t="s">
        <v>49</v>
      </c>
      <c r="D46" s="7" t="s">
        <v>50</v>
      </c>
      <c r="E46" s="95"/>
      <c r="F46" s="96"/>
      <c r="G46" s="97"/>
      <c r="H46" s="11"/>
    </row>
    <row r="47" spans="2:8" x14ac:dyDescent="0.25">
      <c r="B47" s="9" t="s">
        <v>44</v>
      </c>
      <c r="C47" s="9" t="s">
        <v>49</v>
      </c>
      <c r="D47" s="7" t="s">
        <v>50</v>
      </c>
      <c r="E47" s="95"/>
      <c r="F47" s="96"/>
      <c r="G47" s="97"/>
      <c r="H47" s="11"/>
    </row>
    <row r="48" spans="2:8" x14ac:dyDescent="0.25">
      <c r="B48" s="9" t="s">
        <v>45</v>
      </c>
      <c r="C48" s="9" t="s">
        <v>49</v>
      </c>
      <c r="D48" s="7" t="s">
        <v>50</v>
      </c>
      <c r="E48" s="95"/>
      <c r="F48" s="96"/>
      <c r="G48" s="97"/>
      <c r="H48" s="11"/>
    </row>
    <row r="49" spans="2:8" x14ac:dyDescent="0.25">
      <c r="B49" s="9" t="s">
        <v>46</v>
      </c>
      <c r="C49" s="9" t="s">
        <v>49</v>
      </c>
      <c r="D49" s="7" t="s">
        <v>50</v>
      </c>
      <c r="E49" s="95"/>
      <c r="F49" s="96"/>
      <c r="G49" s="97"/>
      <c r="H49" s="11"/>
    </row>
    <row r="50" spans="2:8" x14ac:dyDescent="0.25">
      <c r="B50" s="9" t="s">
        <v>65</v>
      </c>
      <c r="C50" s="9" t="s">
        <v>87</v>
      </c>
      <c r="D50" s="7" t="s">
        <v>88</v>
      </c>
      <c r="E50" s="95"/>
      <c r="F50" s="96"/>
      <c r="G50" s="97"/>
      <c r="H50" s="11"/>
    </row>
    <row r="51" spans="2:8" x14ac:dyDescent="0.25">
      <c r="B51" s="9" t="s">
        <v>66</v>
      </c>
      <c r="C51" s="9" t="s">
        <v>87</v>
      </c>
      <c r="D51" s="7" t="s">
        <v>89</v>
      </c>
      <c r="E51" s="95"/>
      <c r="F51" s="96"/>
      <c r="G51" s="97"/>
      <c r="H51" s="11"/>
    </row>
    <row r="52" spans="2:8" x14ac:dyDescent="0.25">
      <c r="B52" s="9" t="s">
        <v>67</v>
      </c>
      <c r="C52" s="9" t="s">
        <v>87</v>
      </c>
      <c r="D52" s="7" t="s">
        <v>89</v>
      </c>
      <c r="E52" s="95"/>
      <c r="F52" s="96"/>
      <c r="G52" s="97"/>
      <c r="H52" s="11"/>
    </row>
    <row r="53" spans="2:8" x14ac:dyDescent="0.25">
      <c r="B53" s="9" t="s">
        <v>68</v>
      </c>
      <c r="C53" s="9" t="s">
        <v>87</v>
      </c>
      <c r="D53" s="7" t="s">
        <v>89</v>
      </c>
      <c r="E53" s="95"/>
      <c r="F53" s="96"/>
      <c r="G53" s="97"/>
      <c r="H53" s="11"/>
    </row>
    <row r="54" spans="2:8" x14ac:dyDescent="0.25">
      <c r="B54" s="9" t="s">
        <v>69</v>
      </c>
      <c r="C54" s="9" t="s">
        <v>87</v>
      </c>
      <c r="D54" s="7" t="s">
        <v>89</v>
      </c>
      <c r="E54" s="95"/>
      <c r="F54" s="96"/>
      <c r="G54" s="97"/>
      <c r="H54" s="11"/>
    </row>
    <row r="55" spans="2:8" x14ac:dyDescent="0.25">
      <c r="B55" s="9" t="s">
        <v>70</v>
      </c>
      <c r="C55" s="9" t="s">
        <v>87</v>
      </c>
      <c r="D55" s="7" t="s">
        <v>89</v>
      </c>
      <c r="E55" s="95"/>
      <c r="F55" s="96"/>
      <c r="G55" s="97"/>
      <c r="H55" s="11"/>
    </row>
    <row r="56" spans="2:8" x14ac:dyDescent="0.25">
      <c r="B56" s="9" t="s">
        <v>71</v>
      </c>
      <c r="C56" s="9" t="s">
        <v>87</v>
      </c>
      <c r="D56" s="7" t="s">
        <v>89</v>
      </c>
      <c r="E56" s="95"/>
      <c r="F56" s="96"/>
      <c r="G56" s="97"/>
      <c r="H56" s="11"/>
    </row>
    <row r="57" spans="2:8" x14ac:dyDescent="0.25">
      <c r="B57" s="9" t="s">
        <v>72</v>
      </c>
      <c r="C57" s="9" t="s">
        <v>87</v>
      </c>
      <c r="D57" s="7" t="s">
        <v>89</v>
      </c>
      <c r="E57" s="95"/>
      <c r="F57" s="96"/>
      <c r="G57" s="97"/>
      <c r="H57" s="11"/>
    </row>
    <row r="58" spans="2:8" x14ac:dyDescent="0.25">
      <c r="B58" s="9" t="s">
        <v>73</v>
      </c>
      <c r="C58" s="9" t="s">
        <v>87</v>
      </c>
      <c r="D58" s="7" t="s">
        <v>89</v>
      </c>
      <c r="E58" s="95"/>
      <c r="F58" s="96"/>
      <c r="G58" s="97"/>
      <c r="H58" s="11"/>
    </row>
    <row r="59" spans="2:8" x14ac:dyDescent="0.25">
      <c r="B59" s="9" t="s">
        <v>74</v>
      </c>
      <c r="C59" s="9" t="s">
        <v>87</v>
      </c>
      <c r="D59" s="7" t="s">
        <v>89</v>
      </c>
      <c r="E59" s="95"/>
      <c r="F59" s="96"/>
      <c r="G59" s="97"/>
      <c r="H59" s="11"/>
    </row>
    <row r="60" spans="2:8" x14ac:dyDescent="0.25">
      <c r="B60" s="9" t="s">
        <v>75</v>
      </c>
      <c r="C60" s="9" t="s">
        <v>87</v>
      </c>
      <c r="D60" s="7" t="s">
        <v>89</v>
      </c>
      <c r="E60" s="95"/>
      <c r="F60" s="96"/>
      <c r="G60" s="97"/>
      <c r="H60" s="11"/>
    </row>
    <row r="61" spans="2:8" x14ac:dyDescent="0.25">
      <c r="B61" s="9" t="s">
        <v>76</v>
      </c>
      <c r="C61" s="9" t="s">
        <v>87</v>
      </c>
      <c r="D61" s="7" t="s">
        <v>89</v>
      </c>
      <c r="E61" s="95"/>
      <c r="F61" s="96"/>
      <c r="G61" s="97"/>
      <c r="H61" s="11"/>
    </row>
    <row r="62" spans="2:8" x14ac:dyDescent="0.25">
      <c r="B62" s="9" t="s">
        <v>77</v>
      </c>
      <c r="C62" s="9" t="s">
        <v>87</v>
      </c>
      <c r="D62" s="7" t="s">
        <v>88</v>
      </c>
      <c r="E62" s="95"/>
      <c r="F62" s="96"/>
      <c r="G62" s="97"/>
      <c r="H62" s="11"/>
    </row>
    <row r="63" spans="2:8" x14ac:dyDescent="0.25">
      <c r="B63" s="9" t="s">
        <v>78</v>
      </c>
      <c r="C63" s="9" t="s">
        <v>87</v>
      </c>
      <c r="D63" s="7" t="s">
        <v>89</v>
      </c>
      <c r="E63" s="95"/>
      <c r="F63" s="96"/>
      <c r="G63" s="97"/>
      <c r="H63" s="11"/>
    </row>
    <row r="64" spans="2:8" x14ac:dyDescent="0.25">
      <c r="B64" s="9" t="s">
        <v>79</v>
      </c>
      <c r="C64" s="9" t="s">
        <v>87</v>
      </c>
      <c r="D64" s="7" t="s">
        <v>90</v>
      </c>
      <c r="E64" s="95"/>
      <c r="F64" s="96"/>
      <c r="G64" s="97"/>
      <c r="H64" s="11"/>
    </row>
    <row r="65" spans="2:8" x14ac:dyDescent="0.25">
      <c r="B65" s="9" t="s">
        <v>80</v>
      </c>
      <c r="C65" s="9" t="s">
        <v>87</v>
      </c>
      <c r="D65" s="7" t="s">
        <v>91</v>
      </c>
      <c r="E65" s="95"/>
      <c r="F65" s="96"/>
      <c r="G65" s="97"/>
      <c r="H65" s="11"/>
    </row>
    <row r="66" spans="2:8" x14ac:dyDescent="0.25">
      <c r="B66" s="9" t="s">
        <v>81</v>
      </c>
      <c r="C66" s="9" t="s">
        <v>87</v>
      </c>
      <c r="D66" s="7" t="s">
        <v>92</v>
      </c>
      <c r="E66" s="95"/>
      <c r="F66" s="96"/>
      <c r="G66" s="97"/>
      <c r="H66" s="11"/>
    </row>
    <row r="67" spans="2:8" x14ac:dyDescent="0.25">
      <c r="B67" s="9" t="s">
        <v>82</v>
      </c>
      <c r="C67" s="9" t="s">
        <v>87</v>
      </c>
      <c r="D67" s="7" t="s">
        <v>93</v>
      </c>
      <c r="E67" s="95"/>
      <c r="F67" s="96"/>
      <c r="G67" s="97"/>
      <c r="H67" s="11"/>
    </row>
    <row r="68" spans="2:8" x14ac:dyDescent="0.25">
      <c r="B68" s="9" t="s">
        <v>83</v>
      </c>
      <c r="C68" s="9" t="s">
        <v>87</v>
      </c>
      <c r="D68" s="7" t="s">
        <v>94</v>
      </c>
      <c r="E68" s="95"/>
      <c r="F68" s="96"/>
      <c r="G68" s="97"/>
      <c r="H68" s="11"/>
    </row>
    <row r="69" spans="2:8" x14ac:dyDescent="0.25">
      <c r="B69" s="9" t="s">
        <v>84</v>
      </c>
      <c r="C69" s="9" t="s">
        <v>87</v>
      </c>
      <c r="D69" s="7" t="s">
        <v>95</v>
      </c>
      <c r="E69" s="95"/>
      <c r="F69" s="96"/>
      <c r="G69" s="97"/>
      <c r="H69" s="11"/>
    </row>
    <row r="70" spans="2:8" x14ac:dyDescent="0.25">
      <c r="B70" s="9" t="s">
        <v>85</v>
      </c>
      <c r="C70" s="9" t="s">
        <v>87</v>
      </c>
      <c r="D70" s="7" t="s">
        <v>96</v>
      </c>
      <c r="E70" s="95"/>
      <c r="F70" s="96"/>
      <c r="G70" s="97"/>
      <c r="H70" s="11"/>
    </row>
    <row r="71" spans="2:8" x14ac:dyDescent="0.25">
      <c r="B71" s="9" t="s">
        <v>86</v>
      </c>
      <c r="C71" s="9" t="s">
        <v>87</v>
      </c>
      <c r="D71" s="7" t="s">
        <v>97</v>
      </c>
      <c r="E71" s="95"/>
      <c r="F71" s="96"/>
      <c r="G71" s="97"/>
      <c r="H71" s="11"/>
    </row>
    <row r="72" spans="2:8" x14ac:dyDescent="0.25">
      <c r="B72" s="9" t="s">
        <v>106</v>
      </c>
      <c r="C72" s="9" t="s">
        <v>110</v>
      </c>
      <c r="D72" s="7" t="s">
        <v>50</v>
      </c>
      <c r="E72" s="95"/>
      <c r="F72" s="96"/>
      <c r="G72" s="97"/>
      <c r="H72" s="11"/>
    </row>
    <row r="73" spans="2:8" ht="15.75" thickBot="1" x14ac:dyDescent="0.3">
      <c r="B73" s="34" t="s">
        <v>105</v>
      </c>
      <c r="C73" s="34" t="s">
        <v>110</v>
      </c>
      <c r="D73" s="35" t="s">
        <v>50</v>
      </c>
      <c r="E73" s="98"/>
      <c r="F73" s="99"/>
      <c r="G73" s="100"/>
      <c r="H73" s="30"/>
    </row>
  </sheetData>
  <mergeCells count="69">
    <mergeCell ref="E64:G64"/>
    <mergeCell ref="E65:G65"/>
    <mergeCell ref="E59:G59"/>
    <mergeCell ref="E60:G60"/>
    <mergeCell ref="E61:G61"/>
    <mergeCell ref="E62:G62"/>
    <mergeCell ref="E63:G63"/>
    <mergeCell ref="E54:G54"/>
    <mergeCell ref="E55:G55"/>
    <mergeCell ref="E56:G56"/>
    <mergeCell ref="E57:G57"/>
    <mergeCell ref="E58:G58"/>
    <mergeCell ref="E49:G49"/>
    <mergeCell ref="E50:G50"/>
    <mergeCell ref="E51:G51"/>
    <mergeCell ref="E52:G52"/>
    <mergeCell ref="E53:G53"/>
    <mergeCell ref="E44:G44"/>
    <mergeCell ref="E45:G45"/>
    <mergeCell ref="E46:G46"/>
    <mergeCell ref="E47:G47"/>
    <mergeCell ref="E48:G48"/>
    <mergeCell ref="E42:G42"/>
    <mergeCell ref="E43:G43"/>
    <mergeCell ref="G1:H4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24:G24"/>
    <mergeCell ref="E25:G25"/>
    <mergeCell ref="E26:G26"/>
    <mergeCell ref="E27:G27"/>
    <mergeCell ref="E28:G28"/>
    <mergeCell ref="E29:G29"/>
    <mergeCell ref="E23:G23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11:G11"/>
    <mergeCell ref="E6:G6"/>
    <mergeCell ref="E7:G7"/>
    <mergeCell ref="E8:G8"/>
    <mergeCell ref="E9:G9"/>
    <mergeCell ref="E10:G10"/>
    <mergeCell ref="E71:G71"/>
    <mergeCell ref="E72:G72"/>
    <mergeCell ref="E73:G73"/>
    <mergeCell ref="E66:G66"/>
    <mergeCell ref="E67:G67"/>
    <mergeCell ref="E68:G68"/>
    <mergeCell ref="E69:G69"/>
    <mergeCell ref="E70:G70"/>
  </mergeCells>
  <pageMargins left="0.11811023622047245" right="0.11811023622047245" top="0.35433070866141736" bottom="0.35433070866141736" header="0" footer="0"/>
  <pageSetup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7879-7B66-4439-959E-7868070F3E42}">
  <dimension ref="C3:C4"/>
  <sheetViews>
    <sheetView showGridLines="0" workbookViewId="0">
      <selection activeCell="C4" sqref="C4"/>
    </sheetView>
  </sheetViews>
  <sheetFormatPr baseColWidth="10" defaultRowHeight="15" x14ac:dyDescent="0.25"/>
  <cols>
    <col min="3" max="3" width="23.85546875" customWidth="1"/>
  </cols>
  <sheetData>
    <row r="3" spans="3:3" x14ac:dyDescent="0.25">
      <c r="C3" t="s">
        <v>9</v>
      </c>
    </row>
    <row r="4" spans="3:3" x14ac:dyDescent="0.25">
      <c r="C4" s="18">
        <f>1-4/67</f>
        <v>0.94029850746268662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Recepcion de Producto</vt:lpstr>
      <vt:lpstr>Salida de Producto</vt:lpstr>
      <vt:lpstr>Balance de Inventarios</vt:lpstr>
      <vt:lpstr>Inventario de Profit</vt:lpstr>
      <vt:lpstr>Hoja1</vt:lpstr>
      <vt:lpstr>Formato de inventario ciclico</vt:lpstr>
      <vt:lpstr>Indicador </vt:lpstr>
      <vt:lpstr>'Balance de Inventarios'!Área_de_impresión</vt:lpstr>
      <vt:lpstr>'Balance de Inventarios'!Títulos_a_imprimir</vt:lpstr>
      <vt:lpstr>'Formato de inventario ciclico'!Títulos_a_imprimir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Orta</dc:creator>
  <cp:lastModifiedBy>Nesrely Rodríguez</cp:lastModifiedBy>
  <cp:lastPrinted>2023-05-31T16:53:48Z</cp:lastPrinted>
  <dcterms:created xsi:type="dcterms:W3CDTF">2019-09-11T14:34:39Z</dcterms:created>
  <dcterms:modified xsi:type="dcterms:W3CDTF">2023-07-14T12:51:23Z</dcterms:modified>
</cp:coreProperties>
</file>