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codeName="ThisWorkbook"/>
  <mc:AlternateContent xmlns:mc="http://schemas.openxmlformats.org/markup-compatibility/2006">
    <mc:Choice Requires="x15">
      <x15ac:absPath xmlns:x15ac="http://schemas.microsoft.com/office/spreadsheetml/2010/11/ac" url="O:\Inventarios 2023\Fluidos\Almacén Planta\"/>
    </mc:Choice>
  </mc:AlternateContent>
  <xr:revisionPtr revIDLastSave="0" documentId="13_ncr:1_{6BA24233-102D-4C07-86D7-C00AB1452FB8}" xr6:coauthVersionLast="36" xr6:coauthVersionMax="36" xr10:uidLastSave="{00000000-0000-0000-0000-000000000000}"/>
  <bookViews>
    <workbookView xWindow="0" yWindow="0" windowWidth="20496" windowHeight="7548" activeTab="1" xr2:uid="{00000000-000D-0000-FFFF-FFFF00000000}"/>
  </bookViews>
  <sheets>
    <sheet name="Recepcion de Producto" sheetId="1" r:id="rId1"/>
    <sheet name="Salida de Producto" sheetId="2" r:id="rId2"/>
    <sheet name="Balance de Inventarios" sheetId="3" r:id="rId3"/>
    <sheet name="Inventario Profit" sheetId="5" r:id="rId4"/>
    <sheet name="MAL ESTADO" sheetId="7" r:id="rId5"/>
    <sheet name="Hoja1" sheetId="6" r:id="rId6"/>
  </sheets>
  <definedNames>
    <definedName name="_xlnm._FilterDatabase" localSheetId="2" hidden="1">'Balance de Inventarios'!$B$3:$W$29</definedName>
    <definedName name="_xlnm._FilterDatabase" localSheetId="5" hidden="1">Hoja1!$A$1:$E$109</definedName>
    <definedName name="_xlnm._FilterDatabase" localSheetId="3" hidden="1">'Inventario Profit'!$A$1:$D$314</definedName>
    <definedName name="_xlnm._FilterDatabase" localSheetId="4" hidden="1">'MAL ESTADO'!$B$3:$G$27</definedName>
    <definedName name="_xlnm._FilterDatabase" localSheetId="0" hidden="1">'Recepcion de Producto'!$C$3:$HU$29</definedName>
    <definedName name="_xlnm._FilterDatabase" localSheetId="1" hidden="1">'Salida de Producto'!$B$3:$UM$29</definedName>
    <definedName name="_xlnm.Print_Area" localSheetId="2">'Balance de Inventarios'!$B$3:$D$26</definedName>
    <definedName name="_xlnm.Print_Area" localSheetId="3">'Inventario Profit'!#REF!</definedName>
    <definedName name="_xlnm.Print_Area" localSheetId="4">'MAL ESTADO'!$B$2:$G$18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P24" i="1" l="1"/>
  <c r="EF26" i="2" l="1"/>
  <c r="EF24" i="2"/>
  <c r="EF19" i="2"/>
  <c r="EF20" i="2"/>
  <c r="ED20" i="2"/>
  <c r="T2" i="3"/>
  <c r="N17" i="3" l="1"/>
  <c r="O17" i="3"/>
  <c r="O21" i="3"/>
  <c r="H8" i="3" l="1"/>
  <c r="L19" i="3" l="1"/>
  <c r="O13" i="3" l="1"/>
  <c r="O15" i="3"/>
  <c r="Q9" i="3"/>
  <c r="J27" i="3"/>
  <c r="N15" i="3"/>
  <c r="Q4" i="3"/>
  <c r="J29" i="3"/>
  <c r="N26" i="3"/>
  <c r="N25" i="3"/>
  <c r="M24" i="3"/>
  <c r="O23" i="3"/>
  <c r="N21" i="3"/>
  <c r="O20" i="3"/>
  <c r="L20" i="3"/>
  <c r="M20" i="3"/>
  <c r="O19" i="3"/>
  <c r="O16" i="3"/>
  <c r="N16" i="3"/>
  <c r="O14" i="3"/>
  <c r="N14" i="3"/>
  <c r="N13" i="3"/>
  <c r="J4" i="3"/>
  <c r="BO20" i="1" l="1"/>
  <c r="DZ23" i="2" l="1"/>
  <c r="DY23" i="2"/>
  <c r="R5" i="3" l="1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4" i="3"/>
  <c r="H29" i="3" l="1"/>
  <c r="BK19" i="1" l="1"/>
  <c r="DU19" i="2" l="1"/>
  <c r="C34" i="3" l="1"/>
  <c r="P5" i="3" l="1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4" i="3"/>
  <c r="UM9" i="2" l="1"/>
  <c r="DP19" i="2" l="1"/>
  <c r="DL23" i="2" l="1"/>
  <c r="DH24" i="2" l="1"/>
  <c r="DH21" i="2"/>
  <c r="DH20" i="2"/>
  <c r="DH17" i="2"/>
  <c r="DH19" i="2"/>
  <c r="BD21" i="1" l="1"/>
  <c r="S21" i="3" l="1"/>
  <c r="S26" i="3"/>
  <c r="S25" i="3"/>
  <c r="V25" i="3"/>
  <c r="HU25" i="1"/>
  <c r="E25" i="3" s="1"/>
  <c r="UM25" i="2"/>
  <c r="F25" i="3" s="1"/>
  <c r="V21" i="3" l="1"/>
  <c r="V26" i="3"/>
  <c r="G25" i="3"/>
  <c r="T25" i="3" s="1"/>
  <c r="HU22" i="1" l="1"/>
  <c r="E22" i="3" s="1"/>
  <c r="HU19" i="1"/>
  <c r="E19" i="3" s="1"/>
  <c r="HU24" i="1"/>
  <c r="E24" i="3" s="1"/>
  <c r="HU23" i="1"/>
  <c r="E23" i="3" s="1"/>
  <c r="HU18" i="1"/>
  <c r="E18" i="3" s="1"/>
  <c r="HU8" i="1"/>
  <c r="E8" i="3" s="1"/>
  <c r="HU6" i="1"/>
  <c r="E6" i="3" s="1"/>
  <c r="HU7" i="1"/>
  <c r="E7" i="3" s="1"/>
  <c r="HU5" i="1"/>
  <c r="E5" i="3" s="1"/>
  <c r="HU29" i="1"/>
  <c r="E29" i="3" s="1"/>
  <c r="HU27" i="1"/>
  <c r="E27" i="3" s="1"/>
  <c r="HU28" i="1"/>
  <c r="E28" i="3" s="1"/>
  <c r="HU11" i="1"/>
  <c r="E11" i="3" s="1"/>
  <c r="HU12" i="1"/>
  <c r="E12" i="3" s="1"/>
  <c r="HU10" i="1"/>
  <c r="E10" i="3" s="1"/>
  <c r="HU4" i="1"/>
  <c r="HU9" i="1"/>
  <c r="E9" i="3" s="1"/>
  <c r="HU13" i="1"/>
  <c r="E13" i="3" s="1"/>
  <c r="HU15" i="1"/>
  <c r="E15" i="3" s="1"/>
  <c r="HU14" i="1"/>
  <c r="E14" i="3" s="1"/>
  <c r="HU16" i="1"/>
  <c r="E16" i="3" s="1"/>
  <c r="HU17" i="1"/>
  <c r="E17" i="3" s="1"/>
  <c r="HU21" i="1"/>
  <c r="E21" i="3" s="1"/>
  <c r="HU26" i="1"/>
  <c r="E26" i="3" s="1"/>
  <c r="HU20" i="1"/>
  <c r="E20" i="3" s="1"/>
  <c r="DA24" i="2" l="1"/>
  <c r="DA20" i="2"/>
  <c r="DA19" i="2"/>
  <c r="E4" i="3" l="1"/>
  <c r="S17" i="3" l="1"/>
  <c r="V17" i="3" l="1"/>
  <c r="AZ20" i="1"/>
  <c r="CS23" i="2" l="1"/>
  <c r="CS20" i="2"/>
  <c r="CS19" i="2"/>
  <c r="CQ19" i="2" l="1"/>
  <c r="V9" i="3" l="1"/>
  <c r="CM20" i="2" l="1"/>
  <c r="CM19" i="2"/>
  <c r="CL20" i="2" l="1"/>
  <c r="CL19" i="2"/>
  <c r="CL15" i="2"/>
  <c r="CH19" i="2" l="1"/>
  <c r="AR20" i="1" l="1"/>
  <c r="CF19" i="2" l="1"/>
  <c r="CF24" i="2"/>
  <c r="CA20" i="2" l="1"/>
  <c r="CA19" i="2" l="1"/>
  <c r="BW20" i="2" l="1"/>
  <c r="BV13" i="2" l="1"/>
  <c r="BV20" i="2"/>
  <c r="BV24" i="2"/>
  <c r="AN20" i="1" l="1"/>
  <c r="AN19" i="1"/>
  <c r="BQ4" i="2" l="1"/>
  <c r="BQ7" i="2"/>
  <c r="BP24" i="2" l="1"/>
  <c r="BN24" i="2" l="1"/>
  <c r="BN20" i="2"/>
  <c r="BN19" i="2"/>
  <c r="AE19" i="1"/>
  <c r="BJ19" i="2" l="1"/>
  <c r="BJ12" i="2"/>
  <c r="BI19" i="2" l="1"/>
  <c r="BH20" i="2" l="1"/>
  <c r="BH19" i="2"/>
  <c r="BC24" i="2" l="1"/>
  <c r="BC20" i="2"/>
  <c r="BC19" i="2"/>
  <c r="BC23" i="2" l="1"/>
  <c r="BC14" i="2"/>
  <c r="W19" i="1" l="1"/>
  <c r="UM11" i="2" l="1"/>
  <c r="F11" i="3" s="1"/>
  <c r="UM12" i="2"/>
  <c r="F12" i="3" s="1"/>
  <c r="UM10" i="2"/>
  <c r="F10" i="3" s="1"/>
  <c r="UM4" i="2"/>
  <c r="F4" i="3" s="1"/>
  <c r="F9" i="3"/>
  <c r="UM13" i="2"/>
  <c r="F13" i="3" s="1"/>
  <c r="UM15" i="2"/>
  <c r="F15" i="3" s="1"/>
  <c r="UM14" i="2"/>
  <c r="F14" i="3" s="1"/>
  <c r="UM16" i="2"/>
  <c r="F16" i="3" s="1"/>
  <c r="UM17" i="2"/>
  <c r="F17" i="3" s="1"/>
  <c r="UM21" i="2"/>
  <c r="F21" i="3" s="1"/>
  <c r="UM26" i="2"/>
  <c r="F26" i="3" s="1"/>
  <c r="UM6" i="2"/>
  <c r="F6" i="3" s="1"/>
  <c r="UM7" i="2"/>
  <c r="F7" i="3" s="1"/>
  <c r="UM5" i="2"/>
  <c r="F5" i="3" s="1"/>
  <c r="UM29" i="2"/>
  <c r="F29" i="3" s="1"/>
  <c r="UM27" i="2"/>
  <c r="F27" i="3" s="1"/>
  <c r="UM28" i="2"/>
  <c r="F28" i="3" s="1"/>
  <c r="G26" i="3" l="1"/>
  <c r="T26" i="3" s="1"/>
  <c r="G21" i="3"/>
  <c r="T21" i="3" s="1"/>
  <c r="G17" i="3"/>
  <c r="T17" i="3" s="1"/>
  <c r="S11" i="3"/>
  <c r="V11" i="3" l="1"/>
  <c r="G11" i="3"/>
  <c r="T11" i="3" s="1"/>
  <c r="AS20" i="2"/>
  <c r="AS19" i="2"/>
  <c r="V20" i="3" l="1"/>
  <c r="F4" i="1" l="1"/>
  <c r="AP23" i="2" l="1"/>
  <c r="AP24" i="2"/>
  <c r="AP20" i="2"/>
  <c r="AP19" i="2"/>
  <c r="AO24" i="2" l="1"/>
  <c r="AO20" i="2"/>
  <c r="AO19" i="2"/>
  <c r="AO13" i="2"/>
  <c r="S20" i="1" l="1"/>
  <c r="V29" i="3" l="1"/>
  <c r="R23" i="1" l="1"/>
  <c r="Q19" i="1" l="1"/>
  <c r="O14" i="1" l="1"/>
  <c r="O13" i="1"/>
  <c r="AH24" i="2" l="1"/>
  <c r="AH19" i="2"/>
  <c r="N8" i="1" l="1"/>
  <c r="N6" i="1"/>
  <c r="N27" i="1" l="1"/>
  <c r="L24" i="1" l="1"/>
  <c r="AA19" i="2" l="1"/>
  <c r="Z19" i="2" l="1"/>
  <c r="Z20" i="2"/>
  <c r="G11" i="7" l="1"/>
  <c r="G12" i="7"/>
  <c r="G13" i="7"/>
  <c r="G14" i="7"/>
  <c r="G15" i="7"/>
  <c r="G16" i="7"/>
  <c r="G17" i="7"/>
  <c r="G18" i="7"/>
  <c r="G10" i="7"/>
  <c r="F15" i="7"/>
  <c r="F14" i="7"/>
  <c r="F11" i="7"/>
  <c r="F10" i="7"/>
  <c r="E10" i="7"/>
  <c r="E11" i="7"/>
  <c r="C33" i="7"/>
  <c r="E18" i="7"/>
  <c r="E15" i="7"/>
  <c r="E14" i="7"/>
  <c r="S22" i="3" l="1"/>
  <c r="S19" i="3"/>
  <c r="S24" i="3"/>
  <c r="S23" i="3"/>
  <c r="S18" i="3"/>
  <c r="S8" i="3"/>
  <c r="S6" i="3"/>
  <c r="S7" i="3"/>
  <c r="S5" i="3"/>
  <c r="S29" i="3"/>
  <c r="S27" i="3"/>
  <c r="S28" i="3"/>
  <c r="S12" i="3"/>
  <c r="S10" i="3"/>
  <c r="S4" i="3"/>
  <c r="S9" i="3"/>
  <c r="S13" i="3"/>
  <c r="S15" i="3"/>
  <c r="S14" i="3"/>
  <c r="S16" i="3"/>
  <c r="S20" i="3"/>
  <c r="T23" i="2"/>
  <c r="I19" i="1" l="1"/>
  <c r="U15" i="2" l="1"/>
  <c r="U23" i="2"/>
  <c r="S10" i="2" l="1"/>
  <c r="S23" i="2"/>
  <c r="H15" i="1" l="1"/>
  <c r="H12" i="1"/>
  <c r="H27" i="1"/>
  <c r="H29" i="1"/>
  <c r="H6" i="1"/>
  <c r="H8" i="1"/>
  <c r="G23" i="1" l="1"/>
  <c r="V23" i="3" l="1"/>
  <c r="V24" i="3"/>
  <c r="V22" i="3"/>
  <c r="UM24" i="2"/>
  <c r="F24" i="3" s="1"/>
  <c r="UM23" i="2"/>
  <c r="F23" i="3" s="1"/>
  <c r="UM22" i="2"/>
  <c r="F22" i="3" s="1"/>
  <c r="G23" i="3" l="1"/>
  <c r="T23" i="3" s="1"/>
  <c r="G22" i="3"/>
  <c r="T22" i="3" s="1"/>
  <c r="K24" i="2"/>
  <c r="K8" i="2"/>
  <c r="E19" i="1"/>
  <c r="K4" i="2" l="1"/>
  <c r="K10" i="2"/>
  <c r="K12" i="2"/>
  <c r="K29" i="2"/>
  <c r="K19" i="2"/>
  <c r="K20" i="2"/>
  <c r="K14" i="2"/>
  <c r="K13" i="2"/>
  <c r="E19" i="2" l="1"/>
  <c r="E20" i="2"/>
  <c r="F14" i="1" l="1"/>
  <c r="F13" i="1"/>
  <c r="F10" i="1"/>
  <c r="F12" i="1"/>
  <c r="F29" i="1"/>
  <c r="F6" i="1"/>
  <c r="F8" i="1"/>
  <c r="F24" i="1"/>
  <c r="F27" i="1"/>
  <c r="V7" i="3" l="1"/>
  <c r="V16" i="3" l="1"/>
  <c r="V14" i="3"/>
  <c r="V5" i="3"/>
  <c r="V19" i="3" l="1"/>
  <c r="V6" i="3"/>
  <c r="V10" i="3"/>
  <c r="V15" i="3" l="1"/>
  <c r="V13" i="3"/>
  <c r="V4" i="3"/>
  <c r="V18" i="3"/>
  <c r="UM19" i="2" l="1"/>
  <c r="F19" i="3" s="1"/>
  <c r="UM20" i="2"/>
  <c r="F20" i="3" s="1"/>
  <c r="G20" i="3" l="1"/>
  <c r="V12" i="3"/>
  <c r="UM18" i="2" l="1"/>
  <c r="F18" i="3" s="1"/>
  <c r="G18" i="3" l="1"/>
  <c r="G24" i="3" l="1"/>
  <c r="G10" i="3"/>
  <c r="G29" i="3"/>
  <c r="G6" i="3"/>
  <c r="G9" i="3"/>
  <c r="V28" i="3" l="1"/>
  <c r="G28" i="3" l="1"/>
  <c r="V8" i="3"/>
  <c r="G12" i="3" l="1"/>
  <c r="T12" i="3" s="1"/>
  <c r="V27" i="3"/>
  <c r="G27" i="3" l="1"/>
  <c r="T27" i="3" s="1"/>
  <c r="G4" i="3" l="1"/>
  <c r="T10" i="3" l="1"/>
  <c r="T24" i="3" l="1"/>
  <c r="T6" i="3" l="1"/>
  <c r="T20" i="3"/>
  <c r="T28" i="3" l="1"/>
  <c r="T29" i="3"/>
  <c r="UM8" i="2" l="1"/>
  <c r="F8" i="3" s="1"/>
  <c r="G13" i="3" l="1"/>
  <c r="G8" i="3"/>
  <c r="G16" i="3" l="1"/>
  <c r="G14" i="3"/>
  <c r="T13" i="3"/>
  <c r="T9" i="3" l="1"/>
  <c r="T14" i="3" l="1"/>
  <c r="T16" i="3"/>
  <c r="G15" i="3" l="1"/>
  <c r="G5" i="3" l="1"/>
  <c r="G19" i="3" l="1"/>
  <c r="T19" i="3" s="1"/>
  <c r="T18" i="3"/>
  <c r="T8" i="3"/>
  <c r="T5" i="3" l="1"/>
  <c r="UM3" i="2" l="1"/>
  <c r="T15" i="3" l="1"/>
  <c r="HU3" i="1"/>
  <c r="G7" i="3" l="1"/>
  <c r="T7" i="3" s="1"/>
  <c r="T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Nesrely Rodríguez</author>
    <author>Duglas Ledezma</author>
    <author>Cesar Alvarado</author>
  </authors>
  <commentList>
    <comment ref="V7" authorId="0" shapeId="0" xr:uid="{34EAFC3A-0AED-4228-B9E6-FEF077EB6590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TRASEGADO DE DESENGRASANTES DE PRESENTACIÓN DE LITRO Y GALON A TAMBORES</t>
        </r>
      </text>
    </comment>
    <comment ref="AX9" authorId="1" shapeId="0" xr:uid="{F6D1E2A6-473A-4135-B9CC-F7DDF04F34CC}">
      <text>
        <r>
          <rPr>
            <b/>
            <sz val="9"/>
            <color indexed="81"/>
            <rFont val="Tahoma"/>
            <family val="2"/>
          </rPr>
          <t xml:space="preserve">Duglas Ledezma
5 PAQUETES + 1 PAQUETE IMCOMPLETO DEVOLUCION DE DILCOVICA 14-3-23
</t>
        </r>
      </text>
    </comment>
    <comment ref="V11" authorId="0" shapeId="0" xr:uid="{ABC1089B-6E0A-4300-B809-D9119F595C00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TRASEGADO DE FORMULA MARINA DE PRESENTACIÓN DE LITRO Y GALON A TAMBORES</t>
        </r>
      </text>
    </comment>
    <comment ref="M20" authorId="0" shapeId="0" xr:uid="{03BD9C38-8559-4F5D-B826-6BAE369BBDB4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DEVOLUCION DEL CLIENTE, MAL ESTADO DE DILCOVICA CONCESIONARIO</t>
        </r>
      </text>
    </comment>
    <comment ref="BP20" authorId="0" shapeId="0" xr:uid="{E8B8F5AC-8E4E-4211-85B8-0EB601B7BE47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traslado desde fulgor</t>
        </r>
      </text>
    </comment>
    <comment ref="BE23" authorId="1" shapeId="0" xr:uid="{5EAA335E-514B-47A4-95BD-8FC6BC482B5E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DEVOLUCION DE DISBATTERY LARA 1 TAMBOR FECHA 9-05-23
</t>
        </r>
      </text>
    </comment>
    <comment ref="BH23" authorId="1" shapeId="0" xr:uid="{D74F0C7D-65D8-49AE-B537-F17AE4B2B733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Devolucion de dilcovica 2 tambores 25-05-23
</t>
        </r>
      </text>
    </comment>
    <comment ref="BL23" authorId="2" shapeId="0" xr:uid="{5FBE7D4E-0CC4-48BB-BC97-8AAD5A324FC5}">
      <text>
        <r>
          <rPr>
            <b/>
            <sz val="9"/>
            <color indexed="81"/>
            <rFont val="Tahoma"/>
            <family val="2"/>
          </rPr>
          <t>Cesar Alvarado:</t>
        </r>
        <r>
          <rPr>
            <sz val="9"/>
            <color indexed="81"/>
            <rFont val="Tahoma"/>
            <family val="2"/>
          </rPr>
          <t xml:space="preserve">
devolucion de lubricantes y servicios del lago</t>
        </r>
      </text>
    </comment>
    <comment ref="BP23" authorId="0" shapeId="0" xr:uid="{1C8EA016-9A02-41FB-B958-8C4CEF49A5CD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3 devolución de dilcovica 13-07-2023
</t>
        </r>
      </text>
    </comment>
    <comment ref="BP24" authorId="0" shapeId="0" xr:uid="{842EDFD7-844F-4C64-9DB5-90299347365D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traslado desde fulgor</t>
        </r>
      </text>
    </comment>
    <comment ref="V28" authorId="0" shapeId="0" xr:uid="{3B7FB3F9-25AB-4A57-B631-5E7E5DCF23FD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TRASEGADO DE SHAMPOO DE PRESENTACIÓN DE LITRO Y GALON A TAMBORES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Nesrely Rodríguez</author>
    <author>Duglas Ledezma</author>
    <author>Cesar Alvarado</author>
  </authors>
  <commentList>
    <comment ref="AU6" authorId="0" shapeId="0" xr:uid="{F8D90971-7EAC-484A-ABEC-9DB31272D7F1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TRASEGADO DE DESENGRASANTES DE PRESENTACIÓN DE LITRO Y GALON A TAMBORES</t>
        </r>
      </text>
    </comment>
    <comment ref="EF6" authorId="0" shapeId="0" xr:uid="{17EA0BB3-16D6-4C43-BBD6-566653DEC398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go park</t>
        </r>
      </text>
    </comment>
    <comment ref="AU8" authorId="0" shapeId="0" xr:uid="{5BE646AF-2B54-4D53-96DF-D1A0A377336A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Nesrely Rodríguez:
TRASEGADO DE DESENGRASANTES DE PRESENTACIÓN DE LITRO Y GALON A TAMBORES</t>
        </r>
      </text>
    </comment>
    <comment ref="AX9" authorId="1" shapeId="0" xr:uid="{B9D76152-DD22-47FC-8F3F-3C109129CC7A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Un bulto entregado a javier salas por autorizacion de nelson azocar</t>
        </r>
      </text>
    </comment>
    <comment ref="CT9" authorId="0" shapeId="0" xr:uid="{2B0B8911-BF41-4EBA-921F-4C0FD18910E7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Entregado a Maria Duran con autorización de Nelson Azocar</t>
        </r>
      </text>
    </comment>
    <comment ref="EC9" authorId="0" shapeId="0" xr:uid="{E62F890E-B3AD-4A1B-ABFC-48FF6976C34D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go park</t>
        </r>
      </text>
    </comment>
    <comment ref="EF9" authorId="0" shapeId="0" xr:uid="{A29D2CE3-A9BA-4B94-A6AE-D6763EDE2945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go park</t>
        </r>
      </text>
    </comment>
    <comment ref="AU10" authorId="0" shapeId="0" xr:uid="{428EAB09-9086-46F6-A081-889D96991B0A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TRASEGADO DE FORMULA MARINA DE PRESENTACIÓN DE LITRO Y GALON A TAMBORES</t>
        </r>
      </text>
    </comment>
    <comment ref="AU12" authorId="0" shapeId="0" xr:uid="{DE63684B-A83C-457C-99D9-642CDA07937C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TRASEGADO DE FORMULA MARINA DE PRESENTACIÓN DE LITRO Y GALON A TAMBORES</t>
        </r>
      </text>
    </comment>
    <comment ref="EF12" authorId="0" shapeId="0" xr:uid="{050B7ED1-BE72-4CEB-9C34-CF1F1708F587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go park</t>
        </r>
      </text>
    </comment>
    <comment ref="EC15" authorId="0" shapeId="0" xr:uid="{1C0B82D0-ABD5-44A1-83D8-83370F003D34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go park</t>
        </r>
      </text>
    </comment>
    <comment ref="BW20" authorId="0" shapeId="0" xr:uid="{9308BF46-0013-41F2-AEA9-78F121C6D1DD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14 bultos Que dañaron los perros</t>
        </r>
      </text>
    </comment>
    <comment ref="BY20" authorId="0" shapeId="0" xr:uid="{117C8CE1-319B-4185-B31A-2E77D2BBFCC8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4 bultos provenientes de devolución de dilcovica concesionario que se dieron de baja por orden del Sr Javier Salas</t>
        </r>
      </text>
    </comment>
    <comment ref="DK23" authorId="2" shapeId="0" xr:uid="{439E594B-0C43-478E-8F71-7EB400D90F32}">
      <text>
        <r>
          <rPr>
            <b/>
            <sz val="9"/>
            <color indexed="81"/>
            <rFont val="Tahoma"/>
            <family val="2"/>
          </rPr>
          <t>Cesar Alvarado:</t>
        </r>
        <r>
          <rPr>
            <sz val="9"/>
            <color indexed="81"/>
            <rFont val="Tahoma"/>
            <family val="2"/>
          </rPr>
          <t xml:space="preserve">
despacho a fluveca para reprocesar</t>
        </r>
      </text>
    </comment>
    <comment ref="DM23" authorId="2" shapeId="0" xr:uid="{5A85DCFB-2D93-402D-AEC8-9A92C6E0BA77}">
      <text>
        <r>
          <rPr>
            <b/>
            <sz val="9"/>
            <color indexed="81"/>
            <rFont val="Tahoma"/>
            <family val="2"/>
          </rPr>
          <t>Cesar Alvarado:</t>
        </r>
        <r>
          <rPr>
            <sz val="9"/>
            <color indexed="81"/>
            <rFont val="Tahoma"/>
            <family val="2"/>
          </rPr>
          <t xml:space="preserve">
despacho a fluveca para reprocesar</t>
        </r>
      </text>
    </comment>
    <comment ref="EC24" authorId="0" shapeId="0" xr:uid="{14CF3F54-72E3-4859-8D5A-6C29861D7F09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entregado a comercial</t>
        </r>
      </text>
    </comment>
    <comment ref="EC26" authorId="0" shapeId="0" xr:uid="{F55ED5FB-BBF8-4524-AA56-F2753135A4C9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entregado a comercial</t>
        </r>
      </text>
    </comment>
    <comment ref="AU27" authorId="0" shapeId="0" xr:uid="{FA043CDA-CDA3-4B75-BFB2-18A07A0ADE18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TRASEGADO DE SHAMPOO DE PRESENTACIÓN DE LITRO Y GALON A TAMBORES</t>
        </r>
      </text>
    </comment>
    <comment ref="EC27" authorId="0" shapeId="0" xr:uid="{D7968DCC-C30A-4872-B93F-DEEA4E0F0052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go park</t>
        </r>
      </text>
    </comment>
    <comment ref="AU29" authorId="0" shapeId="0" xr:uid="{BA05608C-29FB-4A38-A77C-659BD9C33053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TRASEGADO DE SHAMPOO DE PRESENTACIÓN DE LITRO Y GALON A TAMBORES</t>
        </r>
      </text>
    </comment>
    <comment ref="BX29" authorId="0" shapeId="0" xr:uid="{71EC5618-0C94-479A-8F7B-35653AFE89E5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5 Bultos que se vaciaron por estar roto el envase y causa derrame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Denis Orta</author>
    <author>Nesrely Rodríguez</author>
    <author>Duglas Ledezma</author>
  </authors>
  <commentList>
    <comment ref="H3" authorId="0" shapeId="0" xr:uid="{88148A62-F475-48CB-93BE-B0D7A6DE56ED}">
      <text>
        <r>
          <rPr>
            <b/>
            <sz val="9"/>
            <color indexed="81"/>
            <rFont val="Tahoma"/>
            <family val="2"/>
          </rPr>
          <t>Denis Orta:</t>
        </r>
        <r>
          <rPr>
            <sz val="9"/>
            <color indexed="81"/>
            <rFont val="Tahoma"/>
            <family val="2"/>
          </rPr>
          <t xml:space="preserve">
Abril 2022</t>
        </r>
      </text>
    </comment>
    <comment ref="J3" authorId="1" shapeId="0" xr:uid="{54533823-CFE4-42DD-9142-D865CD760D26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Julio- Agosto 2022</t>
        </r>
      </text>
    </comment>
    <comment ref="K3" authorId="1" shapeId="0" xr:uid="{D72AAEF3-03A2-47D8-A28B-1B9781AD0274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Septiembre 2022- Octubre 2022
</t>
        </r>
      </text>
    </comment>
    <comment ref="L3" authorId="1" shapeId="0" xr:uid="{1C73F2DA-09C2-4F70-8526-9ECDD08D0BEC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Noviembre 2022</t>
        </r>
      </text>
    </comment>
    <comment ref="M3" authorId="1" shapeId="0" xr:uid="{D32FF43C-07DD-4BBD-8F75-DE61D1B3A30B}">
      <text>
        <r>
          <rPr>
            <b/>
            <sz val="9"/>
            <color indexed="81"/>
            <rFont val="Tahoma"/>
            <family val="2"/>
          </rPr>
          <t xml:space="preserve">Nesrely Rodríguez:
</t>
        </r>
        <r>
          <rPr>
            <sz val="9"/>
            <color indexed="81"/>
            <rFont val="Tahoma"/>
            <family val="2"/>
          </rPr>
          <t>Verde triangular Diciembre 2022-Enero-Febrero 2023</t>
        </r>
      </text>
    </comment>
    <comment ref="N3" authorId="1" shapeId="0" xr:uid="{4F3DC4AE-77D9-4218-BE38-EFAD3124E9A7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AmarilloTriangular Marzo- Abril 2023</t>
        </r>
      </text>
    </comment>
    <comment ref="O3" authorId="1" shapeId="0" xr:uid="{4C88E9AA-ADD6-44D5-8BA1-1279DB782BB2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Cielo Tri / Junio 2023</t>
        </r>
      </text>
    </comment>
    <comment ref="H6" authorId="1" shapeId="0" xr:uid="{69071296-F99F-434C-BCDE-D8158FC155E3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9 bultos en unidades sueltas
</t>
        </r>
      </text>
    </comment>
    <comment ref="H8" authorId="1" shapeId="0" xr:uid="{7F38874B-5F45-4578-9F3E-C40CBD230BDC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45 bultos en unidades sueltas
</t>
        </r>
      </text>
    </comment>
    <comment ref="L20" authorId="2" shapeId="0" xr:uid="{744A0915-58C2-49A4-8B8B-9DCB3AAAB335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10 bultos en unidades sueltas que estan buenas</t>
        </r>
      </text>
    </comment>
    <comment ref="H29" authorId="1" shapeId="0" xr:uid="{027F8E18-FC39-4C25-B016-29D116D00BB2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15 bultos de unidades sueltas.
</t>
        </r>
      </text>
    </comment>
  </commentList>
</comments>
</file>

<file path=xl/sharedStrings.xml><?xml version="1.0" encoding="utf-8"?>
<sst xmlns="http://schemas.openxmlformats.org/spreadsheetml/2006/main" count="2233" uniqueCount="822">
  <si>
    <t>Producto</t>
  </si>
  <si>
    <t>UMB</t>
  </si>
  <si>
    <t>Entrada</t>
  </si>
  <si>
    <t>Salidas</t>
  </si>
  <si>
    <t>Diferencia</t>
  </si>
  <si>
    <t>Fecha</t>
  </si>
  <si>
    <t>Total Despachado</t>
  </si>
  <si>
    <t>Total Recibido</t>
  </si>
  <si>
    <t>Teórico</t>
  </si>
  <si>
    <t>Físico APLV</t>
  </si>
  <si>
    <t>Físico NAPLV</t>
  </si>
  <si>
    <t>Asertividad  del Inventario 
de la clasificación C</t>
  </si>
  <si>
    <t>1*200L</t>
  </si>
  <si>
    <t>1*200</t>
  </si>
  <si>
    <t>Sin color</t>
  </si>
  <si>
    <t>QDI-T</t>
  </si>
  <si>
    <t>QUALID DESENGRASANTE INDUSTRIAL 1x200L</t>
  </si>
  <si>
    <t>QDM-G</t>
  </si>
  <si>
    <t>QUALID DESENGRASANTE MULTIPROPOSITO 4x3.785L</t>
  </si>
  <si>
    <t>QDM-L</t>
  </si>
  <si>
    <t>QUALID DESENGRASANTE MULTIPROPOSITO 12x1L</t>
  </si>
  <si>
    <t>QDM-T</t>
  </si>
  <si>
    <t>QUALID DESENGRASANTE MULTIPROPOSITO 1x200L</t>
  </si>
  <si>
    <t>QDOT3-290</t>
  </si>
  <si>
    <t>QUALID LIQUIDO DE FRENOS DOT 3 12x290ML</t>
  </si>
  <si>
    <t>QDOT3-946</t>
  </si>
  <si>
    <t>QUALID LIQUIDO DE FRENOS DOT 3 12x946ML</t>
  </si>
  <si>
    <t>QDOT4-290</t>
  </si>
  <si>
    <t>QUALID LIQUIDO DE FRENOS DOT 4 12x290ML</t>
  </si>
  <si>
    <t>QDOT4-946</t>
  </si>
  <si>
    <t>QUALID LIQUIDO DE FRENOS DOT 4 12x946ML</t>
  </si>
  <si>
    <t>QEO-350</t>
  </si>
  <si>
    <t>QUALID ELEVADOR DE OCTANAJE 12x350ML</t>
  </si>
  <si>
    <t>QFM-G</t>
  </si>
  <si>
    <t>QUALID FORMULA MARINA 4x3.785L</t>
  </si>
  <si>
    <t>QFM-L</t>
  </si>
  <si>
    <t>QUALID FORMULA MARINA 12x1L</t>
  </si>
  <si>
    <t>QRHTR-G</t>
  </si>
  <si>
    <t>QUALID REFRIGERANTE HIGH TEMP ROJO 4x3.785L</t>
  </si>
  <si>
    <t>QRHTR-T</t>
  </si>
  <si>
    <t>QUALID REFRIGERANTE HIGH TEMP ROJO 1x200L</t>
  </si>
  <si>
    <t>QRHTV-G</t>
  </si>
  <si>
    <t>QUALID REFRIGERANTE HIGH TEMP VERDE  4x3.785L</t>
  </si>
  <si>
    <t>QRHTV-T</t>
  </si>
  <si>
    <t>QUALID REFRIGERANTE HIGH TEMP VERDE 1x200L</t>
  </si>
  <si>
    <t>QRPR50-G</t>
  </si>
  <si>
    <t>QUALID REFRIGERANTE PREMIUM ROJO 50% 4x3.785L</t>
  </si>
  <si>
    <t>QRPR50-T</t>
  </si>
  <si>
    <t>QUALID REFRIGERANTE PREMIUM ROJO 50% 1x200L</t>
  </si>
  <si>
    <t>QSH-G</t>
  </si>
  <si>
    <t>QUALID SHAMPOO 4x3.785L</t>
  </si>
  <si>
    <t>QSH-L</t>
  </si>
  <si>
    <t>QUALID SHAMPOO 12x1L</t>
  </si>
  <si>
    <t>QSH-T</t>
  </si>
  <si>
    <t>QUALID SHAMPOO 1x200L</t>
  </si>
  <si>
    <t>Codigo</t>
  </si>
  <si>
    <t>QAC-L</t>
  </si>
  <si>
    <t>QUALID ABRILLANTADOR DE CAUCHOS 12x1L</t>
  </si>
  <si>
    <t>1x200 L</t>
  </si>
  <si>
    <t>4x3.785L</t>
  </si>
  <si>
    <t>1x200L</t>
  </si>
  <si>
    <t>1x12L</t>
  </si>
  <si>
    <t>SHELL HELIX HX8 PRO AG 0W-20 EXPO 12x1L</t>
  </si>
  <si>
    <t>SHELL HELIX HX8 PRO AG 0W-20 CX 12x1L</t>
  </si>
  <si>
    <t>SHELL HELIX ULTRA 5W-40 SN 12x1L</t>
  </si>
  <si>
    <t>SHELL HELIX HX5 15W-40 SL TB 209L</t>
  </si>
  <si>
    <t>SHELL HELIX HX5 15W-40 SL 12x1L</t>
  </si>
  <si>
    <t>SHELL SPIRAX S2 A 90 1x20L</t>
  </si>
  <si>
    <t>SHELL RIMULA R4X 15W-40 TB 209L EXPO</t>
  </si>
  <si>
    <t>SHELL RIMULA R4 X 15W-40 CI-4 1x20L</t>
  </si>
  <si>
    <t>SHELL RIMULA R2 50 TB 209L EXPO</t>
  </si>
  <si>
    <t>SHELL RIMULA R2 50 FR 1x20L EXPO</t>
  </si>
  <si>
    <t>SHELL RIMULA RT4 X 15W-40 CI-4 1x20L</t>
  </si>
  <si>
    <t>SHELL ADVANCE 4T AX7 10W-40 SM/MA2 CX 12x1L</t>
  </si>
  <si>
    <t>SHELL ADVANCE 4T AX5 20W-50 SL/MA CX 12x1L</t>
  </si>
  <si>
    <t>SHELL SPIRAX S2 A 85W-140 TB 209L EXPO</t>
  </si>
  <si>
    <t>SHELL SPIRAX S2 A 85W-140 1x20L</t>
  </si>
  <si>
    <t>SHELL SPIRAX S2 A 85W-140 12x1L EXPO</t>
  </si>
  <si>
    <t>SHELL SPIRAX S2 A 80W-90 12x1L EXPO</t>
  </si>
  <si>
    <t>SHELL OMALA S2 G 100 1x20L</t>
  </si>
  <si>
    <t>SHELL OMALA S2 G 220 1x20L</t>
  </si>
  <si>
    <t>SHELL OMALA S2 G 320 1x20L</t>
  </si>
  <si>
    <t>SHELL OMALA S2 G 220 EXPO TB 209L</t>
  </si>
  <si>
    <t>SHELL OMALA S2 G 320 EXPO TB 209L</t>
  </si>
  <si>
    <t>SHELL OMALA S2 G 460 1x20L</t>
  </si>
  <si>
    <t>SHELL CATENEX T 121 BULK</t>
  </si>
  <si>
    <t>SHELL CATENEX T 121 1x209L</t>
  </si>
  <si>
    <t>SHELL MELINA S 30 1x55GAL</t>
  </si>
  <si>
    <t>SHELL REFRIGERATION OIL S2 FR-A 68 1x20L</t>
  </si>
  <si>
    <t>SHELL REFRIGERATION OIL S4 FR-V 68 1x20L</t>
  </si>
  <si>
    <t>SHELL HEAT TRANSFER S2  1x209L</t>
  </si>
  <si>
    <t>SHELL CORENA S4 R 68 1x5GAL</t>
  </si>
  <si>
    <t>SHELL HYDRAULIC S1 M 68 1x5GAL</t>
  </si>
  <si>
    <t>SHELL HYDRAULIC S1 M 68 1x55GAL</t>
  </si>
  <si>
    <t>SHELL HYDRAULIC S1 M 46 1x5GAL</t>
  </si>
  <si>
    <t>SHELL HYDRAULIC S1 M 46 1x55GAL</t>
  </si>
  <si>
    <t>SHELL REFRIGERATION OIL S2 FR-A 68 1x55GAL</t>
  </si>
  <si>
    <t>SHELL SPIRAX S4 TXM 1x5GAL</t>
  </si>
  <si>
    <t>SHELL SPIRAX S4 CX 30 1x55GAL</t>
  </si>
  <si>
    <t>SHELL SPIRAX S4 CX 50 1x55GAL</t>
  </si>
  <si>
    <t>SHELL CORENA S4 P 100 1x20L</t>
  </si>
  <si>
    <t>SHELL GADUS S2 V220 2 AIWJ 10x0.4KG</t>
  </si>
  <si>
    <t>SHELL SPIRAX S2 A 80W-90 1x55GAL</t>
  </si>
  <si>
    <t>SHELL RISELLA X 415 1x209L</t>
  </si>
  <si>
    <t>SHELL MYSELLA S3 N 40 1x55GAL</t>
  </si>
  <si>
    <t>SHELL MYSELLA S2 Z 40 1x55GAL</t>
  </si>
  <si>
    <t>SHELL TURBO S4 GX 32 1x55GAL</t>
  </si>
  <si>
    <t>SHELL TELLUS S2 MX 68 1x5GAL</t>
  </si>
  <si>
    <t>SHELL RIMULA R4 X 15W-40 3x4L</t>
  </si>
  <si>
    <t>SHELL RIMULA R5 E 10W-40 3x4L</t>
  </si>
  <si>
    <t>SHELL HELIX HX5 20W-50 SN 3x4L</t>
  </si>
  <si>
    <t>SHELL HELIX HX5 20W-50 SN 6x1L</t>
  </si>
  <si>
    <t>SHELL HELIX HX7 10W-40 A1W9 6x1L</t>
  </si>
  <si>
    <t>SHELL GADINIA S3 40 1x55GAL</t>
  </si>
  <si>
    <t>SHELL ARGINA S4 40 1x55GAL</t>
  </si>
  <si>
    <t>SHELL HELIX HX8 PRO AG 0W-20 LATA 3x4L</t>
  </si>
  <si>
    <t>SHELL NAUTILUS PREMIUM OUTB 2T 6x1L</t>
  </si>
  <si>
    <t>SHELL SPIRAX S3 ATF MD3 6x1L</t>
  </si>
  <si>
    <t>SHELL SPIRAX S6 ATF X 6x1L</t>
  </si>
  <si>
    <t>SHELL HELIX HX8 PROFESSIONAL AG 5W-30 6x1L</t>
  </si>
  <si>
    <t>SHELL GADUS S2 V220AC 2 1x18KG</t>
  </si>
  <si>
    <t>SHELL GADUS S2 V220AD 2 1x18KG</t>
  </si>
  <si>
    <t>SHELL HELIX ULTRA 5W-40 SN CX 6x1L</t>
  </si>
  <si>
    <t>SHELL HELIX HX7 10W-30 SN PLUS 6x1L</t>
  </si>
  <si>
    <t>SHELL ALEXIA 40 1x55GAL</t>
  </si>
  <si>
    <t>SHELL ALEXIA 70 1x55GAL</t>
  </si>
  <si>
    <t>SHELL HELIX HX5 20W-50 SN 1x209L</t>
  </si>
  <si>
    <t>SHELL ARGINA S2 40 1x55GAL</t>
  </si>
  <si>
    <t>SHELL HELIX ULTRA 5W-40 6x1L</t>
  </si>
  <si>
    <t>SHELL HELIX HX7 SP 10W-30 6x1L</t>
  </si>
  <si>
    <t>SHELL HELIX HX7 SP 10W-40 6x1L</t>
  </si>
  <si>
    <t>SHELL TURBO OIL T 32 1x55GAL</t>
  </si>
  <si>
    <t>SHELL TURBO T OIL 68 1x55GAL</t>
  </si>
  <si>
    <t xml:space="preserve">QA-1010                       </t>
  </si>
  <si>
    <t>QUALID FILTRO PARA AIRE 1010</t>
  </si>
  <si>
    <t xml:space="preserve">QA-10190                      </t>
  </si>
  <si>
    <t>QUALID FILTRO PARA AIRE 10190</t>
  </si>
  <si>
    <t xml:space="preserve">QA-10242                      </t>
  </si>
  <si>
    <t>QUALID FILTRO PARA AIRE 10242</t>
  </si>
  <si>
    <t xml:space="preserve">QA-10262                      </t>
  </si>
  <si>
    <t>QUALID FILTRO PARA AIRE 10262</t>
  </si>
  <si>
    <t xml:space="preserve">QA-10755                      </t>
  </si>
  <si>
    <t>QUALID FILTRO PARA AIRE 10755</t>
  </si>
  <si>
    <t xml:space="preserve">QA-10835                      </t>
  </si>
  <si>
    <t>QUALID FILTRO PARA AIRE 10835</t>
  </si>
  <si>
    <t xml:space="preserve">QA-1111                       </t>
  </si>
  <si>
    <t>QUALID FILTRO PARA AIRE 1111</t>
  </si>
  <si>
    <t xml:space="preserve">QA-1211                       </t>
  </si>
  <si>
    <t>QUALID FILTRO PARA AIRE 1211</t>
  </si>
  <si>
    <t xml:space="preserve">QA-2222                       </t>
  </si>
  <si>
    <t>QUALID FILTRO PARA AIRE 2222</t>
  </si>
  <si>
    <t xml:space="preserve">QA-5700                       </t>
  </si>
  <si>
    <t>QUALID FILTRO PARA AIRE 5700</t>
  </si>
  <si>
    <t xml:space="preserve">QA-6558                       </t>
  </si>
  <si>
    <t>QUALID FILTRO PARA AIRE 6558</t>
  </si>
  <si>
    <t xml:space="preserve">QA-8000                       </t>
  </si>
  <si>
    <t>QUALID FILTRO PARA AIRE 8000</t>
  </si>
  <si>
    <t xml:space="preserve">QA-8004                       </t>
  </si>
  <si>
    <t>QUALID FILTRO PARA AIRE 8004</t>
  </si>
  <si>
    <t xml:space="preserve">QA-8208                       </t>
  </si>
  <si>
    <t>QUALID FILTRO PARA AIRE 8208</t>
  </si>
  <si>
    <t xml:space="preserve">QA-9074                       </t>
  </si>
  <si>
    <t>QUALID FILTRO PARA AIRE 9074</t>
  </si>
  <si>
    <t xml:space="preserve">QA-91485                      </t>
  </si>
  <si>
    <t>QUALID FILTRO PARA AIRE 91485</t>
  </si>
  <si>
    <t xml:space="preserve">QA-9430                       </t>
  </si>
  <si>
    <t>QUALID FILTRO PARA AIRE 9430</t>
  </si>
  <si>
    <t xml:space="preserve">QA-9683                       </t>
  </si>
  <si>
    <t>QUALID FILTRO PARA AIRE 9683</t>
  </si>
  <si>
    <t xml:space="preserve">QA-9687                       </t>
  </si>
  <si>
    <t>QUALID FILTRO PARA AIRE 9687</t>
  </si>
  <si>
    <t xml:space="preserve">QA-9902                       </t>
  </si>
  <si>
    <t>QUALID FILTRO PARA AIRE 9902</t>
  </si>
  <si>
    <t xml:space="preserve">QAC-L                         </t>
  </si>
  <si>
    <t xml:space="preserve">QC-1010                       </t>
  </si>
  <si>
    <t>QUALID FILTRO PARA COMBUSTIBLE 1010</t>
  </si>
  <si>
    <t xml:space="preserve">QC-1036                       </t>
  </si>
  <si>
    <t>QUALID FILTRO PARA COMBUSTIBLE 1036</t>
  </si>
  <si>
    <t xml:space="preserve">QC-1083                       </t>
  </si>
  <si>
    <t>QUALID FILTRO PARA COMBUSTIBLE 1083</t>
  </si>
  <si>
    <t xml:space="preserve">QC-1100                       </t>
  </si>
  <si>
    <t>QUALID FILTRO PARA COMBUSTIBLE 1100</t>
  </si>
  <si>
    <t xml:space="preserve">QC-1120                       </t>
  </si>
  <si>
    <t>QUALID FILTRO PARA COMBUSTIBLE 1120</t>
  </si>
  <si>
    <t xml:space="preserve">QC-2                          </t>
  </si>
  <si>
    <t>QUALID FILTRO PARA COMBUSTIBLE 2</t>
  </si>
  <si>
    <t xml:space="preserve">QC-3583                       </t>
  </si>
  <si>
    <t>QUALID FILTRO PARA COMBUSTIBLE 3583</t>
  </si>
  <si>
    <t xml:space="preserve">QC-3641                       </t>
  </si>
  <si>
    <t>QUALID FILTRO PARA COMBUSTIBLE 3641</t>
  </si>
  <si>
    <t xml:space="preserve">QC-3727                       </t>
  </si>
  <si>
    <t>QUALID FILTRO PARA COMBUSTIBLE 3727</t>
  </si>
  <si>
    <t xml:space="preserve">QC-3802                       </t>
  </si>
  <si>
    <t>QUALID FILTRO PARA COMBUSTIBLE 3802</t>
  </si>
  <si>
    <t xml:space="preserve">QC-3850                       </t>
  </si>
  <si>
    <t>QUALID FILTRO PARA COMBUSTIBLE 3850</t>
  </si>
  <si>
    <t xml:space="preserve">QC-5010                       </t>
  </si>
  <si>
    <t>QUALID FILTRO PARA COMBUSTIBLE 5010</t>
  </si>
  <si>
    <t xml:space="preserve">QC-5110                       </t>
  </si>
  <si>
    <t>QUALID FILTRO PARA COMBUSTIBLE 5110</t>
  </si>
  <si>
    <t xml:space="preserve">QC-511A                       </t>
  </si>
  <si>
    <t>QUALID FILTRO PARA COMBUSTIBLE 511A</t>
  </si>
  <si>
    <t xml:space="preserve">QC-5961                       </t>
  </si>
  <si>
    <t>QUALID FILTRO PARA COMBUSTIBLE 5961</t>
  </si>
  <si>
    <t xml:space="preserve">QC-618                        </t>
  </si>
  <si>
    <t>QUALID FILTRO PARA COMBUSTIBLE 618</t>
  </si>
  <si>
    <t xml:space="preserve">QC-619                        </t>
  </si>
  <si>
    <t>QUALID FILTRO PARA COMBUSTIBLE 619</t>
  </si>
  <si>
    <t xml:space="preserve">QC-645A                       </t>
  </si>
  <si>
    <t>QUALID FILTRO PARA COMBUSTIBLE 645A</t>
  </si>
  <si>
    <t xml:space="preserve">QC-6680                       </t>
  </si>
  <si>
    <t>QUALID FILTRO PARA COMBUSTIBLE 6680</t>
  </si>
  <si>
    <t xml:space="preserve">QC-7110                       </t>
  </si>
  <si>
    <t>QUALID FILTRO PARA COMBUSTIBLE 7110</t>
  </si>
  <si>
    <t xml:space="preserve">QC-7194                       </t>
  </si>
  <si>
    <t>QUALID FILTRO PARA COMBUSTIBLE 7194</t>
  </si>
  <si>
    <t xml:space="preserve">QC-7612                       </t>
  </si>
  <si>
    <t>QUALID FILTRO PARA COMBUSTIBLE 7612</t>
  </si>
  <si>
    <t xml:space="preserve">QC-7729                       </t>
  </si>
  <si>
    <t>QUALID FILTRO PARA COMBUSTIBLE 7729</t>
  </si>
  <si>
    <t xml:space="preserve">QC-9292                       </t>
  </si>
  <si>
    <t>QUALID FILTRO PARA COMBUSTIBLE 9292</t>
  </si>
  <si>
    <t xml:space="preserve">QC-986                        </t>
  </si>
  <si>
    <t>QUALID FILTRO PARA COMBUSTIBLE 986</t>
  </si>
  <si>
    <t xml:space="preserve">QC-991                        </t>
  </si>
  <si>
    <t>QUALID FILTRO PARA COMBUSTIBLE 991</t>
  </si>
  <si>
    <t xml:space="preserve">QD-6904                       </t>
  </si>
  <si>
    <t>QUALID FILTRO PARA DIESEL 6904</t>
  </si>
  <si>
    <t xml:space="preserve">QD-6905                       </t>
  </si>
  <si>
    <t>QUALID FILTRO PARA DIESEL 6905</t>
  </si>
  <si>
    <t xml:space="preserve">QDI-T                         </t>
  </si>
  <si>
    <t xml:space="preserve">QDM-G                         </t>
  </si>
  <si>
    <t xml:space="preserve">QDM-L                         </t>
  </si>
  <si>
    <t xml:space="preserve">QDM-T                         </t>
  </si>
  <si>
    <t xml:space="preserve">QDOT3-290                     </t>
  </si>
  <si>
    <t xml:space="preserve">QDOT3-946                     </t>
  </si>
  <si>
    <t xml:space="preserve">QDOT4-290                     </t>
  </si>
  <si>
    <t xml:space="preserve">QDOT4-946                     </t>
  </si>
  <si>
    <t xml:space="preserve">QEO-350                       </t>
  </si>
  <si>
    <t xml:space="preserve">QFM-G                         </t>
  </si>
  <si>
    <t xml:space="preserve">QFM-L                         </t>
  </si>
  <si>
    <t xml:space="preserve">QL-10060                      </t>
  </si>
  <si>
    <t>QUALID FILTRO PARA ACEITE 10060</t>
  </si>
  <si>
    <t xml:space="preserve">QL-10158                      </t>
  </si>
  <si>
    <t>QUALID FILTRO PARA ACEITE 10158</t>
  </si>
  <si>
    <t xml:space="preserve">QL-10295                      </t>
  </si>
  <si>
    <t>QUALID FILTRO PARA ACEITE 10295</t>
  </si>
  <si>
    <t xml:space="preserve">QL-10358                      </t>
  </si>
  <si>
    <t>QUALID FILTRO PARA ACEITE 10358</t>
  </si>
  <si>
    <t xml:space="preserve">QL-10575                      </t>
  </si>
  <si>
    <t>QUALID FILTRO PARA ACEITE 10575</t>
  </si>
  <si>
    <t xml:space="preserve">QL-13                         </t>
  </si>
  <si>
    <t>QUALID FILTRO PARA ACEITE 13</t>
  </si>
  <si>
    <t xml:space="preserve">QL-16                         </t>
  </si>
  <si>
    <t>QUALID FILTRO PARA ACEITE 16</t>
  </si>
  <si>
    <t xml:space="preserve">QL-2                          </t>
  </si>
  <si>
    <t>QUALID FILTRO PARA ACEITE 2</t>
  </si>
  <si>
    <t xml:space="preserve">QL-2004                       </t>
  </si>
  <si>
    <t>QUALID FILTRO PARA ACEITE 2004</t>
  </si>
  <si>
    <t xml:space="preserve">QL-3387                       </t>
  </si>
  <si>
    <t>QUALID FILTRO PARA ACEITE 3387</t>
  </si>
  <si>
    <t xml:space="preserve">QL-3600                       </t>
  </si>
  <si>
    <t>QUALID FILTRO PARA ACEITE 3600</t>
  </si>
  <si>
    <t xml:space="preserve">QL-3614                       </t>
  </si>
  <si>
    <t>QUALID FILTRO PARA ACEITE 3614</t>
  </si>
  <si>
    <t xml:space="preserve">QL-3690                       </t>
  </si>
  <si>
    <t>QUALID FILTRO PARA ACEITE 3690</t>
  </si>
  <si>
    <t xml:space="preserve">QL-3807                       </t>
  </si>
  <si>
    <t>QUALID FILTRO PARA ACEITE 3807</t>
  </si>
  <si>
    <t xml:space="preserve">QL-3980                       </t>
  </si>
  <si>
    <t>QUALID FILTRO PARA ACEITE 3980</t>
  </si>
  <si>
    <t xml:space="preserve">QL-4558                       </t>
  </si>
  <si>
    <t>QUALID FILTRO PARA ACEITE 4558</t>
  </si>
  <si>
    <t xml:space="preserve">QL-4967                       </t>
  </si>
  <si>
    <t>QUALID FILTRO PARA ACEITE 4967</t>
  </si>
  <si>
    <t xml:space="preserve">QL-5103                       </t>
  </si>
  <si>
    <t>QUALID FILTRO PARA ACEITE 5103</t>
  </si>
  <si>
    <t xml:space="preserve">QL-5113                       </t>
  </si>
  <si>
    <t>QUALID FILTRO PARA ACEITE 5113</t>
  </si>
  <si>
    <t xml:space="preserve">QL-5548                       </t>
  </si>
  <si>
    <t>QUALID FILTRO PARA ACEITE 5548</t>
  </si>
  <si>
    <t xml:space="preserve">QL-6607                       </t>
  </si>
  <si>
    <t>QUALID FILTRO PARA ACEITE 6607</t>
  </si>
  <si>
    <t xml:space="preserve">QL-7317                       </t>
  </si>
  <si>
    <t>QUALID FILTRO PARA ACEITE 7317</t>
  </si>
  <si>
    <t xml:space="preserve">QL-8                          </t>
  </si>
  <si>
    <t>QUALID FILTRO PARA ACEITE 8</t>
  </si>
  <si>
    <t xml:space="preserve">QL-9814                       </t>
  </si>
  <si>
    <t>QUALID FILTRO PARA ACEITE 9814</t>
  </si>
  <si>
    <t xml:space="preserve">QRPR50-G                      </t>
  </si>
  <si>
    <t xml:space="preserve">QRPR50-T                      </t>
  </si>
  <si>
    <t xml:space="preserve">Z0000157                      </t>
  </si>
  <si>
    <t>ETQ QUALID REFRIGERANTE VERDE HIGH TEMP - G</t>
  </si>
  <si>
    <t xml:space="preserve">Z0000158                      </t>
  </si>
  <si>
    <t>ETQ QUALID REFRIGERANTE ROJO HIGH TEMP - G</t>
  </si>
  <si>
    <t xml:space="preserve">Z0000159                      </t>
  </si>
  <si>
    <t>ETQ QUALID REFRIGERANTE PREMIUM 50% - G</t>
  </si>
  <si>
    <t xml:space="preserve">Z0000160                      </t>
  </si>
  <si>
    <t>ETQ QUALID SHAMPOO AUTOMOTRIZ CONCENTRADO - G</t>
  </si>
  <si>
    <t xml:space="preserve">Z0000161                      </t>
  </si>
  <si>
    <t>ETQ QUALID FORMULA MARINA - G</t>
  </si>
  <si>
    <t xml:space="preserve">Z0000162                      </t>
  </si>
  <si>
    <t>ETQ QUALID DESENGRASANTE MULTIPROPOSITO - G</t>
  </si>
  <si>
    <t xml:space="preserve">Z0000163                      </t>
  </si>
  <si>
    <t>ETQ QUALID SHAMPOO AUTOMOTRIZ CONCENTRADO - L</t>
  </si>
  <si>
    <t xml:space="preserve">Z0000164                      </t>
  </si>
  <si>
    <t>ETQ QUALID FORMULA MARINA - L</t>
  </si>
  <si>
    <t xml:space="preserve">Z0000165                      </t>
  </si>
  <si>
    <t>ETQ QUALID DESENGRASANTE MULTIPROPOSITO - L</t>
  </si>
  <si>
    <t xml:space="preserve">Z0000166                      </t>
  </si>
  <si>
    <t>ETQ QUALID ABRILLANTADOR DE CAUCHOS - L</t>
  </si>
  <si>
    <t xml:space="preserve">Z0000167                      </t>
  </si>
  <si>
    <t>ETQ QUALID ELEVADOR DE OCTANAJE - 350</t>
  </si>
  <si>
    <t xml:space="preserve">Z0000170                      </t>
  </si>
  <si>
    <t>CLISHE - LINEA QUALID</t>
  </si>
  <si>
    <t xml:space="preserve">Z0000173                      </t>
  </si>
  <si>
    <t>GALONES CUADRADOS 3,785ML ROJOS - QUALID</t>
  </si>
  <si>
    <t xml:space="preserve">Z0000191                      </t>
  </si>
  <si>
    <t>MINIGALON 1.000 CC (1 LTS) ROJOS - QUALID</t>
  </si>
  <si>
    <t xml:space="preserve">Z0000192                      </t>
  </si>
  <si>
    <t>TAPA 28MMPP NEGRA P/ ENVASE DE 1  LTS- QUALID</t>
  </si>
  <si>
    <t>Inventario de PROFIT</t>
  </si>
  <si>
    <t>PROFIT vs Fisico</t>
  </si>
  <si>
    <t xml:space="preserve">QRHTR-G                       </t>
  </si>
  <si>
    <t xml:space="preserve">QRHTR-T                       </t>
  </si>
  <si>
    <t xml:space="preserve">QRHTV-G                       </t>
  </si>
  <si>
    <t xml:space="preserve">QRHTV-T                       </t>
  </si>
  <si>
    <t xml:space="preserve">QSH-G                         </t>
  </si>
  <si>
    <t xml:space="preserve">QSH-L                         </t>
  </si>
  <si>
    <t xml:space="preserve">QSH-T                         </t>
  </si>
  <si>
    <t>co_art</t>
  </si>
  <si>
    <t>art_des</t>
  </si>
  <si>
    <t>StockActual0000001</t>
  </si>
  <si>
    <t>StockActual0000004</t>
  </si>
  <si>
    <t>StockActual</t>
  </si>
  <si>
    <t>12X1L</t>
  </si>
  <si>
    <t>12X350ML</t>
  </si>
  <si>
    <t>12X290ML</t>
  </si>
  <si>
    <t>12X946ML</t>
  </si>
  <si>
    <t>stock_unid_CAJA</t>
  </si>
  <si>
    <t>equivalencia_CAJA</t>
  </si>
  <si>
    <t>QA-1010</t>
  </si>
  <si>
    <t>QA-10190</t>
  </si>
  <si>
    <t>QA-10242</t>
  </si>
  <si>
    <t>QA-10262</t>
  </si>
  <si>
    <t>QA-10755</t>
  </si>
  <si>
    <t>QA-10835</t>
  </si>
  <si>
    <t>QA-1111</t>
  </si>
  <si>
    <t>QA-1211</t>
  </si>
  <si>
    <t>QA-2222</t>
  </si>
  <si>
    <t>QA-5700</t>
  </si>
  <si>
    <t>QA-6558</t>
  </si>
  <si>
    <t>QA-8000</t>
  </si>
  <si>
    <t>QA-8004</t>
  </si>
  <si>
    <t>QA-8208</t>
  </si>
  <si>
    <t>QA-9074</t>
  </si>
  <si>
    <t>QA-91485</t>
  </si>
  <si>
    <t>QA-9430</t>
  </si>
  <si>
    <t>QA-9683</t>
  </si>
  <si>
    <t>QA-9687</t>
  </si>
  <si>
    <t>QA-9902</t>
  </si>
  <si>
    <t>QC-1010</t>
  </si>
  <si>
    <t>QC-1036</t>
  </si>
  <si>
    <t>QC-1083</t>
  </si>
  <si>
    <t>QC-1100</t>
  </si>
  <si>
    <t>QC-1120</t>
  </si>
  <si>
    <t>QC-2</t>
  </si>
  <si>
    <t>QC-3583</t>
  </si>
  <si>
    <t>QC-3641</t>
  </si>
  <si>
    <t>QC-3727</t>
  </si>
  <si>
    <t>QC-3802</t>
  </si>
  <si>
    <t>QC-3850</t>
  </si>
  <si>
    <t>QC-5010</t>
  </si>
  <si>
    <t>QC-5110</t>
  </si>
  <si>
    <t>QC-511A</t>
  </si>
  <si>
    <t>QC-5961</t>
  </si>
  <si>
    <t>QC-618</t>
  </si>
  <si>
    <t>QC-619</t>
  </si>
  <si>
    <t>QC-645A</t>
  </si>
  <si>
    <t>QC-6680</t>
  </si>
  <si>
    <t>QC-7110</t>
  </si>
  <si>
    <t>QC-7194</t>
  </si>
  <si>
    <t>QC-7612</t>
  </si>
  <si>
    <t>QC-7729</t>
  </si>
  <si>
    <t>QC-9292</t>
  </si>
  <si>
    <t>QC-986</t>
  </si>
  <si>
    <t>QC-991</t>
  </si>
  <si>
    <t>QD-6904</t>
  </si>
  <si>
    <t>QD-6905</t>
  </si>
  <si>
    <t>QL-10060</t>
  </si>
  <si>
    <t>QL-10158</t>
  </si>
  <si>
    <t>QL-10295</t>
  </si>
  <si>
    <t>QL-10358</t>
  </si>
  <si>
    <t>QL-10575</t>
  </si>
  <si>
    <t>QL-13</t>
  </si>
  <si>
    <t>QL-16</t>
  </si>
  <si>
    <t>QL-2</t>
  </si>
  <si>
    <t>QL-2004</t>
  </si>
  <si>
    <t>QL-3387</t>
  </si>
  <si>
    <t>QL-3600</t>
  </si>
  <si>
    <t>QL-3614</t>
  </si>
  <si>
    <t>QL-3690</t>
  </si>
  <si>
    <t>QL-3807</t>
  </si>
  <si>
    <t>QL-3980</t>
  </si>
  <si>
    <t>QL-4558</t>
  </si>
  <si>
    <t>QL-4967</t>
  </si>
  <si>
    <t>QL-5103</t>
  </si>
  <si>
    <t>QL-5113</t>
  </si>
  <si>
    <t>QL-5548</t>
  </si>
  <si>
    <t>QL-6607</t>
  </si>
  <si>
    <t>QL-7317</t>
  </si>
  <si>
    <t>QL-8</t>
  </si>
  <si>
    <t>QL-9814</t>
  </si>
  <si>
    <t>Z0000157</t>
  </si>
  <si>
    <t>Z0000158</t>
  </si>
  <si>
    <t>Z0000159</t>
  </si>
  <si>
    <t>Z0000160</t>
  </si>
  <si>
    <t>Z0000161</t>
  </si>
  <si>
    <t>Z0000162</t>
  </si>
  <si>
    <t>Z0000163</t>
  </si>
  <si>
    <t>Z0000164</t>
  </si>
  <si>
    <t>Z0000165</t>
  </si>
  <si>
    <t>Z0000166</t>
  </si>
  <si>
    <t>Z0000167</t>
  </si>
  <si>
    <t>Z0000170</t>
  </si>
  <si>
    <t>Z0000173</t>
  </si>
  <si>
    <t>Z0000191</t>
  </si>
  <si>
    <t>Z0000192</t>
  </si>
  <si>
    <t>Profit NAPLV</t>
  </si>
  <si>
    <t>Observaciones</t>
  </si>
  <si>
    <t>Actual</t>
  </si>
  <si>
    <t>DIFERENCIA</t>
  </si>
  <si>
    <t>SHELL RIMULA R4 X 15W-40 1x5GAL</t>
  </si>
  <si>
    <t>SHELL TURBO OIL T 46 1x55GAL</t>
  </si>
  <si>
    <t>Dif Fisico vs profit</t>
  </si>
  <si>
    <t>Azul</t>
  </si>
  <si>
    <t>Naranja</t>
  </si>
  <si>
    <t>QUALID FORMULA MARINA 1X200L</t>
  </si>
  <si>
    <t>AOT185R14</t>
  </si>
  <si>
    <t>DK1856514</t>
  </si>
  <si>
    <t>DK1956015</t>
  </si>
  <si>
    <t>QBD29580</t>
  </si>
  <si>
    <t>QBD31580</t>
  </si>
  <si>
    <t>QPD29580</t>
  </si>
  <si>
    <t>QVU12R225</t>
  </si>
  <si>
    <t>QWK750</t>
  </si>
  <si>
    <t>Morado</t>
  </si>
  <si>
    <t>SHELL HELIX HX5 15W-40 SN 3x4L</t>
  </si>
  <si>
    <t>SHELL HELIX HX5 15W-40 SN 6x1L</t>
  </si>
  <si>
    <t>Z0000228</t>
  </si>
  <si>
    <t>TAMBOR L-RING PLUS 208 LTS</t>
  </si>
  <si>
    <t>QFM-T</t>
  </si>
  <si>
    <t>QUALID FORMULA MARINA 1x200L</t>
  </si>
  <si>
    <t xml:space="preserve">1 TAMBOR CON RESTO DEL TRASEGADO DE MAL ESTADO A TAMBORES. </t>
  </si>
  <si>
    <t>AOTELI 185/65R14 P307</t>
  </si>
  <si>
    <t>DOUBLE KING 185/65R14 DK298</t>
  </si>
  <si>
    <t>DOUBLE KING 195/60R15 DK558</t>
  </si>
  <si>
    <t>QUALID 295/80R22.5 18 PR BULLDOG</t>
  </si>
  <si>
    <t>QUALID 315/80R22.5 20PR  BULLDOG</t>
  </si>
  <si>
    <t>QUALID 295/80R22.5 18 PR PREDATOR</t>
  </si>
  <si>
    <t>QUALID 12R22.5 18PR VULCANO</t>
  </si>
  <si>
    <t>Blanco</t>
  </si>
  <si>
    <t>QAB70028X915</t>
  </si>
  <si>
    <t>QUALID 28X-9-15 16PR AB700</t>
  </si>
  <si>
    <t>QAB7005008</t>
  </si>
  <si>
    <t>QUALID 5.00-8 10PR AB700</t>
  </si>
  <si>
    <t>QAB7006009</t>
  </si>
  <si>
    <t>QUALID 6.00-9  12 PR AB700</t>
  </si>
  <si>
    <t>QAB70065010</t>
  </si>
  <si>
    <t>QUALID 6.50-10 12PR AB700</t>
  </si>
  <si>
    <t>QAB70070012</t>
  </si>
  <si>
    <t>QAE80317525</t>
  </si>
  <si>
    <t>QUALID 17.5-25 24PR AE803</t>
  </si>
  <si>
    <t>QAE80320525</t>
  </si>
  <si>
    <t>QUALID 20.5-25 24PR AE803</t>
  </si>
  <si>
    <t>QAE80323525</t>
  </si>
  <si>
    <t>QUALID 23.5-25 24PR AE803</t>
  </si>
  <si>
    <t>QAE80326525</t>
  </si>
  <si>
    <t>QUALID 26.5-25 32PR AE803</t>
  </si>
  <si>
    <t>QAE804140024</t>
  </si>
  <si>
    <t xml:space="preserve"> 14.00-24 36PR AE804</t>
  </si>
  <si>
    <t>QAE80623126</t>
  </si>
  <si>
    <t>QUALID 23.1-26 16PR AE806</t>
  </si>
  <si>
    <t>QAL70210165</t>
  </si>
  <si>
    <t>QAL70212165</t>
  </si>
  <si>
    <t>QUALID 12-16.5 14PR AL702</t>
  </si>
  <si>
    <t>QUALID 7.50R16 14PR WORKER SET</t>
  </si>
  <si>
    <t xml:space="preserve">Verde </t>
  </si>
  <si>
    <t>QUALID 7.00-12 12PR AB700</t>
  </si>
  <si>
    <t>QUALID 10-16.5 12PR AL702</t>
  </si>
  <si>
    <t>QC18560R14</t>
  </si>
  <si>
    <t>QUALID 185/60R14 CITADINO</t>
  </si>
  <si>
    <t>QC19560R15</t>
  </si>
  <si>
    <t>QUALID 195/60R15 CITADINO</t>
  </si>
  <si>
    <t>QU18565R14</t>
  </si>
  <si>
    <t>QUALID 185/65 R14 URBANO</t>
  </si>
  <si>
    <t>SHELL SPIRAX S2 A 80W-90 6x1L</t>
  </si>
  <si>
    <t>SHELL SPIRAX S2 A 85W-140 6x1L</t>
  </si>
  <si>
    <t>SHELL ADVANCE 4T ULTRA 15W-50 12x1L</t>
  </si>
  <si>
    <t>SHELL RIMULA R2 50 TB 209L</t>
  </si>
  <si>
    <t xml:space="preserve"> </t>
  </si>
  <si>
    <t>unidad_base</t>
  </si>
  <si>
    <t>CAJA</t>
  </si>
  <si>
    <t>TAMBOR</t>
  </si>
  <si>
    <t>PAILA</t>
  </si>
  <si>
    <t>LITROS</t>
  </si>
  <si>
    <t>SHELL CORENA S2 P 100 1X5GAL</t>
  </si>
  <si>
    <t>SHELL SPIRAX S4 TXM 1x55GAL</t>
  </si>
  <si>
    <t>SHELL SPIRAX S3 ATF MD3 1x55GAL</t>
  </si>
  <si>
    <t>SHELL GADUS S3 V460D 2 1x180KG</t>
  </si>
  <si>
    <t>TOTE</t>
  </si>
  <si>
    <t>SHELL GADUS S2 OG 40 1x190KG</t>
  </si>
  <si>
    <t>SHELL HELIX HX7 SP 10W-30 1x209L</t>
  </si>
  <si>
    <t>SHELL ADVANCE 4T AX7 10W-40 SN/MA2 6x1L</t>
  </si>
  <si>
    <t>SHELL ADVANCE AX7 15W-50 SN/MA2 6x1L</t>
  </si>
  <si>
    <t>UND</t>
  </si>
  <si>
    <t>QAT28570R17</t>
  </si>
  <si>
    <t>QUALID LT285/70R17 ALL TERRAIN Q01</t>
  </si>
  <si>
    <t>WS175R13</t>
  </si>
  <si>
    <t>SAFEWAY 175/70R13</t>
  </si>
  <si>
    <t>StockActual 0000001</t>
  </si>
  <si>
    <t>Cajas 000001</t>
  </si>
  <si>
    <t>StockActual 000004</t>
  </si>
  <si>
    <t>Cajas 000004</t>
  </si>
  <si>
    <t>Amarillo</t>
  </si>
  <si>
    <t>QRHTR-L</t>
  </si>
  <si>
    <t>QUALID REFRIGERANTE HIGH TEMP ROJO 12x1</t>
  </si>
  <si>
    <t>SHELL CAPRINUS XR 40 1x209L</t>
  </si>
  <si>
    <t>SHELL SPIRAX S5 CVT X 12x1L</t>
  </si>
  <si>
    <t>QAT28575R16</t>
  </si>
  <si>
    <t>QUALID LT285/75R16 ALL TERRAIN Q01</t>
  </si>
  <si>
    <t>QRHTV-L</t>
  </si>
  <si>
    <t>QUALID REFRIGERANTE HIGH TEMP VERDE 12x1</t>
  </si>
  <si>
    <t>QRPV50-G</t>
  </si>
  <si>
    <t>QUALID REFRIGERANTE PREMIUM VERDE 50% 4x3.785L</t>
  </si>
  <si>
    <t>QRPV50-T</t>
  </si>
  <si>
    <t>QUALID REFRIGERANTE PREMIUM VERDE 50% 1x200L</t>
  </si>
  <si>
    <t>SHELL OMALA S2 G 460 1x209L</t>
  </si>
  <si>
    <t>SHELL TELLUS S2 VX 68 1x975L</t>
  </si>
  <si>
    <t>TOYOTA TERIOS BE-GO</t>
  </si>
  <si>
    <t>TOYOTA COROLLA XEI / GLI 2008-2012</t>
  </si>
  <si>
    <t>FORD EXPLORER 2011-2013</t>
  </si>
  <si>
    <t>FORD EXPEDITION 2009/ F-150 / F-250 / F-350 2007-2012</t>
  </si>
  <si>
    <t>JEEP GRAND CHEROKEE 2011-2014, MITSUBISHI L200 DIESEL</t>
  </si>
  <si>
    <t>TOYOTA 4RUNNER 2014-2018</t>
  </si>
  <si>
    <t>CHERY ORINOCO 4L 1.8L (AUTOMÁTICO)</t>
  </si>
  <si>
    <t>CHERY ARAUCA A1 4L 1.3L</t>
  </si>
  <si>
    <t>FORD ECOSPORT 1.6L /FIESTA POWER 1.6L, MOVE, MAX</t>
  </si>
  <si>
    <t>QA-46357</t>
  </si>
  <si>
    <t>NKR (SIN TURBO), NPR 3.9, NPR 66L CABIN</t>
  </si>
  <si>
    <t>QA-46932</t>
  </si>
  <si>
    <t>NPR (CON TURBO), MITSUBISHI CANTER (CON TURBO)</t>
  </si>
  <si>
    <t>NISSAN FRONTIER 2005 - 2014</t>
  </si>
  <si>
    <t>MAZDA BT-50</t>
  </si>
  <si>
    <t>HYUNDAI TUCSON (2005-2009) / KIA SPORTAGE (2005-2009)</t>
  </si>
  <si>
    <t>FORD EXPEDITION / F-150 / F-350</t>
  </si>
  <si>
    <t>MITSUBISHI LANCER TOURING 2003-2015/ MIRAGE</t>
  </si>
  <si>
    <t>RENAULT LOGAN / KANGOO /SYMBOL</t>
  </si>
  <si>
    <t>CHEVROLET SPARK</t>
  </si>
  <si>
    <t>CHEVROLET LUV-DMAX (GASOLINA)</t>
  </si>
  <si>
    <t>TOYOTA 4RUNNER 2008/ FORTUNER / HILUX KAVAK / FJ CRUISER</t>
  </si>
  <si>
    <t>FORD EXPEDITION EDDIE PICK-UP F-SERIES SUPER DUTY (TODOS)</t>
  </si>
  <si>
    <t>CHEVROLET AVEO (TODOS)</t>
  </si>
  <si>
    <t>TOYOTA COROLLA 1.6 / 1.8 VVL-I</t>
  </si>
  <si>
    <t>FORD EXPLORER</t>
  </si>
  <si>
    <t>FORD F150/ FX4/ F350</t>
  </si>
  <si>
    <t>TOYOTA PRADO, 4RUNNER, FJ CRUISER</t>
  </si>
  <si>
    <t>TOYOTA HILUX / FORTUNER</t>
  </si>
  <si>
    <t>FILTRO UNIVERSAL</t>
  </si>
  <si>
    <t>JEEP CJ SERIES / WAGONEER / WRANGLER (CON RETORNO)</t>
  </si>
  <si>
    <t>DODGE PICK-UP RAM 2500. JEEP COMANCHE / CHEROKEE / WRANGLER</t>
  </si>
  <si>
    <t>CHEVROLET BLAZER / C - 1500 / CHEYENNE / CELEBRITY / CORVETTE / GRAND BLAZER / 2WD / 4WD / LUMINA / C10</t>
  </si>
  <si>
    <t>FORD BRONCO PICO CORTO</t>
  </si>
  <si>
    <t>FORD BRONCO / EXPLORER / F-150 / F-350</t>
  </si>
  <si>
    <t>TOYOTA STARLET, ARAYA, SKY, COROLLA CARBURADO</t>
  </si>
  <si>
    <t>TOYOTA HILUX (INYECCIÓN)</t>
  </si>
  <si>
    <t>VOLKSWAGEN, GOL / GOLF/ CROSSFOX / FOX/ SPACE FOX / POLO/ BORA</t>
  </si>
  <si>
    <t>RENAULT MEGANE, SCENIC, TWINGO, LOGAN, KANGOO, SYMBOL</t>
  </si>
  <si>
    <t>CHEVROLET CORSA / LUV D-MAX/ MONTANA/ MERIVA</t>
  </si>
  <si>
    <t>CHEVROLET OPTRA / AVEO / CAPTIVA (TESTIGO)</t>
  </si>
  <si>
    <t>CHEVROLET BLAZER (ROSCA PICO)</t>
  </si>
  <si>
    <t>HYUNDAI SONATA . TOYOTA 4 RUNNER / MERÚ / PRADO</t>
  </si>
  <si>
    <t>CHERY ORINOCO / ARAUCA / X1 / TIGGER / TIUNA</t>
  </si>
  <si>
    <t>MITSUBISHI ECLIPSE / LANCER / MF / MONTERO / MX . TOYOTA CAMRY / CELICA / PASEO</t>
  </si>
  <si>
    <t>TOYOTA COROLLA 1.8/1.6 (1994-2008)</t>
  </si>
  <si>
    <t>FIAT SIENA / PALIO (TODOS )</t>
  </si>
  <si>
    <t>FIESTA POWER 4L, 1.6 LT (00-07), ECOSPORT 4L, 1.6 (04-05) Y 2.0 LT (04-05), MAZDA 2</t>
  </si>
  <si>
    <t>FORD EXPLORER / FORTALEZA / RANGER</t>
  </si>
  <si>
    <t>FORD EXPLORER 1999-2002 / SPORT TRAC</t>
  </si>
  <si>
    <t>QD-10224</t>
  </si>
  <si>
    <t>FORD RANGER, MAZDA BT50 W/ 2.2L AND 3.2L DIESEL, TOYOTA HILUX 2.5 DIESEL / MITSUBISHI L200</t>
  </si>
  <si>
    <t>QD-10231</t>
  </si>
  <si>
    <t>TOYOYA LAND CRUISER DIESEL 70, HZJ7, 200, 202</t>
  </si>
  <si>
    <t>QD-10372</t>
  </si>
  <si>
    <t>TOYOTA DYNA TURBO</t>
  </si>
  <si>
    <t>QD-10379</t>
  </si>
  <si>
    <t>MITSUBISHI HINO 3.5T 155 195 FUEL FILTER ELEMENT OE 23304-78091  TOYOTA DYNA (23304-78090)</t>
  </si>
  <si>
    <t>QD-10416</t>
  </si>
  <si>
    <t>MITSUBISHI, HINO, ISUZU, CHEVROLET FVR, TOYOTA DYNA 4.0</t>
  </si>
  <si>
    <t>QD-33166</t>
  </si>
  <si>
    <t>JHON DEER / INGERSOLL RAND / MASSEY FERGUSON</t>
  </si>
  <si>
    <t>QD-33218</t>
  </si>
  <si>
    <t>MACK 673 / 675 / 676 SECUNDARIO</t>
  </si>
  <si>
    <t>QD-33219</t>
  </si>
  <si>
    <t>MACK 673 / 675 / 676 PRIMARIO</t>
  </si>
  <si>
    <t>QD-33242</t>
  </si>
  <si>
    <t>TRAMPA CARGO 1721</t>
  </si>
  <si>
    <t>QD-33260</t>
  </si>
  <si>
    <t>DAEWOO, HITACHI EQUIPMENT; HINO, ISUZU TRUCKS; KAWASAKI LOADERS</t>
  </si>
  <si>
    <t>QD-33386</t>
  </si>
  <si>
    <t>CHEVROLET NPR / NKR</t>
  </si>
  <si>
    <t>QD-33393</t>
  </si>
  <si>
    <t>CHEVROLET NPR / NKR / ENCAVA</t>
  </si>
  <si>
    <t>QD-33399</t>
  </si>
  <si>
    <t>MITSUBISHI FUSO CANTER</t>
  </si>
  <si>
    <t>QD-33587</t>
  </si>
  <si>
    <t>MACK GRANITE Y VISION</t>
  </si>
  <si>
    <t>QD-33588</t>
  </si>
  <si>
    <t>QD-33742</t>
  </si>
  <si>
    <t>CAT EQUIPMENT (CARTEPILLAR ENGINES)</t>
  </si>
  <si>
    <t>QD-33777</t>
  </si>
  <si>
    <t>TRAMPA CUMMINS</t>
  </si>
  <si>
    <t>QD-8429</t>
  </si>
  <si>
    <t>TOYOTA HILUX / HIACE / TACOMA</t>
  </si>
  <si>
    <t>CHEVROLET EXPRESS VAN/ AVALANCHE / TAHOE/  SILVERADO. DODGE CALIBER. JEEP LIBERTY KK/ COMPASS</t>
  </si>
  <si>
    <t>TOYOTA 4RUNNER 2010-2021 / TUNDRA V6 4.OL 2012-2014</t>
  </si>
  <si>
    <t>TOYOTA TUNDRA 2010-2021 / LAND CRUISER 2008-2021/ SEQUOIA 2001-2021</t>
  </si>
  <si>
    <t>TOYOTA COROLLA 2013-2018</t>
  </si>
  <si>
    <t>FORD EXPLORER 2011-2021 / F150 2011-2021 / JEEP CHEROKEE LIBERTY 2008 -2014</t>
  </si>
  <si>
    <t>CHEVROLET GRAND BLAZER / 2WD / 4WD / C-1500 / C30 / C3500 / GMC YUKON / PICK-UPS (TODAS) / SILVERADO</t>
  </si>
  <si>
    <t>DODGE INTREPID / PICK-UP RAM 2500 / SPIRIT / STRATUS / CARAVAN / DURANGO / CIRRUS</t>
  </si>
  <si>
    <t>FORD TRITON 8CIL / EXPEDITION V8 / ESCAPE 3.0L / EXPLORER SPORT / SPORT TRAC/ JEEP GRAND CHEROKEE 2010-2013</t>
  </si>
  <si>
    <t>TOYOTA PRADO/ HILUX/ FORTUNER / 4RUNNER HASTA 2009. DONGFENG RICH 6</t>
  </si>
  <si>
    <t>CHEVROLET AVEO (TODOS) /  OPTRA (TODOS) / CORSA (TODOS). FIAT PALIO 1.8 (2005-2009) / SIENA 1.8 (2005-2009). DAEWOO CIEL</t>
  </si>
  <si>
    <t>FORD FIESTA (TODOS) / RANGER / FOCUS. JEEP CHEROKEE LIBERTY 2007. MAZDA B-2300 /B-2500</t>
  </si>
  <si>
    <t>CHERY ARAUCA A1 / X1, CHEVROLET GRAND VITARA (TODAS) / JIMNY. FORD ECOSPORT</t>
  </si>
  <si>
    <t>CHEVROLET LUV D-MAX (TODAS). HONDA ACCORD / CIVIC / FIT / LEGEND / ODISSEY. HYUNDAI ACCENT / ELANTRA / TUCSON / GETZ</t>
  </si>
  <si>
    <t>CHEVROLET BLAZER / CELEBRITY / CORSICA / CORVETTE / IMPALA / LUMINA / C10</t>
  </si>
  <si>
    <t>FIAT BRAVA / PALIO / PREMIO / SIENA / UNO / FORZA</t>
  </si>
  <si>
    <t>TOYOTA CAMRY / CELICA / COROLLA / SKY / STARLET / TERIOS / YARIS. DAEWOO MATIZ / TICO. CHEVROLET SPARK(TODOS)</t>
  </si>
  <si>
    <t>CHERY ORINOCO (A3)</t>
  </si>
  <si>
    <t>RENAULT CLIO / GALA / KANGOO / TWINGO 1.2L / MEGANE / LOGAN / SCENIC</t>
  </si>
  <si>
    <t>QL-51429</t>
  </si>
  <si>
    <t>IVECO EUROCARGO</t>
  </si>
  <si>
    <t>QL-51431</t>
  </si>
  <si>
    <t>FIAT IVECO DAILY TURBO</t>
  </si>
  <si>
    <t>QL-51602</t>
  </si>
  <si>
    <t>FORD CARGO 815 MOTOR CUMMINS 3.9L</t>
  </si>
  <si>
    <t>QL-51649</t>
  </si>
  <si>
    <t>CHEVROLET FVR / FTR / FSR</t>
  </si>
  <si>
    <t>QL-51660</t>
  </si>
  <si>
    <t>VOLVO / MACK BY PASS</t>
  </si>
  <si>
    <t>QL-51669</t>
  </si>
  <si>
    <t>FORD MOTORES CUMMINS</t>
  </si>
  <si>
    <t>QL-51675</t>
  </si>
  <si>
    <t>QL-51748</t>
  </si>
  <si>
    <t>FORD F-9000 / CARGO 1721</t>
  </si>
  <si>
    <t>QL-51749</t>
  </si>
  <si>
    <t>SUPERBRIGADIER 185 / 229</t>
  </si>
  <si>
    <t>QL-51791</t>
  </si>
  <si>
    <t>CHEVROLET KODIAK CATERPILLAR 3126 ELECTRONICO</t>
  </si>
  <si>
    <t>QL-51810</t>
  </si>
  <si>
    <t>QL-51832</t>
  </si>
  <si>
    <t>FORD F-7000</t>
  </si>
  <si>
    <t>QL-51971</t>
  </si>
  <si>
    <t>FREIGHTLINER CL120 / FDL120</t>
  </si>
  <si>
    <t>VOLKSWAGEN FOX / CROSSFOX 2006-2008 / GOL 1997-2018 / SPACE FOX 2006-2008.  SEAT IBIZA CORDOBA</t>
  </si>
  <si>
    <t>QL-57746</t>
  </si>
  <si>
    <t>CUMMINS ISX</t>
  </si>
  <si>
    <t>FORD KA / LASER. MAZDA ALLEGRO / 323 / 626 KIA PICANTO</t>
  </si>
  <si>
    <t>HONDA ACCORD / CIVIC, LEGEND / FIT / DODGE BRISA. MITSUBISHI LANCER</t>
  </si>
  <si>
    <t>FORD MUSTANG 91-03 / FORD BRONCO 92-96 / EXPLORER 92-01 / PICK UP F150-350. TOYOTA LAND CRUISER / MACHO / PICK UP</t>
  </si>
  <si>
    <t>PEUGEOT 206/207/307/408, CENTAURO 1.6, DONGFENG S30</t>
  </si>
  <si>
    <t>QA-8756</t>
  </si>
  <si>
    <t>Chevrolet C-1500 Cheyenne / Grand Blazer / Silverado</t>
  </si>
  <si>
    <t>QL-10246</t>
  </si>
  <si>
    <t>Chevrolet Cruze</t>
  </si>
  <si>
    <t>SHELL OMALA S2 G 150 1x209L</t>
  </si>
  <si>
    <t>40926905</t>
  </si>
  <si>
    <t>41051905</t>
  </si>
  <si>
    <t>41068905</t>
  </si>
  <si>
    <t>43509809</t>
  </si>
  <si>
    <t>43509905</t>
  </si>
  <si>
    <t>43512905</t>
  </si>
  <si>
    <t>43592855</t>
  </si>
  <si>
    <t>44243809</t>
  </si>
  <si>
    <t>44243855</t>
  </si>
  <si>
    <t>44245809</t>
  </si>
  <si>
    <t>44245855</t>
  </si>
  <si>
    <t>44414855</t>
  </si>
  <si>
    <t>44774905</t>
  </si>
  <si>
    <t>45312905</t>
  </si>
  <si>
    <t>45372809</t>
  </si>
  <si>
    <t>45372855</t>
  </si>
  <si>
    <t>45372905</t>
  </si>
  <si>
    <t>45387905</t>
  </si>
  <si>
    <t>45657855</t>
  </si>
  <si>
    <t>45659855</t>
  </si>
  <si>
    <t>45660855</t>
  </si>
  <si>
    <t>45683809</t>
  </si>
  <si>
    <t>45684809</t>
  </si>
  <si>
    <t>45685855</t>
  </si>
  <si>
    <t>500000214</t>
  </si>
  <si>
    <t>550014136</t>
  </si>
  <si>
    <t>550022409</t>
  </si>
  <si>
    <t>550022488</t>
  </si>
  <si>
    <t>550025692</t>
  </si>
  <si>
    <t>550025702</t>
  </si>
  <si>
    <t>550025731</t>
  </si>
  <si>
    <t>550026300</t>
  </si>
  <si>
    <t>550026301</t>
  </si>
  <si>
    <t>550026697</t>
  </si>
  <si>
    <t>550026699</t>
  </si>
  <si>
    <t>550026700</t>
  </si>
  <si>
    <t>550026710</t>
  </si>
  <si>
    <t>550026834</t>
  </si>
  <si>
    <t>550026891</t>
  </si>
  <si>
    <t>550026900</t>
  </si>
  <si>
    <t>550026902</t>
  </si>
  <si>
    <t>550026907</t>
  </si>
  <si>
    <t>550026919</t>
  </si>
  <si>
    <t>550027265</t>
  </si>
  <si>
    <t>550027631</t>
  </si>
  <si>
    <t>550027680</t>
  </si>
  <si>
    <t>550029925</t>
  </si>
  <si>
    <t>550032121</t>
  </si>
  <si>
    <t>550036183</t>
  </si>
  <si>
    <t>550036571</t>
  </si>
  <si>
    <t>550038020</t>
  </si>
  <si>
    <t>550043380</t>
  </si>
  <si>
    <t>550044601</t>
  </si>
  <si>
    <t>550045415</t>
  </si>
  <si>
    <t>550045436</t>
  </si>
  <si>
    <t>550045438</t>
  </si>
  <si>
    <t>550045838</t>
  </si>
  <si>
    <t>550045853</t>
  </si>
  <si>
    <t>550045885</t>
  </si>
  <si>
    <t>550045901</t>
  </si>
  <si>
    <t>550045905</t>
  </si>
  <si>
    <t>550047075</t>
  </si>
  <si>
    <t>550047079</t>
  </si>
  <si>
    <t>550047182</t>
  </si>
  <si>
    <t>550047184</t>
  </si>
  <si>
    <t>550047744</t>
  </si>
  <si>
    <t>550049041</t>
  </si>
  <si>
    <t>550049771</t>
  </si>
  <si>
    <t>550049811</t>
  </si>
  <si>
    <t>550049812</t>
  </si>
  <si>
    <t>550049814</t>
  </si>
  <si>
    <t>550050052</t>
  </si>
  <si>
    <t>550050102</t>
  </si>
  <si>
    <t>550050706</t>
  </si>
  <si>
    <t>550050708</t>
  </si>
  <si>
    <t>550052035</t>
  </si>
  <si>
    <t>550052038</t>
  </si>
  <si>
    <t>550052219</t>
  </si>
  <si>
    <t>550052774</t>
  </si>
  <si>
    <t>550052775</t>
  </si>
  <si>
    <t>550053426</t>
  </si>
  <si>
    <t>550053587</t>
  </si>
  <si>
    <t>550054282</t>
  </si>
  <si>
    <t>550054547</t>
  </si>
  <si>
    <t>550056833</t>
  </si>
  <si>
    <t>550057742</t>
  </si>
  <si>
    <t>550057747</t>
  </si>
  <si>
    <t>550057749</t>
  </si>
  <si>
    <t>550057767</t>
  </si>
  <si>
    <t>550059865</t>
  </si>
  <si>
    <t>550059866</t>
  </si>
  <si>
    <t>6560200055</t>
  </si>
  <si>
    <t>6560300055</t>
  </si>
  <si>
    <t>6560500055</t>
  </si>
  <si>
    <t>34 ERROR DE DESPACHOS MBO NE3371 SE DESPACHO HIGH TEMP ROJO Y ERA PREMIUM ROJO 50%</t>
  </si>
  <si>
    <t>Cielo</t>
  </si>
  <si>
    <t>.</t>
  </si>
  <si>
    <t>13239</t>
  </si>
  <si>
    <t>PNEUS 185/60R14 VANTAGE CLASSIC</t>
  </si>
  <si>
    <t>14970</t>
  </si>
  <si>
    <t>PNEUS P195/75R14 FORMULA GT</t>
  </si>
  <si>
    <t>14971</t>
  </si>
  <si>
    <t>PNEUS P225/75R15 FORMULA GT</t>
  </si>
  <si>
    <t>14972</t>
  </si>
  <si>
    <t>PNEUS P195/75R14 VANTAGE</t>
  </si>
  <si>
    <t>14973</t>
  </si>
  <si>
    <t>PNEUS P225/75R15</t>
  </si>
  <si>
    <t>15010</t>
  </si>
  <si>
    <t>PNEUS 195/65R15 VANTAGE EVOLUTION</t>
  </si>
  <si>
    <t>16236</t>
  </si>
  <si>
    <t>PNEUS LT265/75R16TL VANTAGE SUV A/T</t>
  </si>
  <si>
    <t>17010</t>
  </si>
  <si>
    <t>PNEUS 235/55R17 VANTAGE SPORT</t>
  </si>
  <si>
    <t>17020</t>
  </si>
  <si>
    <t>PNEUS P265/65R17 VANTAGE SUV A/T</t>
  </si>
  <si>
    <t>19503</t>
  </si>
  <si>
    <t>PNEUS 31X10.50R15LT VANTAGE SUV A/T</t>
  </si>
  <si>
    <t>20032</t>
  </si>
  <si>
    <t>PNEUS 90/90-18M/C 51P FORMULA</t>
  </si>
  <si>
    <t>20034</t>
  </si>
  <si>
    <t>20333</t>
  </si>
  <si>
    <t>PNEUS 205/55R14 VANTAGE SPORT</t>
  </si>
  <si>
    <t>21746</t>
  </si>
  <si>
    <t>PNEUS 165/60R13 F. SPIDER</t>
  </si>
  <si>
    <t>21748</t>
  </si>
  <si>
    <t>PNEUS 175/70R13 F. SPIDER</t>
  </si>
  <si>
    <t>27771</t>
  </si>
  <si>
    <t>PNEUS 195/60R13 VANTAGE SPORT</t>
  </si>
  <si>
    <t>27774</t>
  </si>
  <si>
    <t>PNEUS P255/60R15 VANTAGE SPORT</t>
  </si>
  <si>
    <t>27812</t>
  </si>
  <si>
    <t>PNEUS P235/60R16 VANTAGE SPORT</t>
  </si>
  <si>
    <t>34951</t>
  </si>
  <si>
    <t>PNEUS 205/55R16 VANTAGE EVOLUTION</t>
  </si>
  <si>
    <t>550057751</t>
  </si>
  <si>
    <t>83290</t>
  </si>
  <si>
    <t>PNEUS 30X9.50R15TL VANTAGE SUV A/T</t>
  </si>
  <si>
    <t>83380</t>
  </si>
  <si>
    <t>PNEUS P235/75R15TL VANTAGE SUV A/T</t>
  </si>
  <si>
    <t>4 BULTOS QUE SE LE ENTREGARON A MARIA DURAN 16-03-23 +1 BULTO NE 725 GO PARK DESCONTADA DE SISTEMA EL 20-06-2023 QUE NO HA SIDO DESPACHADA</t>
  </si>
  <si>
    <t>1 BULTO NE 725 GO PARK DESCONTADA DE SISTEMA EL 20-06-2023 QUE NO HA SIDO DESPACHADA</t>
  </si>
  <si>
    <t>SHELL HELIX HX7 SP 5W-20 3x4L</t>
  </si>
  <si>
    <t>2 DE DEVOLUCION DE DILCOVICA 25-05-2023 + 1 DE DISBATERY LARA + 1 (SE ENVIARON A REPROCESAR 1+50 A FLUVECA 23-05 Y ELLOS DEVOLVIERON 52 EL 14-06 )</t>
  </si>
  <si>
    <t>352 REGISTRARON EN PROFIT 484 Y SE RECIBIERON 132 EL 30-06-2023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</si>
</sst>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2A276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76B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2DA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0" fontId="0" fillId="0" borderId="1" xfId="0" applyFill="1" applyBorder="1"/>
    <xf numFmtId="0" fontId="0" fillId="0" borderId="0" xfId="0"/>
    <xf numFmtId="0" fontId="0" fillId="6" borderId="0" xfId="0" applyFill="1"/>
    <xf numFmtId="0" fontId="5" fillId="0" borderId="0" xfId="0" applyFont="1"/>
    <xf numFmtId="164" fontId="5" fillId="0" borderId="0" xfId="1" applyNumberFormat="1" applyFont="1"/>
    <xf numFmtId="0" fontId="5" fillId="0" borderId="0" xfId="0" applyFont="1" applyAlignment="1">
      <alignment wrapText="1"/>
    </xf>
    <xf numFmtId="0" fontId="6" fillId="7" borderId="1" xfId="0" applyFont="1" applyFill="1" applyBorder="1" applyAlignment="1">
      <alignment wrapText="1"/>
    </xf>
    <xf numFmtId="164" fontId="5" fillId="5" borderId="1" xfId="1" applyNumberFormat="1" applyFont="1" applyFill="1" applyBorder="1" applyAlignment="1">
      <alignment horizontal="left"/>
    </xf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0" fillId="0" borderId="3" xfId="0" applyBorder="1"/>
    <xf numFmtId="2" fontId="0" fillId="0" borderId="1" xfId="0" applyNumberFormat="1" applyBorder="1"/>
    <xf numFmtId="0" fontId="5" fillId="0" borderId="0" xfId="0" applyFont="1" applyAlignment="1">
      <alignment horizontal="center" vertical="center"/>
    </xf>
    <xf numFmtId="0" fontId="7" fillId="0" borderId="0" xfId="0" applyFont="1"/>
    <xf numFmtId="0" fontId="0" fillId="4" borderId="3" xfId="0" applyFill="1" applyBorder="1"/>
    <xf numFmtId="0" fontId="0" fillId="6" borderId="1" xfId="0" applyFill="1" applyBorder="1"/>
    <xf numFmtId="165" fontId="0" fillId="0" borderId="0" xfId="0" applyNumberFormat="1"/>
    <xf numFmtId="0" fontId="0" fillId="0" borderId="1" xfId="0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0" fillId="8" borderId="1" xfId="0" applyFill="1" applyBorder="1"/>
    <xf numFmtId="0" fontId="0" fillId="0" borderId="1" xfId="0" applyBorder="1" applyAlignment="1">
      <alignment horizontal="center"/>
    </xf>
    <xf numFmtId="0" fontId="1" fillId="11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Fill="1"/>
    <xf numFmtId="4" fontId="7" fillId="0" borderId="0" xfId="0" applyNumberFormat="1" applyFont="1"/>
    <xf numFmtId="0" fontId="9" fillId="10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2" fontId="0" fillId="0" borderId="0" xfId="0" applyNumberFormat="1" applyBorder="1"/>
    <xf numFmtId="0" fontId="8" fillId="0" borderId="0" xfId="0" applyFont="1"/>
  </cellXfs>
  <cellStyles count="2">
    <cellStyle name="Normal" xfId="0" builtinId="0"/>
    <cellStyle name="Porcentaje" xfId="1" builtinId="5"/>
  </cellStyles>
  <dxfs count="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922DA3"/>
      <color rgb="FFF76B1D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U29"/>
  <sheetViews>
    <sheetView showGridLines="0" zoomScaleNormal="100" workbookViewId="0">
      <pane xSplit="4" ySplit="3" topLeftCell="BM10" activePane="bottomRight" state="frozen"/>
      <selection pane="topRight" activeCell="E1" sqref="E1"/>
      <selection pane="bottomLeft" activeCell="A4" sqref="A4"/>
      <selection pane="bottomRight" activeCell="B3" sqref="B3"/>
    </sheetView>
  </sheetViews>
  <sheetFormatPr baseColWidth="10" defaultRowHeight="14.4" x14ac:dyDescent="0.3"/>
  <cols>
    <col min="1" max="1" width="11.44140625" style="5"/>
    <col min="2" max="2" width="11" customWidth="1"/>
    <col min="3" max="3" width="48.5546875" customWidth="1"/>
    <col min="4" max="4" width="10" style="3" bestFit="1" customWidth="1"/>
    <col min="5" max="5" width="15.6640625" customWidth="1"/>
    <col min="6" max="6" width="16.88671875" customWidth="1"/>
    <col min="7" max="12" width="15.6640625" customWidth="1"/>
    <col min="13" max="13" width="15.6640625" style="5" customWidth="1"/>
    <col min="14" max="16" width="15.6640625" customWidth="1"/>
    <col min="17" max="21" width="15.6640625" style="3" customWidth="1"/>
    <col min="22" max="22" width="15.6640625" style="5" customWidth="1"/>
    <col min="23" max="49" width="15.6640625" style="3" customWidth="1"/>
    <col min="50" max="50" width="15.6640625" style="5" customWidth="1"/>
    <col min="51" max="106" width="15.6640625" style="3" customWidth="1"/>
    <col min="107" max="127" width="15.6640625" style="5" customWidth="1"/>
    <col min="128" max="130" width="15.6640625" style="3" customWidth="1"/>
    <col min="131" max="186" width="15.6640625" style="5" customWidth="1"/>
    <col min="187" max="187" width="15.6640625" style="3" customWidth="1"/>
    <col min="188" max="228" width="15.6640625" style="5" customWidth="1"/>
    <col min="229" max="229" width="15.6640625" customWidth="1"/>
  </cols>
  <sheetData>
    <row r="1" spans="1:229" s="5" customFormat="1" ht="15" thickBot="1" x14ac:dyDescent="0.35"/>
    <row r="2" spans="1:229" x14ac:dyDescent="0.3"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5</v>
      </c>
      <c r="P2" s="1" t="s">
        <v>5</v>
      </c>
      <c r="Q2" s="1" t="s">
        <v>5</v>
      </c>
      <c r="R2" s="1" t="s">
        <v>5</v>
      </c>
      <c r="S2" s="1" t="s">
        <v>5</v>
      </c>
      <c r="T2" s="1" t="s">
        <v>5</v>
      </c>
      <c r="U2" s="1" t="s">
        <v>5</v>
      </c>
      <c r="V2" s="1" t="s">
        <v>5</v>
      </c>
      <c r="W2" s="1" t="s">
        <v>5</v>
      </c>
      <c r="X2" s="1" t="s">
        <v>5</v>
      </c>
      <c r="Y2" s="1" t="s">
        <v>5</v>
      </c>
      <c r="Z2" s="1" t="s">
        <v>5</v>
      </c>
      <c r="AA2" s="1" t="s">
        <v>5</v>
      </c>
      <c r="AB2" s="1" t="s">
        <v>5</v>
      </c>
      <c r="AC2" s="1" t="s">
        <v>5</v>
      </c>
      <c r="AD2" s="1" t="s">
        <v>5</v>
      </c>
      <c r="AE2" s="1" t="s">
        <v>5</v>
      </c>
      <c r="AF2" s="1" t="s">
        <v>5</v>
      </c>
      <c r="AG2" s="1" t="s">
        <v>5</v>
      </c>
      <c r="AH2" s="1" t="s">
        <v>5</v>
      </c>
      <c r="AI2" s="1" t="s">
        <v>5</v>
      </c>
      <c r="AJ2" s="1" t="s">
        <v>5</v>
      </c>
      <c r="AK2" s="1" t="s">
        <v>5</v>
      </c>
      <c r="AL2" s="1" t="s">
        <v>5</v>
      </c>
      <c r="AM2" s="1" t="s">
        <v>5</v>
      </c>
      <c r="AN2" s="1" t="s">
        <v>5</v>
      </c>
      <c r="AO2" s="1" t="s">
        <v>5</v>
      </c>
      <c r="AP2" s="1" t="s">
        <v>5</v>
      </c>
      <c r="AQ2" s="1" t="s">
        <v>5</v>
      </c>
      <c r="AR2" s="1" t="s">
        <v>5</v>
      </c>
      <c r="AS2" s="1" t="s">
        <v>5</v>
      </c>
      <c r="AT2" s="1" t="s">
        <v>5</v>
      </c>
      <c r="AU2" s="1" t="s">
        <v>5</v>
      </c>
      <c r="AV2" s="1" t="s">
        <v>5</v>
      </c>
      <c r="AW2" s="1" t="s">
        <v>5</v>
      </c>
      <c r="AX2" s="1" t="s">
        <v>5</v>
      </c>
      <c r="AY2" s="1" t="s">
        <v>5</v>
      </c>
      <c r="AZ2" s="1" t="s">
        <v>5</v>
      </c>
      <c r="BA2" s="1" t="s">
        <v>5</v>
      </c>
      <c r="BB2" s="1" t="s">
        <v>5</v>
      </c>
      <c r="BC2" s="1" t="s">
        <v>5</v>
      </c>
      <c r="BD2" s="1" t="s">
        <v>5</v>
      </c>
      <c r="BE2" s="1" t="s">
        <v>5</v>
      </c>
      <c r="BF2" s="1" t="s">
        <v>5</v>
      </c>
      <c r="BG2" s="1" t="s">
        <v>5</v>
      </c>
      <c r="BH2" s="1" t="s">
        <v>5</v>
      </c>
      <c r="BI2" s="1" t="s">
        <v>5</v>
      </c>
      <c r="BJ2" s="1" t="s">
        <v>5</v>
      </c>
      <c r="BK2" s="1" t="s">
        <v>5</v>
      </c>
      <c r="BL2" s="1" t="s">
        <v>5</v>
      </c>
      <c r="BM2" s="1" t="s">
        <v>5</v>
      </c>
      <c r="BN2" s="1" t="s">
        <v>5</v>
      </c>
      <c r="BO2" s="1" t="s">
        <v>5</v>
      </c>
      <c r="BP2" s="1" t="s">
        <v>5</v>
      </c>
      <c r="BQ2" s="1" t="s">
        <v>5</v>
      </c>
      <c r="BR2" s="1" t="s">
        <v>5</v>
      </c>
      <c r="BS2" s="1" t="s">
        <v>5</v>
      </c>
      <c r="BT2" s="1" t="s">
        <v>5</v>
      </c>
      <c r="BU2" s="1" t="s">
        <v>5</v>
      </c>
      <c r="BV2" s="1" t="s">
        <v>5</v>
      </c>
      <c r="BW2" s="1" t="s">
        <v>5</v>
      </c>
      <c r="BX2" s="1" t="s">
        <v>5</v>
      </c>
      <c r="BY2" s="1" t="s">
        <v>5</v>
      </c>
      <c r="BZ2" s="1" t="s">
        <v>5</v>
      </c>
      <c r="CA2" s="1" t="s">
        <v>5</v>
      </c>
      <c r="CB2" s="1" t="s">
        <v>5</v>
      </c>
      <c r="CC2" s="1" t="s">
        <v>5</v>
      </c>
      <c r="CD2" s="1" t="s">
        <v>5</v>
      </c>
      <c r="CE2" s="1" t="s">
        <v>5</v>
      </c>
      <c r="CF2" s="1" t="s">
        <v>5</v>
      </c>
      <c r="CG2" s="1" t="s">
        <v>5</v>
      </c>
      <c r="CH2" s="1" t="s">
        <v>5</v>
      </c>
      <c r="CI2" s="1" t="s">
        <v>5</v>
      </c>
      <c r="CJ2" s="1" t="s">
        <v>5</v>
      </c>
      <c r="CK2" s="1" t="s">
        <v>5</v>
      </c>
      <c r="CL2" s="1" t="s">
        <v>5</v>
      </c>
      <c r="CM2" s="1" t="s">
        <v>5</v>
      </c>
      <c r="CN2" s="1" t="s">
        <v>5</v>
      </c>
      <c r="CO2" s="1" t="s">
        <v>5</v>
      </c>
      <c r="CP2" s="1" t="s">
        <v>5</v>
      </c>
      <c r="CQ2" s="1" t="s">
        <v>5</v>
      </c>
      <c r="CR2" s="1" t="s">
        <v>5</v>
      </c>
      <c r="CS2" s="1" t="s">
        <v>5</v>
      </c>
      <c r="CT2" s="1" t="s">
        <v>5</v>
      </c>
      <c r="CU2" s="1" t="s">
        <v>5</v>
      </c>
      <c r="CV2" s="1" t="s">
        <v>5</v>
      </c>
      <c r="CW2" s="1" t="s">
        <v>5</v>
      </c>
      <c r="CX2" s="1" t="s">
        <v>5</v>
      </c>
      <c r="CY2" s="1" t="s">
        <v>5</v>
      </c>
      <c r="CZ2" s="1" t="s">
        <v>5</v>
      </c>
      <c r="DA2" s="1" t="s">
        <v>5</v>
      </c>
      <c r="DB2" s="1" t="s">
        <v>5</v>
      </c>
      <c r="DC2" s="1" t="s">
        <v>5</v>
      </c>
      <c r="DD2" s="1" t="s">
        <v>5</v>
      </c>
      <c r="DE2" s="1" t="s">
        <v>5</v>
      </c>
      <c r="DF2" s="1" t="s">
        <v>5</v>
      </c>
      <c r="DG2" s="1" t="s">
        <v>5</v>
      </c>
      <c r="DH2" s="1" t="s">
        <v>5</v>
      </c>
      <c r="DI2" s="1" t="s">
        <v>5</v>
      </c>
      <c r="DJ2" s="1" t="s">
        <v>5</v>
      </c>
      <c r="DK2" s="1" t="s">
        <v>5</v>
      </c>
      <c r="DL2" s="1" t="s">
        <v>5</v>
      </c>
      <c r="DM2" s="1" t="s">
        <v>5</v>
      </c>
      <c r="DN2" s="1" t="s">
        <v>5</v>
      </c>
      <c r="DO2" s="1" t="s">
        <v>5</v>
      </c>
      <c r="DP2" s="1" t="s">
        <v>5</v>
      </c>
      <c r="DQ2" s="1" t="s">
        <v>5</v>
      </c>
      <c r="DR2" s="1" t="s">
        <v>5</v>
      </c>
      <c r="DS2" s="1" t="s">
        <v>5</v>
      </c>
      <c r="DT2" s="1" t="s">
        <v>5</v>
      </c>
      <c r="DU2" s="1" t="s">
        <v>5</v>
      </c>
      <c r="DV2" s="1" t="s">
        <v>5</v>
      </c>
      <c r="DW2" s="1" t="s">
        <v>5</v>
      </c>
      <c r="DX2" s="1" t="s">
        <v>5</v>
      </c>
      <c r="DY2" s="1" t="s">
        <v>5</v>
      </c>
      <c r="DZ2" s="1" t="s">
        <v>5</v>
      </c>
      <c r="EA2" s="1" t="s">
        <v>5</v>
      </c>
      <c r="EB2" s="1" t="s">
        <v>5</v>
      </c>
      <c r="EC2" s="1" t="s">
        <v>5</v>
      </c>
      <c r="ED2" s="1" t="s">
        <v>5</v>
      </c>
      <c r="EE2" s="1" t="s">
        <v>5</v>
      </c>
      <c r="EF2" s="1" t="s">
        <v>5</v>
      </c>
      <c r="EG2" s="1" t="s">
        <v>5</v>
      </c>
      <c r="EH2" s="1" t="s">
        <v>5</v>
      </c>
      <c r="EI2" s="1" t="s">
        <v>5</v>
      </c>
      <c r="EJ2" s="1" t="s">
        <v>5</v>
      </c>
      <c r="EK2" s="1" t="s">
        <v>5</v>
      </c>
      <c r="EL2" s="1" t="s">
        <v>5</v>
      </c>
      <c r="EM2" s="1" t="s">
        <v>5</v>
      </c>
      <c r="EN2" s="1" t="s">
        <v>5</v>
      </c>
      <c r="EO2" s="1" t="s">
        <v>5</v>
      </c>
      <c r="EP2" s="1" t="s">
        <v>5</v>
      </c>
      <c r="EQ2" s="1" t="s">
        <v>5</v>
      </c>
      <c r="ER2" s="1" t="s">
        <v>5</v>
      </c>
      <c r="ES2" s="1" t="s">
        <v>5</v>
      </c>
      <c r="ET2" s="1" t="s">
        <v>5</v>
      </c>
      <c r="EU2" s="1" t="s">
        <v>5</v>
      </c>
      <c r="EV2" s="1" t="s">
        <v>5</v>
      </c>
      <c r="EW2" s="1" t="s">
        <v>5</v>
      </c>
      <c r="EX2" s="1" t="s">
        <v>5</v>
      </c>
      <c r="EY2" s="1" t="s">
        <v>5</v>
      </c>
      <c r="EZ2" s="1" t="s">
        <v>5</v>
      </c>
      <c r="FA2" s="1" t="s">
        <v>5</v>
      </c>
      <c r="FB2" s="1" t="s">
        <v>5</v>
      </c>
      <c r="FC2" s="1" t="s">
        <v>5</v>
      </c>
      <c r="FD2" s="1" t="s">
        <v>5</v>
      </c>
      <c r="FE2" s="1" t="s">
        <v>5</v>
      </c>
      <c r="FF2" s="1" t="s">
        <v>5</v>
      </c>
      <c r="FG2" s="1" t="s">
        <v>5</v>
      </c>
      <c r="FH2" s="1" t="s">
        <v>5</v>
      </c>
      <c r="FI2" s="1" t="s">
        <v>5</v>
      </c>
      <c r="FJ2" s="1" t="s">
        <v>5</v>
      </c>
      <c r="FK2" s="1" t="s">
        <v>5</v>
      </c>
      <c r="FL2" s="1" t="s">
        <v>5</v>
      </c>
      <c r="FM2" s="1" t="s">
        <v>5</v>
      </c>
      <c r="FN2" s="1" t="s">
        <v>5</v>
      </c>
      <c r="FO2" s="1" t="s">
        <v>5</v>
      </c>
      <c r="FP2" s="1" t="s">
        <v>5</v>
      </c>
      <c r="FQ2" s="1" t="s">
        <v>5</v>
      </c>
      <c r="FR2" s="1" t="s">
        <v>5</v>
      </c>
      <c r="FS2" s="1" t="s">
        <v>5</v>
      </c>
      <c r="FT2" s="1" t="s">
        <v>5</v>
      </c>
      <c r="FU2" s="1" t="s">
        <v>5</v>
      </c>
      <c r="FV2" s="1" t="s">
        <v>5</v>
      </c>
      <c r="FW2" s="1" t="s">
        <v>5</v>
      </c>
      <c r="FX2" s="1" t="s">
        <v>5</v>
      </c>
      <c r="FY2" s="1" t="s">
        <v>5</v>
      </c>
      <c r="FZ2" s="1" t="s">
        <v>5</v>
      </c>
      <c r="GA2" s="1" t="s">
        <v>5</v>
      </c>
      <c r="GB2" s="1" t="s">
        <v>5</v>
      </c>
      <c r="GC2" s="1" t="s">
        <v>5</v>
      </c>
      <c r="GD2" s="1" t="s">
        <v>5</v>
      </c>
      <c r="GE2" s="1" t="s">
        <v>5</v>
      </c>
      <c r="GF2" s="1" t="s">
        <v>5</v>
      </c>
      <c r="GG2" s="1" t="s">
        <v>5</v>
      </c>
      <c r="GH2" s="1" t="s">
        <v>5</v>
      </c>
      <c r="GI2" s="1" t="s">
        <v>5</v>
      </c>
      <c r="GJ2" s="1" t="s">
        <v>5</v>
      </c>
      <c r="GK2" s="1" t="s">
        <v>5</v>
      </c>
      <c r="GL2" s="1" t="s">
        <v>5</v>
      </c>
      <c r="GM2" s="1" t="s">
        <v>5</v>
      </c>
      <c r="GN2" s="1" t="s">
        <v>5</v>
      </c>
      <c r="GO2" s="1" t="s">
        <v>5</v>
      </c>
      <c r="GP2" s="1"/>
      <c r="GQ2" s="1" t="s">
        <v>5</v>
      </c>
      <c r="GR2" s="1" t="s">
        <v>5</v>
      </c>
      <c r="GS2" s="1" t="s">
        <v>5</v>
      </c>
      <c r="GT2" s="1" t="s">
        <v>5</v>
      </c>
      <c r="GU2" s="1" t="s">
        <v>5</v>
      </c>
      <c r="GV2" s="1" t="s">
        <v>5</v>
      </c>
      <c r="GW2" s="1" t="s">
        <v>5</v>
      </c>
      <c r="GX2" s="1" t="s">
        <v>5</v>
      </c>
      <c r="GY2" s="1" t="s">
        <v>5</v>
      </c>
      <c r="GZ2" s="1" t="s">
        <v>5</v>
      </c>
      <c r="HA2" s="1" t="s">
        <v>5</v>
      </c>
      <c r="HB2" s="1" t="s">
        <v>5</v>
      </c>
      <c r="HC2" s="1" t="s">
        <v>5</v>
      </c>
      <c r="HD2" s="1" t="s">
        <v>5</v>
      </c>
      <c r="HE2" s="1" t="s">
        <v>5</v>
      </c>
      <c r="HF2" s="1" t="s">
        <v>5</v>
      </c>
      <c r="HG2" s="1" t="s">
        <v>5</v>
      </c>
      <c r="HH2" s="1" t="s">
        <v>5</v>
      </c>
      <c r="HI2" s="1" t="s">
        <v>5</v>
      </c>
      <c r="HJ2" s="1" t="s">
        <v>5</v>
      </c>
      <c r="HK2" s="1" t="s">
        <v>5</v>
      </c>
      <c r="HL2" s="1" t="s">
        <v>5</v>
      </c>
      <c r="HM2" s="1" t="s">
        <v>5</v>
      </c>
      <c r="HN2" s="1" t="s">
        <v>5</v>
      </c>
      <c r="HO2" s="1" t="s">
        <v>5</v>
      </c>
      <c r="HP2" s="1" t="s">
        <v>5</v>
      </c>
      <c r="HQ2" s="1" t="s">
        <v>5</v>
      </c>
      <c r="HR2" s="1" t="s">
        <v>5</v>
      </c>
      <c r="HS2" s="1" t="s">
        <v>5</v>
      </c>
      <c r="HT2" s="1" t="s">
        <v>5</v>
      </c>
      <c r="HU2" s="38" t="s">
        <v>7</v>
      </c>
    </row>
    <row r="3" spans="1:229" x14ac:dyDescent="0.3">
      <c r="B3" s="13" t="s">
        <v>55</v>
      </c>
      <c r="C3" s="13" t="s">
        <v>0</v>
      </c>
      <c r="D3" s="13" t="s">
        <v>1</v>
      </c>
      <c r="E3" s="39">
        <v>44663</v>
      </c>
      <c r="F3" s="39">
        <v>44676</v>
      </c>
      <c r="G3" s="39">
        <v>44686</v>
      </c>
      <c r="H3" s="39">
        <v>44705</v>
      </c>
      <c r="I3" s="39">
        <v>44712</v>
      </c>
      <c r="J3" s="39">
        <v>44728</v>
      </c>
      <c r="K3" s="39">
        <v>44733</v>
      </c>
      <c r="L3" s="39">
        <v>44734</v>
      </c>
      <c r="M3" s="39">
        <v>44743</v>
      </c>
      <c r="N3" s="39">
        <v>44748</v>
      </c>
      <c r="O3" s="39">
        <v>44754</v>
      </c>
      <c r="P3" s="39">
        <v>44756</v>
      </c>
      <c r="Q3" s="39">
        <v>44757</v>
      </c>
      <c r="R3" s="39">
        <v>44762</v>
      </c>
      <c r="S3" s="39">
        <v>44800</v>
      </c>
      <c r="T3" s="39">
        <v>44781</v>
      </c>
      <c r="U3" s="39">
        <v>44804</v>
      </c>
      <c r="V3" s="39">
        <v>44806</v>
      </c>
      <c r="W3" s="39">
        <v>44812</v>
      </c>
      <c r="X3" s="39">
        <v>44824</v>
      </c>
      <c r="Y3" s="39">
        <v>44837</v>
      </c>
      <c r="Z3" s="39">
        <v>44844</v>
      </c>
      <c r="AA3" s="39">
        <v>44845</v>
      </c>
      <c r="AB3" s="39">
        <v>44847</v>
      </c>
      <c r="AC3" s="39">
        <v>44855</v>
      </c>
      <c r="AD3" s="39">
        <v>44858</v>
      </c>
      <c r="AE3" s="39">
        <v>44860</v>
      </c>
      <c r="AF3" s="39">
        <v>44861</v>
      </c>
      <c r="AG3" s="39">
        <v>44862</v>
      </c>
      <c r="AH3" s="39">
        <v>44865</v>
      </c>
      <c r="AI3" s="39">
        <v>44867</v>
      </c>
      <c r="AJ3" s="39">
        <v>44874</v>
      </c>
      <c r="AK3" s="39">
        <v>44879</v>
      </c>
      <c r="AL3" s="39">
        <v>44886</v>
      </c>
      <c r="AM3" s="39">
        <v>44888</v>
      </c>
      <c r="AN3" s="39">
        <v>44893</v>
      </c>
      <c r="AO3" s="39">
        <v>44894</v>
      </c>
      <c r="AP3" s="39">
        <v>44897</v>
      </c>
      <c r="AQ3" s="39">
        <v>44900</v>
      </c>
      <c r="AR3" s="39">
        <v>44957</v>
      </c>
      <c r="AS3" s="39">
        <v>44965</v>
      </c>
      <c r="AT3" s="39">
        <v>44970</v>
      </c>
      <c r="AU3" s="39">
        <v>44971</v>
      </c>
      <c r="AV3" s="39">
        <v>44986</v>
      </c>
      <c r="AW3" s="39">
        <v>44987</v>
      </c>
      <c r="AX3" s="39">
        <v>44999</v>
      </c>
      <c r="AY3" s="39">
        <v>45000</v>
      </c>
      <c r="AZ3" s="39">
        <v>45009</v>
      </c>
      <c r="BA3" s="39">
        <v>45027</v>
      </c>
      <c r="BB3" s="39">
        <v>45033</v>
      </c>
      <c r="BC3" s="39">
        <v>45034</v>
      </c>
      <c r="BD3" s="39">
        <v>45050</v>
      </c>
      <c r="BE3" s="39">
        <v>45055</v>
      </c>
      <c r="BF3" s="39">
        <v>45068</v>
      </c>
      <c r="BG3" s="39">
        <v>45069</v>
      </c>
      <c r="BH3" s="39">
        <v>45071</v>
      </c>
      <c r="BI3" s="39">
        <v>45079</v>
      </c>
      <c r="BJ3" s="39">
        <v>45089</v>
      </c>
      <c r="BK3" s="39">
        <v>45091</v>
      </c>
      <c r="BL3" s="39">
        <v>45096</v>
      </c>
      <c r="BM3" s="39">
        <v>45098</v>
      </c>
      <c r="BN3" s="39">
        <v>45099</v>
      </c>
      <c r="BO3" s="39">
        <v>45107</v>
      </c>
      <c r="BP3" s="39">
        <v>45120</v>
      </c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  <c r="GV3" s="39"/>
      <c r="GW3" s="39"/>
      <c r="GX3" s="39"/>
      <c r="GY3" s="39"/>
      <c r="GZ3" s="39"/>
      <c r="HA3" s="39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  <c r="HN3" s="39"/>
      <c r="HO3" s="39"/>
      <c r="HP3" s="39"/>
      <c r="HQ3" s="39"/>
      <c r="HR3" s="39"/>
      <c r="HS3" s="39"/>
      <c r="HT3" s="39"/>
      <c r="HU3" s="39">
        <f ca="1">TODAY()</f>
        <v>45124</v>
      </c>
    </row>
    <row r="4" spans="1:229" s="5" customFormat="1" x14ac:dyDescent="0.3">
      <c r="B4" s="2" t="s">
        <v>56</v>
      </c>
      <c r="C4" s="2" t="s">
        <v>57</v>
      </c>
      <c r="D4" s="14" t="s">
        <v>61</v>
      </c>
      <c r="E4" s="2"/>
      <c r="F4" s="2">
        <f>80+40</f>
        <v>120</v>
      </c>
      <c r="G4" s="2"/>
      <c r="H4" s="2">
        <v>40</v>
      </c>
      <c r="I4" s="2"/>
      <c r="J4" s="2"/>
      <c r="K4" s="2">
        <v>40</v>
      </c>
      <c r="L4" s="2"/>
      <c r="M4" s="2"/>
      <c r="N4" s="2">
        <v>399</v>
      </c>
      <c r="O4" s="2"/>
      <c r="P4" s="2"/>
      <c r="Q4" s="2"/>
      <c r="R4" s="2"/>
      <c r="S4" s="2"/>
      <c r="T4" s="2"/>
      <c r="U4" s="31"/>
      <c r="V4" s="31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>
        <f t="shared" ref="HU4:HU29" si="0">SUM(E4:HT4)</f>
        <v>599</v>
      </c>
    </row>
    <row r="5" spans="1:229" s="5" customFormat="1" x14ac:dyDescent="0.3">
      <c r="B5" s="2" t="s">
        <v>15</v>
      </c>
      <c r="C5" s="2" t="s">
        <v>16</v>
      </c>
      <c r="D5" s="14" t="s">
        <v>12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1"/>
      <c r="V5" s="31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>
        <f t="shared" si="0"/>
        <v>0</v>
      </c>
    </row>
    <row r="6" spans="1:229" s="3" customFormat="1" x14ac:dyDescent="0.3">
      <c r="A6" s="5"/>
      <c r="B6" s="2" t="s">
        <v>19</v>
      </c>
      <c r="C6" s="2" t="s">
        <v>20</v>
      </c>
      <c r="D6" s="14" t="s">
        <v>61</v>
      </c>
      <c r="E6" s="2"/>
      <c r="F6" s="2">
        <f>80+40</f>
        <v>120</v>
      </c>
      <c r="G6" s="2"/>
      <c r="H6" s="2">
        <f>280+160</f>
        <v>440</v>
      </c>
      <c r="I6" s="2"/>
      <c r="J6" s="2"/>
      <c r="K6" s="2">
        <v>79</v>
      </c>
      <c r="L6" s="2"/>
      <c r="M6" s="2"/>
      <c r="N6" s="2">
        <f>40</f>
        <v>40</v>
      </c>
      <c r="O6" s="2"/>
      <c r="P6" s="2">
        <v>200</v>
      </c>
      <c r="Q6" s="2"/>
      <c r="R6" s="2"/>
      <c r="S6" s="2"/>
      <c r="T6" s="2"/>
      <c r="U6" s="31"/>
      <c r="V6" s="31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>
        <f t="shared" si="0"/>
        <v>879</v>
      </c>
    </row>
    <row r="7" spans="1:229" s="3" customFormat="1" x14ac:dyDescent="0.3">
      <c r="A7" s="5"/>
      <c r="B7" s="2" t="s">
        <v>21</v>
      </c>
      <c r="C7" s="2" t="s">
        <v>22</v>
      </c>
      <c r="D7" s="14" t="s">
        <v>13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31"/>
      <c r="V7" s="31">
        <v>25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>
        <f t="shared" si="0"/>
        <v>25</v>
      </c>
    </row>
    <row r="8" spans="1:229" s="5" customFormat="1" x14ac:dyDescent="0.3">
      <c r="B8" s="2" t="s">
        <v>17</v>
      </c>
      <c r="C8" s="2" t="s">
        <v>18</v>
      </c>
      <c r="D8" s="14" t="s">
        <v>59</v>
      </c>
      <c r="E8" s="2"/>
      <c r="F8" s="2">
        <f>30+29+60</f>
        <v>119</v>
      </c>
      <c r="G8" s="2"/>
      <c r="H8" s="2">
        <f>180+180</f>
        <v>360</v>
      </c>
      <c r="I8" s="2"/>
      <c r="J8" s="2"/>
      <c r="K8" s="2"/>
      <c r="L8" s="2"/>
      <c r="M8" s="2"/>
      <c r="N8" s="2">
        <f>180+29</f>
        <v>209</v>
      </c>
      <c r="O8" s="2"/>
      <c r="P8" s="2"/>
      <c r="Q8" s="2"/>
      <c r="R8" s="2"/>
      <c r="S8" s="2"/>
      <c r="T8" s="2"/>
      <c r="U8" s="31"/>
      <c r="V8" s="31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>
        <f t="shared" si="0"/>
        <v>688</v>
      </c>
    </row>
    <row r="9" spans="1:229" s="5" customFormat="1" x14ac:dyDescent="0.3">
      <c r="B9" s="2" t="s">
        <v>31</v>
      </c>
      <c r="C9" s="2" t="s">
        <v>32</v>
      </c>
      <c r="D9" s="14" t="s">
        <v>61</v>
      </c>
      <c r="E9" s="2"/>
      <c r="F9" s="2"/>
      <c r="G9" s="2"/>
      <c r="H9" s="2">
        <v>72</v>
      </c>
      <c r="I9" s="2"/>
      <c r="J9" s="2"/>
      <c r="K9" s="2">
        <v>358</v>
      </c>
      <c r="L9" s="2"/>
      <c r="M9" s="2"/>
      <c r="N9" s="2">
        <v>423</v>
      </c>
      <c r="O9" s="2"/>
      <c r="P9" s="2"/>
      <c r="Q9" s="2"/>
      <c r="R9" s="2"/>
      <c r="S9" s="2"/>
      <c r="T9" s="2"/>
      <c r="U9" s="31"/>
      <c r="V9" s="31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>
        <v>6</v>
      </c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>
        <f t="shared" si="0"/>
        <v>859</v>
      </c>
    </row>
    <row r="10" spans="1:229" s="5" customFormat="1" x14ac:dyDescent="0.3">
      <c r="B10" s="2" t="s">
        <v>35</v>
      </c>
      <c r="C10" s="2" t="s">
        <v>36</v>
      </c>
      <c r="D10" s="14" t="s">
        <v>61</v>
      </c>
      <c r="E10" s="2"/>
      <c r="F10" s="2">
        <f>40*3+40*2+40+40+320</f>
        <v>600</v>
      </c>
      <c r="G10" s="2"/>
      <c r="H10" s="2">
        <v>79</v>
      </c>
      <c r="I10" s="2"/>
      <c r="J10" s="2"/>
      <c r="K10" s="2"/>
      <c r="L10" s="2"/>
      <c r="M10" s="2"/>
      <c r="N10" s="2">
        <v>160</v>
      </c>
      <c r="O10" s="2"/>
      <c r="P10" s="2"/>
      <c r="Q10" s="2"/>
      <c r="R10" s="2"/>
      <c r="S10" s="2"/>
      <c r="T10" s="2"/>
      <c r="U10" s="31"/>
      <c r="V10" s="31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>
        <f t="shared" si="0"/>
        <v>839</v>
      </c>
    </row>
    <row r="11" spans="1:229" s="5" customFormat="1" x14ac:dyDescent="0.3">
      <c r="B11" s="2" t="s">
        <v>451</v>
      </c>
      <c r="C11" s="2" t="s">
        <v>437</v>
      </c>
      <c r="D11" s="14" t="s">
        <v>12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31"/>
      <c r="V11" s="31">
        <v>4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>
        <f t="shared" si="0"/>
        <v>4</v>
      </c>
    </row>
    <row r="12" spans="1:229" s="5" customFormat="1" x14ac:dyDescent="0.3">
      <c r="B12" s="2" t="s">
        <v>33</v>
      </c>
      <c r="C12" s="2" t="s">
        <v>34</v>
      </c>
      <c r="D12" s="14" t="s">
        <v>59</v>
      </c>
      <c r="E12" s="2"/>
      <c r="F12" s="2">
        <f>30+30+60</f>
        <v>120</v>
      </c>
      <c r="G12" s="2"/>
      <c r="H12" s="2">
        <f>60+60</f>
        <v>120</v>
      </c>
      <c r="I12" s="2"/>
      <c r="J12" s="2"/>
      <c r="K12" s="2">
        <v>144</v>
      </c>
      <c r="L12" s="2"/>
      <c r="M12" s="2"/>
      <c r="N12" s="2"/>
      <c r="O12" s="2"/>
      <c r="P12" s="2"/>
      <c r="Q12" s="2"/>
      <c r="R12" s="2"/>
      <c r="S12" s="2"/>
      <c r="T12" s="2"/>
      <c r="U12" s="31"/>
      <c r="V12" s="31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>
        <f t="shared" si="0"/>
        <v>384</v>
      </c>
    </row>
    <row r="13" spans="1:229" s="5" customFormat="1" x14ac:dyDescent="0.3">
      <c r="B13" s="2" t="s">
        <v>23</v>
      </c>
      <c r="C13" s="2" t="s">
        <v>24</v>
      </c>
      <c r="D13" s="14" t="s">
        <v>61</v>
      </c>
      <c r="E13" s="2"/>
      <c r="F13" s="2">
        <f>24*8+24*8+384</f>
        <v>768</v>
      </c>
      <c r="G13" s="2"/>
      <c r="H13" s="2"/>
      <c r="I13" s="2"/>
      <c r="J13" s="2"/>
      <c r="K13" s="2"/>
      <c r="L13" s="2"/>
      <c r="M13" s="2"/>
      <c r="N13" s="2"/>
      <c r="O13" s="2">
        <f>11*192</f>
        <v>2112</v>
      </c>
      <c r="P13" s="2"/>
      <c r="Q13" s="2"/>
      <c r="R13" s="2"/>
      <c r="S13" s="2"/>
      <c r="T13" s="2">
        <v>2304</v>
      </c>
      <c r="U13" s="31"/>
      <c r="V13" s="31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>
        <v>960</v>
      </c>
      <c r="AP13" s="2"/>
      <c r="AQ13" s="2">
        <v>1344</v>
      </c>
      <c r="AR13" s="2">
        <v>768</v>
      </c>
      <c r="AS13" s="2"/>
      <c r="AT13" s="2"/>
      <c r="AU13" s="2">
        <v>1344</v>
      </c>
      <c r="AV13" s="2"/>
      <c r="AW13" s="2"/>
      <c r="AX13" s="2"/>
      <c r="AY13" s="2"/>
      <c r="AZ13" s="2"/>
      <c r="BA13" s="2"/>
      <c r="BB13" s="2"/>
      <c r="BC13" s="2">
        <v>960</v>
      </c>
      <c r="BD13" s="2">
        <v>768</v>
      </c>
      <c r="BE13" s="2"/>
      <c r="BF13" s="2">
        <v>768</v>
      </c>
      <c r="BG13" s="2"/>
      <c r="BH13" s="2"/>
      <c r="BI13" s="2"/>
      <c r="BJ13" s="2">
        <v>1344</v>
      </c>
      <c r="BK13" s="2"/>
      <c r="BL13" s="2"/>
      <c r="BM13" s="2">
        <v>960</v>
      </c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>
        <f t="shared" si="0"/>
        <v>14400</v>
      </c>
    </row>
    <row r="14" spans="1:229" s="5" customFormat="1" x14ac:dyDescent="0.3">
      <c r="B14" s="2" t="s">
        <v>25</v>
      </c>
      <c r="C14" s="2" t="s">
        <v>26</v>
      </c>
      <c r="D14" s="14" t="s">
        <v>61</v>
      </c>
      <c r="E14" s="2"/>
      <c r="F14" s="2">
        <f>12*5+12*5+120</f>
        <v>240</v>
      </c>
      <c r="G14" s="2"/>
      <c r="H14" s="2">
        <v>60</v>
      </c>
      <c r="I14" s="2"/>
      <c r="J14" s="2"/>
      <c r="K14" s="2">
        <v>540</v>
      </c>
      <c r="L14" s="2">
        <v>480</v>
      </c>
      <c r="M14" s="2"/>
      <c r="N14" s="2"/>
      <c r="O14" s="2">
        <f>11*60</f>
        <v>660</v>
      </c>
      <c r="P14" s="2"/>
      <c r="Q14" s="2"/>
      <c r="R14" s="2"/>
      <c r="S14" s="2"/>
      <c r="T14" s="2"/>
      <c r="U14" s="31"/>
      <c r="V14" s="31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>
        <v>720</v>
      </c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>
        <v>360</v>
      </c>
      <c r="AZ14" s="2"/>
      <c r="BA14" s="2"/>
      <c r="BB14" s="2"/>
      <c r="BC14" s="2"/>
      <c r="BD14" s="2">
        <v>240</v>
      </c>
      <c r="BE14" s="2"/>
      <c r="BF14" s="2">
        <v>240</v>
      </c>
      <c r="BG14" s="2"/>
      <c r="BH14" s="2"/>
      <c r="BI14" s="2">
        <v>720</v>
      </c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>
        <f t="shared" si="0"/>
        <v>4260</v>
      </c>
    </row>
    <row r="15" spans="1:229" s="5" customFormat="1" x14ac:dyDescent="0.3">
      <c r="B15" s="2" t="s">
        <v>27</v>
      </c>
      <c r="C15" s="2" t="s">
        <v>28</v>
      </c>
      <c r="D15" s="14" t="s">
        <v>61</v>
      </c>
      <c r="E15" s="2">
        <v>384</v>
      </c>
      <c r="F15" s="2"/>
      <c r="G15" s="2"/>
      <c r="H15" s="2">
        <f>192+192</f>
        <v>384</v>
      </c>
      <c r="I15" s="2"/>
      <c r="J15" s="2"/>
      <c r="K15" s="2">
        <v>576</v>
      </c>
      <c r="L15" s="2"/>
      <c r="M15" s="2"/>
      <c r="N15" s="2"/>
      <c r="O15" s="2"/>
      <c r="P15" s="2"/>
      <c r="Q15" s="2"/>
      <c r="R15" s="2"/>
      <c r="S15" s="2"/>
      <c r="T15" s="2">
        <v>1536</v>
      </c>
      <c r="U15" s="31"/>
      <c r="V15" s="31"/>
      <c r="W15" s="2"/>
      <c r="X15" s="2"/>
      <c r="Y15" s="2"/>
      <c r="Z15" s="2"/>
      <c r="AA15" s="2"/>
      <c r="AB15" s="2"/>
      <c r="AC15" s="2"/>
      <c r="AD15" s="2"/>
      <c r="AE15" s="2">
        <v>5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>
        <v>2304</v>
      </c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>
        <v>768</v>
      </c>
      <c r="BE15" s="2"/>
      <c r="BF15" s="2">
        <v>768</v>
      </c>
      <c r="BG15" s="2"/>
      <c r="BH15" s="2"/>
      <c r="BI15" s="2"/>
      <c r="BJ15" s="2"/>
      <c r="BK15" s="2"/>
      <c r="BL15" s="2"/>
      <c r="BM15" s="2"/>
      <c r="BN15" s="2">
        <v>960</v>
      </c>
      <c r="BO15" s="2">
        <v>1344</v>
      </c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>
        <f t="shared" si="0"/>
        <v>9029</v>
      </c>
    </row>
    <row r="16" spans="1:229" s="5" customFormat="1" x14ac:dyDescent="0.3">
      <c r="B16" s="2" t="s">
        <v>29</v>
      </c>
      <c r="C16" s="2" t="s">
        <v>30</v>
      </c>
      <c r="D16" s="14" t="s">
        <v>61</v>
      </c>
      <c r="E16" s="2"/>
      <c r="F16" s="2">
        <v>120</v>
      </c>
      <c r="G16" s="2"/>
      <c r="H16" s="2">
        <v>60</v>
      </c>
      <c r="I16" s="2"/>
      <c r="J16" s="2"/>
      <c r="K16" s="2">
        <v>779</v>
      </c>
      <c r="L16" s="2"/>
      <c r="M16" s="2"/>
      <c r="N16" s="2"/>
      <c r="O16" s="2"/>
      <c r="P16" s="2"/>
      <c r="Q16" s="2"/>
      <c r="R16" s="2"/>
      <c r="S16" s="2"/>
      <c r="T16" s="2"/>
      <c r="U16" s="31"/>
      <c r="V16" s="31"/>
      <c r="W16" s="2"/>
      <c r="X16" s="2"/>
      <c r="Y16" s="2"/>
      <c r="Z16" s="2"/>
      <c r="AA16" s="2"/>
      <c r="AB16" s="2"/>
      <c r="AC16" s="2"/>
      <c r="AD16" s="2"/>
      <c r="AE16" s="2">
        <v>60</v>
      </c>
      <c r="AF16" s="2"/>
      <c r="AG16" s="2"/>
      <c r="AH16" s="2"/>
      <c r="AI16" s="2"/>
      <c r="AJ16" s="2"/>
      <c r="AK16" s="2">
        <v>720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>
        <v>360</v>
      </c>
      <c r="AZ16" s="2"/>
      <c r="BA16" s="2"/>
      <c r="BB16" s="2"/>
      <c r="BC16" s="2"/>
      <c r="BD16" s="2">
        <v>240</v>
      </c>
      <c r="BE16" s="2"/>
      <c r="BF16" s="2">
        <v>240</v>
      </c>
      <c r="BG16" s="2"/>
      <c r="BH16" s="2"/>
      <c r="BI16" s="2"/>
      <c r="BJ16" s="2">
        <v>720</v>
      </c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>
        <f t="shared" si="0"/>
        <v>3299</v>
      </c>
    </row>
    <row r="17" spans="2:229" s="5" customFormat="1" x14ac:dyDescent="0.3">
      <c r="B17" s="2" t="s">
        <v>525</v>
      </c>
      <c r="C17" s="2" t="s">
        <v>526</v>
      </c>
      <c r="D17" s="14" t="s">
        <v>61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31"/>
      <c r="V17" s="31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>
        <v>484</v>
      </c>
      <c r="AZ17" s="2"/>
      <c r="BA17" s="2"/>
      <c r="BB17" s="2"/>
      <c r="BC17" s="2"/>
      <c r="BD17" s="2">
        <v>484</v>
      </c>
      <c r="BE17" s="2"/>
      <c r="BF17" s="2"/>
      <c r="BG17" s="2"/>
      <c r="BH17" s="2"/>
      <c r="BI17" s="2">
        <v>440</v>
      </c>
      <c r="BJ17" s="2">
        <v>176</v>
      </c>
      <c r="BK17" s="2"/>
      <c r="BL17" s="2"/>
      <c r="BM17" s="2"/>
      <c r="BN17" s="2"/>
      <c r="BO17" s="42">
        <v>132</v>
      </c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>
        <f t="shared" si="0"/>
        <v>1716</v>
      </c>
    </row>
    <row r="18" spans="2:229" s="5" customFormat="1" x14ac:dyDescent="0.3">
      <c r="B18" s="2" t="s">
        <v>39</v>
      </c>
      <c r="C18" s="2" t="s">
        <v>40</v>
      </c>
      <c r="D18" s="14" t="s">
        <v>60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31"/>
      <c r="V18" s="31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>
        <f t="shared" si="0"/>
        <v>0</v>
      </c>
    </row>
    <row r="19" spans="2:229" s="5" customFormat="1" ht="13.95" customHeight="1" x14ac:dyDescent="0.3">
      <c r="B19" s="2" t="s">
        <v>37</v>
      </c>
      <c r="C19" s="2" t="s">
        <v>38</v>
      </c>
      <c r="D19" s="14" t="s">
        <v>59</v>
      </c>
      <c r="E19" s="2">
        <f>476+748+748+8</f>
        <v>1980</v>
      </c>
      <c r="F19" s="2"/>
      <c r="G19" s="2"/>
      <c r="H19" s="2"/>
      <c r="I19" s="2">
        <f>476+714</f>
        <v>1190</v>
      </c>
      <c r="J19" s="2">
        <v>2176</v>
      </c>
      <c r="K19" s="2"/>
      <c r="L19" s="2"/>
      <c r="M19" s="2"/>
      <c r="N19" s="2"/>
      <c r="O19" s="2"/>
      <c r="P19" s="2"/>
      <c r="Q19" s="2">
        <f>680*3+238</f>
        <v>2278</v>
      </c>
      <c r="R19" s="2">
        <v>170</v>
      </c>
      <c r="S19" s="2"/>
      <c r="T19" s="2"/>
      <c r="U19" s="2"/>
      <c r="V19" s="2"/>
      <c r="W19" s="2">
        <f>748*2</f>
        <v>1496</v>
      </c>
      <c r="X19" s="2">
        <v>748</v>
      </c>
      <c r="Y19" s="2">
        <v>748</v>
      </c>
      <c r="Z19" s="2"/>
      <c r="AA19" s="2">
        <v>748</v>
      </c>
      <c r="AB19" s="2">
        <v>748</v>
      </c>
      <c r="AC19" s="2"/>
      <c r="AD19" s="2"/>
      <c r="AE19" s="2">
        <f>136+748</f>
        <v>884</v>
      </c>
      <c r="AF19" s="2">
        <v>748</v>
      </c>
      <c r="AG19" s="2">
        <v>748</v>
      </c>
      <c r="AH19" s="2"/>
      <c r="AI19" s="2"/>
      <c r="AJ19" s="2">
        <v>612</v>
      </c>
      <c r="AK19" s="2">
        <v>748</v>
      </c>
      <c r="AL19" s="2">
        <v>1496</v>
      </c>
      <c r="AM19" s="2">
        <v>748</v>
      </c>
      <c r="AN19" s="2">
        <f>136+748</f>
        <v>884</v>
      </c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>
        <f>340+306</f>
        <v>646</v>
      </c>
      <c r="BL19" s="2"/>
      <c r="BM19" s="2">
        <v>578</v>
      </c>
      <c r="BN19" s="2">
        <v>578</v>
      </c>
      <c r="BO19" s="2">
        <v>34</v>
      </c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>
        <f t="shared" si="0"/>
        <v>20986</v>
      </c>
    </row>
    <row r="20" spans="2:229" s="5" customFormat="1" x14ac:dyDescent="0.3">
      <c r="B20" s="2" t="s">
        <v>41</v>
      </c>
      <c r="C20" s="2" t="s">
        <v>42</v>
      </c>
      <c r="D20" s="14" t="s">
        <v>59</v>
      </c>
      <c r="E20" s="2">
        <v>720</v>
      </c>
      <c r="F20" s="2">
        <v>1</v>
      </c>
      <c r="G20" s="2"/>
      <c r="H20" s="2"/>
      <c r="I20" s="2">
        <v>714</v>
      </c>
      <c r="J20" s="2"/>
      <c r="K20" s="2"/>
      <c r="L20" s="2"/>
      <c r="M20" s="2">
        <v>4</v>
      </c>
      <c r="N20" s="2"/>
      <c r="O20" s="2"/>
      <c r="P20" s="2"/>
      <c r="Q20" s="2"/>
      <c r="R20" s="2"/>
      <c r="S20" s="2">
        <f>748*3</f>
        <v>2244</v>
      </c>
      <c r="T20" s="2"/>
      <c r="U20" s="2"/>
      <c r="V20" s="2"/>
      <c r="W20" s="2"/>
      <c r="X20" s="2"/>
      <c r="Y20" s="2"/>
      <c r="Z20" s="2">
        <v>748</v>
      </c>
      <c r="AA20" s="2">
        <v>748</v>
      </c>
      <c r="AB20" s="2"/>
      <c r="AC20" s="2"/>
      <c r="AD20" s="2"/>
      <c r="AE20" s="2"/>
      <c r="AF20" s="2"/>
      <c r="AG20" s="2"/>
      <c r="AH20" s="2">
        <v>748</v>
      </c>
      <c r="AI20" s="2">
        <v>68</v>
      </c>
      <c r="AJ20" s="2"/>
      <c r="AK20" s="2"/>
      <c r="AL20" s="2"/>
      <c r="AM20" s="2"/>
      <c r="AN20" s="2">
        <f>68+748</f>
        <v>816</v>
      </c>
      <c r="AO20" s="2"/>
      <c r="AP20" s="2"/>
      <c r="AQ20" s="2"/>
      <c r="AR20" s="2">
        <f>3*34+3*34</f>
        <v>204</v>
      </c>
      <c r="AS20" s="2">
        <v>204</v>
      </c>
      <c r="AT20" s="2">
        <v>102</v>
      </c>
      <c r="AU20" s="2">
        <v>510</v>
      </c>
      <c r="AV20" s="2">
        <v>748</v>
      </c>
      <c r="AW20" s="2"/>
      <c r="AX20" s="2"/>
      <c r="AY20" s="2"/>
      <c r="AZ20" s="2">
        <f>748+748</f>
        <v>1496</v>
      </c>
      <c r="BA20" s="2"/>
      <c r="BB20" s="2"/>
      <c r="BC20" s="2">
        <v>578</v>
      </c>
      <c r="BD20" s="2"/>
      <c r="BE20" s="2"/>
      <c r="BF20" s="2"/>
      <c r="BG20" s="2"/>
      <c r="BH20" s="2"/>
      <c r="BI20" s="2"/>
      <c r="BJ20" s="2"/>
      <c r="BK20" s="2">
        <v>408</v>
      </c>
      <c r="BL20" s="2"/>
      <c r="BM20" s="2"/>
      <c r="BN20" s="2"/>
      <c r="BO20" s="2">
        <f>476+272</f>
        <v>748</v>
      </c>
      <c r="BP20" s="29">
        <v>136</v>
      </c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>
        <f t="shared" si="0"/>
        <v>11945</v>
      </c>
    </row>
    <row r="21" spans="2:229" s="5" customFormat="1" x14ac:dyDescent="0.3">
      <c r="B21" s="2" t="s">
        <v>531</v>
      </c>
      <c r="C21" s="2" t="s">
        <v>532</v>
      </c>
      <c r="D21" s="14" t="s">
        <v>61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31"/>
      <c r="V21" s="31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>
        <v>484</v>
      </c>
      <c r="BB21" s="2"/>
      <c r="BC21" s="2"/>
      <c r="BD21" s="2">
        <f>264+220</f>
        <v>484</v>
      </c>
      <c r="BE21" s="2"/>
      <c r="BF21" s="2">
        <v>352</v>
      </c>
      <c r="BG21" s="2"/>
      <c r="BH21" s="2"/>
      <c r="BI21" s="2"/>
      <c r="BJ21" s="2"/>
      <c r="BK21" s="2"/>
      <c r="BL21" s="2"/>
      <c r="BM21" s="2"/>
      <c r="BN21" s="2"/>
      <c r="BO21" s="42">
        <v>484</v>
      </c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>
        <f t="shared" si="0"/>
        <v>1804</v>
      </c>
    </row>
    <row r="22" spans="2:229" s="5" customFormat="1" x14ac:dyDescent="0.3">
      <c r="B22" s="2" t="s">
        <v>43</v>
      </c>
      <c r="C22" s="2" t="s">
        <v>44</v>
      </c>
      <c r="D22" s="14" t="s">
        <v>58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>
        <f t="shared" si="0"/>
        <v>0</v>
      </c>
    </row>
    <row r="23" spans="2:229" s="5" customFormat="1" x14ac:dyDescent="0.3">
      <c r="B23" s="2" t="s">
        <v>47</v>
      </c>
      <c r="C23" s="2" t="s">
        <v>48</v>
      </c>
      <c r="D23" s="14" t="s">
        <v>58</v>
      </c>
      <c r="E23" s="2"/>
      <c r="F23" s="2"/>
      <c r="G23" s="2">
        <f>88+88</f>
        <v>176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>
        <f>22*4+22*4</f>
        <v>176</v>
      </c>
      <c r="S23" s="2"/>
      <c r="T23" s="2"/>
      <c r="U23" s="31"/>
      <c r="V23" s="31"/>
      <c r="W23" s="2"/>
      <c r="X23" s="2"/>
      <c r="Y23" s="2"/>
      <c r="Z23" s="2"/>
      <c r="AA23" s="2"/>
      <c r="AB23" s="2"/>
      <c r="AC23" s="2"/>
      <c r="AD23" s="2"/>
      <c r="AE23" s="2">
        <v>5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9">
        <v>1</v>
      </c>
      <c r="BF23" s="2"/>
      <c r="BG23" s="2"/>
      <c r="BH23" s="29">
        <v>2</v>
      </c>
      <c r="BI23" s="2"/>
      <c r="BJ23" s="2"/>
      <c r="BK23" s="2">
        <v>52</v>
      </c>
      <c r="BL23" s="29">
        <v>3</v>
      </c>
      <c r="BM23" s="2"/>
      <c r="BN23" s="2"/>
      <c r="BO23" s="2"/>
      <c r="BP23" s="29">
        <v>3</v>
      </c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>
        <f t="shared" si="0"/>
        <v>418</v>
      </c>
    </row>
    <row r="24" spans="2:229" s="5" customFormat="1" x14ac:dyDescent="0.3">
      <c r="B24" s="2" t="s">
        <v>45</v>
      </c>
      <c r="C24" s="2" t="s">
        <v>46</v>
      </c>
      <c r="D24" s="14" t="s">
        <v>59</v>
      </c>
      <c r="E24" s="2"/>
      <c r="F24" s="2">
        <f>30+15+60</f>
        <v>105</v>
      </c>
      <c r="G24" s="2"/>
      <c r="H24" s="2"/>
      <c r="I24" s="4">
        <v>204</v>
      </c>
      <c r="J24" s="2"/>
      <c r="K24" s="2"/>
      <c r="L24" s="2">
        <f>476+748</f>
        <v>1224</v>
      </c>
      <c r="M24" s="2"/>
      <c r="N24" s="2"/>
      <c r="O24" s="2"/>
      <c r="P24" s="2"/>
      <c r="Q24" s="2">
        <v>442</v>
      </c>
      <c r="R24" s="2"/>
      <c r="S24" s="2"/>
      <c r="T24" s="2"/>
      <c r="U24" s="2">
        <v>748</v>
      </c>
      <c r="V24" s="2"/>
      <c r="W24" s="2"/>
      <c r="X24" s="2"/>
      <c r="Y24" s="2"/>
      <c r="Z24" s="2"/>
      <c r="AA24" s="2"/>
      <c r="AB24" s="2"/>
      <c r="AC24" s="2">
        <v>748</v>
      </c>
      <c r="AD24" s="2"/>
      <c r="AE24" s="2">
        <v>408</v>
      </c>
      <c r="AF24" s="2"/>
      <c r="AG24" s="2"/>
      <c r="AH24" s="2"/>
      <c r="AI24" s="2">
        <v>680</v>
      </c>
      <c r="AJ24" s="2">
        <v>136</v>
      </c>
      <c r="AK24" s="2"/>
      <c r="AL24" s="2"/>
      <c r="AM24" s="2"/>
      <c r="AN24" s="2">
        <v>544</v>
      </c>
      <c r="AO24" s="2">
        <v>578</v>
      </c>
      <c r="AP24" s="2">
        <v>748</v>
      </c>
      <c r="AQ24" s="2">
        <v>510</v>
      </c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9">
        <f>748+68</f>
        <v>816</v>
      </c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>
        <f t="shared" si="0"/>
        <v>7891</v>
      </c>
    </row>
    <row r="25" spans="2:229" s="5" customFormat="1" x14ac:dyDescent="0.3">
      <c r="B25" s="2" t="s">
        <v>535</v>
      </c>
      <c r="C25" s="2" t="s">
        <v>536</v>
      </c>
      <c r="D25" s="14" t="s">
        <v>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31"/>
      <c r="V25" s="31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>
        <v>32</v>
      </c>
      <c r="BB25" s="2">
        <v>4</v>
      </c>
      <c r="BC25" s="2"/>
      <c r="BD25" s="2">
        <v>20</v>
      </c>
      <c r="BE25" s="2"/>
      <c r="BF25" s="2"/>
      <c r="BG25" s="2">
        <v>24</v>
      </c>
      <c r="BH25" s="2"/>
      <c r="BI25" s="2"/>
      <c r="BJ25" s="2"/>
      <c r="BK25" s="2"/>
      <c r="BL25" s="2"/>
      <c r="BM25" s="2"/>
      <c r="BN25" s="2"/>
      <c r="BO25" s="2"/>
      <c r="BP25" s="4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>
        <f t="shared" si="0"/>
        <v>80</v>
      </c>
    </row>
    <row r="26" spans="2:229" s="5" customFormat="1" x14ac:dyDescent="0.3">
      <c r="B26" s="2" t="s">
        <v>533</v>
      </c>
      <c r="C26" s="2" t="s">
        <v>534</v>
      </c>
      <c r="D26" s="14" t="s">
        <v>59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1"/>
      <c r="V26" s="31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>
        <v>102</v>
      </c>
      <c r="BB26" s="2">
        <v>714</v>
      </c>
      <c r="BC26" s="2"/>
      <c r="BD26" s="2"/>
      <c r="BE26" s="2"/>
      <c r="BF26" s="2"/>
      <c r="BG26" s="2">
        <v>408</v>
      </c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>
        <f t="shared" si="0"/>
        <v>1224</v>
      </c>
    </row>
    <row r="27" spans="2:229" s="5" customFormat="1" x14ac:dyDescent="0.3">
      <c r="B27" s="2" t="s">
        <v>51</v>
      </c>
      <c r="C27" s="2" t="s">
        <v>52</v>
      </c>
      <c r="D27" s="14" t="s">
        <v>61</v>
      </c>
      <c r="E27" s="2"/>
      <c r="F27" s="2">
        <f>40+40</f>
        <v>80</v>
      </c>
      <c r="G27" s="2"/>
      <c r="H27" s="2">
        <f>80+40</f>
        <v>120</v>
      </c>
      <c r="I27" s="2"/>
      <c r="J27" s="2"/>
      <c r="K27" s="2">
        <v>240</v>
      </c>
      <c r="L27" s="2"/>
      <c r="M27" s="2"/>
      <c r="N27" s="2">
        <f>120+38</f>
        <v>158</v>
      </c>
      <c r="O27" s="2"/>
      <c r="P27" s="2">
        <v>120</v>
      </c>
      <c r="Q27" s="2"/>
      <c r="R27" s="2"/>
      <c r="S27" s="2"/>
      <c r="T27" s="2"/>
      <c r="U27" s="31"/>
      <c r="V27" s="31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>
        <f t="shared" si="0"/>
        <v>718</v>
      </c>
    </row>
    <row r="28" spans="2:229" s="5" customFormat="1" x14ac:dyDescent="0.3">
      <c r="B28" s="2" t="s">
        <v>53</v>
      </c>
      <c r="C28" s="2" t="s">
        <v>54</v>
      </c>
      <c r="D28" s="14" t="s">
        <v>12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31"/>
      <c r="V28" s="31">
        <v>12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>
        <f t="shared" si="0"/>
        <v>12</v>
      </c>
    </row>
    <row r="29" spans="2:229" s="5" customFormat="1" x14ac:dyDescent="0.3">
      <c r="B29" s="2" t="s">
        <v>49</v>
      </c>
      <c r="C29" s="2" t="s">
        <v>50</v>
      </c>
      <c r="D29" s="14" t="s">
        <v>59</v>
      </c>
      <c r="E29" s="2"/>
      <c r="F29" s="2">
        <f>30+30+30</f>
        <v>90</v>
      </c>
      <c r="G29" s="2"/>
      <c r="H29" s="2">
        <f>90+90</f>
        <v>180</v>
      </c>
      <c r="I29" s="2"/>
      <c r="J29" s="2"/>
      <c r="K29" s="2"/>
      <c r="L29" s="2"/>
      <c r="M29" s="2"/>
      <c r="N29" s="2">
        <v>239</v>
      </c>
      <c r="O29" s="2"/>
      <c r="P29" s="2"/>
      <c r="Q29" s="2"/>
      <c r="R29" s="2"/>
      <c r="S29" s="2"/>
      <c r="T29" s="2"/>
      <c r="U29" s="31"/>
      <c r="V29" s="31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>
        <f t="shared" si="0"/>
        <v>509</v>
      </c>
    </row>
  </sheetData>
  <autoFilter ref="C3:HU29" xr:uid="{CAC2D902-20DE-47F3-B309-4D5757EC6DF5}"/>
  <sortState ref="B3:HU29">
    <sortCondition ref="C3:C29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UM29"/>
  <sheetViews>
    <sheetView showGridLines="0" tabSelected="1" zoomScale="122" zoomScaleNormal="122" workbookViewId="0">
      <pane xSplit="4" ySplit="3" topLeftCell="EB13" activePane="bottomRight" state="frozen"/>
      <selection pane="topRight" activeCell="D1" sqref="D1"/>
      <selection pane="bottomLeft" activeCell="A4" sqref="A4"/>
      <selection pane="bottomRight" activeCell="EE24" sqref="EE24"/>
    </sheetView>
  </sheetViews>
  <sheetFormatPr baseColWidth="10" defaultRowHeight="14.4" x14ac:dyDescent="0.3"/>
  <cols>
    <col min="1" max="1" width="3.109375" style="5" customWidth="1"/>
    <col min="3" max="3" width="49.6640625" bestFit="1" customWidth="1"/>
    <col min="5" max="15" width="11.44140625" customWidth="1"/>
    <col min="16" max="16" width="11.44140625" style="5" customWidth="1"/>
    <col min="17" max="17" width="10.44140625" bestFit="1" customWidth="1"/>
    <col min="18" max="46" width="11.44140625" style="3" customWidth="1"/>
    <col min="47" max="47" width="11.44140625" style="5" customWidth="1"/>
    <col min="48" max="49" width="11.44140625" style="3" customWidth="1"/>
    <col min="50" max="50" width="11.44140625" style="5" customWidth="1"/>
    <col min="51" max="63" width="11.44140625" style="3" customWidth="1"/>
    <col min="64" max="64" width="11.44140625" style="5" customWidth="1"/>
    <col min="65" max="70" width="11.44140625" style="3" customWidth="1"/>
    <col min="71" max="71" width="11.44140625" style="5" customWidth="1"/>
    <col min="72" max="75" width="11.44140625" style="3" customWidth="1"/>
    <col min="76" max="76" width="11.44140625" style="5" customWidth="1"/>
    <col min="77" max="97" width="11.44140625" style="3" customWidth="1"/>
    <col min="98" max="99" width="11.44140625" style="5" customWidth="1"/>
    <col min="100" max="101" width="11.44140625" style="3" customWidth="1"/>
    <col min="102" max="102" width="14.33203125" style="3" customWidth="1"/>
    <col min="103" max="103" width="14.33203125" style="5" customWidth="1"/>
    <col min="104" max="105" width="13.88671875" style="3" customWidth="1"/>
    <col min="106" max="106" width="13.88671875" style="5" customWidth="1"/>
    <col min="107" max="107" width="13.109375" style="3" customWidth="1"/>
    <col min="108" max="108" width="12.6640625" style="3" customWidth="1"/>
    <col min="109" max="114" width="11.44140625" style="3" customWidth="1"/>
    <col min="115" max="115" width="11.44140625" style="5" customWidth="1"/>
    <col min="116" max="134" width="11.44140625" style="3" customWidth="1"/>
    <col min="135" max="135" width="11.44140625" style="5" customWidth="1"/>
    <col min="136" max="181" width="11.44140625" style="3" customWidth="1"/>
    <col min="182" max="182" width="11.44140625" style="5" customWidth="1"/>
    <col min="183" max="211" width="11.44140625" style="3" customWidth="1"/>
    <col min="212" max="341" width="11.44140625" style="5" customWidth="1"/>
    <col min="342" max="466" width="11.44140625" style="5"/>
    <col min="467" max="475" width="11.88671875" style="5" bestFit="1" customWidth="1"/>
    <col min="476" max="498" width="11.44140625" style="5"/>
    <col min="499" max="499" width="11.44140625" style="3"/>
    <col min="500" max="509" width="11.44140625" style="5"/>
    <col min="510" max="510" width="11.88671875" style="5" bestFit="1" customWidth="1"/>
    <col min="511" max="558" width="11.44140625" style="5"/>
    <col min="559" max="559" width="11.88671875" bestFit="1" customWidth="1"/>
  </cols>
  <sheetData>
    <row r="1" spans="1:559" ht="15" thickBot="1" x14ac:dyDescent="0.35">
      <c r="AB1" s="5"/>
      <c r="BT1" s="35"/>
      <c r="BU1" s="35"/>
      <c r="BV1" s="35"/>
      <c r="BW1" s="35"/>
      <c r="BX1" s="35"/>
    </row>
    <row r="2" spans="1:559" ht="28.8" x14ac:dyDescent="0.3">
      <c r="C2" s="3"/>
      <c r="D2" s="3"/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5</v>
      </c>
      <c r="P2" s="1" t="s">
        <v>5</v>
      </c>
      <c r="Q2" s="1" t="s">
        <v>5</v>
      </c>
      <c r="R2" s="1" t="s">
        <v>5</v>
      </c>
      <c r="S2" s="1" t="s">
        <v>5</v>
      </c>
      <c r="T2" s="1" t="s">
        <v>5</v>
      </c>
      <c r="U2" s="1" t="s">
        <v>5</v>
      </c>
      <c r="V2" s="1" t="s">
        <v>5</v>
      </c>
      <c r="W2" s="1" t="s">
        <v>5</v>
      </c>
      <c r="X2" s="1" t="s">
        <v>5</v>
      </c>
      <c r="Y2" s="1" t="s">
        <v>5</v>
      </c>
      <c r="Z2" s="1" t="s">
        <v>5</v>
      </c>
      <c r="AA2" s="1" t="s">
        <v>5</v>
      </c>
      <c r="AB2" s="1" t="s">
        <v>5</v>
      </c>
      <c r="AC2" s="1" t="s">
        <v>5</v>
      </c>
      <c r="AD2" s="1" t="s">
        <v>5</v>
      </c>
      <c r="AE2" s="1" t="s">
        <v>5</v>
      </c>
      <c r="AF2" s="1" t="s">
        <v>5</v>
      </c>
      <c r="AG2" s="1" t="s">
        <v>5</v>
      </c>
      <c r="AH2" s="1" t="s">
        <v>5</v>
      </c>
      <c r="AI2" s="1" t="s">
        <v>5</v>
      </c>
      <c r="AJ2" s="1" t="s">
        <v>5</v>
      </c>
      <c r="AK2" s="1" t="s">
        <v>5</v>
      </c>
      <c r="AL2" s="1" t="s">
        <v>5</v>
      </c>
      <c r="AM2" s="1" t="s">
        <v>5</v>
      </c>
      <c r="AN2" s="1" t="s">
        <v>5</v>
      </c>
      <c r="AO2" s="1" t="s">
        <v>5</v>
      </c>
      <c r="AP2" s="1" t="s">
        <v>5</v>
      </c>
      <c r="AQ2" s="1" t="s">
        <v>5</v>
      </c>
      <c r="AR2" s="1" t="s">
        <v>5</v>
      </c>
      <c r="AS2" s="1" t="s">
        <v>5</v>
      </c>
      <c r="AT2" s="1" t="s">
        <v>5</v>
      </c>
      <c r="AU2" s="1" t="s">
        <v>5</v>
      </c>
      <c r="AV2" s="1" t="s">
        <v>5</v>
      </c>
      <c r="AW2" s="1" t="s">
        <v>5</v>
      </c>
      <c r="AX2" s="1" t="s">
        <v>5</v>
      </c>
      <c r="AY2" s="1" t="s">
        <v>5</v>
      </c>
      <c r="AZ2" s="1" t="s">
        <v>5</v>
      </c>
      <c r="BA2" s="1" t="s">
        <v>5</v>
      </c>
      <c r="BB2" s="1" t="s">
        <v>5</v>
      </c>
      <c r="BC2" s="1" t="s">
        <v>5</v>
      </c>
      <c r="BD2" s="1" t="s">
        <v>5</v>
      </c>
      <c r="BE2" s="1" t="s">
        <v>5</v>
      </c>
      <c r="BF2" s="1" t="s">
        <v>5</v>
      </c>
      <c r="BG2" s="1" t="s">
        <v>5</v>
      </c>
      <c r="BH2" s="1" t="s">
        <v>5</v>
      </c>
      <c r="BI2" s="1" t="s">
        <v>5</v>
      </c>
      <c r="BJ2" s="1" t="s">
        <v>5</v>
      </c>
      <c r="BK2" s="1" t="s">
        <v>5</v>
      </c>
      <c r="BL2" s="1" t="s">
        <v>5</v>
      </c>
      <c r="BM2" s="1" t="s">
        <v>5</v>
      </c>
      <c r="BN2" s="1" t="s">
        <v>5</v>
      </c>
      <c r="BO2" s="1" t="s">
        <v>5</v>
      </c>
      <c r="BP2" s="1" t="s">
        <v>5</v>
      </c>
      <c r="BQ2" s="1" t="s">
        <v>5</v>
      </c>
      <c r="BR2" s="1" t="s">
        <v>5</v>
      </c>
      <c r="BS2" s="1" t="s">
        <v>5</v>
      </c>
      <c r="BT2" s="1" t="s">
        <v>5</v>
      </c>
      <c r="BU2" s="1" t="s">
        <v>5</v>
      </c>
      <c r="BV2" s="1" t="s">
        <v>5</v>
      </c>
      <c r="BW2" s="1" t="s">
        <v>5</v>
      </c>
      <c r="BX2" s="1" t="s">
        <v>5</v>
      </c>
      <c r="BY2" s="1" t="s">
        <v>5</v>
      </c>
      <c r="BZ2" s="1" t="s">
        <v>5</v>
      </c>
      <c r="CA2" s="1" t="s">
        <v>5</v>
      </c>
      <c r="CB2" s="1" t="s">
        <v>5</v>
      </c>
      <c r="CC2" s="1" t="s">
        <v>5</v>
      </c>
      <c r="CD2" s="1" t="s">
        <v>5</v>
      </c>
      <c r="CE2" s="1" t="s">
        <v>5</v>
      </c>
      <c r="CF2" s="1" t="s">
        <v>5</v>
      </c>
      <c r="CG2" s="1" t="s">
        <v>5</v>
      </c>
      <c r="CH2" s="1" t="s">
        <v>5</v>
      </c>
      <c r="CI2" s="1" t="s">
        <v>5</v>
      </c>
      <c r="CJ2" s="1" t="s">
        <v>5</v>
      </c>
      <c r="CK2" s="1" t="s">
        <v>5</v>
      </c>
      <c r="CL2" s="1" t="s">
        <v>5</v>
      </c>
      <c r="CM2" s="1" t="s">
        <v>5</v>
      </c>
      <c r="CN2" s="1" t="s">
        <v>5</v>
      </c>
      <c r="CO2" s="1" t="s">
        <v>5</v>
      </c>
      <c r="CP2" s="1" t="s">
        <v>5</v>
      </c>
      <c r="CQ2" s="1" t="s">
        <v>5</v>
      </c>
      <c r="CR2" s="1" t="s">
        <v>5</v>
      </c>
      <c r="CS2" s="1" t="s">
        <v>5</v>
      </c>
      <c r="CT2" s="1" t="s">
        <v>5</v>
      </c>
      <c r="CU2" s="1" t="s">
        <v>5</v>
      </c>
      <c r="CV2" s="1" t="s">
        <v>5</v>
      </c>
      <c r="CW2" s="1" t="s">
        <v>5</v>
      </c>
      <c r="CX2" s="1" t="s">
        <v>5</v>
      </c>
      <c r="CY2" s="1" t="s">
        <v>5</v>
      </c>
      <c r="CZ2" s="1" t="s">
        <v>5</v>
      </c>
      <c r="DA2" s="1" t="s">
        <v>5</v>
      </c>
      <c r="DB2" s="1" t="s">
        <v>5</v>
      </c>
      <c r="DC2" s="1" t="s">
        <v>5</v>
      </c>
      <c r="DD2" s="1" t="s">
        <v>5</v>
      </c>
      <c r="DE2" s="1" t="s">
        <v>5</v>
      </c>
      <c r="DF2" s="1" t="s">
        <v>5</v>
      </c>
      <c r="DG2" s="1" t="s">
        <v>5</v>
      </c>
      <c r="DH2" s="1" t="s">
        <v>5</v>
      </c>
      <c r="DI2" s="1" t="s">
        <v>5</v>
      </c>
      <c r="DJ2" s="1" t="s">
        <v>5</v>
      </c>
      <c r="DK2" s="1" t="s">
        <v>5</v>
      </c>
      <c r="DL2" s="1" t="s">
        <v>5</v>
      </c>
      <c r="DM2" s="1" t="s">
        <v>5</v>
      </c>
      <c r="DN2" s="1" t="s">
        <v>5</v>
      </c>
      <c r="DO2" s="1" t="s">
        <v>5</v>
      </c>
      <c r="DP2" s="1" t="s">
        <v>5</v>
      </c>
      <c r="DQ2" s="1" t="s">
        <v>5</v>
      </c>
      <c r="DR2" s="1" t="s">
        <v>5</v>
      </c>
      <c r="DS2" s="1" t="s">
        <v>5</v>
      </c>
      <c r="DT2" s="1" t="s">
        <v>5</v>
      </c>
      <c r="DU2" s="1" t="s">
        <v>5</v>
      </c>
      <c r="DV2" s="1" t="s">
        <v>5</v>
      </c>
      <c r="DW2" s="1" t="s">
        <v>5</v>
      </c>
      <c r="DX2" s="1" t="s">
        <v>5</v>
      </c>
      <c r="DY2" s="1" t="s">
        <v>5</v>
      </c>
      <c r="DZ2" s="1" t="s">
        <v>5</v>
      </c>
      <c r="EA2" s="1" t="s">
        <v>5</v>
      </c>
      <c r="EB2" s="1" t="s">
        <v>5</v>
      </c>
      <c r="EC2" s="1" t="s">
        <v>5</v>
      </c>
      <c r="ED2" s="1" t="s">
        <v>5</v>
      </c>
      <c r="EE2" s="1" t="s">
        <v>5</v>
      </c>
      <c r="EF2" s="1" t="s">
        <v>5</v>
      </c>
      <c r="EG2" s="1" t="s">
        <v>5</v>
      </c>
      <c r="EH2" s="1" t="s">
        <v>5</v>
      </c>
      <c r="EI2" s="1" t="s">
        <v>5</v>
      </c>
      <c r="EJ2" s="1" t="s">
        <v>5</v>
      </c>
      <c r="EK2" s="1" t="s">
        <v>5</v>
      </c>
      <c r="EL2" s="1" t="s">
        <v>5</v>
      </c>
      <c r="EM2" s="1" t="s">
        <v>5</v>
      </c>
      <c r="EN2" s="1" t="s">
        <v>5</v>
      </c>
      <c r="EO2" s="1" t="s">
        <v>5</v>
      </c>
      <c r="EP2" s="1" t="s">
        <v>5</v>
      </c>
      <c r="EQ2" s="1" t="s">
        <v>5</v>
      </c>
      <c r="ER2" s="1" t="s">
        <v>5</v>
      </c>
      <c r="ES2" s="1" t="s">
        <v>5</v>
      </c>
      <c r="ET2" s="1" t="s">
        <v>5</v>
      </c>
      <c r="EU2" s="1" t="s">
        <v>5</v>
      </c>
      <c r="EV2" s="1" t="s">
        <v>5</v>
      </c>
      <c r="EW2" s="1" t="s">
        <v>5</v>
      </c>
      <c r="EX2" s="1" t="s">
        <v>5</v>
      </c>
      <c r="EY2" s="1" t="s">
        <v>5</v>
      </c>
      <c r="EZ2" s="1" t="s">
        <v>5</v>
      </c>
      <c r="FA2" s="1" t="s">
        <v>5</v>
      </c>
      <c r="FB2" s="1" t="s">
        <v>5</v>
      </c>
      <c r="FC2" s="1" t="s">
        <v>5</v>
      </c>
      <c r="FD2" s="1" t="s">
        <v>5</v>
      </c>
      <c r="FE2" s="1" t="s">
        <v>5</v>
      </c>
      <c r="FF2" s="1" t="s">
        <v>5</v>
      </c>
      <c r="FG2" s="1" t="s">
        <v>5</v>
      </c>
      <c r="FH2" s="1" t="s">
        <v>5</v>
      </c>
      <c r="FI2" s="1" t="s">
        <v>5</v>
      </c>
      <c r="FJ2" s="1" t="s">
        <v>5</v>
      </c>
      <c r="FK2" s="1" t="s">
        <v>5</v>
      </c>
      <c r="FL2" s="1" t="s">
        <v>5</v>
      </c>
      <c r="FM2" s="1" t="s">
        <v>5</v>
      </c>
      <c r="FN2" s="1" t="s">
        <v>5</v>
      </c>
      <c r="FO2" s="1" t="s">
        <v>5</v>
      </c>
      <c r="FP2" s="1" t="s">
        <v>5</v>
      </c>
      <c r="FQ2" s="1" t="s">
        <v>5</v>
      </c>
      <c r="FR2" s="1" t="s">
        <v>5</v>
      </c>
      <c r="FS2" s="1" t="s">
        <v>5</v>
      </c>
      <c r="FT2" s="1" t="s">
        <v>5</v>
      </c>
      <c r="FU2" s="1" t="s">
        <v>5</v>
      </c>
      <c r="FV2" s="1" t="s">
        <v>5</v>
      </c>
      <c r="FW2" s="1" t="s">
        <v>5</v>
      </c>
      <c r="FX2" s="1" t="s">
        <v>5</v>
      </c>
      <c r="FY2" s="1" t="s">
        <v>5</v>
      </c>
      <c r="FZ2" s="1" t="s">
        <v>5</v>
      </c>
      <c r="GA2" s="1" t="s">
        <v>5</v>
      </c>
      <c r="GB2" s="1" t="s">
        <v>5</v>
      </c>
      <c r="GC2" s="1" t="s">
        <v>5</v>
      </c>
      <c r="GD2" s="1" t="s">
        <v>5</v>
      </c>
      <c r="GE2" s="1" t="s">
        <v>5</v>
      </c>
      <c r="GF2" s="1" t="s">
        <v>5</v>
      </c>
      <c r="GG2" s="1" t="s">
        <v>5</v>
      </c>
      <c r="GH2" s="1" t="s">
        <v>5</v>
      </c>
      <c r="GI2" s="1" t="s">
        <v>5</v>
      </c>
      <c r="GJ2" s="1" t="s">
        <v>5</v>
      </c>
      <c r="GK2" s="1" t="s">
        <v>5</v>
      </c>
      <c r="GL2" s="1" t="s">
        <v>5</v>
      </c>
      <c r="GM2" s="1" t="s">
        <v>5</v>
      </c>
      <c r="GN2" s="1" t="s">
        <v>5</v>
      </c>
      <c r="GO2" s="1" t="s">
        <v>5</v>
      </c>
      <c r="GP2" s="1" t="s">
        <v>5</v>
      </c>
      <c r="GQ2" s="1" t="s">
        <v>5</v>
      </c>
      <c r="GR2" s="1" t="s">
        <v>5</v>
      </c>
      <c r="GS2" s="1" t="s">
        <v>5</v>
      </c>
      <c r="GT2" s="1" t="s">
        <v>5</v>
      </c>
      <c r="GU2" s="1" t="s">
        <v>5</v>
      </c>
      <c r="GV2" s="1" t="s">
        <v>5</v>
      </c>
      <c r="GW2" s="1" t="s">
        <v>5</v>
      </c>
      <c r="GX2" s="1" t="s">
        <v>5</v>
      </c>
      <c r="GY2" s="1" t="s">
        <v>5</v>
      </c>
      <c r="GZ2" s="1" t="s">
        <v>5</v>
      </c>
      <c r="HA2" s="1" t="s">
        <v>5</v>
      </c>
      <c r="HB2" s="1" t="s">
        <v>5</v>
      </c>
      <c r="HC2" s="1" t="s">
        <v>5</v>
      </c>
      <c r="HD2" s="1" t="s">
        <v>5</v>
      </c>
      <c r="HE2" s="1" t="s">
        <v>5</v>
      </c>
      <c r="HF2" s="1" t="s">
        <v>5</v>
      </c>
      <c r="HG2" s="1" t="s">
        <v>5</v>
      </c>
      <c r="HH2" s="1" t="s">
        <v>5</v>
      </c>
      <c r="HI2" s="1" t="s">
        <v>5</v>
      </c>
      <c r="HJ2" s="1" t="s">
        <v>5</v>
      </c>
      <c r="HK2" s="1" t="s">
        <v>5</v>
      </c>
      <c r="HL2" s="1" t="s">
        <v>5</v>
      </c>
      <c r="HM2" s="1" t="s">
        <v>5</v>
      </c>
      <c r="HN2" s="1" t="s">
        <v>5</v>
      </c>
      <c r="HO2" s="1" t="s">
        <v>5</v>
      </c>
      <c r="HP2" s="1" t="s">
        <v>5</v>
      </c>
      <c r="HQ2" s="1" t="s">
        <v>5</v>
      </c>
      <c r="HR2" s="1" t="s">
        <v>5</v>
      </c>
      <c r="HS2" s="1" t="s">
        <v>5</v>
      </c>
      <c r="HT2" s="1" t="s">
        <v>5</v>
      </c>
      <c r="HU2" s="1" t="s">
        <v>5</v>
      </c>
      <c r="HV2" s="1" t="s">
        <v>5</v>
      </c>
      <c r="HW2" s="1" t="s">
        <v>5</v>
      </c>
      <c r="HX2" s="1" t="s">
        <v>5</v>
      </c>
      <c r="HY2" s="1" t="s">
        <v>5</v>
      </c>
      <c r="HZ2" s="1" t="s">
        <v>5</v>
      </c>
      <c r="IA2" s="1" t="s">
        <v>5</v>
      </c>
      <c r="IB2" s="1" t="s">
        <v>5</v>
      </c>
      <c r="IC2" s="1" t="s">
        <v>5</v>
      </c>
      <c r="ID2" s="1" t="s">
        <v>5</v>
      </c>
      <c r="IE2" s="1" t="s">
        <v>5</v>
      </c>
      <c r="IF2" s="1" t="s">
        <v>5</v>
      </c>
      <c r="IG2" s="1" t="s">
        <v>5</v>
      </c>
      <c r="IH2" s="1" t="s">
        <v>5</v>
      </c>
      <c r="II2" s="1" t="s">
        <v>5</v>
      </c>
      <c r="IJ2" s="1" t="s">
        <v>5</v>
      </c>
      <c r="IK2" s="1" t="s">
        <v>5</v>
      </c>
      <c r="IL2" s="1" t="s">
        <v>5</v>
      </c>
      <c r="IM2" s="1" t="s">
        <v>5</v>
      </c>
      <c r="IN2" s="1" t="s">
        <v>5</v>
      </c>
      <c r="IO2" s="1" t="s">
        <v>5</v>
      </c>
      <c r="IP2" s="1" t="s">
        <v>5</v>
      </c>
      <c r="IQ2" s="1" t="s">
        <v>5</v>
      </c>
      <c r="IR2" s="1" t="s">
        <v>5</v>
      </c>
      <c r="IS2" s="1" t="s">
        <v>5</v>
      </c>
      <c r="IT2" s="1" t="s">
        <v>5</v>
      </c>
      <c r="IU2" s="1" t="s">
        <v>5</v>
      </c>
      <c r="IV2" s="1" t="s">
        <v>5</v>
      </c>
      <c r="IW2" s="1" t="s">
        <v>5</v>
      </c>
      <c r="IX2" s="1" t="s">
        <v>5</v>
      </c>
      <c r="IY2" s="1" t="s">
        <v>5</v>
      </c>
      <c r="IZ2" s="1" t="s">
        <v>5</v>
      </c>
      <c r="JA2" s="1" t="s">
        <v>5</v>
      </c>
      <c r="JB2" s="1" t="s">
        <v>5</v>
      </c>
      <c r="JC2" s="1" t="s">
        <v>5</v>
      </c>
      <c r="JD2" s="1" t="s">
        <v>5</v>
      </c>
      <c r="JE2" s="1" t="s">
        <v>5</v>
      </c>
      <c r="JF2" s="1" t="s">
        <v>5</v>
      </c>
      <c r="JG2" s="1" t="s">
        <v>5</v>
      </c>
      <c r="JH2" s="1" t="s">
        <v>5</v>
      </c>
      <c r="JI2" s="1" t="s">
        <v>5</v>
      </c>
      <c r="JJ2" s="1" t="s">
        <v>5</v>
      </c>
      <c r="JK2" s="1" t="s">
        <v>5</v>
      </c>
      <c r="JL2" s="1" t="s">
        <v>5</v>
      </c>
      <c r="JM2" s="1" t="s">
        <v>5</v>
      </c>
      <c r="JN2" s="1" t="s">
        <v>5</v>
      </c>
      <c r="JO2" s="1" t="s">
        <v>5</v>
      </c>
      <c r="JP2" s="1" t="s">
        <v>5</v>
      </c>
      <c r="JQ2" s="1" t="s">
        <v>5</v>
      </c>
      <c r="JR2" s="1" t="s">
        <v>5</v>
      </c>
      <c r="JS2" s="1" t="s">
        <v>5</v>
      </c>
      <c r="JT2" s="1" t="s">
        <v>5</v>
      </c>
      <c r="JU2" s="1" t="s">
        <v>5</v>
      </c>
      <c r="JV2" s="1" t="s">
        <v>5</v>
      </c>
      <c r="JW2" s="1" t="s">
        <v>5</v>
      </c>
      <c r="JX2" s="1" t="s">
        <v>5</v>
      </c>
      <c r="JY2" s="1" t="s">
        <v>5</v>
      </c>
      <c r="JZ2" s="1" t="s">
        <v>5</v>
      </c>
      <c r="KA2" s="1" t="s">
        <v>5</v>
      </c>
      <c r="KB2" s="1" t="s">
        <v>5</v>
      </c>
      <c r="KC2" s="1" t="s">
        <v>5</v>
      </c>
      <c r="KD2" s="1" t="s">
        <v>5</v>
      </c>
      <c r="KE2" s="1" t="s">
        <v>5</v>
      </c>
      <c r="KF2" s="1" t="s">
        <v>5</v>
      </c>
      <c r="KG2" s="1" t="s">
        <v>5</v>
      </c>
      <c r="KH2" s="1" t="s">
        <v>5</v>
      </c>
      <c r="KI2" s="1" t="s">
        <v>5</v>
      </c>
      <c r="KJ2" s="1" t="s">
        <v>5</v>
      </c>
      <c r="KK2" s="1" t="s">
        <v>5</v>
      </c>
      <c r="KL2" s="1" t="s">
        <v>5</v>
      </c>
      <c r="KM2" s="1" t="s">
        <v>5</v>
      </c>
      <c r="KN2" s="1" t="s">
        <v>5</v>
      </c>
      <c r="KO2" s="1" t="s">
        <v>5</v>
      </c>
      <c r="KP2" s="1" t="s">
        <v>5</v>
      </c>
      <c r="KQ2" s="1" t="s">
        <v>5</v>
      </c>
      <c r="KR2" s="1" t="s">
        <v>5</v>
      </c>
      <c r="KS2" s="1" t="s">
        <v>5</v>
      </c>
      <c r="KT2" s="1" t="s">
        <v>5</v>
      </c>
      <c r="KU2" s="1" t="s">
        <v>5</v>
      </c>
      <c r="KV2" s="1" t="s">
        <v>5</v>
      </c>
      <c r="KW2" s="1" t="s">
        <v>5</v>
      </c>
      <c r="KX2" s="1" t="s">
        <v>5</v>
      </c>
      <c r="KY2" s="1" t="s">
        <v>5</v>
      </c>
      <c r="KZ2" s="1" t="s">
        <v>5</v>
      </c>
      <c r="LA2" s="1" t="s">
        <v>5</v>
      </c>
      <c r="LB2" s="1" t="s">
        <v>5</v>
      </c>
      <c r="LC2" s="1" t="s">
        <v>5</v>
      </c>
      <c r="LD2" s="1" t="s">
        <v>5</v>
      </c>
      <c r="LE2" s="1" t="s">
        <v>5</v>
      </c>
      <c r="LF2" s="1" t="s">
        <v>5</v>
      </c>
      <c r="LG2" s="1" t="s">
        <v>5</v>
      </c>
      <c r="LH2" s="1" t="s">
        <v>5</v>
      </c>
      <c r="LI2" s="1" t="s">
        <v>5</v>
      </c>
      <c r="LJ2" s="1" t="s">
        <v>5</v>
      </c>
      <c r="LK2" s="1" t="s">
        <v>5</v>
      </c>
      <c r="LL2" s="1" t="s">
        <v>5</v>
      </c>
      <c r="LM2" s="1" t="s">
        <v>5</v>
      </c>
      <c r="LN2" s="1" t="s">
        <v>5</v>
      </c>
      <c r="LO2" s="1" t="s">
        <v>5</v>
      </c>
      <c r="LP2" s="1" t="s">
        <v>5</v>
      </c>
      <c r="LQ2" s="1" t="s">
        <v>5</v>
      </c>
      <c r="LR2" s="1" t="s">
        <v>5</v>
      </c>
      <c r="LS2" s="1" t="s">
        <v>5</v>
      </c>
      <c r="LT2" s="1" t="s">
        <v>5</v>
      </c>
      <c r="LU2" s="1" t="s">
        <v>5</v>
      </c>
      <c r="LV2" s="1" t="s">
        <v>5</v>
      </c>
      <c r="LW2" s="1" t="s">
        <v>5</v>
      </c>
      <c r="LX2" s="1" t="s">
        <v>5</v>
      </c>
      <c r="LY2" s="1" t="s">
        <v>5</v>
      </c>
      <c r="LZ2" s="1" t="s">
        <v>5</v>
      </c>
      <c r="MA2" s="1" t="s">
        <v>5</v>
      </c>
      <c r="MB2" s="1" t="s">
        <v>5</v>
      </c>
      <c r="MC2" s="1" t="s">
        <v>5</v>
      </c>
      <c r="MD2" s="1" t="s">
        <v>5</v>
      </c>
      <c r="ME2" s="1" t="s">
        <v>5</v>
      </c>
      <c r="MF2" s="1" t="s">
        <v>5</v>
      </c>
      <c r="MG2" s="1" t="s">
        <v>5</v>
      </c>
      <c r="MH2" s="1" t="s">
        <v>5</v>
      </c>
      <c r="MI2" s="1" t="s">
        <v>5</v>
      </c>
      <c r="MJ2" s="1" t="s">
        <v>5</v>
      </c>
      <c r="MK2" s="1" t="s">
        <v>5</v>
      </c>
      <c r="ML2" s="1" t="s">
        <v>5</v>
      </c>
      <c r="MM2" s="1" t="s">
        <v>5</v>
      </c>
      <c r="MN2" s="1" t="s">
        <v>5</v>
      </c>
      <c r="MO2" s="1" t="s">
        <v>5</v>
      </c>
      <c r="MP2" s="1" t="s">
        <v>5</v>
      </c>
      <c r="MQ2" s="1" t="s">
        <v>5</v>
      </c>
      <c r="MR2" s="1" t="s">
        <v>5</v>
      </c>
      <c r="MS2" s="1" t="s">
        <v>5</v>
      </c>
      <c r="MT2" s="1" t="s">
        <v>5</v>
      </c>
      <c r="MU2" s="1" t="s">
        <v>5</v>
      </c>
      <c r="MV2" s="1" t="s">
        <v>5</v>
      </c>
      <c r="MW2" s="1" t="s">
        <v>5</v>
      </c>
      <c r="MX2" s="1" t="s">
        <v>5</v>
      </c>
      <c r="MY2" s="1" t="s">
        <v>5</v>
      </c>
      <c r="MZ2" s="1" t="s">
        <v>5</v>
      </c>
      <c r="NA2" s="1" t="s">
        <v>5</v>
      </c>
      <c r="NB2" s="1" t="s">
        <v>5</v>
      </c>
      <c r="NC2" s="1" t="s">
        <v>5</v>
      </c>
      <c r="ND2" s="1" t="s">
        <v>5</v>
      </c>
      <c r="NE2" s="1" t="s">
        <v>5</v>
      </c>
      <c r="NF2" s="1" t="s">
        <v>5</v>
      </c>
      <c r="NG2" s="1" t="s">
        <v>5</v>
      </c>
      <c r="NH2" s="1" t="s">
        <v>5</v>
      </c>
      <c r="NI2" s="1" t="s">
        <v>5</v>
      </c>
      <c r="NJ2" s="1" t="s">
        <v>5</v>
      </c>
      <c r="NK2" s="1" t="s">
        <v>5</v>
      </c>
      <c r="NL2" s="1" t="s">
        <v>5</v>
      </c>
      <c r="NM2" s="1" t="s">
        <v>5</v>
      </c>
      <c r="NN2" s="1" t="s">
        <v>5</v>
      </c>
      <c r="NO2" s="1" t="s">
        <v>5</v>
      </c>
      <c r="NP2" s="1" t="s">
        <v>5</v>
      </c>
      <c r="NQ2" s="1" t="s">
        <v>5</v>
      </c>
      <c r="NR2" s="1" t="s">
        <v>5</v>
      </c>
      <c r="NS2" s="1" t="s">
        <v>5</v>
      </c>
      <c r="NT2" s="1" t="s">
        <v>5</v>
      </c>
      <c r="NU2" s="1" t="s">
        <v>5</v>
      </c>
      <c r="NV2" s="1" t="s">
        <v>5</v>
      </c>
      <c r="NW2" s="1" t="s">
        <v>5</v>
      </c>
      <c r="NX2" s="1" t="s">
        <v>5</v>
      </c>
      <c r="NY2" s="1" t="s">
        <v>5</v>
      </c>
      <c r="NZ2" s="1" t="s">
        <v>5</v>
      </c>
      <c r="OA2" s="1" t="s">
        <v>5</v>
      </c>
      <c r="OB2" s="1" t="s">
        <v>5</v>
      </c>
      <c r="OC2" s="1" t="s">
        <v>5</v>
      </c>
      <c r="OD2" s="1" t="s">
        <v>5</v>
      </c>
      <c r="OE2" s="1" t="s">
        <v>5</v>
      </c>
      <c r="OF2" s="1" t="s">
        <v>5</v>
      </c>
      <c r="OG2" s="1" t="s">
        <v>5</v>
      </c>
      <c r="OH2" s="1" t="s">
        <v>5</v>
      </c>
      <c r="OI2" s="1" t="s">
        <v>5</v>
      </c>
      <c r="OJ2" s="1" t="s">
        <v>5</v>
      </c>
      <c r="OK2" s="1" t="s">
        <v>5</v>
      </c>
      <c r="OL2" s="1" t="s">
        <v>5</v>
      </c>
      <c r="OM2" s="1" t="s">
        <v>5</v>
      </c>
      <c r="ON2" s="1" t="s">
        <v>5</v>
      </c>
      <c r="OO2" s="1" t="s">
        <v>5</v>
      </c>
      <c r="OP2" s="1" t="s">
        <v>5</v>
      </c>
      <c r="OQ2" s="1" t="s">
        <v>5</v>
      </c>
      <c r="OR2" s="1" t="s">
        <v>5</v>
      </c>
      <c r="OS2" s="1" t="s">
        <v>5</v>
      </c>
      <c r="OT2" s="1" t="s">
        <v>5</v>
      </c>
      <c r="OU2" s="1" t="s">
        <v>5</v>
      </c>
      <c r="OV2" s="1" t="s">
        <v>5</v>
      </c>
      <c r="OW2" s="1" t="s">
        <v>5</v>
      </c>
      <c r="OX2" s="1" t="s">
        <v>5</v>
      </c>
      <c r="OY2" s="1" t="s">
        <v>5</v>
      </c>
      <c r="OZ2" s="1" t="s">
        <v>5</v>
      </c>
      <c r="PA2" s="1" t="s">
        <v>5</v>
      </c>
      <c r="PB2" s="1" t="s">
        <v>5</v>
      </c>
      <c r="PC2" s="1" t="s">
        <v>5</v>
      </c>
      <c r="PD2" s="1" t="s">
        <v>5</v>
      </c>
      <c r="PE2" s="1" t="s">
        <v>5</v>
      </c>
      <c r="PF2" s="1" t="s">
        <v>5</v>
      </c>
      <c r="PG2" s="1" t="s">
        <v>5</v>
      </c>
      <c r="PH2" s="1" t="s">
        <v>5</v>
      </c>
      <c r="PI2" s="1" t="s">
        <v>5</v>
      </c>
      <c r="PJ2" s="1" t="s">
        <v>5</v>
      </c>
      <c r="PK2" s="1" t="s">
        <v>5</v>
      </c>
      <c r="PL2" s="1" t="s">
        <v>5</v>
      </c>
      <c r="PM2" s="1" t="s">
        <v>5</v>
      </c>
      <c r="PN2" s="1" t="s">
        <v>5</v>
      </c>
      <c r="PO2" s="1" t="s">
        <v>5</v>
      </c>
      <c r="PP2" s="1" t="s">
        <v>5</v>
      </c>
      <c r="PQ2" s="1" t="s">
        <v>5</v>
      </c>
      <c r="PR2" s="1" t="s">
        <v>5</v>
      </c>
      <c r="PS2" s="1" t="s">
        <v>5</v>
      </c>
      <c r="PT2" s="1" t="s">
        <v>5</v>
      </c>
      <c r="PU2" s="1" t="s">
        <v>5</v>
      </c>
      <c r="PV2" s="1" t="s">
        <v>5</v>
      </c>
      <c r="PW2" s="1" t="s">
        <v>5</v>
      </c>
      <c r="PX2" s="1" t="s">
        <v>5</v>
      </c>
      <c r="PY2" s="1" t="s">
        <v>5</v>
      </c>
      <c r="PZ2" s="1" t="s">
        <v>5</v>
      </c>
      <c r="QA2" s="1" t="s">
        <v>5</v>
      </c>
      <c r="QB2" s="1" t="s">
        <v>5</v>
      </c>
      <c r="QC2" s="1" t="s">
        <v>5</v>
      </c>
      <c r="QD2" s="1" t="s">
        <v>5</v>
      </c>
      <c r="QE2" s="1" t="s">
        <v>5</v>
      </c>
      <c r="QF2" s="1" t="s">
        <v>5</v>
      </c>
      <c r="QG2" s="1" t="s">
        <v>5</v>
      </c>
      <c r="QH2" s="1" t="s">
        <v>5</v>
      </c>
      <c r="QI2" s="1" t="s">
        <v>5</v>
      </c>
      <c r="QJ2" s="1" t="s">
        <v>5</v>
      </c>
      <c r="QK2" s="1" t="s">
        <v>5</v>
      </c>
      <c r="QL2" s="1" t="s">
        <v>5</v>
      </c>
      <c r="QM2" s="1" t="s">
        <v>5</v>
      </c>
      <c r="QN2" s="1" t="s">
        <v>5</v>
      </c>
      <c r="QO2" s="1" t="s">
        <v>5</v>
      </c>
      <c r="QP2" s="1" t="s">
        <v>5</v>
      </c>
      <c r="QQ2" s="1" t="s">
        <v>5</v>
      </c>
      <c r="QR2" s="1" t="s">
        <v>5</v>
      </c>
      <c r="QS2" s="1" t="s">
        <v>5</v>
      </c>
      <c r="QT2" s="1" t="s">
        <v>5</v>
      </c>
      <c r="QU2" s="1" t="s">
        <v>5</v>
      </c>
      <c r="QV2" s="1" t="s">
        <v>5</v>
      </c>
      <c r="QW2" s="1" t="s">
        <v>5</v>
      </c>
      <c r="QX2" s="1" t="s">
        <v>5</v>
      </c>
      <c r="QY2" s="1" t="s">
        <v>5</v>
      </c>
      <c r="QZ2" s="1" t="s">
        <v>5</v>
      </c>
      <c r="RA2" s="1" t="s">
        <v>5</v>
      </c>
      <c r="RB2" s="1" t="s">
        <v>5</v>
      </c>
      <c r="RC2" s="1" t="s">
        <v>5</v>
      </c>
      <c r="RD2" s="1" t="s">
        <v>5</v>
      </c>
      <c r="RE2" s="1" t="s">
        <v>5</v>
      </c>
      <c r="RF2" s="1" t="s">
        <v>5</v>
      </c>
      <c r="RG2" s="1" t="s">
        <v>5</v>
      </c>
      <c r="RH2" s="1" t="s">
        <v>5</v>
      </c>
      <c r="RI2" s="1" t="s">
        <v>5</v>
      </c>
      <c r="RJ2" s="1" t="s">
        <v>5</v>
      </c>
      <c r="RK2" s="1" t="s">
        <v>5</v>
      </c>
      <c r="RL2" s="1" t="s">
        <v>5</v>
      </c>
      <c r="RM2" s="1" t="s">
        <v>5</v>
      </c>
      <c r="RN2" s="1" t="s">
        <v>5</v>
      </c>
      <c r="RO2" s="1" t="s">
        <v>5</v>
      </c>
      <c r="RP2" s="1" t="s">
        <v>5</v>
      </c>
      <c r="RQ2" s="1" t="s">
        <v>5</v>
      </c>
      <c r="RR2" s="1" t="s">
        <v>5</v>
      </c>
      <c r="RS2" s="1" t="s">
        <v>5</v>
      </c>
      <c r="RT2" s="1" t="s">
        <v>5</v>
      </c>
      <c r="RU2" s="1" t="s">
        <v>5</v>
      </c>
      <c r="RV2" s="1" t="s">
        <v>5</v>
      </c>
      <c r="RW2" s="1" t="s">
        <v>5</v>
      </c>
      <c r="RX2" s="1" t="s">
        <v>5</v>
      </c>
      <c r="RY2" s="1" t="s">
        <v>5</v>
      </c>
      <c r="RZ2" s="1" t="s">
        <v>5</v>
      </c>
      <c r="SA2" s="1" t="s">
        <v>5</v>
      </c>
      <c r="SB2" s="1" t="s">
        <v>5</v>
      </c>
      <c r="SC2" s="1" t="s">
        <v>5</v>
      </c>
      <c r="SD2" s="1" t="s">
        <v>5</v>
      </c>
      <c r="SE2" s="1" t="s">
        <v>5</v>
      </c>
      <c r="SF2" s="1" t="s">
        <v>5</v>
      </c>
      <c r="SG2" s="1" t="s">
        <v>5</v>
      </c>
      <c r="SH2" s="1" t="s">
        <v>5</v>
      </c>
      <c r="SI2" s="1" t="s">
        <v>5</v>
      </c>
      <c r="SJ2" s="1" t="s">
        <v>5</v>
      </c>
      <c r="SK2" s="1" t="s">
        <v>5</v>
      </c>
      <c r="SL2" s="1" t="s">
        <v>5</v>
      </c>
      <c r="SM2" s="1" t="s">
        <v>5</v>
      </c>
      <c r="SN2" s="1" t="s">
        <v>5</v>
      </c>
      <c r="SO2" s="1" t="s">
        <v>5</v>
      </c>
      <c r="SP2" s="1" t="s">
        <v>5</v>
      </c>
      <c r="SQ2" s="1" t="s">
        <v>5</v>
      </c>
      <c r="SR2" s="1" t="s">
        <v>5</v>
      </c>
      <c r="SS2" s="1" t="s">
        <v>5</v>
      </c>
      <c r="ST2" s="1" t="s">
        <v>5</v>
      </c>
      <c r="SU2" s="1" t="s">
        <v>5</v>
      </c>
      <c r="SV2" s="1" t="s">
        <v>5</v>
      </c>
      <c r="SW2" s="1" t="s">
        <v>5</v>
      </c>
      <c r="SX2" s="1" t="s">
        <v>5</v>
      </c>
      <c r="SY2" s="1" t="s">
        <v>5</v>
      </c>
      <c r="SZ2" s="1" t="s">
        <v>5</v>
      </c>
      <c r="TA2" s="1" t="s">
        <v>5</v>
      </c>
      <c r="TB2" s="1" t="s">
        <v>5</v>
      </c>
      <c r="TC2" s="1" t="s">
        <v>5</v>
      </c>
      <c r="TD2" s="1" t="s">
        <v>5</v>
      </c>
      <c r="TE2" s="1" t="s">
        <v>5</v>
      </c>
      <c r="TF2" s="1" t="s">
        <v>5</v>
      </c>
      <c r="TG2" s="1" t="s">
        <v>5</v>
      </c>
      <c r="TH2" s="1" t="s">
        <v>5</v>
      </c>
      <c r="TI2" s="1" t="s">
        <v>5</v>
      </c>
      <c r="TJ2" s="1" t="s">
        <v>5</v>
      </c>
      <c r="TK2" s="1" t="s">
        <v>5</v>
      </c>
      <c r="TL2" s="1" t="s">
        <v>5</v>
      </c>
      <c r="TM2" s="1" t="s">
        <v>5</v>
      </c>
      <c r="TN2" s="1" t="s">
        <v>5</v>
      </c>
      <c r="TO2" s="1" t="s">
        <v>5</v>
      </c>
      <c r="TP2" s="1" t="s">
        <v>5</v>
      </c>
      <c r="TQ2" s="1" t="s">
        <v>5</v>
      </c>
      <c r="TR2" s="1" t="s">
        <v>5</v>
      </c>
      <c r="TS2" s="1" t="s">
        <v>5</v>
      </c>
      <c r="TT2" s="1" t="s">
        <v>5</v>
      </c>
      <c r="TU2" s="1" t="s">
        <v>5</v>
      </c>
      <c r="TV2" s="1" t="s">
        <v>5</v>
      </c>
      <c r="TW2" s="1" t="s">
        <v>5</v>
      </c>
      <c r="TX2" s="1" t="s">
        <v>5</v>
      </c>
      <c r="TY2" s="1" t="s">
        <v>5</v>
      </c>
      <c r="TZ2" s="1" t="s">
        <v>5</v>
      </c>
      <c r="UA2" s="1" t="s">
        <v>5</v>
      </c>
      <c r="UB2" s="1" t="s">
        <v>5</v>
      </c>
      <c r="UC2" s="1" t="s">
        <v>5</v>
      </c>
      <c r="UD2" s="1" t="s">
        <v>5</v>
      </c>
      <c r="UE2" s="1" t="s">
        <v>5</v>
      </c>
      <c r="UF2" s="1" t="s">
        <v>5</v>
      </c>
      <c r="UG2" s="1" t="s">
        <v>5</v>
      </c>
      <c r="UH2" s="1" t="s">
        <v>5</v>
      </c>
      <c r="UI2" s="1" t="s">
        <v>5</v>
      </c>
      <c r="UJ2" s="1" t="s">
        <v>5</v>
      </c>
      <c r="UK2" s="1" t="s">
        <v>5</v>
      </c>
      <c r="UL2" s="1" t="s">
        <v>5</v>
      </c>
      <c r="UM2" s="38" t="s">
        <v>6</v>
      </c>
    </row>
    <row r="3" spans="1:559" x14ac:dyDescent="0.3">
      <c r="B3" s="13" t="s">
        <v>55</v>
      </c>
      <c r="C3" s="13" t="s">
        <v>0</v>
      </c>
      <c r="D3" s="13" t="s">
        <v>1</v>
      </c>
      <c r="E3" s="39">
        <v>44672</v>
      </c>
      <c r="F3" s="39">
        <v>44673</v>
      </c>
      <c r="G3" s="39">
        <v>44674</v>
      </c>
      <c r="H3" s="39">
        <v>44675</v>
      </c>
      <c r="I3" s="39">
        <v>44676</v>
      </c>
      <c r="J3" s="39">
        <v>44677</v>
      </c>
      <c r="K3" s="39">
        <v>44678</v>
      </c>
      <c r="L3" s="39">
        <v>44679</v>
      </c>
      <c r="M3" s="39">
        <v>44680</v>
      </c>
      <c r="N3" s="39">
        <v>44685</v>
      </c>
      <c r="O3" s="39">
        <v>44687</v>
      </c>
      <c r="P3" s="39">
        <v>44691</v>
      </c>
      <c r="Q3" s="39">
        <v>44694</v>
      </c>
      <c r="R3" s="39">
        <v>44706</v>
      </c>
      <c r="S3" s="39">
        <v>44711</v>
      </c>
      <c r="T3" s="39">
        <v>44712</v>
      </c>
      <c r="U3" s="39">
        <v>44713</v>
      </c>
      <c r="V3" s="39">
        <v>44720</v>
      </c>
      <c r="W3" s="39">
        <v>44725</v>
      </c>
      <c r="X3" s="39">
        <v>44727</v>
      </c>
      <c r="Y3" s="39">
        <v>44732</v>
      </c>
      <c r="Z3" s="39">
        <v>44733</v>
      </c>
      <c r="AA3" s="39">
        <v>44734</v>
      </c>
      <c r="AB3" s="39">
        <v>44735</v>
      </c>
      <c r="AC3" s="39">
        <v>44740</v>
      </c>
      <c r="AD3" s="39">
        <v>44741</v>
      </c>
      <c r="AE3" s="39">
        <v>44743</v>
      </c>
      <c r="AF3" s="39">
        <v>44747</v>
      </c>
      <c r="AG3" s="39">
        <v>44748</v>
      </c>
      <c r="AH3" s="39">
        <v>44749</v>
      </c>
      <c r="AI3" s="39">
        <v>44750</v>
      </c>
      <c r="AJ3" s="39">
        <v>44755</v>
      </c>
      <c r="AK3" s="39">
        <v>44757</v>
      </c>
      <c r="AL3" s="39">
        <v>44763</v>
      </c>
      <c r="AM3" s="39">
        <v>44764</v>
      </c>
      <c r="AN3" s="39">
        <v>44771</v>
      </c>
      <c r="AO3" s="39">
        <v>44776</v>
      </c>
      <c r="AP3" s="39">
        <v>44777</v>
      </c>
      <c r="AQ3" s="39">
        <v>44795</v>
      </c>
      <c r="AR3" s="39">
        <v>44799</v>
      </c>
      <c r="AS3" s="39">
        <v>44802</v>
      </c>
      <c r="AT3" s="39">
        <v>44803</v>
      </c>
      <c r="AU3" s="39">
        <v>44806</v>
      </c>
      <c r="AV3" s="39">
        <v>44809</v>
      </c>
      <c r="AW3" s="39">
        <v>44811</v>
      </c>
      <c r="AX3" s="39">
        <v>44817</v>
      </c>
      <c r="AY3" s="39">
        <v>44818</v>
      </c>
      <c r="AZ3" s="39">
        <v>44820</v>
      </c>
      <c r="BA3" s="39">
        <v>44826</v>
      </c>
      <c r="BB3" s="39">
        <v>44831</v>
      </c>
      <c r="BC3" s="39">
        <v>44832</v>
      </c>
      <c r="BD3" s="39">
        <v>44833</v>
      </c>
      <c r="BE3" s="39">
        <v>44837</v>
      </c>
      <c r="BF3" s="39">
        <v>44852</v>
      </c>
      <c r="BG3" s="39">
        <v>44853</v>
      </c>
      <c r="BH3" s="39">
        <v>44854</v>
      </c>
      <c r="BI3" s="39">
        <v>44855</v>
      </c>
      <c r="BJ3" s="39">
        <v>44859</v>
      </c>
      <c r="BK3" s="39">
        <v>44861</v>
      </c>
      <c r="BL3" s="39">
        <v>44862</v>
      </c>
      <c r="BM3" s="39">
        <v>44865</v>
      </c>
      <c r="BN3" s="39">
        <v>44866</v>
      </c>
      <c r="BO3" s="39">
        <v>44868</v>
      </c>
      <c r="BP3" s="39">
        <v>44869</v>
      </c>
      <c r="BQ3" s="39">
        <v>44880</v>
      </c>
      <c r="BR3" s="39">
        <v>44881</v>
      </c>
      <c r="BS3" s="39">
        <v>44894</v>
      </c>
      <c r="BT3" s="39">
        <v>44896</v>
      </c>
      <c r="BU3" s="39">
        <v>44903</v>
      </c>
      <c r="BV3" s="39">
        <v>44909</v>
      </c>
      <c r="BW3" s="39">
        <v>44910</v>
      </c>
      <c r="BX3" s="39">
        <v>44928</v>
      </c>
      <c r="BY3" s="39">
        <v>44931</v>
      </c>
      <c r="BZ3" s="39">
        <v>44937</v>
      </c>
      <c r="CA3" s="39">
        <v>44939</v>
      </c>
      <c r="CB3" s="39">
        <v>44943</v>
      </c>
      <c r="CC3" s="39">
        <v>44945</v>
      </c>
      <c r="CD3" s="39">
        <v>44952</v>
      </c>
      <c r="CE3" s="39">
        <v>44956</v>
      </c>
      <c r="CF3" s="39">
        <v>44957</v>
      </c>
      <c r="CG3" s="39">
        <v>44963</v>
      </c>
      <c r="CH3" s="39">
        <v>44964</v>
      </c>
      <c r="CI3" s="39">
        <v>44970</v>
      </c>
      <c r="CJ3" s="39">
        <v>44974</v>
      </c>
      <c r="CK3" s="39">
        <v>44979</v>
      </c>
      <c r="CL3" s="39">
        <v>44981</v>
      </c>
      <c r="CM3" s="39">
        <v>44986</v>
      </c>
      <c r="CN3" s="39">
        <v>44987</v>
      </c>
      <c r="CO3" s="39">
        <v>44992</v>
      </c>
      <c r="CP3" s="39">
        <v>44994</v>
      </c>
      <c r="CQ3" s="39">
        <v>44998</v>
      </c>
      <c r="CR3" s="39">
        <v>44999</v>
      </c>
      <c r="CS3" s="39">
        <v>45000</v>
      </c>
      <c r="CT3" s="39">
        <v>45001</v>
      </c>
      <c r="CU3" s="39">
        <v>45005</v>
      </c>
      <c r="CV3" s="39">
        <v>45007</v>
      </c>
      <c r="CW3" s="39">
        <v>45020</v>
      </c>
      <c r="CX3" s="39">
        <v>45021</v>
      </c>
      <c r="CY3" s="39">
        <v>45030</v>
      </c>
      <c r="CZ3" s="39">
        <v>45033</v>
      </c>
      <c r="DA3" s="39">
        <v>45034</v>
      </c>
      <c r="DB3" s="39">
        <v>45036</v>
      </c>
      <c r="DC3" s="39">
        <v>45037</v>
      </c>
      <c r="DD3" s="39">
        <v>45043</v>
      </c>
      <c r="DE3" s="39">
        <v>45044</v>
      </c>
      <c r="DF3" s="39">
        <v>45048</v>
      </c>
      <c r="DG3" s="39">
        <v>45049</v>
      </c>
      <c r="DH3" s="39">
        <v>45050</v>
      </c>
      <c r="DI3" s="39">
        <v>45056</v>
      </c>
      <c r="DJ3" s="39">
        <v>45058</v>
      </c>
      <c r="DK3" s="39">
        <v>45062</v>
      </c>
      <c r="DL3" s="39">
        <v>45064</v>
      </c>
      <c r="DM3" s="39">
        <v>45069</v>
      </c>
      <c r="DN3" s="39">
        <v>45070</v>
      </c>
      <c r="DO3" s="39">
        <v>45071</v>
      </c>
      <c r="DP3" s="39">
        <v>45072</v>
      </c>
      <c r="DQ3" s="39">
        <v>45076</v>
      </c>
      <c r="DR3" s="39">
        <v>45078</v>
      </c>
      <c r="DS3" s="39">
        <v>45079</v>
      </c>
      <c r="DT3" s="39">
        <v>45085</v>
      </c>
      <c r="DU3" s="39">
        <v>45086</v>
      </c>
      <c r="DV3" s="39">
        <v>45090</v>
      </c>
      <c r="DW3" s="39">
        <v>45091</v>
      </c>
      <c r="DX3" s="39">
        <v>45092</v>
      </c>
      <c r="DY3" s="39">
        <v>45098</v>
      </c>
      <c r="DZ3" s="39">
        <v>45100</v>
      </c>
      <c r="EA3" s="39">
        <v>45104</v>
      </c>
      <c r="EB3" s="39">
        <v>45105</v>
      </c>
      <c r="EC3" s="39">
        <v>45117</v>
      </c>
      <c r="ED3" s="39">
        <v>45118</v>
      </c>
      <c r="EE3" s="39">
        <v>45119</v>
      </c>
      <c r="EF3" s="39">
        <v>45120</v>
      </c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  <c r="GV3" s="39"/>
      <c r="GW3" s="39"/>
      <c r="GX3" s="39"/>
      <c r="GY3" s="39"/>
      <c r="GZ3" s="39"/>
      <c r="HA3" s="39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  <c r="HN3" s="39"/>
      <c r="HO3" s="39"/>
      <c r="HP3" s="39"/>
      <c r="HQ3" s="39"/>
      <c r="HR3" s="39"/>
      <c r="HS3" s="39"/>
      <c r="HT3" s="39"/>
      <c r="HU3" s="39"/>
      <c r="HV3" s="39"/>
      <c r="HW3" s="39"/>
      <c r="HX3" s="39"/>
      <c r="HY3" s="39"/>
      <c r="HZ3" s="39"/>
      <c r="IA3" s="39"/>
      <c r="IB3" s="39"/>
      <c r="IC3" s="39"/>
      <c r="ID3" s="39"/>
      <c r="IE3" s="39"/>
      <c r="IF3" s="39"/>
      <c r="IG3" s="39"/>
      <c r="IH3" s="39"/>
      <c r="II3" s="39"/>
      <c r="IJ3" s="39"/>
      <c r="IK3" s="39"/>
      <c r="IL3" s="39"/>
      <c r="IM3" s="39"/>
      <c r="IN3" s="39"/>
      <c r="IO3" s="39"/>
      <c r="IP3" s="39"/>
      <c r="IQ3" s="39"/>
      <c r="IR3" s="39"/>
      <c r="IS3" s="39"/>
      <c r="IT3" s="39"/>
      <c r="IU3" s="39"/>
      <c r="IV3" s="39"/>
      <c r="IW3" s="39"/>
      <c r="IX3" s="39"/>
      <c r="IY3" s="39"/>
      <c r="IZ3" s="39"/>
      <c r="JA3" s="39"/>
      <c r="JB3" s="39"/>
      <c r="JC3" s="39"/>
      <c r="JD3" s="39"/>
      <c r="JE3" s="39"/>
      <c r="JF3" s="39"/>
      <c r="JG3" s="39"/>
      <c r="JH3" s="39"/>
      <c r="JI3" s="39"/>
      <c r="JJ3" s="39"/>
      <c r="JK3" s="39"/>
      <c r="JL3" s="39"/>
      <c r="JM3" s="39"/>
      <c r="JN3" s="39"/>
      <c r="JO3" s="39"/>
      <c r="JP3" s="39"/>
      <c r="JQ3" s="39"/>
      <c r="JR3" s="39"/>
      <c r="JS3" s="39"/>
      <c r="JT3" s="39"/>
      <c r="JU3" s="39"/>
      <c r="JV3" s="39"/>
      <c r="JW3" s="39"/>
      <c r="JX3" s="39"/>
      <c r="JY3" s="39"/>
      <c r="JZ3" s="39"/>
      <c r="KA3" s="39"/>
      <c r="KB3" s="39"/>
      <c r="KC3" s="39"/>
      <c r="KD3" s="39"/>
      <c r="KE3" s="39"/>
      <c r="KF3" s="39"/>
      <c r="KG3" s="39"/>
      <c r="KH3" s="39"/>
      <c r="KI3" s="39"/>
      <c r="KJ3" s="39"/>
      <c r="KK3" s="39"/>
      <c r="KL3" s="39"/>
      <c r="KM3" s="39"/>
      <c r="KN3" s="39"/>
      <c r="KO3" s="39"/>
      <c r="KP3" s="39"/>
      <c r="KQ3" s="39"/>
      <c r="KR3" s="39"/>
      <c r="KS3" s="39"/>
      <c r="KT3" s="39"/>
      <c r="KU3" s="39"/>
      <c r="KV3" s="39"/>
      <c r="KW3" s="39"/>
      <c r="KX3" s="39"/>
      <c r="KY3" s="39"/>
      <c r="KZ3" s="39"/>
      <c r="LA3" s="39"/>
      <c r="LB3" s="39"/>
      <c r="LC3" s="39"/>
      <c r="LD3" s="39"/>
      <c r="LE3" s="39"/>
      <c r="LF3" s="39"/>
      <c r="LG3" s="39"/>
      <c r="LH3" s="39"/>
      <c r="LI3" s="39"/>
      <c r="LJ3" s="39"/>
      <c r="LK3" s="39"/>
      <c r="LL3" s="39"/>
      <c r="LM3" s="39"/>
      <c r="LN3" s="39"/>
      <c r="LO3" s="39"/>
      <c r="LP3" s="39"/>
      <c r="LQ3" s="39"/>
      <c r="LR3" s="39"/>
      <c r="LS3" s="39"/>
      <c r="LT3" s="39"/>
      <c r="LU3" s="39"/>
      <c r="LV3" s="39"/>
      <c r="LW3" s="39"/>
      <c r="LX3" s="39"/>
      <c r="LY3" s="39"/>
      <c r="LZ3" s="39"/>
      <c r="MA3" s="39"/>
      <c r="MB3" s="39"/>
      <c r="MC3" s="39"/>
      <c r="MD3" s="39"/>
      <c r="ME3" s="39"/>
      <c r="MF3" s="39"/>
      <c r="MG3" s="39"/>
      <c r="MH3" s="39"/>
      <c r="MI3" s="39"/>
      <c r="MJ3" s="39"/>
      <c r="MK3" s="39"/>
      <c r="ML3" s="39"/>
      <c r="MM3" s="39"/>
      <c r="MN3" s="39"/>
      <c r="MO3" s="39"/>
      <c r="MP3" s="39"/>
      <c r="MQ3" s="39"/>
      <c r="MR3" s="39"/>
      <c r="MS3" s="39"/>
      <c r="MT3" s="39"/>
      <c r="MU3" s="39"/>
      <c r="MV3" s="39"/>
      <c r="MW3" s="39"/>
      <c r="MX3" s="39"/>
      <c r="MY3" s="39"/>
      <c r="MZ3" s="39"/>
      <c r="NA3" s="39"/>
      <c r="NB3" s="39"/>
      <c r="NC3" s="39"/>
      <c r="ND3" s="39"/>
      <c r="NE3" s="39"/>
      <c r="NF3" s="39"/>
      <c r="NG3" s="39"/>
      <c r="NH3" s="39"/>
      <c r="NI3" s="39"/>
      <c r="NJ3" s="39"/>
      <c r="NK3" s="39"/>
      <c r="NL3" s="39"/>
      <c r="NM3" s="39"/>
      <c r="NN3" s="39"/>
      <c r="NO3" s="39"/>
      <c r="NP3" s="39"/>
      <c r="NQ3" s="39"/>
      <c r="NR3" s="39"/>
      <c r="NS3" s="39"/>
      <c r="NT3" s="39"/>
      <c r="NU3" s="39"/>
      <c r="NV3" s="39"/>
      <c r="NW3" s="39"/>
      <c r="NX3" s="39"/>
      <c r="NY3" s="39"/>
      <c r="NZ3" s="39"/>
      <c r="OA3" s="39"/>
      <c r="OB3" s="39"/>
      <c r="OC3" s="39"/>
      <c r="OD3" s="39"/>
      <c r="OE3" s="39"/>
      <c r="OF3" s="39"/>
      <c r="OG3" s="39"/>
      <c r="OH3" s="39"/>
      <c r="OI3" s="39"/>
      <c r="OJ3" s="39"/>
      <c r="OK3" s="39"/>
      <c r="OL3" s="39"/>
      <c r="OM3" s="39"/>
      <c r="ON3" s="39"/>
      <c r="OO3" s="39"/>
      <c r="OP3" s="39"/>
      <c r="OQ3" s="39"/>
      <c r="OR3" s="39"/>
      <c r="OS3" s="39"/>
      <c r="OT3" s="39"/>
      <c r="OU3" s="39"/>
      <c r="OV3" s="39"/>
      <c r="OW3" s="39"/>
      <c r="OX3" s="39"/>
      <c r="OY3" s="39"/>
      <c r="OZ3" s="39"/>
      <c r="PA3" s="39"/>
      <c r="PB3" s="39"/>
      <c r="PC3" s="39"/>
      <c r="PD3" s="39"/>
      <c r="PE3" s="39"/>
      <c r="PF3" s="39"/>
      <c r="PG3" s="39"/>
      <c r="PH3" s="39"/>
      <c r="PI3" s="39"/>
      <c r="PJ3" s="39"/>
      <c r="PK3" s="39"/>
      <c r="PL3" s="39"/>
      <c r="PM3" s="39"/>
      <c r="PN3" s="39"/>
      <c r="PO3" s="39"/>
      <c r="PP3" s="39"/>
      <c r="PQ3" s="39"/>
      <c r="PR3" s="39"/>
      <c r="PS3" s="39"/>
      <c r="PT3" s="39"/>
      <c r="PU3" s="39"/>
      <c r="PV3" s="39"/>
      <c r="PW3" s="39"/>
      <c r="PX3" s="39"/>
      <c r="PY3" s="39"/>
      <c r="PZ3" s="39"/>
      <c r="QA3" s="39"/>
      <c r="QB3" s="39"/>
      <c r="QC3" s="39"/>
      <c r="QD3" s="39"/>
      <c r="QE3" s="39"/>
      <c r="QF3" s="39"/>
      <c r="QG3" s="39"/>
      <c r="QH3" s="39"/>
      <c r="QI3" s="39"/>
      <c r="QJ3" s="39"/>
      <c r="QK3" s="39"/>
      <c r="QL3" s="39"/>
      <c r="QM3" s="39"/>
      <c r="QN3" s="39"/>
      <c r="QO3" s="39"/>
      <c r="QP3" s="39"/>
      <c r="QQ3" s="39"/>
      <c r="QR3" s="39"/>
      <c r="QS3" s="39"/>
      <c r="QT3" s="39"/>
      <c r="QU3" s="39"/>
      <c r="QV3" s="39"/>
      <c r="QW3" s="39"/>
      <c r="QX3" s="39"/>
      <c r="QY3" s="39"/>
      <c r="QZ3" s="39"/>
      <c r="RA3" s="39"/>
      <c r="RB3" s="39"/>
      <c r="RC3" s="39"/>
      <c r="RD3" s="39"/>
      <c r="RE3" s="39"/>
      <c r="RF3" s="39"/>
      <c r="RG3" s="39"/>
      <c r="RH3" s="39"/>
      <c r="RI3" s="39"/>
      <c r="RJ3" s="39"/>
      <c r="RK3" s="39"/>
      <c r="RL3" s="39"/>
      <c r="RM3" s="39"/>
      <c r="RN3" s="39"/>
      <c r="RO3" s="39"/>
      <c r="RP3" s="39"/>
      <c r="RQ3" s="39"/>
      <c r="RR3" s="39"/>
      <c r="RS3" s="39"/>
      <c r="RT3" s="39"/>
      <c r="RU3" s="39"/>
      <c r="RV3" s="39"/>
      <c r="RW3" s="39"/>
      <c r="RX3" s="39"/>
      <c r="RY3" s="39"/>
      <c r="RZ3" s="39"/>
      <c r="SA3" s="39"/>
      <c r="SB3" s="39"/>
      <c r="SC3" s="39"/>
      <c r="SD3" s="39"/>
      <c r="SE3" s="39"/>
      <c r="SF3" s="39"/>
      <c r="SG3" s="39"/>
      <c r="SH3" s="39"/>
      <c r="SI3" s="39"/>
      <c r="SJ3" s="39"/>
      <c r="SK3" s="39"/>
      <c r="SL3" s="39"/>
      <c r="SM3" s="39"/>
      <c r="SN3" s="39"/>
      <c r="SO3" s="39"/>
      <c r="SP3" s="39"/>
      <c r="SQ3" s="39"/>
      <c r="SR3" s="39"/>
      <c r="SS3" s="39"/>
      <c r="ST3" s="39"/>
      <c r="SU3" s="39"/>
      <c r="SV3" s="39"/>
      <c r="SW3" s="39"/>
      <c r="SX3" s="39"/>
      <c r="SY3" s="39"/>
      <c r="SZ3" s="39"/>
      <c r="TA3" s="39"/>
      <c r="TB3" s="39"/>
      <c r="TC3" s="39"/>
      <c r="TD3" s="39"/>
      <c r="TE3" s="39"/>
      <c r="TF3" s="39"/>
      <c r="TG3" s="39"/>
      <c r="TH3" s="39"/>
      <c r="TI3" s="39"/>
      <c r="TJ3" s="39"/>
      <c r="TK3" s="39"/>
      <c r="TL3" s="39"/>
      <c r="TM3" s="39"/>
      <c r="TN3" s="39"/>
      <c r="TO3" s="39"/>
      <c r="TP3" s="39"/>
      <c r="TQ3" s="39"/>
      <c r="TR3" s="39"/>
      <c r="TS3" s="39"/>
      <c r="TT3" s="39"/>
      <c r="TU3" s="39"/>
      <c r="TV3" s="39"/>
      <c r="TW3" s="39"/>
      <c r="TX3" s="39"/>
      <c r="TY3" s="39"/>
      <c r="TZ3" s="39"/>
      <c r="UA3" s="39"/>
      <c r="UB3" s="39"/>
      <c r="UC3" s="39"/>
      <c r="UD3" s="39"/>
      <c r="UE3" s="39"/>
      <c r="UF3" s="39"/>
      <c r="UG3" s="39"/>
      <c r="UH3" s="39"/>
      <c r="UI3" s="39"/>
      <c r="UJ3" s="39"/>
      <c r="UK3" s="39"/>
      <c r="UL3" s="39"/>
      <c r="UM3" s="39">
        <f ca="1">TODAY()</f>
        <v>45124</v>
      </c>
    </row>
    <row r="4" spans="1:559" s="3" customFormat="1" x14ac:dyDescent="0.3">
      <c r="A4" s="5"/>
      <c r="B4" s="2" t="s">
        <v>56</v>
      </c>
      <c r="C4" s="2" t="s">
        <v>57</v>
      </c>
      <c r="D4" s="14" t="s">
        <v>61</v>
      </c>
      <c r="E4" s="2"/>
      <c r="F4" s="4"/>
      <c r="G4" s="4"/>
      <c r="H4" s="4"/>
      <c r="I4" s="4"/>
      <c r="J4" s="4"/>
      <c r="K4" s="4">
        <f>40+40</f>
        <v>80</v>
      </c>
      <c r="L4" s="4"/>
      <c r="M4" s="4"/>
      <c r="N4" s="4">
        <v>40</v>
      </c>
      <c r="O4" s="4"/>
      <c r="P4" s="4"/>
      <c r="Q4" s="4"/>
      <c r="R4" s="4"/>
      <c r="S4" s="4"/>
      <c r="T4" s="4"/>
      <c r="U4" s="4">
        <v>40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>
        <v>40</v>
      </c>
      <c r="AH4" s="4"/>
      <c r="AI4" s="4"/>
      <c r="AJ4" s="4"/>
      <c r="AK4" s="4"/>
      <c r="AL4" s="4"/>
      <c r="AM4" s="4"/>
      <c r="AN4" s="4"/>
      <c r="AO4" s="4">
        <v>40</v>
      </c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>
        <f>40+40</f>
        <v>80</v>
      </c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>
        <v>80</v>
      </c>
      <c r="DU4" s="4"/>
      <c r="DV4" s="4"/>
      <c r="DW4" s="4"/>
      <c r="DX4" s="4"/>
      <c r="DY4" s="4"/>
      <c r="DZ4" s="4"/>
      <c r="EA4" s="4"/>
      <c r="EB4" s="4">
        <v>80</v>
      </c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2">
        <f t="shared" ref="UM4:UM29" si="0">SUM(E4:UL4)</f>
        <v>480</v>
      </c>
    </row>
    <row r="5" spans="1:559" s="5" customFormat="1" x14ac:dyDescent="0.3">
      <c r="B5" s="2" t="s">
        <v>15</v>
      </c>
      <c r="C5" s="2" t="s">
        <v>16</v>
      </c>
      <c r="D5" s="14" t="s">
        <v>12</v>
      </c>
      <c r="E5" s="2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2">
        <f t="shared" si="0"/>
        <v>0</v>
      </c>
    </row>
    <row r="6" spans="1:559" s="5" customFormat="1" x14ac:dyDescent="0.3">
      <c r="B6" s="2" t="s">
        <v>19</v>
      </c>
      <c r="C6" s="2" t="s">
        <v>20</v>
      </c>
      <c r="D6" s="14" t="s">
        <v>61</v>
      </c>
      <c r="E6" s="2"/>
      <c r="F6" s="4"/>
      <c r="G6" s="4"/>
      <c r="H6" s="4"/>
      <c r="I6" s="4"/>
      <c r="J6" s="4">
        <v>40</v>
      </c>
      <c r="K6" s="4"/>
      <c r="L6" s="4"/>
      <c r="M6" s="4"/>
      <c r="N6" s="4"/>
      <c r="O6" s="4"/>
      <c r="P6" s="4"/>
      <c r="Q6" s="4">
        <v>40</v>
      </c>
      <c r="R6" s="4"/>
      <c r="S6" s="4"/>
      <c r="T6" s="4"/>
      <c r="U6" s="4">
        <v>40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>
        <v>40</v>
      </c>
      <c r="AH6" s="4"/>
      <c r="AI6" s="4"/>
      <c r="AJ6" s="4"/>
      <c r="AK6" s="4">
        <v>40</v>
      </c>
      <c r="AL6" s="4"/>
      <c r="AM6" s="4"/>
      <c r="AN6" s="4"/>
      <c r="AO6" s="4"/>
      <c r="AP6" s="4">
        <v>40</v>
      </c>
      <c r="AQ6" s="4"/>
      <c r="AR6" s="4"/>
      <c r="AS6" s="4"/>
      <c r="AT6" s="4"/>
      <c r="AU6" s="4">
        <v>193</v>
      </c>
      <c r="AV6" s="4"/>
      <c r="AW6" s="4"/>
      <c r="AX6" s="4"/>
      <c r="AY6" s="4"/>
      <c r="AZ6" s="4"/>
      <c r="BA6" s="4"/>
      <c r="BB6" s="4">
        <v>30</v>
      </c>
      <c r="BC6" s="4"/>
      <c r="BD6" s="4"/>
      <c r="BE6" s="4"/>
      <c r="BF6" s="4"/>
      <c r="BG6" s="4"/>
      <c r="BH6" s="4"/>
      <c r="BI6" s="4"/>
      <c r="BJ6" s="4"/>
      <c r="BK6" s="4"/>
      <c r="BL6" s="4"/>
      <c r="BM6" s="4">
        <v>40</v>
      </c>
      <c r="BN6" s="4"/>
      <c r="BO6" s="4"/>
      <c r="BP6" s="4"/>
      <c r="BQ6" s="4">
        <v>40</v>
      </c>
      <c r="BR6" s="4"/>
      <c r="BS6" s="4"/>
      <c r="BT6" s="4"/>
      <c r="BU6" s="4"/>
      <c r="BV6" s="4"/>
      <c r="BW6" s="4"/>
      <c r="BX6" s="4"/>
      <c r="BY6" s="4"/>
      <c r="BZ6" s="4"/>
      <c r="CA6" s="4"/>
      <c r="CB6" s="4">
        <v>40</v>
      </c>
      <c r="CC6" s="4"/>
      <c r="CD6" s="4"/>
      <c r="CE6" s="4"/>
      <c r="CF6" s="4"/>
      <c r="CG6" s="4">
        <v>134</v>
      </c>
      <c r="CH6" s="4"/>
      <c r="CI6" s="4"/>
      <c r="CJ6" s="4">
        <v>40</v>
      </c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>
        <v>40</v>
      </c>
      <c r="DO6" s="4"/>
      <c r="DP6" s="4"/>
      <c r="DQ6" s="4"/>
      <c r="DR6" s="4"/>
      <c r="DS6" s="4"/>
      <c r="DT6" s="4"/>
      <c r="DU6" s="4"/>
      <c r="DV6" s="4"/>
      <c r="DW6" s="4">
        <v>40</v>
      </c>
      <c r="DX6" s="4"/>
      <c r="DY6" s="4"/>
      <c r="DZ6" s="4"/>
      <c r="EA6" s="4"/>
      <c r="EB6" s="4">
        <v>33</v>
      </c>
      <c r="EC6" s="4"/>
      <c r="ED6" s="4"/>
      <c r="EE6" s="4"/>
      <c r="EF6" s="29">
        <v>1</v>
      </c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2">
        <f t="shared" si="0"/>
        <v>871</v>
      </c>
    </row>
    <row r="7" spans="1:559" s="3" customFormat="1" x14ac:dyDescent="0.3">
      <c r="A7" s="5"/>
      <c r="B7" s="2" t="s">
        <v>21</v>
      </c>
      <c r="C7" s="2" t="s">
        <v>22</v>
      </c>
      <c r="D7" s="14" t="s">
        <v>13</v>
      </c>
      <c r="E7" s="2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>
        <v>4</v>
      </c>
      <c r="BB7" s="4"/>
      <c r="BC7" s="4"/>
      <c r="BD7" s="4"/>
      <c r="BE7" s="4">
        <v>2</v>
      </c>
      <c r="BF7" s="4"/>
      <c r="BG7" s="4"/>
      <c r="BH7" s="4"/>
      <c r="BI7" s="4"/>
      <c r="BJ7" s="4"/>
      <c r="BK7" s="4"/>
      <c r="BL7" s="4">
        <v>4</v>
      </c>
      <c r="BM7" s="4">
        <v>4</v>
      </c>
      <c r="BN7" s="4"/>
      <c r="BO7" s="4"/>
      <c r="BP7" s="4"/>
      <c r="BQ7" s="4">
        <f>4+4</f>
        <v>8</v>
      </c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>
        <v>2</v>
      </c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>
        <v>1</v>
      </c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2">
        <f t="shared" si="0"/>
        <v>25</v>
      </c>
    </row>
    <row r="8" spans="1:559" s="5" customFormat="1" x14ac:dyDescent="0.3">
      <c r="B8" s="2" t="s">
        <v>17</v>
      </c>
      <c r="C8" s="2" t="s">
        <v>18</v>
      </c>
      <c r="D8" s="14" t="s">
        <v>59</v>
      </c>
      <c r="E8" s="2"/>
      <c r="F8" s="4"/>
      <c r="G8" s="4"/>
      <c r="H8" s="4"/>
      <c r="I8" s="4"/>
      <c r="J8" s="4">
        <v>30</v>
      </c>
      <c r="K8" s="4">
        <f>30+30</f>
        <v>60</v>
      </c>
      <c r="L8" s="4"/>
      <c r="M8" s="4"/>
      <c r="N8" s="4"/>
      <c r="O8" s="4"/>
      <c r="P8" s="4"/>
      <c r="Q8" s="4">
        <v>29</v>
      </c>
      <c r="R8" s="4"/>
      <c r="S8" s="4"/>
      <c r="T8" s="4"/>
      <c r="U8" s="4">
        <v>30</v>
      </c>
      <c r="V8" s="4"/>
      <c r="W8" s="4"/>
      <c r="X8" s="4"/>
      <c r="Y8" s="4"/>
      <c r="Z8" s="4"/>
      <c r="AA8" s="4">
        <v>30</v>
      </c>
      <c r="AB8" s="4">
        <v>1</v>
      </c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>
        <v>30</v>
      </c>
      <c r="AP8" s="4">
        <v>30</v>
      </c>
      <c r="AQ8" s="4"/>
      <c r="AR8" s="4"/>
      <c r="AS8" s="4"/>
      <c r="AT8" s="4"/>
      <c r="AU8" s="4">
        <v>220</v>
      </c>
      <c r="AV8" s="4"/>
      <c r="AW8" s="4"/>
      <c r="AX8" s="4"/>
      <c r="AY8" s="4"/>
      <c r="AZ8" s="4">
        <v>2</v>
      </c>
      <c r="BA8" s="4">
        <v>30</v>
      </c>
      <c r="BB8" s="4"/>
      <c r="BC8" s="4"/>
      <c r="BD8" s="4"/>
      <c r="BE8" s="4"/>
      <c r="BF8" s="4"/>
      <c r="BG8" s="4"/>
      <c r="BH8" s="4"/>
      <c r="BI8" s="4"/>
      <c r="BJ8" s="4">
        <v>2</v>
      </c>
      <c r="BK8" s="4"/>
      <c r="BL8" s="4"/>
      <c r="BM8" s="4"/>
      <c r="BN8" s="4"/>
      <c r="BO8" s="4"/>
      <c r="BP8" s="4"/>
      <c r="BQ8" s="4"/>
      <c r="BR8" s="4"/>
      <c r="BS8" s="4"/>
      <c r="BT8" s="4">
        <v>13</v>
      </c>
      <c r="BU8" s="4"/>
      <c r="BV8" s="4"/>
      <c r="BW8" s="4"/>
      <c r="BX8" s="4"/>
      <c r="BY8" s="4"/>
      <c r="BZ8" s="4"/>
      <c r="CA8" s="4"/>
      <c r="CB8" s="4">
        <v>30</v>
      </c>
      <c r="CC8" s="4"/>
      <c r="CD8" s="4"/>
      <c r="CE8" s="4"/>
      <c r="CF8" s="4"/>
      <c r="CG8" s="4">
        <v>8</v>
      </c>
      <c r="CH8" s="4"/>
      <c r="CI8" s="4"/>
      <c r="CJ8" s="4">
        <v>30</v>
      </c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>
        <v>30</v>
      </c>
      <c r="DF8" s="4"/>
      <c r="DG8" s="4"/>
      <c r="DH8" s="4">
        <v>2</v>
      </c>
      <c r="DI8" s="4"/>
      <c r="DJ8" s="4"/>
      <c r="DK8" s="4"/>
      <c r="DL8" s="4"/>
      <c r="DM8" s="4"/>
      <c r="DN8" s="4"/>
      <c r="DO8" s="4"/>
      <c r="DP8" s="4"/>
      <c r="DQ8" s="4">
        <v>1</v>
      </c>
      <c r="DR8" s="4"/>
      <c r="DS8" s="4"/>
      <c r="DT8" s="4"/>
      <c r="DU8" s="4"/>
      <c r="DV8" s="4"/>
      <c r="DW8" s="4">
        <v>30</v>
      </c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2">
        <f t="shared" si="0"/>
        <v>638</v>
      </c>
    </row>
    <row r="9" spans="1:559" s="3" customFormat="1" x14ac:dyDescent="0.3">
      <c r="A9" s="5"/>
      <c r="B9" s="2" t="s">
        <v>31</v>
      </c>
      <c r="C9" s="2" t="s">
        <v>32</v>
      </c>
      <c r="D9" s="14" t="s">
        <v>61</v>
      </c>
      <c r="E9" s="2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>
        <v>72</v>
      </c>
      <c r="V9" s="4"/>
      <c r="W9" s="4"/>
      <c r="X9" s="4"/>
      <c r="Y9" s="4"/>
      <c r="Z9" s="4"/>
      <c r="AA9" s="4"/>
      <c r="AB9" s="4">
        <v>2</v>
      </c>
      <c r="AC9" s="4"/>
      <c r="AD9" s="4"/>
      <c r="AE9" s="4"/>
      <c r="AF9" s="4">
        <v>72</v>
      </c>
      <c r="AG9" s="4">
        <v>144</v>
      </c>
      <c r="AH9" s="4"/>
      <c r="AI9" s="4"/>
      <c r="AJ9" s="4"/>
      <c r="AK9" s="4">
        <v>72</v>
      </c>
      <c r="AL9" s="4"/>
      <c r="AM9" s="4"/>
      <c r="AN9" s="4">
        <v>4</v>
      </c>
      <c r="AO9" s="4">
        <v>72</v>
      </c>
      <c r="AP9" s="4"/>
      <c r="AQ9" s="4"/>
      <c r="AR9" s="4"/>
      <c r="AS9" s="4"/>
      <c r="AT9" s="4"/>
      <c r="AU9" s="4"/>
      <c r="AV9" s="4"/>
      <c r="AW9" s="4"/>
      <c r="AX9" s="4">
        <v>1</v>
      </c>
      <c r="AY9" s="4"/>
      <c r="AZ9" s="4">
        <v>2</v>
      </c>
      <c r="BA9" s="4"/>
      <c r="BB9" s="4"/>
      <c r="BC9" s="4"/>
      <c r="BD9" s="4"/>
      <c r="BE9" s="4"/>
      <c r="BF9" s="4"/>
      <c r="BG9" s="4"/>
      <c r="BH9" s="4"/>
      <c r="BI9" s="4"/>
      <c r="BJ9" s="4">
        <v>1</v>
      </c>
      <c r="BK9" s="4"/>
      <c r="BL9" s="4"/>
      <c r="BM9" s="4"/>
      <c r="BN9" s="4"/>
      <c r="BO9" s="4"/>
      <c r="BP9" s="4"/>
      <c r="BQ9" s="4"/>
      <c r="BR9" s="4"/>
      <c r="BS9" s="4">
        <v>2</v>
      </c>
      <c r="BT9" s="4"/>
      <c r="BU9" s="4"/>
      <c r="BV9" s="4"/>
      <c r="BW9" s="4">
        <v>2</v>
      </c>
      <c r="BX9" s="4"/>
      <c r="BY9" s="4"/>
      <c r="BZ9" s="4"/>
      <c r="CA9" s="4"/>
      <c r="CB9" s="4">
        <v>72</v>
      </c>
      <c r="CC9" s="4">
        <v>72</v>
      </c>
      <c r="CD9" s="4">
        <v>3</v>
      </c>
      <c r="CE9" s="4">
        <v>72</v>
      </c>
      <c r="CF9" s="4"/>
      <c r="CG9" s="4"/>
      <c r="CH9" s="4"/>
      <c r="CI9" s="4"/>
      <c r="CJ9" s="4"/>
      <c r="CK9" s="4"/>
      <c r="CL9" s="4"/>
      <c r="CM9" s="4"/>
      <c r="CN9" s="4">
        <v>3</v>
      </c>
      <c r="CO9" s="4"/>
      <c r="CP9" s="4"/>
      <c r="CQ9" s="4"/>
      <c r="CR9" s="4"/>
      <c r="CS9" s="4"/>
      <c r="CT9" s="4">
        <v>4</v>
      </c>
      <c r="CU9" s="4"/>
      <c r="CV9" s="4"/>
      <c r="CW9" s="4">
        <v>4</v>
      </c>
      <c r="CX9" s="4"/>
      <c r="CY9" s="4"/>
      <c r="CZ9" s="4"/>
      <c r="DA9" s="4">
        <v>72</v>
      </c>
      <c r="DB9" s="4"/>
      <c r="DC9" s="4"/>
      <c r="DD9" s="4"/>
      <c r="DE9" s="4"/>
      <c r="DF9" s="4"/>
      <c r="DG9" s="4"/>
      <c r="DH9" s="4">
        <v>4</v>
      </c>
      <c r="DI9" s="4"/>
      <c r="DJ9" s="4"/>
      <c r="DK9" s="4"/>
      <c r="DL9" s="4"/>
      <c r="DM9" s="4"/>
      <c r="DN9" s="4"/>
      <c r="DO9" s="4"/>
      <c r="DP9" s="4"/>
      <c r="DQ9" s="4">
        <v>4</v>
      </c>
      <c r="DR9" s="4"/>
      <c r="DS9" s="4">
        <v>29</v>
      </c>
      <c r="DT9" s="4">
        <v>72</v>
      </c>
      <c r="DU9" s="4"/>
      <c r="DV9" s="4"/>
      <c r="DW9" s="4"/>
      <c r="DX9" s="4"/>
      <c r="DY9" s="4"/>
      <c r="DZ9" s="4"/>
      <c r="EA9" s="4"/>
      <c r="EB9" s="4"/>
      <c r="EC9" s="29">
        <v>1</v>
      </c>
      <c r="ED9" s="4"/>
      <c r="EE9" s="4"/>
      <c r="EF9" s="29">
        <v>1</v>
      </c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2">
        <f>SUM(E9:UL9)</f>
        <v>859</v>
      </c>
    </row>
    <row r="10" spans="1:559" s="3" customFormat="1" x14ac:dyDescent="0.3">
      <c r="A10" s="5"/>
      <c r="B10" s="2" t="s">
        <v>35</v>
      </c>
      <c r="C10" s="2" t="s">
        <v>36</v>
      </c>
      <c r="D10" s="14" t="s">
        <v>61</v>
      </c>
      <c r="E10" s="2"/>
      <c r="F10" s="4"/>
      <c r="G10" s="4"/>
      <c r="H10" s="4"/>
      <c r="I10" s="4"/>
      <c r="J10" s="4">
        <v>40</v>
      </c>
      <c r="K10" s="4">
        <f>80+40+80</f>
        <v>200</v>
      </c>
      <c r="L10" s="4"/>
      <c r="M10" s="4"/>
      <c r="N10" s="4">
        <v>40</v>
      </c>
      <c r="O10" s="4"/>
      <c r="P10" s="4"/>
      <c r="Q10" s="4">
        <v>40</v>
      </c>
      <c r="R10" s="4"/>
      <c r="S10" s="4">
        <f>80+80</f>
        <v>160</v>
      </c>
      <c r="T10" s="4">
        <v>80</v>
      </c>
      <c r="U10" s="4">
        <v>40</v>
      </c>
      <c r="V10" s="4"/>
      <c r="W10" s="4"/>
      <c r="X10" s="4"/>
      <c r="Y10" s="4"/>
      <c r="Z10" s="4"/>
      <c r="AA10" s="4">
        <v>40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>
        <v>40</v>
      </c>
      <c r="AP10" s="4">
        <v>40</v>
      </c>
      <c r="AQ10" s="4"/>
      <c r="AR10" s="4"/>
      <c r="AS10" s="4"/>
      <c r="AT10" s="4">
        <v>80</v>
      </c>
      <c r="AU10" s="4">
        <v>19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>
        <v>20</v>
      </c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2">
        <f t="shared" si="0"/>
        <v>839</v>
      </c>
    </row>
    <row r="11" spans="1:559" s="5" customFormat="1" x14ac:dyDescent="0.3">
      <c r="B11" s="40" t="s">
        <v>451</v>
      </c>
      <c r="C11" s="2" t="s">
        <v>437</v>
      </c>
      <c r="D11" s="14" t="s">
        <v>12</v>
      </c>
      <c r="E11" s="2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>
        <v>2</v>
      </c>
      <c r="BF11" s="4"/>
      <c r="BG11" s="4"/>
      <c r="BH11" s="4"/>
      <c r="BI11" s="4"/>
      <c r="BJ11" s="4"/>
      <c r="BK11" s="4"/>
      <c r="BL11" s="4">
        <v>1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2">
        <f t="shared" si="0"/>
        <v>3</v>
      </c>
    </row>
    <row r="12" spans="1:559" x14ac:dyDescent="0.3">
      <c r="B12" s="2" t="s">
        <v>33</v>
      </c>
      <c r="C12" s="2" t="s">
        <v>34</v>
      </c>
      <c r="D12" s="14" t="s">
        <v>59</v>
      </c>
      <c r="E12" s="2"/>
      <c r="F12" s="4"/>
      <c r="G12" s="4"/>
      <c r="H12" s="4"/>
      <c r="I12" s="4"/>
      <c r="J12" s="4"/>
      <c r="K12" s="4">
        <f>30+30</f>
        <v>60</v>
      </c>
      <c r="L12" s="4"/>
      <c r="M12" s="4"/>
      <c r="N12" s="4">
        <v>60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>
        <v>1</v>
      </c>
      <c r="AC12" s="4"/>
      <c r="AD12" s="4"/>
      <c r="AE12" s="4"/>
      <c r="AF12" s="4"/>
      <c r="AG12" s="4">
        <v>60</v>
      </c>
      <c r="AH12" s="4"/>
      <c r="AI12" s="4"/>
      <c r="AJ12" s="4"/>
      <c r="AK12" s="4"/>
      <c r="AL12" s="4"/>
      <c r="AM12" s="4"/>
      <c r="AN12" s="4">
        <v>60</v>
      </c>
      <c r="AO12" s="4">
        <v>30</v>
      </c>
      <c r="AP12" s="4">
        <v>30</v>
      </c>
      <c r="AQ12" s="4"/>
      <c r="AR12" s="4"/>
      <c r="AS12" s="4"/>
      <c r="AT12" s="4"/>
      <c r="AU12" s="4">
        <v>29</v>
      </c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>
        <f>1+30</f>
        <v>31</v>
      </c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>
        <v>2</v>
      </c>
      <c r="CX12" s="4"/>
      <c r="CY12" s="4"/>
      <c r="CZ12" s="4"/>
      <c r="DA12" s="4"/>
      <c r="DB12" s="4"/>
      <c r="DC12" s="4"/>
      <c r="DD12" s="4"/>
      <c r="DE12" s="4"/>
      <c r="DF12" s="4">
        <v>15</v>
      </c>
      <c r="DG12" s="4"/>
      <c r="DH12" s="4">
        <v>1</v>
      </c>
      <c r="DI12" s="4"/>
      <c r="DJ12" s="4"/>
      <c r="DK12" s="4"/>
      <c r="DL12" s="4"/>
      <c r="DM12" s="4"/>
      <c r="DN12" s="4"/>
      <c r="DO12" s="4"/>
      <c r="DP12" s="4"/>
      <c r="DQ12" s="4">
        <v>1</v>
      </c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29">
        <v>1</v>
      </c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2">
        <f t="shared" si="0"/>
        <v>381</v>
      </c>
    </row>
    <row r="13" spans="1:559" x14ac:dyDescent="0.3">
      <c r="B13" s="2" t="s">
        <v>23</v>
      </c>
      <c r="C13" s="2" t="s">
        <v>24</v>
      </c>
      <c r="D13" s="14" t="s">
        <v>61</v>
      </c>
      <c r="E13" s="2"/>
      <c r="F13" s="4"/>
      <c r="G13" s="4"/>
      <c r="H13" s="4"/>
      <c r="I13" s="4"/>
      <c r="J13" s="4"/>
      <c r="K13" s="4">
        <f>192+384</f>
        <v>576</v>
      </c>
      <c r="L13" s="4"/>
      <c r="M13" s="4"/>
      <c r="N13" s="4">
        <v>192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>
        <v>576</v>
      </c>
      <c r="AL13" s="4">
        <v>384</v>
      </c>
      <c r="AM13" s="4"/>
      <c r="AN13" s="4"/>
      <c r="AO13" s="4">
        <f>192+192</f>
        <v>384</v>
      </c>
      <c r="AP13" s="4">
        <v>384</v>
      </c>
      <c r="AQ13" s="4"/>
      <c r="AR13" s="4"/>
      <c r="AS13" s="4"/>
      <c r="AT13" s="4">
        <v>384</v>
      </c>
      <c r="AU13" s="4"/>
      <c r="AV13" s="4">
        <v>384</v>
      </c>
      <c r="AW13" s="4">
        <v>192</v>
      </c>
      <c r="AX13" s="4"/>
      <c r="AY13" s="4"/>
      <c r="AZ13" s="4"/>
      <c r="BA13" s="4"/>
      <c r="BB13" s="4"/>
      <c r="BC13" s="4">
        <v>192</v>
      </c>
      <c r="BD13" s="4"/>
      <c r="BE13" s="4">
        <v>192</v>
      </c>
      <c r="BF13" s="4"/>
      <c r="BG13" s="4"/>
      <c r="BH13" s="4"/>
      <c r="BI13" s="4">
        <v>192</v>
      </c>
      <c r="BJ13" s="4">
        <v>384</v>
      </c>
      <c r="BK13" s="4">
        <v>192</v>
      </c>
      <c r="BL13" s="4"/>
      <c r="BM13" s="4">
        <v>192</v>
      </c>
      <c r="BN13" s="4"/>
      <c r="BO13" s="4"/>
      <c r="BP13" s="4"/>
      <c r="BQ13" s="4"/>
      <c r="BR13" s="4"/>
      <c r="BS13" s="4"/>
      <c r="BT13" s="4"/>
      <c r="BU13" s="4"/>
      <c r="BV13" s="4">
        <f>192+1152</f>
        <v>1344</v>
      </c>
      <c r="BW13" s="4"/>
      <c r="BX13" s="4"/>
      <c r="BY13" s="4"/>
      <c r="BZ13" s="4"/>
      <c r="CA13" s="4">
        <v>192</v>
      </c>
      <c r="CB13" s="4">
        <v>192</v>
      </c>
      <c r="CC13" s="4">
        <v>384</v>
      </c>
      <c r="CD13" s="4"/>
      <c r="CE13" s="4">
        <v>192</v>
      </c>
      <c r="CF13" s="4"/>
      <c r="CG13" s="4"/>
      <c r="CH13" s="4">
        <v>576</v>
      </c>
      <c r="CI13" s="4"/>
      <c r="CJ13" s="4"/>
      <c r="CK13" s="4">
        <v>192</v>
      </c>
      <c r="CL13" s="4">
        <v>192</v>
      </c>
      <c r="CM13" s="4">
        <v>192</v>
      </c>
      <c r="CN13" s="4"/>
      <c r="CO13" s="4"/>
      <c r="CP13" s="4"/>
      <c r="CQ13" s="4"/>
      <c r="CR13" s="4"/>
      <c r="CS13" s="4"/>
      <c r="CT13" s="4"/>
      <c r="CU13" s="4">
        <v>192</v>
      </c>
      <c r="CV13" s="4">
        <v>192</v>
      </c>
      <c r="CW13" s="4"/>
      <c r="CX13" s="4"/>
      <c r="CY13" s="4"/>
      <c r="CZ13" s="4"/>
      <c r="DA13" s="4">
        <v>192</v>
      </c>
      <c r="DB13" s="4">
        <v>192</v>
      </c>
      <c r="DC13" s="4">
        <v>384</v>
      </c>
      <c r="DD13" s="4">
        <v>192</v>
      </c>
      <c r="DE13" s="4"/>
      <c r="DF13" s="4"/>
      <c r="DG13" s="4"/>
      <c r="DH13" s="4"/>
      <c r="DI13" s="4"/>
      <c r="DJ13" s="4"/>
      <c r="DK13" s="4"/>
      <c r="DL13" s="4"/>
      <c r="DM13" s="4"/>
      <c r="DN13" s="4">
        <v>384</v>
      </c>
      <c r="DO13" s="4">
        <v>192</v>
      </c>
      <c r="DP13" s="4"/>
      <c r="DQ13" s="4"/>
      <c r="DR13" s="4">
        <v>768</v>
      </c>
      <c r="DS13" s="4">
        <v>192</v>
      </c>
      <c r="DT13" s="4"/>
      <c r="DU13" s="4">
        <v>192</v>
      </c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2">
        <f t="shared" si="0"/>
        <v>11328</v>
      </c>
    </row>
    <row r="14" spans="1:559" s="5" customFormat="1" x14ac:dyDescent="0.3">
      <c r="B14" s="2" t="s">
        <v>25</v>
      </c>
      <c r="C14" s="2" t="s">
        <v>26</v>
      </c>
      <c r="D14" s="14" t="s">
        <v>61</v>
      </c>
      <c r="E14" s="2"/>
      <c r="F14" s="4"/>
      <c r="G14" s="4"/>
      <c r="H14" s="4"/>
      <c r="I14" s="4"/>
      <c r="J14" s="4">
        <v>60</v>
      </c>
      <c r="K14" s="4">
        <f>60+60</f>
        <v>120</v>
      </c>
      <c r="L14" s="4"/>
      <c r="M14" s="4"/>
      <c r="N14" s="4"/>
      <c r="O14" s="4"/>
      <c r="P14" s="4">
        <v>1</v>
      </c>
      <c r="Q14" s="4"/>
      <c r="R14" s="4"/>
      <c r="S14" s="4"/>
      <c r="T14" s="4">
        <v>60</v>
      </c>
      <c r="U14" s="4">
        <v>59</v>
      </c>
      <c r="V14" s="4"/>
      <c r="W14" s="4"/>
      <c r="X14" s="4"/>
      <c r="Y14" s="4"/>
      <c r="Z14" s="4"/>
      <c r="AA14" s="4">
        <v>120</v>
      </c>
      <c r="AB14" s="4">
        <v>1</v>
      </c>
      <c r="AC14" s="4"/>
      <c r="AD14" s="4"/>
      <c r="AE14" s="4"/>
      <c r="AF14" s="4">
        <v>60</v>
      </c>
      <c r="AG14" s="4">
        <v>120</v>
      </c>
      <c r="AH14" s="4"/>
      <c r="AI14" s="4"/>
      <c r="AJ14" s="4"/>
      <c r="AK14" s="4">
        <v>60</v>
      </c>
      <c r="AL14" s="4"/>
      <c r="AM14" s="4"/>
      <c r="AN14" s="4"/>
      <c r="AO14" s="4">
        <v>60</v>
      </c>
      <c r="AP14" s="4">
        <v>120</v>
      </c>
      <c r="AQ14" s="4"/>
      <c r="AR14" s="4"/>
      <c r="AS14" s="4"/>
      <c r="AT14" s="4">
        <v>60</v>
      </c>
      <c r="AU14" s="4"/>
      <c r="AV14" s="4">
        <v>60</v>
      </c>
      <c r="AW14" s="4"/>
      <c r="AX14" s="4"/>
      <c r="AY14" s="4"/>
      <c r="AZ14" s="4"/>
      <c r="BA14" s="4">
        <v>60</v>
      </c>
      <c r="BB14" s="4">
        <v>60</v>
      </c>
      <c r="BC14" s="4">
        <f>60+60</f>
        <v>120</v>
      </c>
      <c r="BD14" s="4"/>
      <c r="BE14" s="4">
        <v>120</v>
      </c>
      <c r="BF14" s="4"/>
      <c r="BG14" s="4">
        <v>60</v>
      </c>
      <c r="BH14" s="4">
        <v>60</v>
      </c>
      <c r="BI14" s="4">
        <v>60</v>
      </c>
      <c r="BJ14" s="4">
        <v>60</v>
      </c>
      <c r="BK14" s="4">
        <v>60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>
        <v>120</v>
      </c>
      <c r="CD14" s="4"/>
      <c r="CE14" s="4"/>
      <c r="CF14" s="4"/>
      <c r="CG14" s="4">
        <v>5</v>
      </c>
      <c r="CH14" s="4">
        <v>120</v>
      </c>
      <c r="CI14" s="4">
        <v>60</v>
      </c>
      <c r="CJ14" s="4"/>
      <c r="CK14" s="4"/>
      <c r="CL14" s="4">
        <v>60</v>
      </c>
      <c r="CM14" s="4"/>
      <c r="CN14" s="4"/>
      <c r="CO14" s="4"/>
      <c r="CP14" s="4"/>
      <c r="CQ14" s="4">
        <v>60</v>
      </c>
      <c r="CR14" s="4"/>
      <c r="CS14" s="4"/>
      <c r="CT14" s="4"/>
      <c r="CU14" s="4"/>
      <c r="CV14" s="4">
        <v>60</v>
      </c>
      <c r="CW14" s="4"/>
      <c r="CX14" s="4">
        <v>60</v>
      </c>
      <c r="CY14" s="4"/>
      <c r="CZ14" s="4"/>
      <c r="DA14" s="4">
        <v>60</v>
      </c>
      <c r="DB14" s="4">
        <v>60</v>
      </c>
      <c r="DC14" s="4"/>
      <c r="DD14" s="4"/>
      <c r="DE14" s="4"/>
      <c r="DF14" s="4"/>
      <c r="DG14" s="4">
        <v>60</v>
      </c>
      <c r="DH14" s="4"/>
      <c r="DI14" s="4">
        <v>60</v>
      </c>
      <c r="DJ14" s="4"/>
      <c r="DK14" s="4"/>
      <c r="DL14" s="4"/>
      <c r="DM14" s="4"/>
      <c r="DN14" s="4"/>
      <c r="DO14" s="4"/>
      <c r="DP14" s="4"/>
      <c r="DQ14" s="4"/>
      <c r="DR14" s="4">
        <v>180</v>
      </c>
      <c r="DS14" s="4"/>
      <c r="DT14" s="4"/>
      <c r="DU14" s="4">
        <v>60</v>
      </c>
      <c r="DV14" s="4">
        <v>60</v>
      </c>
      <c r="DW14" s="4"/>
      <c r="DX14" s="4">
        <v>60</v>
      </c>
      <c r="DY14" s="4"/>
      <c r="DZ14" s="4"/>
      <c r="EA14" s="4">
        <v>60</v>
      </c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2">
        <f t="shared" si="0"/>
        <v>2826</v>
      </c>
    </row>
    <row r="15" spans="1:559" s="5" customFormat="1" x14ac:dyDescent="0.3">
      <c r="B15" s="2" t="s">
        <v>27</v>
      </c>
      <c r="C15" s="2" t="s">
        <v>28</v>
      </c>
      <c r="D15" s="14" t="s">
        <v>61</v>
      </c>
      <c r="E15" s="2"/>
      <c r="F15" s="4"/>
      <c r="G15" s="4"/>
      <c r="H15" s="4"/>
      <c r="I15" s="4"/>
      <c r="J15" s="4"/>
      <c r="K15" s="4">
        <v>192</v>
      </c>
      <c r="L15" s="4"/>
      <c r="M15" s="4"/>
      <c r="N15" s="4"/>
      <c r="O15" s="4"/>
      <c r="P15" s="4"/>
      <c r="Q15" s="4"/>
      <c r="R15" s="4"/>
      <c r="S15" s="4"/>
      <c r="T15" s="4"/>
      <c r="U15" s="4">
        <f>192+192</f>
        <v>384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>
        <v>384</v>
      </c>
      <c r="AG15" s="4"/>
      <c r="AH15" s="4"/>
      <c r="AI15" s="4"/>
      <c r="AJ15" s="4">
        <v>5</v>
      </c>
      <c r="AK15" s="4"/>
      <c r="AL15" s="4"/>
      <c r="AM15" s="4"/>
      <c r="AN15" s="4"/>
      <c r="AO15" s="4">
        <v>192</v>
      </c>
      <c r="AP15" s="4"/>
      <c r="AQ15" s="4"/>
      <c r="AR15" s="4"/>
      <c r="AS15" s="4"/>
      <c r="AT15" s="4">
        <v>192</v>
      </c>
      <c r="AU15" s="4"/>
      <c r="AV15" s="4">
        <v>192</v>
      </c>
      <c r="AW15" s="4"/>
      <c r="AX15" s="4"/>
      <c r="AY15" s="4"/>
      <c r="AZ15" s="4"/>
      <c r="BA15" s="4"/>
      <c r="BB15" s="4"/>
      <c r="BC15" s="4">
        <v>192</v>
      </c>
      <c r="BD15" s="4"/>
      <c r="BE15" s="4">
        <v>192</v>
      </c>
      <c r="BF15" s="4"/>
      <c r="BG15" s="4"/>
      <c r="BH15" s="4"/>
      <c r="BI15" s="4"/>
      <c r="BJ15" s="4">
        <v>384</v>
      </c>
      <c r="BK15" s="4">
        <v>192</v>
      </c>
      <c r="BL15" s="4"/>
      <c r="BM15" s="4">
        <v>192</v>
      </c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>
        <v>192</v>
      </c>
      <c r="CG15" s="4">
        <v>6</v>
      </c>
      <c r="CH15" s="4">
        <v>384</v>
      </c>
      <c r="CI15" s="4"/>
      <c r="CJ15" s="4"/>
      <c r="CK15" s="4"/>
      <c r="CL15" s="4">
        <f>192+192</f>
        <v>384</v>
      </c>
      <c r="CM15" s="4"/>
      <c r="CN15" s="4"/>
      <c r="CO15" s="4"/>
      <c r="CP15" s="4"/>
      <c r="CQ15" s="4"/>
      <c r="CR15" s="4"/>
      <c r="CS15" s="4">
        <v>192</v>
      </c>
      <c r="CT15" s="4"/>
      <c r="CU15" s="4"/>
      <c r="CV15" s="4">
        <v>192</v>
      </c>
      <c r="CW15" s="4">
        <v>1</v>
      </c>
      <c r="CX15" s="4"/>
      <c r="CY15" s="4"/>
      <c r="CZ15" s="4"/>
      <c r="DA15" s="4"/>
      <c r="DB15" s="4"/>
      <c r="DC15" s="4">
        <v>192</v>
      </c>
      <c r="DD15" s="4"/>
      <c r="DE15" s="4"/>
      <c r="DF15" s="4"/>
      <c r="DG15" s="4">
        <v>192</v>
      </c>
      <c r="DH15" s="4"/>
      <c r="DI15" s="4">
        <v>192</v>
      </c>
      <c r="DJ15" s="4"/>
      <c r="DK15" s="4"/>
      <c r="DL15" s="4"/>
      <c r="DM15" s="4"/>
      <c r="DN15" s="4"/>
      <c r="DO15" s="4"/>
      <c r="DP15" s="4"/>
      <c r="DQ15" s="4"/>
      <c r="DR15" s="4">
        <v>576</v>
      </c>
      <c r="DS15" s="4">
        <v>192</v>
      </c>
      <c r="DT15" s="4"/>
      <c r="DU15" s="4">
        <v>384</v>
      </c>
      <c r="DV15" s="4"/>
      <c r="DW15" s="4"/>
      <c r="DX15" s="4"/>
      <c r="DY15" s="4"/>
      <c r="DZ15" s="4"/>
      <c r="EA15" s="4"/>
      <c r="EB15" s="4"/>
      <c r="EC15" s="29">
        <v>1</v>
      </c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2">
        <f t="shared" si="0"/>
        <v>5773</v>
      </c>
    </row>
    <row r="16" spans="1:559" s="5" customFormat="1" x14ac:dyDescent="0.3">
      <c r="B16" s="2" t="s">
        <v>29</v>
      </c>
      <c r="C16" s="2" t="s">
        <v>30</v>
      </c>
      <c r="D16" s="14" t="s">
        <v>61</v>
      </c>
      <c r="E16" s="2"/>
      <c r="F16" s="4"/>
      <c r="G16" s="4"/>
      <c r="H16" s="4"/>
      <c r="I16" s="4"/>
      <c r="J16" s="4">
        <v>60</v>
      </c>
      <c r="K16" s="4">
        <v>60</v>
      </c>
      <c r="L16" s="4"/>
      <c r="M16" s="4"/>
      <c r="N16" s="4"/>
      <c r="O16" s="4"/>
      <c r="P16" s="4"/>
      <c r="Q16" s="4"/>
      <c r="R16" s="4"/>
      <c r="S16" s="4"/>
      <c r="T16" s="4"/>
      <c r="U16" s="4">
        <v>60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>
        <v>120</v>
      </c>
      <c r="AG16" s="4"/>
      <c r="AH16" s="4"/>
      <c r="AI16" s="4"/>
      <c r="AJ16" s="4">
        <v>40</v>
      </c>
      <c r="AK16" s="4">
        <v>120</v>
      </c>
      <c r="AL16" s="4"/>
      <c r="AM16" s="4"/>
      <c r="AN16" s="4"/>
      <c r="AO16" s="4"/>
      <c r="AP16" s="4">
        <v>60</v>
      </c>
      <c r="AQ16" s="4"/>
      <c r="AR16" s="4"/>
      <c r="AS16" s="4"/>
      <c r="AT16" s="4">
        <v>60</v>
      </c>
      <c r="AU16" s="4"/>
      <c r="AV16" s="4">
        <v>60</v>
      </c>
      <c r="AW16" s="4"/>
      <c r="AX16" s="4"/>
      <c r="AY16" s="4"/>
      <c r="AZ16" s="4"/>
      <c r="BA16" s="4">
        <v>60</v>
      </c>
      <c r="BB16" s="4">
        <v>60</v>
      </c>
      <c r="BC16" s="4"/>
      <c r="BD16" s="4"/>
      <c r="BE16" s="4">
        <v>120</v>
      </c>
      <c r="BF16" s="4"/>
      <c r="BG16" s="4"/>
      <c r="BH16" s="4"/>
      <c r="BI16" s="4">
        <v>60</v>
      </c>
      <c r="BJ16" s="4"/>
      <c r="BK16" s="4">
        <v>60</v>
      </c>
      <c r="BL16" s="4"/>
      <c r="BM16" s="4"/>
      <c r="BN16" s="4"/>
      <c r="BO16" s="4"/>
      <c r="BP16" s="4"/>
      <c r="BQ16" s="4"/>
      <c r="BR16" s="4"/>
      <c r="BS16" s="4"/>
      <c r="BT16" s="4">
        <v>1</v>
      </c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>
        <v>120</v>
      </c>
      <c r="CF16" s="4">
        <v>60</v>
      </c>
      <c r="CG16" s="4"/>
      <c r="CH16" s="4">
        <v>60</v>
      </c>
      <c r="CI16" s="4">
        <v>120</v>
      </c>
      <c r="CJ16" s="4">
        <v>60</v>
      </c>
      <c r="CK16" s="4"/>
      <c r="CL16" s="4">
        <v>60</v>
      </c>
      <c r="CM16" s="4"/>
      <c r="CN16" s="4"/>
      <c r="CO16" s="4"/>
      <c r="CP16" s="4"/>
      <c r="CQ16" s="4"/>
      <c r="CR16" s="4"/>
      <c r="CS16" s="4"/>
      <c r="CT16" s="4"/>
      <c r="CU16" s="4"/>
      <c r="CV16" s="4">
        <v>60</v>
      </c>
      <c r="CW16" s="4"/>
      <c r="CX16" s="4">
        <v>60</v>
      </c>
      <c r="CY16" s="4"/>
      <c r="CZ16" s="4"/>
      <c r="DA16" s="4">
        <v>60</v>
      </c>
      <c r="DB16" s="4"/>
      <c r="DC16" s="4"/>
      <c r="DD16" s="4"/>
      <c r="DE16" s="4"/>
      <c r="DF16" s="4"/>
      <c r="DG16" s="4">
        <v>60</v>
      </c>
      <c r="DH16" s="4"/>
      <c r="DI16" s="4">
        <v>60</v>
      </c>
      <c r="DJ16" s="4"/>
      <c r="DK16" s="4"/>
      <c r="DL16" s="4"/>
      <c r="DM16" s="4"/>
      <c r="DN16" s="4"/>
      <c r="DO16" s="4">
        <v>60</v>
      </c>
      <c r="DP16" s="4"/>
      <c r="DQ16" s="4"/>
      <c r="DR16" s="4">
        <v>120</v>
      </c>
      <c r="DS16" s="4"/>
      <c r="DT16" s="4"/>
      <c r="DU16" s="4">
        <v>60</v>
      </c>
      <c r="DV16" s="4"/>
      <c r="DW16" s="4"/>
      <c r="DX16" s="4"/>
      <c r="DY16" s="4">
        <v>60</v>
      </c>
      <c r="DZ16" s="4"/>
      <c r="EA16" s="4">
        <v>60</v>
      </c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2">
        <f t="shared" si="0"/>
        <v>2141</v>
      </c>
    </row>
    <row r="17" spans="1:559" s="5" customFormat="1" x14ac:dyDescent="0.3">
      <c r="B17" s="2" t="s">
        <v>525</v>
      </c>
      <c r="C17" s="2" t="s">
        <v>526</v>
      </c>
      <c r="D17" s="14" t="s">
        <v>61</v>
      </c>
      <c r="E17" s="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>
        <v>1</v>
      </c>
      <c r="CZ17" s="4"/>
      <c r="DA17" s="4"/>
      <c r="DB17" s="4"/>
      <c r="DC17" s="4">
        <v>44</v>
      </c>
      <c r="DD17" s="4"/>
      <c r="DE17" s="4">
        <v>44</v>
      </c>
      <c r="DF17" s="4"/>
      <c r="DG17" s="4"/>
      <c r="DH17" s="4">
        <f>44+44+44+44</f>
        <v>176</v>
      </c>
      <c r="DI17" s="4">
        <v>132</v>
      </c>
      <c r="DJ17" s="4"/>
      <c r="DK17" s="4"/>
      <c r="DL17" s="4"/>
      <c r="DM17" s="4"/>
      <c r="DN17" s="4">
        <v>88</v>
      </c>
      <c r="DO17" s="4">
        <v>88</v>
      </c>
      <c r="DP17" s="4"/>
      <c r="DQ17" s="4"/>
      <c r="DR17" s="4"/>
      <c r="DS17" s="4"/>
      <c r="DT17" s="4"/>
      <c r="DU17" s="4">
        <v>44</v>
      </c>
      <c r="DV17" s="4">
        <v>44</v>
      </c>
      <c r="DW17" s="4">
        <v>44</v>
      </c>
      <c r="DX17" s="4"/>
      <c r="DY17" s="4"/>
      <c r="DZ17" s="4"/>
      <c r="EA17" s="4"/>
      <c r="EB17" s="4"/>
      <c r="EC17" s="4"/>
      <c r="ED17" s="4">
        <v>44</v>
      </c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2">
        <f t="shared" si="0"/>
        <v>749</v>
      </c>
    </row>
    <row r="18" spans="1:559" s="5" customFormat="1" x14ac:dyDescent="0.3">
      <c r="B18" s="2" t="s">
        <v>39</v>
      </c>
      <c r="C18" s="2" t="s">
        <v>40</v>
      </c>
      <c r="D18" s="14" t="s">
        <v>60</v>
      </c>
      <c r="E18" s="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2">
        <f t="shared" si="0"/>
        <v>0</v>
      </c>
    </row>
    <row r="19" spans="1:559" s="5" customFormat="1" x14ac:dyDescent="0.3">
      <c r="B19" s="2" t="s">
        <v>37</v>
      </c>
      <c r="C19" s="2" t="s">
        <v>38</v>
      </c>
      <c r="D19" s="14" t="s">
        <v>59</v>
      </c>
      <c r="E19" s="2">
        <f>306+408</f>
        <v>714</v>
      </c>
      <c r="F19" s="4"/>
      <c r="G19" s="4"/>
      <c r="H19" s="4"/>
      <c r="I19" s="4"/>
      <c r="J19" s="4">
        <v>340</v>
      </c>
      <c r="K19" s="4">
        <f>272+340+102</f>
        <v>714</v>
      </c>
      <c r="L19" s="4"/>
      <c r="M19" s="4"/>
      <c r="N19" s="4">
        <v>68</v>
      </c>
      <c r="O19" s="4">
        <v>1</v>
      </c>
      <c r="P19" s="4"/>
      <c r="Q19" s="4">
        <v>136</v>
      </c>
      <c r="R19" s="4"/>
      <c r="S19" s="4">
        <v>7</v>
      </c>
      <c r="T19" s="4"/>
      <c r="U19" s="4">
        <v>272</v>
      </c>
      <c r="V19" s="4">
        <v>408</v>
      </c>
      <c r="W19" s="4">
        <v>204</v>
      </c>
      <c r="X19" s="4"/>
      <c r="Y19" s="4">
        <v>238</v>
      </c>
      <c r="Z19" s="4">
        <f>544+68</f>
        <v>612</v>
      </c>
      <c r="AA19" s="4">
        <f>102+170+306</f>
        <v>578</v>
      </c>
      <c r="AB19" s="4"/>
      <c r="AC19" s="4">
        <v>408</v>
      </c>
      <c r="AD19" s="4"/>
      <c r="AE19" s="4"/>
      <c r="AF19" s="4">
        <v>170</v>
      </c>
      <c r="AG19" s="4">
        <v>170</v>
      </c>
      <c r="AH19" s="4">
        <f>102</f>
        <v>102</v>
      </c>
      <c r="AI19" s="4"/>
      <c r="AJ19" s="4"/>
      <c r="AK19" s="4">
        <v>204</v>
      </c>
      <c r="AL19" s="4"/>
      <c r="AM19" s="4"/>
      <c r="AN19" s="4">
        <v>204</v>
      </c>
      <c r="AO19" s="4">
        <f>34+102+68</f>
        <v>204</v>
      </c>
      <c r="AP19" s="4">
        <f>204+136</f>
        <v>340</v>
      </c>
      <c r="AQ19" s="4">
        <v>170</v>
      </c>
      <c r="AR19" s="4"/>
      <c r="AS19" s="4">
        <f>136+136</f>
        <v>272</v>
      </c>
      <c r="AT19" s="4">
        <v>204</v>
      </c>
      <c r="AU19" s="4"/>
      <c r="AV19" s="4">
        <v>306</v>
      </c>
      <c r="AW19" s="4">
        <v>306</v>
      </c>
      <c r="AX19" s="4"/>
      <c r="AY19" s="4"/>
      <c r="AZ19" s="4">
        <v>2</v>
      </c>
      <c r="BA19" s="4">
        <v>340</v>
      </c>
      <c r="BB19" s="4">
        <v>136</v>
      </c>
      <c r="BC19" s="4">
        <f>34+102+102+34</f>
        <v>272</v>
      </c>
      <c r="BD19" s="4"/>
      <c r="BE19" s="4"/>
      <c r="BF19" s="4"/>
      <c r="BG19" s="4">
        <v>408</v>
      </c>
      <c r="BH19" s="4">
        <f>238+68</f>
        <v>306</v>
      </c>
      <c r="BI19" s="4">
        <f>68+306</f>
        <v>374</v>
      </c>
      <c r="BJ19" s="4">
        <f>1+204</f>
        <v>205</v>
      </c>
      <c r="BK19" s="4">
        <v>34</v>
      </c>
      <c r="BL19" s="4"/>
      <c r="BM19" s="4">
        <v>170</v>
      </c>
      <c r="BN19" s="4">
        <f>68+102</f>
        <v>170</v>
      </c>
      <c r="BO19" s="4">
        <v>102</v>
      </c>
      <c r="BP19" s="4">
        <v>408</v>
      </c>
      <c r="BQ19" s="4"/>
      <c r="BR19" s="4"/>
      <c r="BS19" s="4">
        <v>1</v>
      </c>
      <c r="BT19" s="4"/>
      <c r="BU19" s="4">
        <v>102</v>
      </c>
      <c r="BV19" s="4">
        <v>204</v>
      </c>
      <c r="BW19" s="4">
        <v>340</v>
      </c>
      <c r="BX19" s="4"/>
      <c r="BY19" s="4"/>
      <c r="BZ19" s="4"/>
      <c r="CA19" s="4">
        <f>68+170</f>
        <v>238</v>
      </c>
      <c r="CB19" s="4">
        <v>272</v>
      </c>
      <c r="CC19" s="4">
        <v>238</v>
      </c>
      <c r="CD19" s="4"/>
      <c r="CE19" s="4">
        <v>272</v>
      </c>
      <c r="CF19" s="4">
        <f>170+68</f>
        <v>238</v>
      </c>
      <c r="CG19" s="4">
        <v>136</v>
      </c>
      <c r="CH19" s="4">
        <f>136+34</f>
        <v>170</v>
      </c>
      <c r="CI19" s="4">
        <v>136</v>
      </c>
      <c r="CJ19" s="4">
        <v>68</v>
      </c>
      <c r="CK19" s="4">
        <v>68</v>
      </c>
      <c r="CL19" s="4">
        <f>204+136+102</f>
        <v>442</v>
      </c>
      <c r="CM19" s="4">
        <f>68+34+34+408</f>
        <v>544</v>
      </c>
      <c r="CN19" s="4"/>
      <c r="CO19" s="4">
        <v>272</v>
      </c>
      <c r="CP19" s="4"/>
      <c r="CQ19" s="4">
        <f>68+68</f>
        <v>136</v>
      </c>
      <c r="CR19" s="4">
        <v>170</v>
      </c>
      <c r="CS19" s="4">
        <f>102+136</f>
        <v>238</v>
      </c>
      <c r="CT19" s="4"/>
      <c r="CU19" s="4">
        <v>476</v>
      </c>
      <c r="CV19" s="4">
        <v>238</v>
      </c>
      <c r="CW19" s="4"/>
      <c r="CX19" s="4">
        <v>170</v>
      </c>
      <c r="CY19" s="4"/>
      <c r="CZ19" s="4"/>
      <c r="DA19" s="4">
        <f>34+102</f>
        <v>136</v>
      </c>
      <c r="DB19" s="4">
        <v>68</v>
      </c>
      <c r="DC19" s="4">
        <v>238</v>
      </c>
      <c r="DD19" s="4">
        <v>340</v>
      </c>
      <c r="DE19" s="4">
        <v>170</v>
      </c>
      <c r="DF19" s="4"/>
      <c r="DG19" s="4"/>
      <c r="DH19" s="4">
        <f>306+136+204</f>
        <v>646</v>
      </c>
      <c r="DI19" s="4">
        <v>238</v>
      </c>
      <c r="DJ19" s="4"/>
      <c r="DK19" s="4"/>
      <c r="DL19" s="4"/>
      <c r="DM19" s="4"/>
      <c r="DN19" s="4">
        <v>68</v>
      </c>
      <c r="DO19" s="4">
        <v>170</v>
      </c>
      <c r="DP19" s="4">
        <f>170+68</f>
        <v>238</v>
      </c>
      <c r="DQ19" s="4"/>
      <c r="DR19" s="4">
        <v>204</v>
      </c>
      <c r="DS19" s="4">
        <v>170</v>
      </c>
      <c r="DT19" s="4"/>
      <c r="DU19" s="4">
        <f>68+204</f>
        <v>272</v>
      </c>
      <c r="DV19" s="4">
        <v>238</v>
      </c>
      <c r="DW19" s="4">
        <v>102</v>
      </c>
      <c r="DX19" s="4">
        <v>68</v>
      </c>
      <c r="DY19" s="4">
        <v>34</v>
      </c>
      <c r="DZ19" s="4"/>
      <c r="EA19" s="4">
        <v>34</v>
      </c>
      <c r="EB19" s="4"/>
      <c r="EC19" s="4"/>
      <c r="ED19" s="4">
        <v>272</v>
      </c>
      <c r="EE19" s="4"/>
      <c r="EF19" s="4">
        <f>102+102+340</f>
        <v>544</v>
      </c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2">
        <f t="shared" si="0"/>
        <v>19698</v>
      </c>
    </row>
    <row r="20" spans="1:559" s="3" customFormat="1" x14ac:dyDescent="0.3">
      <c r="A20" s="5"/>
      <c r="B20" s="2" t="s">
        <v>41</v>
      </c>
      <c r="C20" s="2" t="s">
        <v>42</v>
      </c>
      <c r="D20" s="14" t="s">
        <v>59</v>
      </c>
      <c r="E20" s="2">
        <f>68+272</f>
        <v>340</v>
      </c>
      <c r="F20" s="4"/>
      <c r="G20" s="4"/>
      <c r="H20" s="4"/>
      <c r="I20" s="4"/>
      <c r="J20" s="4">
        <v>68</v>
      </c>
      <c r="K20" s="4">
        <f>102+102+68</f>
        <v>272</v>
      </c>
      <c r="L20" s="4"/>
      <c r="M20" s="4"/>
      <c r="N20" s="4">
        <v>34</v>
      </c>
      <c r="O20" s="4">
        <v>1</v>
      </c>
      <c r="P20" s="4"/>
      <c r="Q20" s="4"/>
      <c r="R20" s="4"/>
      <c r="S20" s="4">
        <v>6</v>
      </c>
      <c r="T20" s="4"/>
      <c r="U20" s="4">
        <v>136</v>
      </c>
      <c r="V20" s="4">
        <v>170</v>
      </c>
      <c r="W20" s="4">
        <v>68</v>
      </c>
      <c r="X20" s="4"/>
      <c r="Y20" s="4">
        <v>136</v>
      </c>
      <c r="Z20" s="4">
        <f>136+34</f>
        <v>170</v>
      </c>
      <c r="AA20" s="4">
        <v>34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>
        <v>102</v>
      </c>
      <c r="AO20" s="4">
        <f>34+68+340</f>
        <v>442</v>
      </c>
      <c r="AP20" s="4">
        <f>68+34</f>
        <v>102</v>
      </c>
      <c r="AQ20" s="4">
        <v>102</v>
      </c>
      <c r="AR20" s="4"/>
      <c r="AS20" s="4">
        <f>68+136</f>
        <v>204</v>
      </c>
      <c r="AT20" s="4">
        <v>238</v>
      </c>
      <c r="AU20" s="4"/>
      <c r="AV20" s="4"/>
      <c r="AW20" s="4">
        <v>272</v>
      </c>
      <c r="AX20" s="4"/>
      <c r="AY20" s="4"/>
      <c r="AZ20" s="4"/>
      <c r="BA20" s="4">
        <v>170</v>
      </c>
      <c r="BB20" s="4">
        <v>102</v>
      </c>
      <c r="BC20" s="4">
        <f>68+102+34</f>
        <v>204</v>
      </c>
      <c r="BD20" s="4"/>
      <c r="BE20" s="4">
        <v>306</v>
      </c>
      <c r="BF20" s="4"/>
      <c r="BG20" s="4">
        <v>238</v>
      </c>
      <c r="BH20" s="4">
        <f>170+102</f>
        <v>272</v>
      </c>
      <c r="BI20" s="4">
        <v>272</v>
      </c>
      <c r="BJ20" s="4">
        <v>102</v>
      </c>
      <c r="BK20" s="4"/>
      <c r="BL20" s="4"/>
      <c r="BM20" s="4">
        <v>204</v>
      </c>
      <c r="BN20" s="4">
        <f>68+136</f>
        <v>204</v>
      </c>
      <c r="BO20" s="4">
        <v>68</v>
      </c>
      <c r="BP20" s="4">
        <v>136</v>
      </c>
      <c r="BQ20" s="4"/>
      <c r="BR20" s="4"/>
      <c r="BS20" s="4"/>
      <c r="BT20" s="4"/>
      <c r="BU20" s="4">
        <v>34</v>
      </c>
      <c r="BV20" s="4">
        <f>102+476</f>
        <v>578</v>
      </c>
      <c r="BW20" s="4">
        <f>306+14</f>
        <v>320</v>
      </c>
      <c r="BX20" s="4"/>
      <c r="BY20" s="4">
        <v>4</v>
      </c>
      <c r="BZ20" s="4"/>
      <c r="CA20" s="4">
        <f>68+34+34</f>
        <v>136</v>
      </c>
      <c r="CB20" s="4"/>
      <c r="CC20" s="4">
        <v>136</v>
      </c>
      <c r="CD20" s="4"/>
      <c r="CE20" s="4">
        <v>170</v>
      </c>
      <c r="CF20" s="4">
        <v>204</v>
      </c>
      <c r="CG20" s="4">
        <v>1</v>
      </c>
      <c r="CH20" s="4">
        <v>136</v>
      </c>
      <c r="CI20" s="4">
        <v>102</v>
      </c>
      <c r="CJ20" s="4">
        <v>68</v>
      </c>
      <c r="CK20" s="4"/>
      <c r="CL20" s="4">
        <f>68+34</f>
        <v>102</v>
      </c>
      <c r="CM20" s="4">
        <f>68+272</f>
        <v>340</v>
      </c>
      <c r="CN20" s="4"/>
      <c r="CO20" s="4">
        <v>238</v>
      </c>
      <c r="CP20" s="4"/>
      <c r="CQ20" s="4">
        <v>34</v>
      </c>
      <c r="CR20" s="4">
        <v>68</v>
      </c>
      <c r="CS20" s="4">
        <f>34+34</f>
        <v>68</v>
      </c>
      <c r="CT20" s="4"/>
      <c r="CU20" s="4">
        <v>136</v>
      </c>
      <c r="CV20" s="4">
        <v>170</v>
      </c>
      <c r="CW20" s="4"/>
      <c r="CX20" s="4">
        <v>68</v>
      </c>
      <c r="CY20" s="4"/>
      <c r="CZ20" s="4">
        <v>8</v>
      </c>
      <c r="DA20" s="4">
        <f>68+204</f>
        <v>272</v>
      </c>
      <c r="DB20" s="4">
        <v>102</v>
      </c>
      <c r="DC20" s="4">
        <v>170</v>
      </c>
      <c r="DD20" s="4">
        <v>170</v>
      </c>
      <c r="DE20" s="4">
        <v>68</v>
      </c>
      <c r="DF20" s="4"/>
      <c r="DG20" s="4"/>
      <c r="DH20" s="4">
        <f>204+68+68</f>
        <v>340</v>
      </c>
      <c r="DI20" s="4">
        <v>136</v>
      </c>
      <c r="DJ20" s="4"/>
      <c r="DK20" s="4"/>
      <c r="DL20" s="4"/>
      <c r="DM20" s="4"/>
      <c r="DN20" s="4"/>
      <c r="DO20" s="4">
        <v>68</v>
      </c>
      <c r="DP20" s="4">
        <v>136</v>
      </c>
      <c r="DQ20" s="4">
        <v>1</v>
      </c>
      <c r="DR20" s="4">
        <v>68</v>
      </c>
      <c r="DS20" s="4">
        <v>68</v>
      </c>
      <c r="DT20" s="4"/>
      <c r="DU20" s="4">
        <v>102</v>
      </c>
      <c r="DV20" s="4">
        <v>34</v>
      </c>
      <c r="DW20" s="4">
        <v>102</v>
      </c>
      <c r="DX20" s="4">
        <v>68</v>
      </c>
      <c r="DY20" s="4"/>
      <c r="DZ20" s="4"/>
      <c r="EA20" s="4">
        <v>102</v>
      </c>
      <c r="EB20" s="4"/>
      <c r="EC20" s="4"/>
      <c r="ED20" s="4">
        <f>170+34</f>
        <v>204</v>
      </c>
      <c r="EE20" s="4"/>
      <c r="EF20" s="4">
        <f>34+34</f>
        <v>68</v>
      </c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2">
        <f t="shared" si="0"/>
        <v>10575</v>
      </c>
    </row>
    <row r="21" spans="1:559" s="5" customFormat="1" x14ac:dyDescent="0.3">
      <c r="B21" s="2" t="s">
        <v>531</v>
      </c>
      <c r="C21" s="2" t="s">
        <v>532</v>
      </c>
      <c r="D21" s="14" t="s">
        <v>61</v>
      </c>
      <c r="E21" s="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>
        <v>1</v>
      </c>
      <c r="CZ21" s="4"/>
      <c r="DA21" s="4"/>
      <c r="DB21" s="4"/>
      <c r="DC21" s="4">
        <v>44</v>
      </c>
      <c r="DD21" s="4"/>
      <c r="DE21" s="4">
        <v>44</v>
      </c>
      <c r="DF21" s="4"/>
      <c r="DG21" s="4"/>
      <c r="DH21" s="4">
        <f>44+44+44+44</f>
        <v>176</v>
      </c>
      <c r="DI21" s="4">
        <v>88</v>
      </c>
      <c r="DJ21" s="4"/>
      <c r="DK21" s="4"/>
      <c r="DL21" s="4"/>
      <c r="DM21" s="4"/>
      <c r="DN21" s="4">
        <v>44</v>
      </c>
      <c r="DO21" s="4">
        <v>88</v>
      </c>
      <c r="DP21" s="4"/>
      <c r="DQ21" s="4"/>
      <c r="DR21" s="4"/>
      <c r="DS21" s="4"/>
      <c r="DT21" s="4"/>
      <c r="DU21" s="4">
        <v>44</v>
      </c>
      <c r="DV21" s="4"/>
      <c r="DW21" s="4"/>
      <c r="DX21" s="4"/>
      <c r="DY21" s="4"/>
      <c r="DZ21" s="4"/>
      <c r="EA21" s="4"/>
      <c r="EB21" s="4"/>
      <c r="EC21" s="4"/>
      <c r="ED21" s="4">
        <v>44</v>
      </c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2">
        <f t="shared" si="0"/>
        <v>573</v>
      </c>
    </row>
    <row r="22" spans="1:559" s="5" customFormat="1" ht="13.2" customHeight="1" x14ac:dyDescent="0.3">
      <c r="B22" s="2" t="s">
        <v>43</v>
      </c>
      <c r="C22" s="2" t="s">
        <v>44</v>
      </c>
      <c r="D22" s="14" t="s">
        <v>58</v>
      </c>
      <c r="E22" s="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2">
        <f t="shared" si="0"/>
        <v>0</v>
      </c>
    </row>
    <row r="23" spans="1:559" s="5" customFormat="1" x14ac:dyDescent="0.3">
      <c r="B23" s="2" t="s">
        <v>47</v>
      </c>
      <c r="C23" s="2" t="s">
        <v>48</v>
      </c>
      <c r="D23" s="14" t="s">
        <v>58</v>
      </c>
      <c r="E23" s="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32</v>
      </c>
      <c r="S23" s="4">
        <f>8+12</f>
        <v>20</v>
      </c>
      <c r="T23" s="4">
        <f>20+2</f>
        <v>22</v>
      </c>
      <c r="U23" s="4">
        <f>24+32</f>
        <v>56</v>
      </c>
      <c r="V23" s="4"/>
      <c r="W23" s="4"/>
      <c r="X23" s="4"/>
      <c r="Y23" s="4"/>
      <c r="Z23" s="4"/>
      <c r="AA23" s="4">
        <v>8</v>
      </c>
      <c r="AB23" s="4"/>
      <c r="AC23" s="4"/>
      <c r="AD23" s="4"/>
      <c r="AE23" s="4">
        <v>8</v>
      </c>
      <c r="AF23" s="4"/>
      <c r="AG23" s="4"/>
      <c r="AH23" s="4"/>
      <c r="AI23" s="4"/>
      <c r="AJ23" s="4"/>
      <c r="AK23" s="4"/>
      <c r="AL23" s="4"/>
      <c r="AM23" s="4">
        <v>5</v>
      </c>
      <c r="AN23" s="4"/>
      <c r="AO23" s="4"/>
      <c r="AP23" s="4">
        <f>4+8</f>
        <v>12</v>
      </c>
      <c r="AQ23" s="4"/>
      <c r="AR23" s="4"/>
      <c r="AS23" s="4"/>
      <c r="AT23" s="4"/>
      <c r="AU23" s="4"/>
      <c r="AV23" s="4"/>
      <c r="AW23" s="4"/>
      <c r="AX23" s="4"/>
      <c r="AY23" s="4">
        <v>8</v>
      </c>
      <c r="AZ23" s="4"/>
      <c r="BA23" s="4"/>
      <c r="BB23" s="4"/>
      <c r="BC23" s="4">
        <f>4+4</f>
        <v>8</v>
      </c>
      <c r="BD23" s="4"/>
      <c r="BE23" s="4">
        <v>4</v>
      </c>
      <c r="BF23" s="4">
        <v>8</v>
      </c>
      <c r="BG23" s="4"/>
      <c r="BH23" s="4"/>
      <c r="BI23" s="4"/>
      <c r="BJ23" s="4"/>
      <c r="BK23" s="4"/>
      <c r="BL23" s="4"/>
      <c r="BM23" s="4">
        <v>16</v>
      </c>
      <c r="BN23" s="4"/>
      <c r="BO23" s="4"/>
      <c r="BP23" s="4">
        <v>4</v>
      </c>
      <c r="BQ23" s="4"/>
      <c r="BR23" s="4"/>
      <c r="BS23" s="4"/>
      <c r="BT23" s="4"/>
      <c r="BU23" s="4"/>
      <c r="BV23" s="4">
        <v>16</v>
      </c>
      <c r="BW23" s="4"/>
      <c r="BX23" s="4"/>
      <c r="BY23" s="4"/>
      <c r="BZ23" s="4"/>
      <c r="CA23" s="4">
        <v>4</v>
      </c>
      <c r="CB23" s="4"/>
      <c r="CC23" s="4">
        <v>8</v>
      </c>
      <c r="CD23" s="4"/>
      <c r="CE23" s="4"/>
      <c r="CF23" s="4"/>
      <c r="CG23" s="4"/>
      <c r="CH23" s="4"/>
      <c r="CI23" s="4"/>
      <c r="CJ23" s="4">
        <v>4</v>
      </c>
      <c r="CK23" s="4"/>
      <c r="CL23" s="4">
        <v>4</v>
      </c>
      <c r="CM23" s="4"/>
      <c r="CN23" s="4"/>
      <c r="CO23" s="4"/>
      <c r="CP23" s="4">
        <v>2</v>
      </c>
      <c r="CQ23" s="4"/>
      <c r="CR23" s="4"/>
      <c r="CS23" s="4">
        <f>8+8</f>
        <v>16</v>
      </c>
      <c r="CT23" s="4"/>
      <c r="CU23" s="4"/>
      <c r="CV23" s="4">
        <v>4</v>
      </c>
      <c r="CW23" s="4"/>
      <c r="CX23" s="4"/>
      <c r="CY23" s="4"/>
      <c r="CZ23" s="4"/>
      <c r="DA23" s="4">
        <v>4</v>
      </c>
      <c r="DB23" s="4">
        <v>4</v>
      </c>
      <c r="DC23" s="4">
        <v>4</v>
      </c>
      <c r="DD23" s="4"/>
      <c r="DE23" s="4"/>
      <c r="DF23" s="4"/>
      <c r="DG23" s="4"/>
      <c r="DH23" s="4"/>
      <c r="DI23" s="4">
        <v>4</v>
      </c>
      <c r="DJ23" s="4">
        <v>6</v>
      </c>
      <c r="DK23" s="29">
        <v>1</v>
      </c>
      <c r="DL23" s="4">
        <f>4+12</f>
        <v>16</v>
      </c>
      <c r="DM23" s="29">
        <v>50</v>
      </c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>
        <v>8</v>
      </c>
      <c r="DY23" s="4">
        <f>4+8</f>
        <v>12</v>
      </c>
      <c r="DZ23" s="4">
        <f>9+3</f>
        <v>12</v>
      </c>
      <c r="EA23" s="4">
        <v>8</v>
      </c>
      <c r="EB23" s="4"/>
      <c r="EC23" s="4"/>
      <c r="ED23" s="4"/>
      <c r="EE23" s="4">
        <v>8</v>
      </c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2">
        <f t="shared" si="0"/>
        <v>406</v>
      </c>
    </row>
    <row r="24" spans="1:559" s="5" customFormat="1" x14ac:dyDescent="0.3">
      <c r="B24" s="2" t="s">
        <v>45</v>
      </c>
      <c r="C24" s="2" t="s">
        <v>46</v>
      </c>
      <c r="D24" s="14" t="s">
        <v>59</v>
      </c>
      <c r="E24" s="2"/>
      <c r="F24" s="4"/>
      <c r="G24" s="4"/>
      <c r="H24" s="4"/>
      <c r="I24" s="4"/>
      <c r="J24" s="4">
        <v>30</v>
      </c>
      <c r="K24" s="4">
        <f>30+30</f>
        <v>60</v>
      </c>
      <c r="L24" s="4"/>
      <c r="M24" s="4"/>
      <c r="N24" s="4"/>
      <c r="O24" s="4"/>
      <c r="P24" s="4">
        <v>1</v>
      </c>
      <c r="Q24" s="4"/>
      <c r="R24" s="4"/>
      <c r="S24" s="4">
        <v>14</v>
      </c>
      <c r="T24" s="4"/>
      <c r="U24" s="4">
        <v>34</v>
      </c>
      <c r="V24" s="4">
        <v>34</v>
      </c>
      <c r="W24" s="4">
        <v>34</v>
      </c>
      <c r="X24" s="4">
        <v>68</v>
      </c>
      <c r="Y24" s="4">
        <v>34</v>
      </c>
      <c r="Z24" s="4"/>
      <c r="AA24" s="4"/>
      <c r="AB24" s="4">
        <v>1</v>
      </c>
      <c r="AC24" s="4"/>
      <c r="AD24" s="4">
        <v>170</v>
      </c>
      <c r="AE24" s="4"/>
      <c r="AF24" s="4">
        <v>272</v>
      </c>
      <c r="AG24" s="4">
        <v>170</v>
      </c>
      <c r="AH24" s="4">
        <f>136+68+102</f>
        <v>306</v>
      </c>
      <c r="AI24" s="4">
        <v>1</v>
      </c>
      <c r="AJ24" s="4"/>
      <c r="AK24" s="4">
        <v>204</v>
      </c>
      <c r="AL24" s="4"/>
      <c r="AM24" s="4"/>
      <c r="AN24" s="4">
        <v>102</v>
      </c>
      <c r="AO24" s="4">
        <f>34+34+68</f>
        <v>136</v>
      </c>
      <c r="AP24" s="4">
        <f>68+68</f>
        <v>136</v>
      </c>
      <c r="AQ24" s="4">
        <v>68</v>
      </c>
      <c r="AR24" s="4">
        <v>100</v>
      </c>
      <c r="AS24" s="4"/>
      <c r="AT24" s="4"/>
      <c r="AU24" s="4"/>
      <c r="AV24" s="4">
        <v>204</v>
      </c>
      <c r="AW24" s="4">
        <v>68</v>
      </c>
      <c r="AX24" s="4"/>
      <c r="AY24" s="4"/>
      <c r="AZ24" s="4"/>
      <c r="BA24" s="4"/>
      <c r="BB24" s="4">
        <v>102</v>
      </c>
      <c r="BC24" s="4">
        <f>34+102+34</f>
        <v>170</v>
      </c>
      <c r="BD24" s="4">
        <v>1</v>
      </c>
      <c r="BE24" s="4">
        <v>68</v>
      </c>
      <c r="BF24" s="4"/>
      <c r="BG24" s="4"/>
      <c r="BH24" s="4"/>
      <c r="BI24" s="4"/>
      <c r="BJ24" s="4">
        <v>68</v>
      </c>
      <c r="BK24" s="4"/>
      <c r="BL24" s="4"/>
      <c r="BM24" s="4"/>
      <c r="BN24" s="4">
        <f>34+68</f>
        <v>102</v>
      </c>
      <c r="BO24" s="4">
        <v>34</v>
      </c>
      <c r="BP24" s="4">
        <f>102+102</f>
        <v>204</v>
      </c>
      <c r="BQ24" s="4"/>
      <c r="BR24" s="4">
        <v>2</v>
      </c>
      <c r="BS24" s="4"/>
      <c r="BT24" s="4"/>
      <c r="BU24" s="4">
        <v>68</v>
      </c>
      <c r="BV24" s="4">
        <f>748+68</f>
        <v>816</v>
      </c>
      <c r="BW24" s="4">
        <v>68</v>
      </c>
      <c r="BX24" s="4"/>
      <c r="BY24" s="4"/>
      <c r="BZ24" s="4">
        <v>34</v>
      </c>
      <c r="CA24" s="4">
        <v>68</v>
      </c>
      <c r="CB24" s="4">
        <v>34</v>
      </c>
      <c r="CC24" s="4">
        <v>68</v>
      </c>
      <c r="CD24" s="4"/>
      <c r="CE24" s="4">
        <v>102</v>
      </c>
      <c r="CF24" s="4">
        <f>68+102</f>
        <v>170</v>
      </c>
      <c r="CG24" s="4">
        <v>1</v>
      </c>
      <c r="CH24" s="4">
        <v>136</v>
      </c>
      <c r="CI24" s="4"/>
      <c r="CJ24" s="4">
        <v>34</v>
      </c>
      <c r="CK24" s="4">
        <v>34</v>
      </c>
      <c r="CL24" s="4"/>
      <c r="CM24" s="4">
        <v>34</v>
      </c>
      <c r="CN24" s="4"/>
      <c r="CO24" s="4">
        <v>170</v>
      </c>
      <c r="CP24" s="4"/>
      <c r="CQ24" s="4"/>
      <c r="CR24" s="4">
        <v>34</v>
      </c>
      <c r="CS24" s="4"/>
      <c r="CT24" s="4"/>
      <c r="CU24" s="4">
        <v>34</v>
      </c>
      <c r="CV24" s="4">
        <v>102</v>
      </c>
      <c r="CW24" s="4"/>
      <c r="CX24" s="4">
        <v>34</v>
      </c>
      <c r="CY24" s="4"/>
      <c r="CZ24" s="4"/>
      <c r="DA24" s="4">
        <f>34+68</f>
        <v>102</v>
      </c>
      <c r="DB24" s="4"/>
      <c r="DC24" s="4"/>
      <c r="DD24" s="4">
        <v>34</v>
      </c>
      <c r="DE24" s="4">
        <v>34</v>
      </c>
      <c r="DF24" s="4"/>
      <c r="DG24" s="4"/>
      <c r="DH24" s="4">
        <f>102+34+34</f>
        <v>170</v>
      </c>
      <c r="DI24" s="4"/>
      <c r="DJ24" s="4"/>
      <c r="DK24" s="4"/>
      <c r="DL24" s="4">
        <v>34</v>
      </c>
      <c r="DM24" s="4">
        <v>34</v>
      </c>
      <c r="DN24" s="4"/>
      <c r="DO24" s="4">
        <v>136</v>
      </c>
      <c r="DP24" s="4">
        <v>34</v>
      </c>
      <c r="DQ24" s="4">
        <v>1</v>
      </c>
      <c r="DR24" s="4"/>
      <c r="DS24" s="4"/>
      <c r="DT24" s="4"/>
      <c r="DU24" s="4">
        <v>68</v>
      </c>
      <c r="DV24" s="4">
        <v>34</v>
      </c>
      <c r="DW24" s="4">
        <v>34</v>
      </c>
      <c r="DX24" s="4">
        <v>34</v>
      </c>
      <c r="DY24" s="4"/>
      <c r="DZ24" s="4"/>
      <c r="EA24" s="4"/>
      <c r="EB24" s="4"/>
      <c r="EC24" s="29">
        <v>1</v>
      </c>
      <c r="ED24" s="4">
        <v>102</v>
      </c>
      <c r="EE24" s="4"/>
      <c r="EF24" s="4">
        <f>34+34+68</f>
        <v>136</v>
      </c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2">
        <f t="shared" si="0"/>
        <v>6027</v>
      </c>
    </row>
    <row r="25" spans="1:559" s="5" customFormat="1" x14ac:dyDescent="0.3">
      <c r="B25" s="2" t="s">
        <v>535</v>
      </c>
      <c r="C25" s="2" t="s">
        <v>536</v>
      </c>
      <c r="D25" s="14" t="s">
        <v>58</v>
      </c>
      <c r="E25" s="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>
        <v>4</v>
      </c>
      <c r="DD25" s="4"/>
      <c r="DE25" s="4"/>
      <c r="DF25" s="4"/>
      <c r="DG25" s="4"/>
      <c r="DH25" s="4"/>
      <c r="DI25" s="4"/>
      <c r="DJ25" s="4">
        <v>2</v>
      </c>
      <c r="DK25" s="4"/>
      <c r="DL25" s="4"/>
      <c r="DM25" s="4"/>
      <c r="DN25" s="4"/>
      <c r="DO25" s="4">
        <v>4</v>
      </c>
      <c r="DP25" s="4"/>
      <c r="DQ25" s="4"/>
      <c r="DR25" s="4"/>
      <c r="DS25" s="4">
        <v>4</v>
      </c>
      <c r="DT25" s="4"/>
      <c r="DU25" s="4"/>
      <c r="DV25" s="4"/>
      <c r="DW25" s="4"/>
      <c r="DX25" s="4">
        <v>8</v>
      </c>
      <c r="DY25" s="4"/>
      <c r="DZ25" s="4"/>
      <c r="EA25" s="4"/>
      <c r="EB25" s="4"/>
      <c r="EC25" s="4"/>
      <c r="ED25" s="4">
        <v>4</v>
      </c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2">
        <f t="shared" si="0"/>
        <v>26</v>
      </c>
    </row>
    <row r="26" spans="1:559" s="5" customFormat="1" x14ac:dyDescent="0.3">
      <c r="B26" s="2" t="s">
        <v>533</v>
      </c>
      <c r="C26" s="2" t="s">
        <v>534</v>
      </c>
      <c r="D26" s="14" t="s">
        <v>59</v>
      </c>
      <c r="E26" s="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>
        <v>2</v>
      </c>
      <c r="CZ26" s="4"/>
      <c r="DA26" s="4"/>
      <c r="DB26" s="4"/>
      <c r="DC26" s="4">
        <v>34</v>
      </c>
      <c r="DD26" s="4"/>
      <c r="DE26" s="4">
        <v>34</v>
      </c>
      <c r="DF26" s="4"/>
      <c r="DG26" s="4"/>
      <c r="DH26" s="4"/>
      <c r="DI26" s="4"/>
      <c r="DJ26" s="4"/>
      <c r="DK26" s="4"/>
      <c r="DL26" s="4"/>
      <c r="DM26" s="4"/>
      <c r="DN26" s="4"/>
      <c r="DO26" s="4">
        <v>34</v>
      </c>
      <c r="DP26" s="4"/>
      <c r="DQ26" s="4"/>
      <c r="DR26" s="4"/>
      <c r="DS26" s="4"/>
      <c r="DT26" s="4"/>
      <c r="DU26" s="4">
        <v>68</v>
      </c>
      <c r="DV26" s="4"/>
      <c r="DW26" s="4"/>
      <c r="DX26" s="4"/>
      <c r="DY26" s="4"/>
      <c r="DZ26" s="4"/>
      <c r="EA26" s="4">
        <v>68</v>
      </c>
      <c r="EB26" s="4"/>
      <c r="EC26" s="29">
        <v>1</v>
      </c>
      <c r="ED26" s="4"/>
      <c r="EE26" s="4"/>
      <c r="EF26" s="4">
        <f>34+34+238+34</f>
        <v>340</v>
      </c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2">
        <f t="shared" si="0"/>
        <v>581</v>
      </c>
    </row>
    <row r="27" spans="1:559" s="5" customFormat="1" x14ac:dyDescent="0.3">
      <c r="B27" s="2" t="s">
        <v>51</v>
      </c>
      <c r="C27" s="2" t="s">
        <v>52</v>
      </c>
      <c r="D27" s="14" t="s">
        <v>61</v>
      </c>
      <c r="E27" s="2"/>
      <c r="F27" s="4"/>
      <c r="G27" s="4"/>
      <c r="H27" s="4"/>
      <c r="I27" s="4"/>
      <c r="J27" s="4"/>
      <c r="K27" s="4">
        <v>40</v>
      </c>
      <c r="L27" s="4"/>
      <c r="M27" s="4"/>
      <c r="N27" s="4"/>
      <c r="O27" s="4"/>
      <c r="P27" s="4"/>
      <c r="Q27" s="4">
        <v>40</v>
      </c>
      <c r="R27" s="4"/>
      <c r="S27" s="4"/>
      <c r="T27" s="4"/>
      <c r="U27" s="4">
        <v>40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>
        <v>40</v>
      </c>
      <c r="AH27" s="4"/>
      <c r="AI27" s="4"/>
      <c r="AJ27" s="4"/>
      <c r="AK27" s="4"/>
      <c r="AL27" s="4"/>
      <c r="AM27" s="4"/>
      <c r="AN27" s="4"/>
      <c r="AO27" s="4"/>
      <c r="AP27" s="4">
        <v>40</v>
      </c>
      <c r="AQ27" s="4"/>
      <c r="AR27" s="4"/>
      <c r="AS27" s="4"/>
      <c r="AT27" s="4"/>
      <c r="AU27" s="4">
        <v>129</v>
      </c>
      <c r="AV27" s="4"/>
      <c r="AW27" s="4"/>
      <c r="AX27" s="4"/>
      <c r="AY27" s="4"/>
      <c r="AZ27" s="4"/>
      <c r="BA27" s="4">
        <v>40</v>
      </c>
      <c r="BB27" s="4">
        <v>30</v>
      </c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>
        <v>40</v>
      </c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>
        <v>1</v>
      </c>
      <c r="CE27" s="4"/>
      <c r="CF27" s="4"/>
      <c r="CG27" s="4">
        <v>32</v>
      </c>
      <c r="CH27" s="4"/>
      <c r="CI27" s="4"/>
      <c r="CJ27" s="4">
        <v>40</v>
      </c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>
        <v>1</v>
      </c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>
        <v>1</v>
      </c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>
        <v>4</v>
      </c>
      <c r="DT27" s="4"/>
      <c r="DU27" s="4"/>
      <c r="DV27" s="4"/>
      <c r="DW27" s="4"/>
      <c r="DX27" s="4"/>
      <c r="DY27" s="4"/>
      <c r="DZ27" s="4"/>
      <c r="EA27" s="4"/>
      <c r="EB27" s="4">
        <v>40</v>
      </c>
      <c r="EC27" s="29">
        <v>1</v>
      </c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2">
        <f t="shared" si="0"/>
        <v>559</v>
      </c>
    </row>
    <row r="28" spans="1:559" s="5" customFormat="1" x14ac:dyDescent="0.3">
      <c r="B28" s="2" t="s">
        <v>53</v>
      </c>
      <c r="C28" s="2" t="s">
        <v>54</v>
      </c>
      <c r="D28" s="14" t="s">
        <v>12</v>
      </c>
      <c r="E28" s="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>
        <v>4</v>
      </c>
      <c r="BN28" s="4"/>
      <c r="BO28" s="4"/>
      <c r="BP28" s="4"/>
      <c r="BQ28" s="4">
        <v>4</v>
      </c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>
        <v>1</v>
      </c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2">
        <f t="shared" si="0"/>
        <v>9</v>
      </c>
    </row>
    <row r="29" spans="1:559" s="5" customFormat="1" x14ac:dyDescent="0.3">
      <c r="B29" s="2" t="s">
        <v>49</v>
      </c>
      <c r="C29" s="2" t="s">
        <v>50</v>
      </c>
      <c r="D29" s="14" t="s">
        <v>59</v>
      </c>
      <c r="E29" s="2"/>
      <c r="F29" s="4"/>
      <c r="G29" s="4"/>
      <c r="H29" s="4"/>
      <c r="I29" s="4"/>
      <c r="J29" s="4"/>
      <c r="K29" s="4">
        <f>30+30</f>
        <v>60</v>
      </c>
      <c r="L29" s="4"/>
      <c r="M29" s="4"/>
      <c r="N29" s="4"/>
      <c r="O29" s="4"/>
      <c r="P29" s="4"/>
      <c r="Q29" s="4">
        <v>30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>
        <v>30</v>
      </c>
      <c r="AG29" s="4">
        <v>30</v>
      </c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>
        <v>76</v>
      </c>
      <c r="AV29" s="4"/>
      <c r="AW29" s="4"/>
      <c r="AX29" s="4"/>
      <c r="AY29" s="4"/>
      <c r="AZ29" s="4"/>
      <c r="BA29" s="4"/>
      <c r="BB29" s="4"/>
      <c r="BC29" s="4"/>
      <c r="BD29" s="4"/>
      <c r="BE29" s="4">
        <v>30</v>
      </c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>
        <v>5</v>
      </c>
      <c r="BY29" s="4"/>
      <c r="BZ29" s="4"/>
      <c r="CA29" s="4"/>
      <c r="CB29" s="4">
        <v>30</v>
      </c>
      <c r="CC29" s="4"/>
      <c r="CD29" s="4"/>
      <c r="CE29" s="4"/>
      <c r="CF29" s="4"/>
      <c r="CG29" s="4">
        <v>81</v>
      </c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>
        <v>10</v>
      </c>
      <c r="DT29" s="4">
        <v>30</v>
      </c>
      <c r="DU29" s="4"/>
      <c r="DV29" s="4"/>
      <c r="DW29" s="4"/>
      <c r="DX29" s="4"/>
      <c r="DY29" s="4"/>
      <c r="DZ29" s="4"/>
      <c r="EA29" s="4"/>
      <c r="EB29" s="4">
        <v>30</v>
      </c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2">
        <f t="shared" si="0"/>
        <v>442</v>
      </c>
    </row>
  </sheetData>
  <autoFilter ref="B3:UM29" xr:uid="{314AC328-727D-4C86-AE53-D87950EB9844}">
    <sortState ref="B4:UM29">
      <sortCondition ref="C4:C29"/>
    </sortState>
  </autoFilter>
  <pageMargins left="0.70866141732283472" right="0.70866141732283472" top="0.74803149606299213" bottom="0.74803149606299213" header="0.31496062992125984" footer="0.31496062992125984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2:Y44"/>
  <sheetViews>
    <sheetView showGridLines="0" zoomScale="85" zoomScaleNormal="85" workbookViewId="0">
      <pane xSplit="7" ySplit="3" topLeftCell="K13" activePane="bottomRight" state="frozen"/>
      <selection pane="topRight" activeCell="H1" sqref="H1"/>
      <selection pane="bottomLeft" activeCell="A4" sqref="A4"/>
      <selection pane="bottomRight" activeCell="B3" sqref="B3"/>
    </sheetView>
  </sheetViews>
  <sheetFormatPr baseColWidth="10" defaultRowHeight="14.4" x14ac:dyDescent="0.3"/>
  <cols>
    <col min="1" max="1" width="0" style="5" hidden="1" customWidth="1"/>
    <col min="2" max="2" width="12.88671875" customWidth="1"/>
    <col min="3" max="3" width="61.33203125" customWidth="1"/>
    <col min="4" max="4" width="10.5546875" bestFit="1" customWidth="1"/>
    <col min="5" max="5" width="12.6640625" hidden="1" customWidth="1"/>
    <col min="6" max="6" width="12.33203125" hidden="1" customWidth="1"/>
    <col min="7" max="7" width="12.6640625" customWidth="1"/>
    <col min="8" max="8" width="13.5546875" style="5" customWidth="1"/>
    <col min="9" max="9" width="10" style="5" customWidth="1"/>
    <col min="10" max="10" width="12.88671875" style="5" customWidth="1"/>
    <col min="11" max="11" width="13" style="5" customWidth="1"/>
    <col min="12" max="12" width="11.88671875" style="5" customWidth="1"/>
    <col min="13" max="13" width="11.44140625" style="5" customWidth="1"/>
    <col min="14" max="15" width="13.5546875" style="5" customWidth="1"/>
    <col min="16" max="16" width="16.109375" bestFit="1" customWidth="1"/>
    <col min="17" max="17" width="17.44140625" style="3" bestFit="1" customWidth="1"/>
    <col min="18" max="18" width="17.6640625" style="5" hidden="1" customWidth="1"/>
    <col min="19" max="19" width="22.109375" style="5" hidden="1" customWidth="1"/>
    <col min="20" max="20" width="15.6640625" customWidth="1"/>
    <col min="21" max="21" width="18.109375" customWidth="1"/>
    <col min="22" max="22" width="15" customWidth="1"/>
    <col min="23" max="23" width="105.44140625" customWidth="1"/>
  </cols>
  <sheetData>
    <row r="2" spans="2:25" x14ac:dyDescent="0.3">
      <c r="T2">
        <f>5*30.5</f>
        <v>152.5</v>
      </c>
      <c r="U2" s="5"/>
    </row>
    <row r="3" spans="2:25" ht="28.8" x14ac:dyDescent="0.3">
      <c r="B3" s="13" t="s">
        <v>55</v>
      </c>
      <c r="C3" s="13" t="s">
        <v>0</v>
      </c>
      <c r="D3" s="13" t="s">
        <v>1</v>
      </c>
      <c r="E3" s="13" t="s">
        <v>2</v>
      </c>
      <c r="F3" s="13" t="s">
        <v>3</v>
      </c>
      <c r="G3" s="13" t="s">
        <v>8</v>
      </c>
      <c r="H3" s="13" t="s">
        <v>14</v>
      </c>
      <c r="I3" s="27" t="s">
        <v>435</v>
      </c>
      <c r="J3" s="28" t="s">
        <v>436</v>
      </c>
      <c r="K3" s="32" t="s">
        <v>446</v>
      </c>
      <c r="L3" s="33" t="s">
        <v>461</v>
      </c>
      <c r="M3" s="34" t="s">
        <v>487</v>
      </c>
      <c r="N3" s="37" t="s">
        <v>524</v>
      </c>
      <c r="O3" s="27" t="s">
        <v>773</v>
      </c>
      <c r="P3" s="13" t="s">
        <v>9</v>
      </c>
      <c r="Q3" s="13" t="s">
        <v>10</v>
      </c>
      <c r="R3" s="13" t="s">
        <v>428</v>
      </c>
      <c r="S3" s="13" t="s">
        <v>434</v>
      </c>
      <c r="T3" s="13" t="s">
        <v>4</v>
      </c>
      <c r="U3" s="16" t="s">
        <v>321</v>
      </c>
      <c r="V3" s="16" t="s">
        <v>322</v>
      </c>
      <c r="W3" s="16" t="s">
        <v>429</v>
      </c>
      <c r="X3" s="5"/>
      <c r="Y3" s="5"/>
    </row>
    <row r="4" spans="2:25" s="5" customFormat="1" x14ac:dyDescent="0.3">
      <c r="B4" s="18" t="s">
        <v>56</v>
      </c>
      <c r="C4" s="2" t="s">
        <v>57</v>
      </c>
      <c r="D4" s="14" t="s">
        <v>335</v>
      </c>
      <c r="E4" s="2">
        <f>VLOOKUP(C4,'Recepcion de Producto'!$C$4:$HU$28,227,FALSE)</f>
        <v>599</v>
      </c>
      <c r="F4" s="2">
        <f>+VLOOKUP(B4,'Salida de Producto'!$B$3:UM45,557,0)</f>
        <v>0</v>
      </c>
      <c r="G4" s="12">
        <f t="shared" ref="G4:G29" si="0">E4-F4</f>
        <v>599</v>
      </c>
      <c r="H4" s="12"/>
      <c r="I4" s="12"/>
      <c r="J4" s="29">
        <f>2*40+32</f>
        <v>112</v>
      </c>
      <c r="K4" s="12"/>
      <c r="L4" s="12"/>
      <c r="M4" s="12"/>
      <c r="N4" s="12"/>
      <c r="O4" s="12"/>
      <c r="P4" s="12">
        <f>SUM(H4:O4)</f>
        <v>112</v>
      </c>
      <c r="Q4" s="15">
        <f>2+2+3</f>
        <v>7</v>
      </c>
      <c r="R4" s="21">
        <f>+VLOOKUP(B4,'Inventario Profit'!$A$1:G294,7,0)</f>
        <v>7</v>
      </c>
      <c r="S4" s="21">
        <f t="shared" ref="S4:S29" si="1">+Q4-R4</f>
        <v>0</v>
      </c>
      <c r="T4" s="17">
        <f t="shared" ref="T4:T29" si="2">P4+Q4-G4</f>
        <v>-480</v>
      </c>
      <c r="U4" s="2">
        <f>+VLOOKUP(B4,'Inventario Profit'!$A$1:I294,9,0)</f>
        <v>119</v>
      </c>
      <c r="V4" s="4">
        <f t="shared" ref="V4:V29" si="3">+P4+Q4-U4</f>
        <v>0</v>
      </c>
      <c r="W4" s="26"/>
    </row>
    <row r="5" spans="2:25" s="5" customFormat="1" x14ac:dyDescent="0.3">
      <c r="B5" s="18" t="s">
        <v>15</v>
      </c>
      <c r="C5" s="2" t="s">
        <v>16</v>
      </c>
      <c r="D5" s="14" t="s">
        <v>12</v>
      </c>
      <c r="E5" s="2">
        <f>VLOOKUP(C5,'Recepcion de Producto'!$C$4:$HU$28,227,FALSE)</f>
        <v>0</v>
      </c>
      <c r="F5" s="2">
        <f>+VLOOKUP(B5,'Salida de Producto'!$B$3:UM46,557,0)</f>
        <v>0</v>
      </c>
      <c r="G5" s="12">
        <f t="shared" si="0"/>
        <v>0</v>
      </c>
      <c r="H5" s="12"/>
      <c r="I5" s="12"/>
      <c r="J5" s="12"/>
      <c r="K5" s="12"/>
      <c r="L5" s="12"/>
      <c r="M5" s="12"/>
      <c r="N5" s="12"/>
      <c r="O5" s="12"/>
      <c r="P5" s="12">
        <f t="shared" ref="P5:P29" si="4">SUM(H5:O5)</f>
        <v>0</v>
      </c>
      <c r="Q5" s="15"/>
      <c r="R5" s="21">
        <f>+VLOOKUP(B5,'Inventario Profit'!$A$1:G295,7,0)</f>
        <v>0</v>
      </c>
      <c r="S5" s="21">
        <f t="shared" si="1"/>
        <v>0</v>
      </c>
      <c r="T5" s="17">
        <f t="shared" si="2"/>
        <v>0</v>
      </c>
      <c r="U5" s="2">
        <f>+VLOOKUP(B5,'Inventario Profit'!$A$1:I295,9,0)</f>
        <v>0</v>
      </c>
      <c r="V5" s="4">
        <f t="shared" si="3"/>
        <v>0</v>
      </c>
      <c r="W5" s="24"/>
    </row>
    <row r="6" spans="2:25" s="5" customFormat="1" x14ac:dyDescent="0.3">
      <c r="B6" s="18" t="s">
        <v>19</v>
      </c>
      <c r="C6" s="2" t="s">
        <v>20</v>
      </c>
      <c r="D6" s="14" t="s">
        <v>335</v>
      </c>
      <c r="E6" s="2">
        <f>VLOOKUP(C6,'Recepcion de Producto'!$C$4:$HU$28,227,FALSE)</f>
        <v>879</v>
      </c>
      <c r="F6" s="2">
        <f>+VLOOKUP(B6,'Salida de Producto'!$B$3:UM47,557,0)</f>
        <v>0</v>
      </c>
      <c r="G6" s="12">
        <f t="shared" si="0"/>
        <v>879</v>
      </c>
      <c r="H6" s="30">
        <v>9</v>
      </c>
      <c r="I6" s="12"/>
      <c r="J6" s="12"/>
      <c r="K6" s="12"/>
      <c r="L6" s="12"/>
      <c r="M6" s="12"/>
      <c r="N6" s="12"/>
      <c r="O6" s="12"/>
      <c r="P6" s="12">
        <f t="shared" si="4"/>
        <v>9</v>
      </c>
      <c r="Q6" s="15"/>
      <c r="R6" s="21">
        <f>+VLOOKUP(B6,'Inventario Profit'!$A$1:G296,7,0)</f>
        <v>0</v>
      </c>
      <c r="S6" s="21">
        <f t="shared" si="1"/>
        <v>0</v>
      </c>
      <c r="T6" s="17">
        <f t="shared" si="2"/>
        <v>-870</v>
      </c>
      <c r="U6" s="2">
        <f>+VLOOKUP(B6,'Inventario Profit'!$A$1:I296,9,0)</f>
        <v>9</v>
      </c>
      <c r="V6" s="4">
        <f t="shared" si="3"/>
        <v>0</v>
      </c>
      <c r="W6" s="24" t="s">
        <v>500</v>
      </c>
      <c r="Y6" s="23"/>
    </row>
    <row r="7" spans="2:25" s="5" customFormat="1" x14ac:dyDescent="0.3">
      <c r="B7" s="18" t="s">
        <v>21</v>
      </c>
      <c r="C7" s="2" t="s">
        <v>22</v>
      </c>
      <c r="D7" s="14" t="s">
        <v>12</v>
      </c>
      <c r="E7" s="2">
        <f>VLOOKUP(C7,'Recepcion de Producto'!$C$4:$HU$28,227,FALSE)</f>
        <v>25</v>
      </c>
      <c r="F7" s="2">
        <f>+VLOOKUP(B7,'Salida de Producto'!$B$3:UM48,557,0)</f>
        <v>0</v>
      </c>
      <c r="G7" s="12">
        <f t="shared" si="0"/>
        <v>25</v>
      </c>
      <c r="H7" s="12"/>
      <c r="I7" s="12"/>
      <c r="J7" s="12"/>
      <c r="K7" s="12"/>
      <c r="L7" s="12"/>
      <c r="M7" s="12"/>
      <c r="N7" s="12"/>
      <c r="O7" s="12"/>
      <c r="P7" s="12">
        <f t="shared" si="4"/>
        <v>0</v>
      </c>
      <c r="Q7" s="15"/>
      <c r="R7" s="21">
        <f>+VLOOKUP(B7,'Inventario Profit'!$A$1:G297,7,0)</f>
        <v>0</v>
      </c>
      <c r="S7" s="21">
        <f t="shared" si="1"/>
        <v>0</v>
      </c>
      <c r="T7" s="17">
        <f t="shared" si="2"/>
        <v>-25</v>
      </c>
      <c r="U7" s="2">
        <f>+VLOOKUP(B7,'Inventario Profit'!$A$1:I297,9,0)</f>
        <v>0</v>
      </c>
      <c r="V7" s="4">
        <f t="shared" si="3"/>
        <v>0</v>
      </c>
      <c r="W7" s="24"/>
    </row>
    <row r="8" spans="2:25" s="5" customFormat="1" x14ac:dyDescent="0.3">
      <c r="B8" s="18" t="s">
        <v>17</v>
      </c>
      <c r="C8" s="2" t="s">
        <v>18</v>
      </c>
      <c r="D8" s="14" t="s">
        <v>59</v>
      </c>
      <c r="E8" s="2">
        <f>VLOOKUP(C8,'Recepcion de Producto'!$C$4:$HU$28,227,FALSE)</f>
        <v>688</v>
      </c>
      <c r="F8" s="2">
        <f>+VLOOKUP(B8,'Salida de Producto'!$B$3:UM49,557,0)</f>
        <v>0</v>
      </c>
      <c r="G8" s="12">
        <f t="shared" si="0"/>
        <v>688</v>
      </c>
      <c r="H8" s="30">
        <f>45+4</f>
        <v>49</v>
      </c>
      <c r="I8" s="12"/>
      <c r="J8" s="12"/>
      <c r="K8" s="12"/>
      <c r="L8" s="12"/>
      <c r="M8" s="12"/>
      <c r="N8" s="12"/>
      <c r="O8" s="12"/>
      <c r="P8" s="12">
        <f t="shared" si="4"/>
        <v>49</v>
      </c>
      <c r="Q8" s="15">
        <v>1</v>
      </c>
      <c r="R8" s="21">
        <f>+VLOOKUP(B8,'Inventario Profit'!$A$1:G298,7,0)</f>
        <v>1</v>
      </c>
      <c r="S8" s="21">
        <f t="shared" si="1"/>
        <v>0</v>
      </c>
      <c r="T8" s="17">
        <f t="shared" si="2"/>
        <v>-638</v>
      </c>
      <c r="U8" s="2">
        <f>+VLOOKUP(B8,'Inventario Profit'!$A$1:I298,9,0)</f>
        <v>50</v>
      </c>
      <c r="V8" s="4">
        <f t="shared" si="3"/>
        <v>0</v>
      </c>
      <c r="W8" s="24"/>
    </row>
    <row r="9" spans="2:25" s="5" customFormat="1" ht="28.8" x14ac:dyDescent="0.3">
      <c r="B9" s="18" t="s">
        <v>31</v>
      </c>
      <c r="C9" s="2" t="s">
        <v>32</v>
      </c>
      <c r="D9" s="14" t="s">
        <v>336</v>
      </c>
      <c r="E9" s="2">
        <f>VLOOKUP(C9,'Recepcion de Producto'!$C$4:$HU$28,227,FALSE)</f>
        <v>859</v>
      </c>
      <c r="F9" s="2">
        <f>+VLOOKUP(B9,'Salida de Producto'!$B$3:UM50,557,0)</f>
        <v>0</v>
      </c>
      <c r="G9" s="12">
        <f t="shared" si="0"/>
        <v>859</v>
      </c>
      <c r="H9" s="12"/>
      <c r="I9" s="12"/>
      <c r="J9" s="12"/>
      <c r="K9" s="12" t="s">
        <v>774</v>
      </c>
      <c r="L9" s="12"/>
      <c r="M9" s="12"/>
      <c r="N9" s="12"/>
      <c r="O9" s="12"/>
      <c r="P9" s="12">
        <f t="shared" si="4"/>
        <v>0</v>
      </c>
      <c r="Q9" s="15">
        <f>1+1</f>
        <v>2</v>
      </c>
      <c r="R9" s="21">
        <f>+VLOOKUP(B9,'Inventario Profit'!$A$1:G299,7,0)</f>
        <v>5</v>
      </c>
      <c r="S9" s="21">
        <f t="shared" si="1"/>
        <v>-3</v>
      </c>
      <c r="T9" s="17">
        <f t="shared" si="2"/>
        <v>-857</v>
      </c>
      <c r="U9" s="2">
        <f>+VLOOKUP(B9,'Inventario Profit'!$A$1:I299,9,0)</f>
        <v>5</v>
      </c>
      <c r="V9" s="4">
        <f t="shared" si="3"/>
        <v>-3</v>
      </c>
      <c r="W9" s="24" t="s">
        <v>817</v>
      </c>
    </row>
    <row r="10" spans="2:25" s="5" customFormat="1" x14ac:dyDescent="0.3">
      <c r="B10" s="18" t="s">
        <v>35</v>
      </c>
      <c r="C10" s="2" t="s">
        <v>36</v>
      </c>
      <c r="D10" s="14" t="s">
        <v>335</v>
      </c>
      <c r="E10" s="2">
        <f>VLOOKUP(C10,'Recepcion de Producto'!$C$4:$HU$28,227,FALSE)</f>
        <v>839</v>
      </c>
      <c r="F10" s="2">
        <f>+VLOOKUP(B10,'Salida de Producto'!$B$3:UM51,557,0)</f>
        <v>0</v>
      </c>
      <c r="G10" s="12">
        <f t="shared" si="0"/>
        <v>839</v>
      </c>
      <c r="H10" s="12"/>
      <c r="I10" s="12"/>
      <c r="J10" s="12"/>
      <c r="K10" s="12"/>
      <c r="L10" s="12"/>
      <c r="M10" s="12"/>
      <c r="N10" s="12"/>
      <c r="O10" s="12"/>
      <c r="P10" s="12">
        <f t="shared" si="4"/>
        <v>0</v>
      </c>
      <c r="Q10" s="15"/>
      <c r="R10" s="21">
        <f>+VLOOKUP(B10,'Inventario Profit'!$A$1:G300,7,0)</f>
        <v>0</v>
      </c>
      <c r="S10" s="21">
        <f t="shared" si="1"/>
        <v>0</v>
      </c>
      <c r="T10" s="17">
        <f t="shared" si="2"/>
        <v>-839</v>
      </c>
      <c r="U10" s="2">
        <f>+VLOOKUP(B10,'Inventario Profit'!$A$1:I300,9,0)</f>
        <v>0</v>
      </c>
      <c r="V10" s="4">
        <f t="shared" si="3"/>
        <v>0</v>
      </c>
      <c r="W10" s="24"/>
    </row>
    <row r="11" spans="2:25" s="5" customFormat="1" x14ac:dyDescent="0.3">
      <c r="B11" s="40" t="s">
        <v>451</v>
      </c>
      <c r="C11" s="2" t="s">
        <v>437</v>
      </c>
      <c r="D11" s="14" t="s">
        <v>12</v>
      </c>
      <c r="E11" s="2">
        <f>VLOOKUP(C11,'Recepcion de Producto'!$C$4:$HU$28,227,FALSE)</f>
        <v>4</v>
      </c>
      <c r="F11" s="2">
        <f>+VLOOKUP(B11,'Salida de Producto'!$B$3:UM52,557,0)</f>
        <v>0</v>
      </c>
      <c r="G11" s="12">
        <f t="shared" si="0"/>
        <v>4</v>
      </c>
      <c r="H11" s="12"/>
      <c r="I11" s="12"/>
      <c r="J11" s="12"/>
      <c r="K11" s="12"/>
      <c r="L11" s="12"/>
      <c r="M11" s="30">
        <v>1</v>
      </c>
      <c r="N11" s="12"/>
      <c r="O11" s="12"/>
      <c r="P11" s="12">
        <f t="shared" si="4"/>
        <v>1</v>
      </c>
      <c r="Q11" s="15"/>
      <c r="R11" s="21">
        <f>+VLOOKUP(B11,'Inventario Profit'!$A$1:G301,7,0)</f>
        <v>0</v>
      </c>
      <c r="S11" s="21">
        <f t="shared" si="1"/>
        <v>0</v>
      </c>
      <c r="T11" s="17">
        <f t="shared" si="2"/>
        <v>-3</v>
      </c>
      <c r="U11" s="2">
        <f>+VLOOKUP(B11,'Inventario Profit'!$A$1:I301,9,0)</f>
        <v>0</v>
      </c>
      <c r="V11" s="4">
        <f t="shared" si="3"/>
        <v>1</v>
      </c>
      <c r="W11" s="24" t="s">
        <v>453</v>
      </c>
    </row>
    <row r="12" spans="2:25" s="5" customFormat="1" ht="32.25" customHeight="1" x14ac:dyDescent="0.3">
      <c r="B12" s="18" t="s">
        <v>33</v>
      </c>
      <c r="C12" s="2" t="s">
        <v>34</v>
      </c>
      <c r="D12" s="14" t="s">
        <v>59</v>
      </c>
      <c r="E12" s="2">
        <f>VLOOKUP(C12,'Recepcion de Producto'!$C$4:$HU$28,227,FALSE)</f>
        <v>384</v>
      </c>
      <c r="F12" s="2">
        <f>+VLOOKUP(B12,'Salida de Producto'!$B$3:UM53,557,0)</f>
        <v>0</v>
      </c>
      <c r="G12" s="12">
        <f t="shared" si="0"/>
        <v>384</v>
      </c>
      <c r="H12" s="12"/>
      <c r="I12" s="30">
        <v>1</v>
      </c>
      <c r="J12" s="12"/>
      <c r="K12" s="12"/>
      <c r="L12" s="12"/>
      <c r="M12" s="12"/>
      <c r="N12" s="12"/>
      <c r="O12" s="12"/>
      <c r="P12" s="12">
        <f t="shared" si="4"/>
        <v>1</v>
      </c>
      <c r="Q12" s="15">
        <v>3</v>
      </c>
      <c r="R12" s="21">
        <f>+VLOOKUP(B12,'Inventario Profit'!$A$1:G302,7,0)</f>
        <v>3</v>
      </c>
      <c r="S12" s="21">
        <f t="shared" si="1"/>
        <v>0</v>
      </c>
      <c r="T12" s="17">
        <f t="shared" si="2"/>
        <v>-380</v>
      </c>
      <c r="U12" s="2">
        <f>+VLOOKUP(B12,'Inventario Profit'!$A$1:I302,9,0)</f>
        <v>4</v>
      </c>
      <c r="V12" s="4">
        <f t="shared" si="3"/>
        <v>0</v>
      </c>
      <c r="W12" s="24"/>
    </row>
    <row r="13" spans="2:25" s="5" customFormat="1" x14ac:dyDescent="0.3">
      <c r="B13" s="18" t="s">
        <v>23</v>
      </c>
      <c r="C13" s="2" t="s">
        <v>24</v>
      </c>
      <c r="D13" s="14" t="s">
        <v>337</v>
      </c>
      <c r="E13" s="2">
        <f>VLOOKUP(C13,'Recepcion de Producto'!$C$4:$HU$28,227,FALSE)</f>
        <v>14400</v>
      </c>
      <c r="F13" s="2">
        <f>+VLOOKUP(B13,'Salida de Producto'!$B$3:UM54,557,0)</f>
        <v>0</v>
      </c>
      <c r="G13" s="12">
        <f t="shared" si="0"/>
        <v>14400</v>
      </c>
      <c r="H13" s="12"/>
      <c r="I13" s="12"/>
      <c r="J13" s="12"/>
      <c r="K13" s="12"/>
      <c r="L13" s="12"/>
      <c r="M13" s="12"/>
      <c r="N13" s="29">
        <f>3*192+191</f>
        <v>767</v>
      </c>
      <c r="O13" s="29">
        <f>12*192</f>
        <v>2304</v>
      </c>
      <c r="P13" s="12">
        <f t="shared" si="4"/>
        <v>3071</v>
      </c>
      <c r="Q13" s="15">
        <v>1</v>
      </c>
      <c r="R13" s="21">
        <f>+VLOOKUP(B13,'Inventario Profit'!$A$1:G303,7,0)</f>
        <v>1</v>
      </c>
      <c r="S13" s="21">
        <f t="shared" si="1"/>
        <v>0</v>
      </c>
      <c r="T13" s="17">
        <f t="shared" si="2"/>
        <v>-11328</v>
      </c>
      <c r="U13" s="2">
        <f>+VLOOKUP(B13,'Inventario Profit'!$A$1:I303,9,0)</f>
        <v>3072</v>
      </c>
      <c r="V13" s="4">
        <f t="shared" si="3"/>
        <v>0</v>
      </c>
      <c r="W13" s="26"/>
    </row>
    <row r="14" spans="2:25" s="5" customFormat="1" x14ac:dyDescent="0.3">
      <c r="B14" s="18" t="s">
        <v>25</v>
      </c>
      <c r="C14" s="2" t="s">
        <v>26</v>
      </c>
      <c r="D14" s="14" t="s">
        <v>338</v>
      </c>
      <c r="E14" s="2">
        <f>VLOOKUP(C14,'Recepcion de Producto'!$C$4:$HU$28,227,FALSE)</f>
        <v>4260</v>
      </c>
      <c r="F14" s="2">
        <f>+VLOOKUP(B14,'Salida de Producto'!$B$3:UM55,557,0)</f>
        <v>0</v>
      </c>
      <c r="G14" s="12">
        <f t="shared" si="0"/>
        <v>4260</v>
      </c>
      <c r="H14" s="12"/>
      <c r="I14" s="12"/>
      <c r="J14" s="12"/>
      <c r="K14" s="12"/>
      <c r="L14" s="12"/>
      <c r="M14" s="12"/>
      <c r="N14" s="29">
        <f>11*60+54</f>
        <v>714</v>
      </c>
      <c r="O14" s="30">
        <f>12*60</f>
        <v>720</v>
      </c>
      <c r="P14" s="12">
        <f t="shared" si="4"/>
        <v>1434</v>
      </c>
      <c r="Q14" s="15"/>
      <c r="R14" s="21">
        <f>+VLOOKUP(B14,'Inventario Profit'!$A$1:G304,7,0)</f>
        <v>0</v>
      </c>
      <c r="S14" s="21">
        <f t="shared" si="1"/>
        <v>0</v>
      </c>
      <c r="T14" s="17">
        <f t="shared" si="2"/>
        <v>-2826</v>
      </c>
      <c r="U14" s="2">
        <f>+VLOOKUP(B14,'Inventario Profit'!$A$1:I304,9,0)</f>
        <v>1434</v>
      </c>
      <c r="V14" s="4">
        <f t="shared" si="3"/>
        <v>0</v>
      </c>
      <c r="W14" s="26"/>
    </row>
    <row r="15" spans="2:25" s="5" customFormat="1" x14ac:dyDescent="0.3">
      <c r="B15" s="18" t="s">
        <v>27</v>
      </c>
      <c r="C15" s="2" t="s">
        <v>28</v>
      </c>
      <c r="D15" s="14" t="s">
        <v>337</v>
      </c>
      <c r="E15" s="2">
        <f>VLOOKUP(C15,'Recepcion de Producto'!$C$4:$HU$28,227,FALSE)</f>
        <v>9029</v>
      </c>
      <c r="F15" s="2">
        <f>+VLOOKUP(B15,'Salida de Producto'!$B$3:UM56,557,0)</f>
        <v>0</v>
      </c>
      <c r="G15" s="12">
        <f t="shared" si="0"/>
        <v>9029</v>
      </c>
      <c r="H15" s="12"/>
      <c r="I15" s="12"/>
      <c r="J15" s="12"/>
      <c r="K15" s="12"/>
      <c r="L15" s="12"/>
      <c r="M15" s="12"/>
      <c r="N15" s="29">
        <f>4*192+184+1</f>
        <v>953</v>
      </c>
      <c r="O15" s="29">
        <f>5*192+7*192</f>
        <v>2304</v>
      </c>
      <c r="P15" s="12">
        <f t="shared" si="4"/>
        <v>3257</v>
      </c>
      <c r="Q15" s="15"/>
      <c r="R15" s="21">
        <f>+VLOOKUP(B15,'Inventario Profit'!$A$1:G305,7,0)</f>
        <v>0</v>
      </c>
      <c r="S15" s="21">
        <f t="shared" si="1"/>
        <v>0</v>
      </c>
      <c r="T15" s="17">
        <f t="shared" si="2"/>
        <v>-5772</v>
      </c>
      <c r="U15" s="2">
        <f>+VLOOKUP(B15,'Inventario Profit'!$A$1:I305,9,0)</f>
        <v>3256</v>
      </c>
      <c r="V15" s="4">
        <f t="shared" si="3"/>
        <v>1</v>
      </c>
      <c r="W15" s="26" t="s">
        <v>818</v>
      </c>
    </row>
    <row r="16" spans="2:25" s="5" customFormat="1" x14ac:dyDescent="0.3">
      <c r="B16" s="18" t="s">
        <v>29</v>
      </c>
      <c r="C16" s="2" t="s">
        <v>30</v>
      </c>
      <c r="D16" s="14" t="s">
        <v>338</v>
      </c>
      <c r="E16" s="2">
        <f>VLOOKUP(C16,'Recepcion de Producto'!$C$4:$HU$28,227,FALSE)</f>
        <v>3299</v>
      </c>
      <c r="F16" s="2">
        <f>+VLOOKUP(B16,'Salida de Producto'!$B$3:UM57,557,0)</f>
        <v>0</v>
      </c>
      <c r="G16" s="12">
        <f t="shared" si="0"/>
        <v>3299</v>
      </c>
      <c r="H16" s="12"/>
      <c r="I16" s="12"/>
      <c r="J16" s="12"/>
      <c r="K16" s="12"/>
      <c r="L16" s="12"/>
      <c r="M16" s="12"/>
      <c r="N16" s="29">
        <f>5*60+16+2*60</f>
        <v>436</v>
      </c>
      <c r="O16" s="30">
        <f>12*60</f>
        <v>720</v>
      </c>
      <c r="P16" s="12">
        <f t="shared" si="4"/>
        <v>1156</v>
      </c>
      <c r="Q16" s="15">
        <v>2</v>
      </c>
      <c r="R16" s="21">
        <f>+VLOOKUP(B16,'Inventario Profit'!$A$1:G306,7,0)</f>
        <v>2</v>
      </c>
      <c r="S16" s="21">
        <f t="shared" si="1"/>
        <v>0</v>
      </c>
      <c r="T16" s="17">
        <f t="shared" si="2"/>
        <v>-2141</v>
      </c>
      <c r="U16" s="2">
        <f>+VLOOKUP(B16,'Inventario Profit'!$A$1:I306,9,0)</f>
        <v>1158</v>
      </c>
      <c r="V16" s="4">
        <f t="shared" si="3"/>
        <v>0</v>
      </c>
      <c r="W16" s="26"/>
    </row>
    <row r="17" spans="2:25" s="5" customFormat="1" x14ac:dyDescent="0.3">
      <c r="B17" s="41" t="s">
        <v>525</v>
      </c>
      <c r="C17" s="2" t="s">
        <v>526</v>
      </c>
      <c r="D17" s="14" t="s">
        <v>335</v>
      </c>
      <c r="E17" s="2">
        <f>VLOOKUP(C17,'Recepcion de Producto'!$C$4:$HU$28,227,FALSE)</f>
        <v>1716</v>
      </c>
      <c r="F17" s="2">
        <f>+VLOOKUP(B17,'Salida de Producto'!$B$3:UM58,557,0)</f>
        <v>0</v>
      </c>
      <c r="G17" s="12">
        <f t="shared" si="0"/>
        <v>1716</v>
      </c>
      <c r="H17" s="12"/>
      <c r="I17" s="12"/>
      <c r="J17" s="12"/>
      <c r="K17" s="12"/>
      <c r="L17" s="12"/>
      <c r="M17" s="12"/>
      <c r="N17" s="30">
        <f>6*44+43</f>
        <v>307</v>
      </c>
      <c r="O17" s="29">
        <f>12*44+4*44</f>
        <v>704</v>
      </c>
      <c r="P17" s="12">
        <f t="shared" si="4"/>
        <v>1011</v>
      </c>
      <c r="Q17" s="15"/>
      <c r="R17" s="21">
        <f>+VLOOKUP(B17,'Inventario Profit'!$A$1:G307,7,0)</f>
        <v>0</v>
      </c>
      <c r="S17" s="21">
        <f t="shared" si="1"/>
        <v>0</v>
      </c>
      <c r="T17" s="17">
        <f t="shared" si="2"/>
        <v>-705</v>
      </c>
      <c r="U17" s="2">
        <f>+VLOOKUP(B17,'Inventario Profit'!$A$1:I307,9,0)</f>
        <v>1363</v>
      </c>
      <c r="V17" s="4">
        <f t="shared" si="3"/>
        <v>-352</v>
      </c>
      <c r="W17" s="26" t="s">
        <v>821</v>
      </c>
    </row>
    <row r="18" spans="2:25" s="5" customFormat="1" x14ac:dyDescent="0.3">
      <c r="B18" s="18" t="s">
        <v>39</v>
      </c>
      <c r="C18" s="2" t="s">
        <v>40</v>
      </c>
      <c r="D18" s="14" t="s">
        <v>12</v>
      </c>
      <c r="E18" s="2">
        <f>VLOOKUP(C18,'Recepcion de Producto'!$C$4:$HU$28,227,FALSE)</f>
        <v>0</v>
      </c>
      <c r="F18" s="2">
        <f>+VLOOKUP(B18,'Salida de Producto'!$B$3:UM59,557,0)</f>
        <v>0</v>
      </c>
      <c r="G18" s="12">
        <f t="shared" si="0"/>
        <v>0</v>
      </c>
      <c r="H18" s="12"/>
      <c r="I18" s="12"/>
      <c r="J18" s="12"/>
      <c r="K18" s="12"/>
      <c r="L18" s="12"/>
      <c r="M18" s="12"/>
      <c r="N18" s="12"/>
      <c r="O18" s="12"/>
      <c r="P18" s="12">
        <f t="shared" si="4"/>
        <v>0</v>
      </c>
      <c r="Q18" s="15"/>
      <c r="R18" s="21">
        <f>+VLOOKUP(B18,'Inventario Profit'!$A$1:G308,7,0)</f>
        <v>0</v>
      </c>
      <c r="S18" s="21">
        <f t="shared" si="1"/>
        <v>0</v>
      </c>
      <c r="T18" s="17">
        <f t="shared" si="2"/>
        <v>0</v>
      </c>
      <c r="U18" s="2">
        <f>+VLOOKUP(B18,'Inventario Profit'!$A$1:I308,9,0)</f>
        <v>0</v>
      </c>
      <c r="V18" s="2">
        <f t="shared" si="3"/>
        <v>0</v>
      </c>
      <c r="W18" s="24"/>
    </row>
    <row r="19" spans="2:25" s="5" customFormat="1" x14ac:dyDescent="0.3">
      <c r="B19" s="18" t="s">
        <v>37</v>
      </c>
      <c r="C19" s="2" t="s">
        <v>38</v>
      </c>
      <c r="D19" s="14" t="s">
        <v>59</v>
      </c>
      <c r="E19" s="2">
        <f>VLOOKUP(C19,'Recepcion de Producto'!$C$4:$HU$28,227,FALSE)</f>
        <v>20986</v>
      </c>
      <c r="F19" s="2">
        <f>+VLOOKUP(B19,'Salida de Producto'!$B$3:UM60,557,0)</f>
        <v>0</v>
      </c>
      <c r="G19" s="12">
        <f t="shared" si="0"/>
        <v>20986</v>
      </c>
      <c r="H19" s="12"/>
      <c r="I19" s="12"/>
      <c r="J19" s="12"/>
      <c r="K19" s="12"/>
      <c r="L19" s="29">
        <f>4*34+28+12*34</f>
        <v>572</v>
      </c>
      <c r="M19" s="12"/>
      <c r="N19" s="12"/>
      <c r="O19" s="29">
        <f>1*34+9*34+9*34+12*34+13*34</f>
        <v>1496</v>
      </c>
      <c r="P19" s="12">
        <f t="shared" si="4"/>
        <v>2068</v>
      </c>
      <c r="Q19" s="15">
        <v>2</v>
      </c>
      <c r="R19" s="21">
        <f>+VLOOKUP(B19,'Inventario Profit'!$A$1:G309,7,0)</f>
        <v>2</v>
      </c>
      <c r="S19" s="21">
        <f t="shared" si="1"/>
        <v>0</v>
      </c>
      <c r="T19" s="17">
        <f t="shared" si="2"/>
        <v>-18916</v>
      </c>
      <c r="U19" s="2">
        <f>+VLOOKUP(B19,'Inventario Profit'!$A$1:I309,9,0)</f>
        <v>2104</v>
      </c>
      <c r="V19" s="2">
        <f t="shared" si="3"/>
        <v>-34</v>
      </c>
      <c r="W19" s="25" t="s">
        <v>772</v>
      </c>
    </row>
    <row r="20" spans="2:25" s="5" customFormat="1" x14ac:dyDescent="0.3">
      <c r="B20" s="18" t="s">
        <v>41</v>
      </c>
      <c r="C20" s="2" t="s">
        <v>42</v>
      </c>
      <c r="D20" s="14" t="s">
        <v>59</v>
      </c>
      <c r="E20" s="2">
        <f>VLOOKUP(C20,'Recepcion de Producto'!$C$4:$HU$28,227,FALSE)</f>
        <v>11945</v>
      </c>
      <c r="F20" s="2">
        <f>+VLOOKUP(B20,'Salida de Producto'!$B$3:UM61,557,0)</f>
        <v>0</v>
      </c>
      <c r="G20" s="12">
        <f t="shared" si="0"/>
        <v>11945</v>
      </c>
      <c r="H20" s="12"/>
      <c r="I20" s="12"/>
      <c r="J20" s="12"/>
      <c r="K20" s="12"/>
      <c r="L20" s="30">
        <f>10</f>
        <v>10</v>
      </c>
      <c r="M20" s="29">
        <f>1*34+13*34+8*34</f>
        <v>748</v>
      </c>
      <c r="N20" s="12"/>
      <c r="O20" s="29">
        <f>1*34+8*34+13*34</f>
        <v>748</v>
      </c>
      <c r="P20" s="12">
        <f t="shared" si="4"/>
        <v>1506</v>
      </c>
      <c r="Q20" s="15"/>
      <c r="R20" s="21">
        <f>+VLOOKUP(B20,'Inventario Profit'!$A$1:G310,7,0)</f>
        <v>0</v>
      </c>
      <c r="S20" s="21">
        <f t="shared" si="1"/>
        <v>0</v>
      </c>
      <c r="T20" s="17">
        <f t="shared" si="2"/>
        <v>-10439</v>
      </c>
      <c r="U20" s="2">
        <f>+VLOOKUP(B20,'Inventario Profit'!$A$1:I310,9,0)</f>
        <v>1506</v>
      </c>
      <c r="V20" s="2">
        <f t="shared" si="3"/>
        <v>0</v>
      </c>
      <c r="W20" s="24"/>
    </row>
    <row r="21" spans="2:25" s="5" customFormat="1" ht="23.25" customHeight="1" x14ac:dyDescent="0.3">
      <c r="B21" s="18" t="s">
        <v>531</v>
      </c>
      <c r="C21" s="2" t="s">
        <v>532</v>
      </c>
      <c r="D21" s="14" t="s">
        <v>61</v>
      </c>
      <c r="E21" s="2">
        <f>VLOOKUP(C21,'Recepcion de Producto'!$C$4:$HU$28,227,FALSE)</f>
        <v>1804</v>
      </c>
      <c r="F21" s="2">
        <f>+VLOOKUP(B21,'Salida de Producto'!$B$3:UM62,557,0)</f>
        <v>0</v>
      </c>
      <c r="G21" s="12">
        <f t="shared" si="0"/>
        <v>1804</v>
      </c>
      <c r="H21" s="12"/>
      <c r="I21" s="12"/>
      <c r="J21" s="12"/>
      <c r="K21" s="12"/>
      <c r="L21" s="12"/>
      <c r="M21" s="12"/>
      <c r="N21" s="30">
        <f>6*44+11*44+43</f>
        <v>791</v>
      </c>
      <c r="O21" s="29">
        <f>10*44+1*44</f>
        <v>484</v>
      </c>
      <c r="P21" s="12">
        <f t="shared" si="4"/>
        <v>1275</v>
      </c>
      <c r="Q21" s="15"/>
      <c r="R21" s="21">
        <f>+VLOOKUP(B21,'Inventario Profit'!$A$1:G311,7,0)</f>
        <v>0</v>
      </c>
      <c r="S21" s="21">
        <f t="shared" si="1"/>
        <v>0</v>
      </c>
      <c r="T21" s="17">
        <f t="shared" si="2"/>
        <v>-529</v>
      </c>
      <c r="U21" s="2">
        <f>+VLOOKUP(B21,'Inventario Profit'!$A$1:I311,9,0)</f>
        <v>1275</v>
      </c>
      <c r="V21" s="4">
        <f t="shared" si="3"/>
        <v>0</v>
      </c>
      <c r="W21" s="26"/>
    </row>
    <row r="22" spans="2:25" s="5" customFormat="1" ht="23.25" customHeight="1" x14ac:dyDescent="0.3">
      <c r="B22" s="18" t="s">
        <v>43</v>
      </c>
      <c r="C22" s="2" t="s">
        <v>44</v>
      </c>
      <c r="D22" s="14" t="s">
        <v>12</v>
      </c>
      <c r="E22" s="2">
        <f>VLOOKUP(C22,'Recepcion de Producto'!$C$4:$HU$28,227,FALSE)</f>
        <v>0</v>
      </c>
      <c r="F22" s="2">
        <f>+VLOOKUP(B22,'Salida de Producto'!$B$3:UM63,557,0)</f>
        <v>0</v>
      </c>
      <c r="G22" s="12">
        <f t="shared" si="0"/>
        <v>0</v>
      </c>
      <c r="H22" s="12"/>
      <c r="I22" s="12"/>
      <c r="J22" s="12"/>
      <c r="K22" s="12"/>
      <c r="L22" s="12"/>
      <c r="M22" s="12"/>
      <c r="N22" s="12"/>
      <c r="O22" s="12"/>
      <c r="P22" s="12">
        <f t="shared" si="4"/>
        <v>0</v>
      </c>
      <c r="Q22" s="15"/>
      <c r="R22" s="21">
        <f>+VLOOKUP(B22,'Inventario Profit'!$A$1:G312,7,0)</f>
        <v>0</v>
      </c>
      <c r="S22" s="21">
        <f t="shared" si="1"/>
        <v>0</v>
      </c>
      <c r="T22" s="17">
        <f t="shared" si="2"/>
        <v>0</v>
      </c>
      <c r="U22" s="2">
        <f>+VLOOKUP(B22,'Inventario Profit'!$A$1:I312,9,0)</f>
        <v>0</v>
      </c>
      <c r="V22" s="2">
        <f t="shared" si="3"/>
        <v>0</v>
      </c>
      <c r="W22" s="24"/>
    </row>
    <row r="23" spans="2:25" s="5" customFormat="1" ht="31.5" customHeight="1" x14ac:dyDescent="0.3">
      <c r="B23" s="18" t="s">
        <v>47</v>
      </c>
      <c r="C23" s="2" t="s">
        <v>48</v>
      </c>
      <c r="D23" s="14" t="s">
        <v>12</v>
      </c>
      <c r="E23" s="2">
        <f>VLOOKUP(C23,'Recepcion de Producto'!$C$4:$HU$28,227,FALSE)</f>
        <v>418</v>
      </c>
      <c r="F23" s="2">
        <f>+VLOOKUP(B23,'Salida de Producto'!$B$3:UM64,557,0)</f>
        <v>0</v>
      </c>
      <c r="G23" s="12">
        <f t="shared" si="0"/>
        <v>418</v>
      </c>
      <c r="H23" s="12"/>
      <c r="I23" s="12"/>
      <c r="J23" s="12"/>
      <c r="K23" s="12"/>
      <c r="L23" s="12"/>
      <c r="M23" s="12"/>
      <c r="N23" s="12"/>
      <c r="O23" s="29">
        <f>3*4</f>
        <v>12</v>
      </c>
      <c r="P23" s="12">
        <f t="shared" si="4"/>
        <v>12</v>
      </c>
      <c r="Q23" s="15">
        <v>5</v>
      </c>
      <c r="R23" s="21">
        <f>+VLOOKUP(B23,'Inventario Profit'!$A$1:G313,7,0)</f>
        <v>1</v>
      </c>
      <c r="S23" s="21">
        <f t="shared" si="1"/>
        <v>4</v>
      </c>
      <c r="T23" s="17">
        <f t="shared" si="2"/>
        <v>-401</v>
      </c>
      <c r="U23" s="2">
        <f>+VLOOKUP(B23,'Inventario Profit'!$A$1:I313,9,0)</f>
        <v>13</v>
      </c>
      <c r="V23" s="4">
        <f t="shared" si="3"/>
        <v>4</v>
      </c>
      <c r="W23" s="24" t="s">
        <v>820</v>
      </c>
    </row>
    <row r="24" spans="2:25" s="5" customFormat="1" ht="23.25" customHeight="1" x14ac:dyDescent="0.3">
      <c r="B24" s="18" t="s">
        <v>45</v>
      </c>
      <c r="C24" s="2" t="s">
        <v>46</v>
      </c>
      <c r="D24" s="14" t="s">
        <v>59</v>
      </c>
      <c r="E24" s="2">
        <f>VLOOKUP(C24,'Recepcion de Producto'!$C$4:$HU$28,227,FALSE)</f>
        <v>7891</v>
      </c>
      <c r="F24" s="2">
        <f>+VLOOKUP(B24,'Salida de Producto'!$B$3:UM65,557,0)</f>
        <v>0</v>
      </c>
      <c r="G24" s="12">
        <f t="shared" si="0"/>
        <v>7891</v>
      </c>
      <c r="H24" s="12"/>
      <c r="I24" s="12"/>
      <c r="J24" s="12"/>
      <c r="K24" s="12"/>
      <c r="L24" s="29">
        <v>30</v>
      </c>
      <c r="M24" s="30">
        <f>9*34+9*34+9*34+10*34+33</f>
        <v>1291</v>
      </c>
      <c r="N24" s="12"/>
      <c r="O24" s="12"/>
      <c r="P24" s="12">
        <f t="shared" si="4"/>
        <v>1321</v>
      </c>
      <c r="Q24" s="15"/>
      <c r="R24" s="21">
        <f>+VLOOKUP(B24,'Inventario Profit'!$A$1:G314,7,0)</f>
        <v>0</v>
      </c>
      <c r="S24" s="21">
        <f t="shared" si="1"/>
        <v>0</v>
      </c>
      <c r="T24" s="17">
        <f t="shared" si="2"/>
        <v>-6570</v>
      </c>
      <c r="U24" s="2">
        <f>+VLOOKUP(B24,'Inventario Profit'!$A$1:I314,9,0)</f>
        <v>1287</v>
      </c>
      <c r="V24" s="4">
        <f t="shared" si="3"/>
        <v>34</v>
      </c>
      <c r="W24" s="25" t="s">
        <v>772</v>
      </c>
    </row>
    <row r="25" spans="2:25" s="5" customFormat="1" ht="23.25" customHeight="1" x14ac:dyDescent="0.3">
      <c r="B25" s="18" t="s">
        <v>535</v>
      </c>
      <c r="C25" s="2" t="s">
        <v>536</v>
      </c>
      <c r="D25" s="14" t="s">
        <v>58</v>
      </c>
      <c r="E25" s="2">
        <f>VLOOKUP(C25,'Recepcion de Producto'!$C$4:$HU$28,227,FALSE)</f>
        <v>80</v>
      </c>
      <c r="F25" s="2">
        <f>+VLOOKUP(B25,'Salida de Producto'!$B$3:UM66,557,0)</f>
        <v>0</v>
      </c>
      <c r="G25" s="12">
        <f t="shared" si="0"/>
        <v>80</v>
      </c>
      <c r="H25" s="12"/>
      <c r="I25" s="12"/>
      <c r="J25" s="12"/>
      <c r="K25" s="12"/>
      <c r="L25" s="12"/>
      <c r="M25" s="12"/>
      <c r="N25" s="30">
        <f>8*4+2+6*4</f>
        <v>58</v>
      </c>
      <c r="O25" s="12"/>
      <c r="P25" s="12">
        <f t="shared" si="4"/>
        <v>58</v>
      </c>
      <c r="Q25" s="15"/>
      <c r="R25" s="21">
        <f>+VLOOKUP(B25,'Inventario Profit'!$A$1:G315,7,0)</f>
        <v>0</v>
      </c>
      <c r="S25" s="21">
        <f t="shared" si="1"/>
        <v>0</v>
      </c>
      <c r="T25" s="17">
        <f t="shared" si="2"/>
        <v>-22</v>
      </c>
      <c r="U25" s="2">
        <f>+VLOOKUP(B25,'Inventario Profit'!$A$1:I315,9,0)</f>
        <v>58</v>
      </c>
      <c r="V25" s="4">
        <f t="shared" si="3"/>
        <v>0</v>
      </c>
      <c r="W25" s="26"/>
    </row>
    <row r="26" spans="2:25" s="5" customFormat="1" ht="23.25" customHeight="1" x14ac:dyDescent="0.3">
      <c r="B26" s="18" t="s">
        <v>533</v>
      </c>
      <c r="C26" s="2" t="s">
        <v>534</v>
      </c>
      <c r="D26" s="14" t="s">
        <v>59</v>
      </c>
      <c r="E26" s="2">
        <f>VLOOKUP(C26,'Recepcion de Producto'!$C$4:$HU$28,227,FALSE)</f>
        <v>1224</v>
      </c>
      <c r="F26" s="2">
        <f>+VLOOKUP(B26,'Salida de Producto'!$B$3:UM67,557,0)</f>
        <v>0</v>
      </c>
      <c r="G26" s="12">
        <f t="shared" si="0"/>
        <v>1224</v>
      </c>
      <c r="H26" s="12"/>
      <c r="I26" s="12"/>
      <c r="J26" s="12"/>
      <c r="K26" s="12"/>
      <c r="L26" s="12"/>
      <c r="M26" s="12"/>
      <c r="N26" s="29">
        <f>7*34+10*34+32+11*34</f>
        <v>984</v>
      </c>
      <c r="O26" s="12"/>
      <c r="P26" s="12">
        <f t="shared" si="4"/>
        <v>984</v>
      </c>
      <c r="Q26" s="15"/>
      <c r="R26" s="21">
        <f>+VLOOKUP(B26,'Inventario Profit'!$A$1:G316,7,0)</f>
        <v>0</v>
      </c>
      <c r="S26" s="21">
        <f t="shared" si="1"/>
        <v>0</v>
      </c>
      <c r="T26" s="17">
        <f t="shared" si="2"/>
        <v>-240</v>
      </c>
      <c r="U26" s="2">
        <f>+VLOOKUP(B26,'Inventario Profit'!$A$1:I316,9,0)</f>
        <v>984</v>
      </c>
      <c r="V26" s="4">
        <f t="shared" si="3"/>
        <v>0</v>
      </c>
      <c r="W26" s="26"/>
    </row>
    <row r="27" spans="2:25" s="5" customFormat="1" ht="23.25" customHeight="1" x14ac:dyDescent="0.3">
      <c r="B27" s="18" t="s">
        <v>51</v>
      </c>
      <c r="C27" s="2" t="s">
        <v>52</v>
      </c>
      <c r="D27" s="14" t="s">
        <v>335</v>
      </c>
      <c r="E27" s="2">
        <f>VLOOKUP(C27,'Recepcion de Producto'!$C$4:$HU$28,227,FALSE)</f>
        <v>718</v>
      </c>
      <c r="F27" s="2">
        <f>+VLOOKUP(B27,'Salida de Producto'!$B$3:UM68,557,0)</f>
        <v>0</v>
      </c>
      <c r="G27" s="12">
        <f t="shared" si="0"/>
        <v>718</v>
      </c>
      <c r="H27" s="12"/>
      <c r="I27" s="12"/>
      <c r="J27" s="29">
        <f>37+3*40+1</f>
        <v>158</v>
      </c>
      <c r="K27" s="12"/>
      <c r="L27" s="12"/>
      <c r="M27" s="12"/>
      <c r="N27" s="12"/>
      <c r="O27" s="12"/>
      <c r="P27" s="12">
        <f t="shared" si="4"/>
        <v>158</v>
      </c>
      <c r="Q27" s="15">
        <v>2</v>
      </c>
      <c r="R27" s="21">
        <f>+VLOOKUP(B27,'Inventario Profit'!$A$1:G317,7,0)</f>
        <v>2</v>
      </c>
      <c r="S27" s="21">
        <f t="shared" si="1"/>
        <v>0</v>
      </c>
      <c r="T27" s="17">
        <f t="shared" si="2"/>
        <v>-558</v>
      </c>
      <c r="U27" s="2">
        <f>+VLOOKUP(B27,'Inventario Profit'!$A$1:I317,9,0)</f>
        <v>159</v>
      </c>
      <c r="V27" s="4">
        <f t="shared" si="3"/>
        <v>1</v>
      </c>
      <c r="W27" s="24" t="s">
        <v>818</v>
      </c>
    </row>
    <row r="28" spans="2:25" s="5" customFormat="1" ht="23.25" customHeight="1" x14ac:dyDescent="0.3">
      <c r="B28" s="18" t="s">
        <v>53</v>
      </c>
      <c r="C28" s="2" t="s">
        <v>54</v>
      </c>
      <c r="D28" s="14" t="s">
        <v>12</v>
      </c>
      <c r="E28" s="2">
        <f>VLOOKUP(C28,'Recepcion de Producto'!$C$4:$HU$28,227,FALSE)</f>
        <v>12</v>
      </c>
      <c r="F28" s="2">
        <f>+VLOOKUP(B28,'Salida de Producto'!$B$3:UM69,557,0)</f>
        <v>0</v>
      </c>
      <c r="G28" s="12">
        <f t="shared" si="0"/>
        <v>12</v>
      </c>
      <c r="H28" s="30">
        <v>2</v>
      </c>
      <c r="I28" s="12"/>
      <c r="J28" s="12"/>
      <c r="K28" s="12"/>
      <c r="L28" s="12"/>
      <c r="M28" s="30">
        <v>1</v>
      </c>
      <c r="N28" s="12"/>
      <c r="O28" s="12"/>
      <c r="P28" s="12">
        <f t="shared" si="4"/>
        <v>3</v>
      </c>
      <c r="Q28" s="15"/>
      <c r="R28" s="21">
        <f>+VLOOKUP(B28,'Inventario Profit'!$A$1:G318,7,0)</f>
        <v>0</v>
      </c>
      <c r="S28" s="21">
        <f t="shared" si="1"/>
        <v>0</v>
      </c>
      <c r="T28" s="17">
        <f t="shared" si="2"/>
        <v>-9</v>
      </c>
      <c r="U28" s="2">
        <f>+VLOOKUP(B28,'Inventario Profit'!$A$1:I318,9,0)</f>
        <v>2</v>
      </c>
      <c r="V28" s="4">
        <f t="shared" si="3"/>
        <v>1</v>
      </c>
      <c r="W28" s="24" t="s">
        <v>453</v>
      </c>
    </row>
    <row r="29" spans="2:25" s="5" customFormat="1" ht="23.25" customHeight="1" x14ac:dyDescent="0.3">
      <c r="B29" s="18" t="s">
        <v>49</v>
      </c>
      <c r="C29" s="2" t="s">
        <v>50</v>
      </c>
      <c r="D29" s="14" t="s">
        <v>59</v>
      </c>
      <c r="E29" s="2">
        <f>VLOOKUP(C29,'Recepcion de Producto'!$C$4:$HU$29,227,FALSE)</f>
        <v>509</v>
      </c>
      <c r="F29" s="2">
        <f>+VLOOKUP(B29,'Salida de Producto'!$B$3:UM70,557,0)</f>
        <v>0</v>
      </c>
      <c r="G29" s="12">
        <f t="shared" si="0"/>
        <v>509</v>
      </c>
      <c r="H29" s="30">
        <f>60/4</f>
        <v>15</v>
      </c>
      <c r="I29" s="12"/>
      <c r="J29" s="29">
        <f>10+30</f>
        <v>40</v>
      </c>
      <c r="K29" s="12"/>
      <c r="L29" s="12"/>
      <c r="M29" s="12"/>
      <c r="N29" s="12"/>
      <c r="O29" s="12"/>
      <c r="P29" s="12">
        <f t="shared" si="4"/>
        <v>55</v>
      </c>
      <c r="Q29" s="15">
        <v>12</v>
      </c>
      <c r="R29" s="21">
        <f>+VLOOKUP(B29,'Inventario Profit'!$A$1:G319,7,0)</f>
        <v>12</v>
      </c>
      <c r="S29" s="21">
        <f t="shared" si="1"/>
        <v>0</v>
      </c>
      <c r="T29" s="17">
        <f t="shared" si="2"/>
        <v>-442</v>
      </c>
      <c r="U29" s="2">
        <f>+VLOOKUP(B29,'Inventario Profit'!$A$1:I319,9,0)</f>
        <v>67</v>
      </c>
      <c r="V29" s="4">
        <f t="shared" si="3"/>
        <v>0</v>
      </c>
      <c r="W29" s="26"/>
    </row>
    <row r="30" spans="2:25" x14ac:dyDescent="0.3">
      <c r="P30" s="5"/>
      <c r="U30" s="5"/>
      <c r="V30" s="5"/>
      <c r="W30" s="35"/>
    </row>
    <row r="31" spans="2:25" x14ac:dyDescent="0.3">
      <c r="P31" s="5"/>
      <c r="T31" s="5"/>
      <c r="U31" s="5"/>
      <c r="V31" s="5"/>
      <c r="W31" s="5"/>
    </row>
    <row r="32" spans="2:25" x14ac:dyDescent="0.3">
      <c r="C32" s="6"/>
      <c r="P32" s="5"/>
      <c r="Q32" s="5"/>
      <c r="V32" s="5"/>
      <c r="W32" s="5"/>
      <c r="X32" s="5"/>
      <c r="Y32" s="5"/>
    </row>
    <row r="33" spans="3:25" ht="31.2" x14ac:dyDescent="0.3">
      <c r="C33" s="10" t="s">
        <v>11</v>
      </c>
      <c r="G33" s="5"/>
      <c r="T33" s="5"/>
      <c r="V33" s="5"/>
      <c r="W33" s="5"/>
      <c r="X33" s="5"/>
      <c r="Y33" s="5"/>
    </row>
    <row r="34" spans="3:25" ht="15.6" x14ac:dyDescent="0.3">
      <c r="C34" s="11">
        <f>1-2/26</f>
        <v>0.92307692307692313</v>
      </c>
      <c r="G34" s="5"/>
      <c r="P34" s="5"/>
      <c r="V34" s="5"/>
      <c r="W34" s="5"/>
      <c r="X34" s="5"/>
      <c r="Y34" s="5"/>
    </row>
    <row r="35" spans="3:25" ht="15.6" x14ac:dyDescent="0.3">
      <c r="D35" s="9"/>
      <c r="G35" s="7"/>
      <c r="P35" s="5"/>
      <c r="V35" s="5"/>
      <c r="W35" s="5"/>
      <c r="X35" s="5"/>
      <c r="Y35" s="5"/>
    </row>
    <row r="36" spans="3:25" ht="15.6" x14ac:dyDescent="0.3">
      <c r="D36" s="8"/>
      <c r="G36" s="7"/>
      <c r="P36" s="5"/>
      <c r="V36" s="5"/>
      <c r="W36" s="5"/>
      <c r="X36" s="5"/>
      <c r="Y36" s="5"/>
    </row>
    <row r="37" spans="3:25" x14ac:dyDescent="0.3">
      <c r="P37" s="5"/>
      <c r="V37" s="5"/>
      <c r="W37" s="5"/>
      <c r="X37" s="5"/>
      <c r="Y37" s="5"/>
    </row>
    <row r="38" spans="3:25" x14ac:dyDescent="0.3">
      <c r="V38" s="5"/>
      <c r="W38" s="5"/>
      <c r="X38" s="5"/>
      <c r="Y38" s="5"/>
    </row>
    <row r="39" spans="3:25" x14ac:dyDescent="0.3">
      <c r="E39" s="5"/>
      <c r="F39" s="5"/>
      <c r="G39" s="5"/>
      <c r="V39" s="5"/>
      <c r="W39" s="5"/>
      <c r="X39" s="5"/>
      <c r="Y39" s="5"/>
    </row>
    <row r="40" spans="3:25" x14ac:dyDescent="0.3">
      <c r="E40" s="5"/>
      <c r="F40" s="5"/>
      <c r="G40" s="5"/>
      <c r="V40" s="5"/>
      <c r="W40" s="5"/>
      <c r="X40" s="5"/>
      <c r="Y40" s="5"/>
    </row>
    <row r="41" spans="3:25" x14ac:dyDescent="0.3">
      <c r="E41" s="5"/>
      <c r="F41" s="5"/>
      <c r="G41" s="5"/>
      <c r="V41" s="5"/>
      <c r="W41" s="5"/>
      <c r="X41" s="5"/>
      <c r="Y41" s="5"/>
    </row>
    <row r="42" spans="3:25" x14ac:dyDescent="0.3">
      <c r="E42" s="5"/>
      <c r="F42" s="5"/>
      <c r="G42" s="5"/>
      <c r="V42" s="5"/>
      <c r="W42" s="5"/>
      <c r="X42" s="5"/>
      <c r="Y42" s="5"/>
    </row>
    <row r="43" spans="3:25" x14ac:dyDescent="0.3">
      <c r="E43" s="5"/>
      <c r="F43" s="5"/>
      <c r="G43" s="5"/>
    </row>
    <row r="44" spans="3:25" x14ac:dyDescent="0.3">
      <c r="E44" s="5"/>
      <c r="F44" s="5"/>
      <c r="G44" s="5"/>
    </row>
  </sheetData>
  <autoFilter ref="B3:W29" xr:uid="{8E2EE78D-D932-4D76-95D2-A5D346CB60D2}">
    <sortState ref="B4:W29">
      <sortCondition ref="C4:C29"/>
    </sortState>
  </autoFilter>
  <conditionalFormatting sqref="T4:T21">
    <cfRule type="cellIs" dxfId="3" priority="35" operator="lessThan">
      <formula>0</formula>
    </cfRule>
    <cfRule type="cellIs" dxfId="2" priority="36" operator="greaterThan">
      <formula>0</formula>
    </cfRule>
  </conditionalFormatting>
  <conditionalFormatting sqref="T22:T29">
    <cfRule type="cellIs" dxfId="1" priority="1" operator="lessThan">
      <formula>0</formula>
    </cfRule>
    <cfRule type="cellIs" dxfId="0" priority="2" operator="greaterThan">
      <formula>0</formula>
    </cfRule>
  </conditionalFormatting>
  <pageMargins left="0" right="0" top="0" bottom="0" header="0" footer="0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C36F-7999-4686-B690-D60BEBEB9BA1}">
  <dimension ref="A1:J587"/>
  <sheetViews>
    <sheetView workbookViewId="0">
      <selection sqref="A1:XFD1048576"/>
    </sheetView>
  </sheetViews>
  <sheetFormatPr baseColWidth="10" defaultColWidth="11.44140625" defaultRowHeight="13.8" x14ac:dyDescent="0.3"/>
  <cols>
    <col min="1" max="1" width="11.88671875" style="20" bestFit="1" customWidth="1"/>
    <col min="2" max="2" width="12.88671875" style="20" bestFit="1" customWidth="1"/>
    <col min="3" max="3" width="18" style="20" bestFit="1" customWidth="1"/>
    <col min="4" max="4" width="26.109375" style="20" bestFit="1" customWidth="1"/>
    <col min="5" max="5" width="17.88671875" style="20" bestFit="1" customWidth="1"/>
    <col min="6" max="6" width="24.88671875" style="20" bestFit="1" customWidth="1"/>
    <col min="7" max="7" width="17.88671875" style="20" bestFit="1" customWidth="1"/>
    <col min="8" max="8" width="17.33203125" style="20" bestFit="1" customWidth="1"/>
    <col min="9" max="9" width="22.33203125" style="20" bestFit="1" customWidth="1"/>
    <col min="10" max="10" width="23.88671875" style="20" bestFit="1" customWidth="1"/>
    <col min="11" max="16384" width="11.44140625" style="20"/>
  </cols>
  <sheetData>
    <row r="1" spans="1:10" ht="15.6" x14ac:dyDescent="0.3">
      <c r="A1" s="19" t="s">
        <v>330</v>
      </c>
      <c r="B1" s="19" t="s">
        <v>331</v>
      </c>
      <c r="C1" s="19" t="s">
        <v>501</v>
      </c>
      <c r="D1" s="19" t="s">
        <v>520</v>
      </c>
      <c r="E1" s="19" t="s">
        <v>521</v>
      </c>
      <c r="F1" s="19" t="s">
        <v>522</v>
      </c>
      <c r="G1" s="19" t="s">
        <v>523</v>
      </c>
      <c r="H1" s="19" t="s">
        <v>334</v>
      </c>
      <c r="I1" s="19" t="s">
        <v>339</v>
      </c>
      <c r="J1" s="19" t="s">
        <v>340</v>
      </c>
    </row>
    <row r="2" spans="1:10" x14ac:dyDescent="0.3">
      <c r="A2" s="20" t="s">
        <v>775</v>
      </c>
      <c r="B2" s="20" t="s">
        <v>776</v>
      </c>
      <c r="C2" s="20" t="s">
        <v>515</v>
      </c>
      <c r="D2" s="36">
        <v>0</v>
      </c>
      <c r="E2" s="36">
        <v>0</v>
      </c>
      <c r="F2" s="36">
        <v>0</v>
      </c>
      <c r="G2" s="36">
        <v>0</v>
      </c>
      <c r="H2" s="36">
        <v>0</v>
      </c>
      <c r="I2" s="36">
        <v>0</v>
      </c>
      <c r="J2" s="36">
        <v>0</v>
      </c>
    </row>
    <row r="3" spans="1:10" x14ac:dyDescent="0.3">
      <c r="A3" s="20" t="s">
        <v>777</v>
      </c>
      <c r="B3" s="20" t="s">
        <v>778</v>
      </c>
      <c r="C3" s="20" t="s">
        <v>515</v>
      </c>
      <c r="D3" s="36">
        <v>0</v>
      </c>
      <c r="E3" s="36">
        <v>0</v>
      </c>
      <c r="F3" s="36">
        <v>0</v>
      </c>
      <c r="G3" s="36">
        <v>0</v>
      </c>
      <c r="H3" s="36">
        <v>0</v>
      </c>
      <c r="I3" s="36">
        <v>0</v>
      </c>
      <c r="J3" s="36">
        <v>0</v>
      </c>
    </row>
    <row r="4" spans="1:10" x14ac:dyDescent="0.3">
      <c r="A4" s="20" t="s">
        <v>779</v>
      </c>
      <c r="B4" s="20" t="s">
        <v>780</v>
      </c>
      <c r="C4" s="20" t="s">
        <v>515</v>
      </c>
      <c r="D4" s="36">
        <v>0</v>
      </c>
      <c r="E4" s="36">
        <v>0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</row>
    <row r="5" spans="1:10" x14ac:dyDescent="0.3">
      <c r="A5" s="20" t="s">
        <v>781</v>
      </c>
      <c r="B5" s="20" t="s">
        <v>782</v>
      </c>
      <c r="C5" s="20" t="s">
        <v>515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</row>
    <row r="6" spans="1:10" x14ac:dyDescent="0.3">
      <c r="A6" s="20" t="s">
        <v>783</v>
      </c>
      <c r="B6" s="20" t="s">
        <v>784</v>
      </c>
      <c r="C6" s="20" t="s">
        <v>515</v>
      </c>
      <c r="D6" s="36">
        <v>0</v>
      </c>
      <c r="E6" s="36">
        <v>0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</row>
    <row r="7" spans="1:10" x14ac:dyDescent="0.3">
      <c r="A7" s="20" t="s">
        <v>785</v>
      </c>
      <c r="B7" s="20" t="s">
        <v>786</v>
      </c>
      <c r="C7" s="20" t="s">
        <v>515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</row>
    <row r="8" spans="1:10" x14ac:dyDescent="0.3">
      <c r="A8" s="20" t="s">
        <v>787</v>
      </c>
      <c r="B8" s="20" t="s">
        <v>788</v>
      </c>
      <c r="C8" s="20" t="s">
        <v>515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</row>
    <row r="9" spans="1:10" x14ac:dyDescent="0.3">
      <c r="A9" s="20" t="s">
        <v>789</v>
      </c>
      <c r="B9" s="20" t="s">
        <v>790</v>
      </c>
      <c r="C9" s="20" t="s">
        <v>515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</row>
    <row r="10" spans="1:10" x14ac:dyDescent="0.3">
      <c r="A10" s="20" t="s">
        <v>791</v>
      </c>
      <c r="B10" s="20" t="s">
        <v>792</v>
      </c>
      <c r="C10" s="20" t="s">
        <v>515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</row>
    <row r="11" spans="1:10" x14ac:dyDescent="0.3">
      <c r="A11" s="20" t="s">
        <v>793</v>
      </c>
      <c r="B11" s="20" t="s">
        <v>794</v>
      </c>
      <c r="C11" s="20" t="s">
        <v>515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</row>
    <row r="12" spans="1:10" x14ac:dyDescent="0.3">
      <c r="A12" s="20" t="s">
        <v>795</v>
      </c>
      <c r="B12" s="20" t="s">
        <v>796</v>
      </c>
      <c r="C12" s="20" t="s">
        <v>515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</row>
    <row r="13" spans="1:10" x14ac:dyDescent="0.3">
      <c r="A13" s="20" t="s">
        <v>797</v>
      </c>
      <c r="B13" s="20" t="s">
        <v>796</v>
      </c>
      <c r="C13" s="20" t="s">
        <v>515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</row>
    <row r="14" spans="1:10" x14ac:dyDescent="0.3">
      <c r="A14" s="20" t="s">
        <v>798</v>
      </c>
      <c r="B14" s="20" t="s">
        <v>799</v>
      </c>
      <c r="C14" s="20" t="s">
        <v>515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</row>
    <row r="15" spans="1:10" x14ac:dyDescent="0.3">
      <c r="A15" s="20" t="s">
        <v>800</v>
      </c>
      <c r="B15" s="20" t="s">
        <v>801</v>
      </c>
      <c r="C15" s="20" t="s">
        <v>515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</row>
    <row r="16" spans="1:10" x14ac:dyDescent="0.3">
      <c r="A16" s="20" t="s">
        <v>802</v>
      </c>
      <c r="B16" s="20" t="s">
        <v>803</v>
      </c>
      <c r="C16" s="20" t="s">
        <v>515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</row>
    <row r="17" spans="1:10" x14ac:dyDescent="0.3">
      <c r="A17" s="20" t="s">
        <v>804</v>
      </c>
      <c r="B17" s="20" t="s">
        <v>805</v>
      </c>
      <c r="C17" s="20" t="s">
        <v>515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</row>
    <row r="18" spans="1:10" x14ac:dyDescent="0.3">
      <c r="A18" s="20" t="s">
        <v>806</v>
      </c>
      <c r="B18" s="20" t="s">
        <v>807</v>
      </c>
      <c r="C18" s="20" t="s">
        <v>515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</row>
    <row r="19" spans="1:10" x14ac:dyDescent="0.3">
      <c r="A19" s="20" t="s">
        <v>808</v>
      </c>
      <c r="B19" s="20" t="s">
        <v>809</v>
      </c>
      <c r="C19" s="20" t="s">
        <v>515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</row>
    <row r="20" spans="1:10" x14ac:dyDescent="0.3">
      <c r="A20" s="20" t="s">
        <v>810</v>
      </c>
      <c r="B20" s="20" t="s">
        <v>811</v>
      </c>
      <c r="C20" s="20" t="s">
        <v>515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</row>
    <row r="21" spans="1:10" x14ac:dyDescent="0.3">
      <c r="A21" s="20" t="s">
        <v>678</v>
      </c>
      <c r="B21" s="20" t="s">
        <v>62</v>
      </c>
      <c r="C21" s="20" t="s">
        <v>502</v>
      </c>
      <c r="D21" s="36">
        <v>5908</v>
      </c>
      <c r="E21" s="36">
        <v>5908</v>
      </c>
      <c r="F21" s="36">
        <v>4</v>
      </c>
      <c r="G21" s="36">
        <v>4</v>
      </c>
      <c r="H21" s="36">
        <v>5912</v>
      </c>
      <c r="I21" s="36">
        <v>5912</v>
      </c>
      <c r="J21" s="36">
        <v>1</v>
      </c>
    </row>
    <row r="22" spans="1:10" x14ac:dyDescent="0.3">
      <c r="A22" s="20" t="s">
        <v>679</v>
      </c>
      <c r="B22" s="20" t="s">
        <v>63</v>
      </c>
      <c r="C22" s="20" t="s">
        <v>502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1</v>
      </c>
    </row>
    <row r="23" spans="1:10" x14ac:dyDescent="0.3">
      <c r="A23" s="20" t="s">
        <v>680</v>
      </c>
      <c r="B23" s="20" t="s">
        <v>64</v>
      </c>
      <c r="C23" s="20" t="s">
        <v>502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1</v>
      </c>
    </row>
    <row r="24" spans="1:10" x14ac:dyDescent="0.3">
      <c r="A24" s="20" t="s">
        <v>681</v>
      </c>
      <c r="B24" s="20" t="s">
        <v>65</v>
      </c>
      <c r="C24" s="20" t="s">
        <v>503</v>
      </c>
      <c r="D24" s="36">
        <v>115</v>
      </c>
      <c r="E24" s="36">
        <v>115</v>
      </c>
      <c r="F24" s="36">
        <v>85</v>
      </c>
      <c r="G24" s="36">
        <v>85</v>
      </c>
      <c r="H24" s="36">
        <v>200</v>
      </c>
      <c r="I24" s="36">
        <v>200</v>
      </c>
      <c r="J24" s="36">
        <v>0</v>
      </c>
    </row>
    <row r="25" spans="1:10" x14ac:dyDescent="0.3">
      <c r="A25" s="20" t="s">
        <v>682</v>
      </c>
      <c r="B25" s="20" t="s">
        <v>66</v>
      </c>
      <c r="C25" s="20" t="s">
        <v>502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1</v>
      </c>
    </row>
    <row r="26" spans="1:10" x14ac:dyDescent="0.3">
      <c r="A26" s="20" t="s">
        <v>683</v>
      </c>
      <c r="B26" s="20" t="s">
        <v>66</v>
      </c>
      <c r="C26" s="20" t="s">
        <v>502</v>
      </c>
      <c r="D26" s="36">
        <v>0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1</v>
      </c>
    </row>
    <row r="27" spans="1:10" x14ac:dyDescent="0.3">
      <c r="A27" s="20" t="s">
        <v>684</v>
      </c>
      <c r="B27" s="20" t="s">
        <v>67</v>
      </c>
      <c r="C27" s="20" t="s">
        <v>504</v>
      </c>
      <c r="D27" s="36">
        <v>350</v>
      </c>
      <c r="E27" s="36">
        <v>350</v>
      </c>
      <c r="F27" s="36">
        <v>2</v>
      </c>
      <c r="G27" s="36">
        <v>2</v>
      </c>
      <c r="H27" s="36">
        <v>352</v>
      </c>
      <c r="I27" s="36">
        <v>352</v>
      </c>
      <c r="J27" s="36">
        <v>0</v>
      </c>
    </row>
    <row r="28" spans="1:10" x14ac:dyDescent="0.3">
      <c r="A28" s="20" t="s">
        <v>685</v>
      </c>
      <c r="B28" s="20" t="s">
        <v>68</v>
      </c>
      <c r="C28" s="20" t="s">
        <v>503</v>
      </c>
      <c r="D28" s="36">
        <v>845</v>
      </c>
      <c r="E28" s="36">
        <v>845</v>
      </c>
      <c r="F28" s="36">
        <v>86</v>
      </c>
      <c r="G28" s="36">
        <v>86</v>
      </c>
      <c r="H28" s="36">
        <v>931</v>
      </c>
      <c r="I28" s="36">
        <v>931</v>
      </c>
      <c r="J28" s="36">
        <v>0</v>
      </c>
    </row>
    <row r="29" spans="1:10" x14ac:dyDescent="0.3">
      <c r="A29" s="20" t="s">
        <v>686</v>
      </c>
      <c r="B29" s="20" t="s">
        <v>69</v>
      </c>
      <c r="C29" s="20" t="s">
        <v>504</v>
      </c>
      <c r="D29" s="36">
        <v>6506</v>
      </c>
      <c r="E29" s="36">
        <v>6506</v>
      </c>
      <c r="F29" s="36">
        <v>54</v>
      </c>
      <c r="G29" s="36">
        <v>54</v>
      </c>
      <c r="H29" s="36">
        <v>6560</v>
      </c>
      <c r="I29" s="36">
        <v>6560</v>
      </c>
      <c r="J29" s="36">
        <v>0</v>
      </c>
    </row>
    <row r="30" spans="1:10" x14ac:dyDescent="0.3">
      <c r="A30" s="20" t="s">
        <v>687</v>
      </c>
      <c r="B30" s="20" t="s">
        <v>70</v>
      </c>
      <c r="C30" s="20" t="s">
        <v>503</v>
      </c>
      <c r="D30" s="36">
        <v>312</v>
      </c>
      <c r="E30" s="36">
        <v>312</v>
      </c>
      <c r="F30" s="36">
        <v>0</v>
      </c>
      <c r="G30" s="36">
        <v>0</v>
      </c>
      <c r="H30" s="36">
        <v>312</v>
      </c>
      <c r="I30" s="36">
        <v>312</v>
      </c>
      <c r="J30" s="36">
        <v>0</v>
      </c>
    </row>
    <row r="31" spans="1:10" x14ac:dyDescent="0.3">
      <c r="A31" s="20" t="s">
        <v>688</v>
      </c>
      <c r="B31" s="20" t="s">
        <v>71</v>
      </c>
      <c r="C31" s="20" t="s">
        <v>504</v>
      </c>
      <c r="D31" s="36">
        <v>4062</v>
      </c>
      <c r="E31" s="36">
        <v>4062</v>
      </c>
      <c r="F31" s="36">
        <v>94</v>
      </c>
      <c r="G31" s="36">
        <v>94</v>
      </c>
      <c r="H31" s="36">
        <v>4156</v>
      </c>
      <c r="I31" s="36">
        <v>4156</v>
      </c>
      <c r="J31" s="36">
        <v>0</v>
      </c>
    </row>
    <row r="32" spans="1:10" x14ac:dyDescent="0.3">
      <c r="A32" s="20" t="s">
        <v>689</v>
      </c>
      <c r="B32" s="20" t="s">
        <v>72</v>
      </c>
      <c r="C32" s="20" t="s">
        <v>504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</row>
    <row r="33" spans="1:10" x14ac:dyDescent="0.3">
      <c r="A33" s="20" t="s">
        <v>690</v>
      </c>
      <c r="B33" s="20" t="s">
        <v>73</v>
      </c>
      <c r="C33" s="20" t="s">
        <v>502</v>
      </c>
      <c r="D33" s="36">
        <v>832</v>
      </c>
      <c r="E33" s="36">
        <v>832</v>
      </c>
      <c r="F33" s="36">
        <v>0</v>
      </c>
      <c r="G33" s="36">
        <v>0</v>
      </c>
      <c r="H33" s="36">
        <v>832</v>
      </c>
      <c r="I33" s="36">
        <v>832</v>
      </c>
      <c r="J33" s="36">
        <v>1</v>
      </c>
    </row>
    <row r="34" spans="1:10" x14ac:dyDescent="0.3">
      <c r="A34" s="20" t="s">
        <v>691</v>
      </c>
      <c r="B34" s="20" t="s">
        <v>74</v>
      </c>
      <c r="C34" s="20" t="s">
        <v>502</v>
      </c>
      <c r="D34" s="36">
        <v>18633</v>
      </c>
      <c r="E34" s="36">
        <v>18633</v>
      </c>
      <c r="F34" s="36">
        <v>0</v>
      </c>
      <c r="G34" s="36">
        <v>0</v>
      </c>
      <c r="H34" s="36">
        <v>18633</v>
      </c>
      <c r="I34" s="36">
        <v>18633</v>
      </c>
      <c r="J34" s="36">
        <v>1</v>
      </c>
    </row>
    <row r="35" spans="1:10" x14ac:dyDescent="0.3">
      <c r="A35" s="20" t="s">
        <v>692</v>
      </c>
      <c r="B35" s="20" t="s">
        <v>75</v>
      </c>
      <c r="C35" s="20" t="s">
        <v>503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</row>
    <row r="36" spans="1:10" x14ac:dyDescent="0.3">
      <c r="A36" s="20" t="s">
        <v>693</v>
      </c>
      <c r="B36" s="20" t="s">
        <v>76</v>
      </c>
      <c r="C36" s="20" t="s">
        <v>504</v>
      </c>
      <c r="D36" s="36">
        <v>0</v>
      </c>
      <c r="E36" s="36">
        <v>0</v>
      </c>
      <c r="F36" s="36">
        <v>1</v>
      </c>
      <c r="G36" s="36">
        <v>1</v>
      </c>
      <c r="H36" s="36">
        <v>1</v>
      </c>
      <c r="I36" s="36">
        <v>1</v>
      </c>
      <c r="J36" s="36">
        <v>0</v>
      </c>
    </row>
    <row r="37" spans="1:10" x14ac:dyDescent="0.3">
      <c r="A37" s="20" t="s">
        <v>694</v>
      </c>
      <c r="B37" s="20" t="s">
        <v>77</v>
      </c>
      <c r="C37" s="20" t="s">
        <v>502</v>
      </c>
      <c r="D37" s="36">
        <v>2</v>
      </c>
      <c r="E37" s="36">
        <v>2</v>
      </c>
      <c r="F37" s="36">
        <v>0</v>
      </c>
      <c r="G37" s="36">
        <v>0</v>
      </c>
      <c r="H37" s="36">
        <v>2</v>
      </c>
      <c r="I37" s="36">
        <v>2</v>
      </c>
      <c r="J37" s="36">
        <v>1</v>
      </c>
    </row>
    <row r="38" spans="1:10" x14ac:dyDescent="0.3">
      <c r="A38" s="20" t="s">
        <v>695</v>
      </c>
      <c r="B38" s="20" t="s">
        <v>78</v>
      </c>
      <c r="C38" s="20" t="s">
        <v>502</v>
      </c>
      <c r="D38" s="36">
        <v>6</v>
      </c>
      <c r="E38" s="36">
        <v>6</v>
      </c>
      <c r="F38" s="36">
        <v>1</v>
      </c>
      <c r="G38" s="36">
        <v>1</v>
      </c>
      <c r="H38" s="36">
        <v>7</v>
      </c>
      <c r="I38" s="36">
        <v>7</v>
      </c>
      <c r="J38" s="36">
        <v>1</v>
      </c>
    </row>
    <row r="39" spans="1:10" x14ac:dyDescent="0.3">
      <c r="A39" s="20" t="s">
        <v>696</v>
      </c>
      <c r="B39" s="20" t="s">
        <v>79</v>
      </c>
      <c r="C39" s="20" t="s">
        <v>504</v>
      </c>
      <c r="D39" s="36">
        <v>99</v>
      </c>
      <c r="E39" s="36">
        <v>99</v>
      </c>
      <c r="F39" s="36">
        <v>4</v>
      </c>
      <c r="G39" s="36">
        <v>4</v>
      </c>
      <c r="H39" s="36">
        <v>103</v>
      </c>
      <c r="I39" s="36">
        <v>103</v>
      </c>
      <c r="J39" s="36">
        <v>0</v>
      </c>
    </row>
    <row r="40" spans="1:10" x14ac:dyDescent="0.3">
      <c r="A40" s="20" t="s">
        <v>697</v>
      </c>
      <c r="B40" s="20" t="s">
        <v>80</v>
      </c>
      <c r="C40" s="20" t="s">
        <v>504</v>
      </c>
      <c r="D40" s="36">
        <v>0</v>
      </c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</row>
    <row r="41" spans="1:10" x14ac:dyDescent="0.3">
      <c r="A41" s="20" t="s">
        <v>698</v>
      </c>
      <c r="B41" s="20" t="s">
        <v>81</v>
      </c>
      <c r="C41" s="20" t="s">
        <v>504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</row>
    <row r="42" spans="1:10" x14ac:dyDescent="0.3">
      <c r="A42" s="20" t="s">
        <v>699</v>
      </c>
      <c r="B42" s="20" t="s">
        <v>82</v>
      </c>
      <c r="C42" s="20" t="s">
        <v>503</v>
      </c>
      <c r="D42" s="36">
        <v>0</v>
      </c>
      <c r="E42" s="36">
        <v>0</v>
      </c>
      <c r="F42" s="36">
        <v>0</v>
      </c>
      <c r="G42" s="36">
        <v>0</v>
      </c>
      <c r="H42" s="36">
        <v>0</v>
      </c>
      <c r="I42" s="36">
        <v>0</v>
      </c>
      <c r="J42" s="36">
        <v>0</v>
      </c>
    </row>
    <row r="43" spans="1:10" x14ac:dyDescent="0.3">
      <c r="A43" s="20" t="s">
        <v>700</v>
      </c>
      <c r="B43" s="20" t="s">
        <v>83</v>
      </c>
      <c r="C43" s="20" t="s">
        <v>503</v>
      </c>
      <c r="D43" s="36">
        <v>0</v>
      </c>
      <c r="E43" s="36">
        <v>0</v>
      </c>
      <c r="F43" s="36">
        <v>0</v>
      </c>
      <c r="G43" s="36">
        <v>0</v>
      </c>
      <c r="H43" s="36">
        <v>0</v>
      </c>
      <c r="I43" s="36">
        <v>0</v>
      </c>
      <c r="J43" s="36">
        <v>0</v>
      </c>
    </row>
    <row r="44" spans="1:10" x14ac:dyDescent="0.3">
      <c r="A44" s="20" t="s">
        <v>701</v>
      </c>
      <c r="B44" s="20" t="s">
        <v>84</v>
      </c>
      <c r="C44" s="20" t="s">
        <v>504</v>
      </c>
      <c r="D44" s="36">
        <v>0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</row>
    <row r="45" spans="1:10" x14ac:dyDescent="0.3">
      <c r="A45" s="20" t="s">
        <v>702</v>
      </c>
      <c r="B45" s="20" t="s">
        <v>85</v>
      </c>
      <c r="C45" s="20" t="s">
        <v>505</v>
      </c>
      <c r="D45" s="36">
        <v>89391.51</v>
      </c>
      <c r="E45" s="36">
        <v>89391.51</v>
      </c>
      <c r="F45" s="36">
        <v>0</v>
      </c>
      <c r="G45" s="36">
        <v>0</v>
      </c>
      <c r="H45" s="36">
        <v>89391.51</v>
      </c>
      <c r="I45" s="36">
        <v>89391.51</v>
      </c>
      <c r="J45" s="36">
        <v>0</v>
      </c>
    </row>
    <row r="46" spans="1:10" x14ac:dyDescent="0.3">
      <c r="A46" s="20" t="s">
        <v>703</v>
      </c>
      <c r="B46" s="20" t="s">
        <v>86</v>
      </c>
      <c r="C46" s="20" t="s">
        <v>503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</row>
    <row r="47" spans="1:10" x14ac:dyDescent="0.3">
      <c r="A47" s="20" t="s">
        <v>704</v>
      </c>
      <c r="B47" s="20" t="s">
        <v>527</v>
      </c>
      <c r="C47" s="20" t="s">
        <v>503</v>
      </c>
      <c r="D47" s="36">
        <v>92</v>
      </c>
      <c r="E47" s="36">
        <v>92</v>
      </c>
      <c r="F47" s="36">
        <v>2</v>
      </c>
      <c r="G47" s="36">
        <v>2</v>
      </c>
      <c r="H47" s="36">
        <v>94</v>
      </c>
      <c r="I47" s="36">
        <v>94</v>
      </c>
      <c r="J47" s="36">
        <v>0</v>
      </c>
    </row>
    <row r="48" spans="1:10" x14ac:dyDescent="0.3">
      <c r="A48" s="20" t="s">
        <v>705</v>
      </c>
      <c r="B48" s="20" t="s">
        <v>87</v>
      </c>
      <c r="C48" s="20" t="s">
        <v>503</v>
      </c>
      <c r="D48" s="36">
        <v>0</v>
      </c>
      <c r="E48" s="36">
        <v>0</v>
      </c>
      <c r="F48" s="36">
        <v>1</v>
      </c>
      <c r="G48" s="36">
        <v>1</v>
      </c>
      <c r="H48" s="36">
        <v>1</v>
      </c>
      <c r="I48" s="36">
        <v>1</v>
      </c>
      <c r="J48" s="36">
        <v>0</v>
      </c>
    </row>
    <row r="49" spans="1:10" x14ac:dyDescent="0.3">
      <c r="A49" s="20" t="s">
        <v>706</v>
      </c>
      <c r="B49" s="20" t="s">
        <v>88</v>
      </c>
      <c r="C49" s="20" t="s">
        <v>504</v>
      </c>
      <c r="D49" s="36">
        <v>1451</v>
      </c>
      <c r="E49" s="36">
        <v>1451</v>
      </c>
      <c r="F49" s="36">
        <v>56</v>
      </c>
      <c r="G49" s="36">
        <v>56</v>
      </c>
      <c r="H49" s="36">
        <v>1507</v>
      </c>
      <c r="I49" s="36">
        <v>1507</v>
      </c>
      <c r="J49" s="36">
        <v>0</v>
      </c>
    </row>
    <row r="50" spans="1:10" x14ac:dyDescent="0.3">
      <c r="A50" s="20" t="s">
        <v>707</v>
      </c>
      <c r="B50" s="20" t="s">
        <v>89</v>
      </c>
      <c r="C50" s="20" t="s">
        <v>504</v>
      </c>
      <c r="D50" s="36">
        <v>358</v>
      </c>
      <c r="E50" s="36">
        <v>358</v>
      </c>
      <c r="F50" s="36">
        <v>114</v>
      </c>
      <c r="G50" s="36">
        <v>114</v>
      </c>
      <c r="H50" s="36">
        <v>472</v>
      </c>
      <c r="I50" s="36">
        <v>472</v>
      </c>
      <c r="J50" s="36">
        <v>0</v>
      </c>
    </row>
    <row r="51" spans="1:10" x14ac:dyDescent="0.3">
      <c r="A51" s="20" t="s">
        <v>708</v>
      </c>
      <c r="B51" s="20" t="s">
        <v>90</v>
      </c>
      <c r="C51" s="20" t="s">
        <v>503</v>
      </c>
      <c r="D51" s="36">
        <v>95</v>
      </c>
      <c r="E51" s="36">
        <v>95</v>
      </c>
      <c r="F51" s="36">
        <v>0</v>
      </c>
      <c r="G51" s="36">
        <v>0</v>
      </c>
      <c r="H51" s="36">
        <v>95</v>
      </c>
      <c r="I51" s="36">
        <v>95</v>
      </c>
      <c r="J51" s="36">
        <v>0</v>
      </c>
    </row>
    <row r="52" spans="1:10" x14ac:dyDescent="0.3">
      <c r="A52" s="20" t="s">
        <v>709</v>
      </c>
      <c r="B52" s="20" t="s">
        <v>91</v>
      </c>
      <c r="C52" s="20" t="s">
        <v>504</v>
      </c>
      <c r="D52" s="36">
        <v>395</v>
      </c>
      <c r="E52" s="36">
        <v>395</v>
      </c>
      <c r="F52" s="36">
        <v>0</v>
      </c>
      <c r="G52" s="36">
        <v>0</v>
      </c>
      <c r="H52" s="36">
        <v>395</v>
      </c>
      <c r="I52" s="36">
        <v>395</v>
      </c>
      <c r="J52" s="36">
        <v>0</v>
      </c>
    </row>
    <row r="53" spans="1:10" x14ac:dyDescent="0.3">
      <c r="A53" s="20" t="s">
        <v>710</v>
      </c>
      <c r="B53" s="20" t="s">
        <v>506</v>
      </c>
      <c r="C53" s="20" t="s">
        <v>504</v>
      </c>
      <c r="D53" s="36">
        <v>25</v>
      </c>
      <c r="E53" s="36">
        <v>25</v>
      </c>
      <c r="F53" s="36">
        <v>0</v>
      </c>
      <c r="G53" s="36">
        <v>0</v>
      </c>
      <c r="H53" s="36">
        <v>25</v>
      </c>
      <c r="I53" s="36">
        <v>25</v>
      </c>
      <c r="J53" s="36">
        <v>0</v>
      </c>
    </row>
    <row r="54" spans="1:10" x14ac:dyDescent="0.3">
      <c r="A54" s="20" t="s">
        <v>711</v>
      </c>
      <c r="B54" s="20" t="s">
        <v>92</v>
      </c>
      <c r="C54" s="20" t="s">
        <v>504</v>
      </c>
      <c r="D54" s="36">
        <v>6231</v>
      </c>
      <c r="E54" s="36">
        <v>6231</v>
      </c>
      <c r="F54" s="36">
        <v>1</v>
      </c>
      <c r="G54" s="36">
        <v>1</v>
      </c>
      <c r="H54" s="36">
        <v>6232</v>
      </c>
      <c r="I54" s="36">
        <v>6232</v>
      </c>
      <c r="J54" s="36">
        <v>0</v>
      </c>
    </row>
    <row r="55" spans="1:10" x14ac:dyDescent="0.3">
      <c r="A55" s="20" t="s">
        <v>712</v>
      </c>
      <c r="B55" s="20" t="s">
        <v>93</v>
      </c>
      <c r="C55" s="20" t="s">
        <v>503</v>
      </c>
      <c r="D55" s="36">
        <v>304</v>
      </c>
      <c r="E55" s="36">
        <v>304</v>
      </c>
      <c r="F55" s="36">
        <v>45</v>
      </c>
      <c r="G55" s="36">
        <v>45</v>
      </c>
      <c r="H55" s="36">
        <v>349</v>
      </c>
      <c r="I55" s="36">
        <v>349</v>
      </c>
      <c r="J55" s="36">
        <v>0</v>
      </c>
    </row>
    <row r="56" spans="1:10" x14ac:dyDescent="0.3">
      <c r="A56" s="20" t="s">
        <v>713</v>
      </c>
      <c r="B56" s="20" t="s">
        <v>94</v>
      </c>
      <c r="C56" s="20" t="s">
        <v>504</v>
      </c>
      <c r="D56" s="36">
        <v>0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</row>
    <row r="57" spans="1:10" x14ac:dyDescent="0.3">
      <c r="A57" s="20" t="s">
        <v>714</v>
      </c>
      <c r="B57" s="20" t="s">
        <v>95</v>
      </c>
      <c r="C57" s="20" t="s">
        <v>503</v>
      </c>
      <c r="D57" s="36">
        <v>0</v>
      </c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</row>
    <row r="58" spans="1:10" x14ac:dyDescent="0.3">
      <c r="A58" s="20" t="s">
        <v>715</v>
      </c>
      <c r="B58" s="20" t="s">
        <v>96</v>
      </c>
      <c r="C58" s="20" t="s">
        <v>503</v>
      </c>
      <c r="D58" s="36">
        <v>21</v>
      </c>
      <c r="E58" s="36">
        <v>21</v>
      </c>
      <c r="F58" s="36">
        <v>1</v>
      </c>
      <c r="G58" s="36">
        <v>1</v>
      </c>
      <c r="H58" s="36">
        <v>22</v>
      </c>
      <c r="I58" s="36">
        <v>22</v>
      </c>
      <c r="J58" s="36">
        <v>0</v>
      </c>
    </row>
    <row r="59" spans="1:10" x14ac:dyDescent="0.3">
      <c r="A59" s="20" t="s">
        <v>716</v>
      </c>
      <c r="B59" s="20" t="s">
        <v>97</v>
      </c>
      <c r="C59" s="20" t="s">
        <v>504</v>
      </c>
      <c r="D59" s="36">
        <v>0</v>
      </c>
      <c r="E59" s="36">
        <v>0</v>
      </c>
      <c r="F59" s="36">
        <v>1</v>
      </c>
      <c r="G59" s="36">
        <v>1</v>
      </c>
      <c r="H59" s="36">
        <v>1</v>
      </c>
      <c r="I59" s="36">
        <v>1</v>
      </c>
      <c r="J59" s="36">
        <v>0</v>
      </c>
    </row>
    <row r="60" spans="1:10" x14ac:dyDescent="0.3">
      <c r="A60" s="20" t="s">
        <v>717</v>
      </c>
      <c r="B60" s="20" t="s">
        <v>98</v>
      </c>
      <c r="C60" s="20" t="s">
        <v>503</v>
      </c>
      <c r="D60" s="36">
        <v>20</v>
      </c>
      <c r="E60" s="36">
        <v>20</v>
      </c>
      <c r="F60" s="36">
        <v>4</v>
      </c>
      <c r="G60" s="36">
        <v>4</v>
      </c>
      <c r="H60" s="36">
        <v>24</v>
      </c>
      <c r="I60" s="36">
        <v>24</v>
      </c>
      <c r="J60" s="36">
        <v>0</v>
      </c>
    </row>
    <row r="61" spans="1:10" x14ac:dyDescent="0.3">
      <c r="A61" s="20" t="s">
        <v>718</v>
      </c>
      <c r="B61" s="20" t="s">
        <v>507</v>
      </c>
      <c r="C61" s="20" t="s">
        <v>503</v>
      </c>
      <c r="D61" s="36">
        <v>58</v>
      </c>
      <c r="E61" s="36">
        <v>58</v>
      </c>
      <c r="F61" s="36">
        <v>1</v>
      </c>
      <c r="G61" s="36">
        <v>1</v>
      </c>
      <c r="H61" s="36">
        <v>59</v>
      </c>
      <c r="I61" s="36">
        <v>59</v>
      </c>
      <c r="J61" s="36">
        <v>0</v>
      </c>
    </row>
    <row r="62" spans="1:10" x14ac:dyDescent="0.3">
      <c r="A62" s="20" t="s">
        <v>719</v>
      </c>
      <c r="B62" s="20" t="s">
        <v>99</v>
      </c>
      <c r="C62" s="20" t="s">
        <v>503</v>
      </c>
      <c r="D62" s="36">
        <v>28</v>
      </c>
      <c r="E62" s="36">
        <v>28</v>
      </c>
      <c r="F62" s="36">
        <v>0</v>
      </c>
      <c r="G62" s="36">
        <v>0</v>
      </c>
      <c r="H62" s="36">
        <v>28</v>
      </c>
      <c r="I62" s="36">
        <v>28</v>
      </c>
      <c r="J62" s="36">
        <v>0</v>
      </c>
    </row>
    <row r="63" spans="1:10" x14ac:dyDescent="0.3">
      <c r="A63" s="20" t="s">
        <v>720</v>
      </c>
      <c r="B63" s="20" t="s">
        <v>508</v>
      </c>
      <c r="C63" s="20" t="s">
        <v>503</v>
      </c>
      <c r="D63" s="36">
        <v>0</v>
      </c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</row>
    <row r="64" spans="1:10" x14ac:dyDescent="0.3">
      <c r="A64" s="20" t="s">
        <v>721</v>
      </c>
      <c r="B64" s="20" t="s">
        <v>100</v>
      </c>
      <c r="C64" s="20" t="s">
        <v>504</v>
      </c>
      <c r="D64" s="36">
        <v>426</v>
      </c>
      <c r="E64" s="36">
        <v>426</v>
      </c>
      <c r="F64" s="36">
        <v>9</v>
      </c>
      <c r="G64" s="36">
        <v>9</v>
      </c>
      <c r="H64" s="36">
        <v>435</v>
      </c>
      <c r="I64" s="36">
        <v>435</v>
      </c>
      <c r="J64" s="36">
        <v>0</v>
      </c>
    </row>
    <row r="65" spans="1:10" x14ac:dyDescent="0.3">
      <c r="A65" s="20" t="s">
        <v>722</v>
      </c>
      <c r="B65" s="20" t="s">
        <v>101</v>
      </c>
      <c r="C65" s="20" t="s">
        <v>502</v>
      </c>
      <c r="D65" s="36">
        <v>0</v>
      </c>
      <c r="E65" s="36">
        <v>0</v>
      </c>
      <c r="F65" s="36">
        <v>73</v>
      </c>
      <c r="G65" s="36">
        <v>73</v>
      </c>
      <c r="H65" s="36">
        <v>73</v>
      </c>
      <c r="I65" s="36">
        <v>73</v>
      </c>
      <c r="J65" s="36">
        <v>1</v>
      </c>
    </row>
    <row r="66" spans="1:10" x14ac:dyDescent="0.3">
      <c r="A66" s="20" t="s">
        <v>723</v>
      </c>
      <c r="B66" s="20" t="s">
        <v>509</v>
      </c>
      <c r="C66" s="20" t="s">
        <v>503</v>
      </c>
      <c r="D66" s="36">
        <v>2</v>
      </c>
      <c r="E66" s="36">
        <v>2</v>
      </c>
      <c r="F66" s="36">
        <v>0</v>
      </c>
      <c r="G66" s="36">
        <v>0</v>
      </c>
      <c r="H66" s="36">
        <v>2</v>
      </c>
      <c r="I66" s="36">
        <v>2</v>
      </c>
      <c r="J66" s="36">
        <v>0</v>
      </c>
    </row>
    <row r="67" spans="1:10" x14ac:dyDescent="0.3">
      <c r="A67" s="20" t="s">
        <v>724</v>
      </c>
      <c r="B67" s="20" t="s">
        <v>102</v>
      </c>
      <c r="C67" s="20" t="s">
        <v>503</v>
      </c>
      <c r="D67" s="36">
        <v>0</v>
      </c>
      <c r="E67" s="36">
        <v>0</v>
      </c>
      <c r="F67" s="36">
        <v>8</v>
      </c>
      <c r="G67" s="36">
        <v>8</v>
      </c>
      <c r="H67" s="36">
        <v>8</v>
      </c>
      <c r="I67" s="36">
        <v>8</v>
      </c>
      <c r="J67" s="36">
        <v>0</v>
      </c>
    </row>
    <row r="68" spans="1:10" x14ac:dyDescent="0.3">
      <c r="A68" s="20" t="s">
        <v>725</v>
      </c>
      <c r="B68" s="20" t="s">
        <v>103</v>
      </c>
      <c r="C68" s="20" t="s">
        <v>503</v>
      </c>
      <c r="D68" s="36">
        <v>40</v>
      </c>
      <c r="E68" s="36">
        <v>40</v>
      </c>
      <c r="F68" s="36">
        <v>0</v>
      </c>
      <c r="G68" s="36">
        <v>0</v>
      </c>
      <c r="H68" s="36">
        <v>40</v>
      </c>
      <c r="I68" s="36">
        <v>40</v>
      </c>
      <c r="J68" s="36">
        <v>0</v>
      </c>
    </row>
    <row r="69" spans="1:10" x14ac:dyDescent="0.3">
      <c r="A69" s="20" t="s">
        <v>726</v>
      </c>
      <c r="B69" s="20" t="s">
        <v>104</v>
      </c>
      <c r="C69" s="20" t="s">
        <v>503</v>
      </c>
      <c r="D69" s="36">
        <v>25</v>
      </c>
      <c r="E69" s="36">
        <v>25</v>
      </c>
      <c r="F69" s="36">
        <v>1</v>
      </c>
      <c r="G69" s="36">
        <v>1</v>
      </c>
      <c r="H69" s="36">
        <v>26</v>
      </c>
      <c r="I69" s="36">
        <v>26</v>
      </c>
      <c r="J69" s="36">
        <v>0</v>
      </c>
    </row>
    <row r="70" spans="1:10" x14ac:dyDescent="0.3">
      <c r="A70" s="20" t="s">
        <v>727</v>
      </c>
      <c r="B70" s="20" t="s">
        <v>105</v>
      </c>
      <c r="C70" s="20" t="s">
        <v>503</v>
      </c>
      <c r="D70" s="36">
        <v>79</v>
      </c>
      <c r="E70" s="36">
        <v>79</v>
      </c>
      <c r="F70" s="36">
        <v>5</v>
      </c>
      <c r="G70" s="36">
        <v>5</v>
      </c>
      <c r="H70" s="36">
        <v>84</v>
      </c>
      <c r="I70" s="36">
        <v>84</v>
      </c>
      <c r="J70" s="36">
        <v>0</v>
      </c>
    </row>
    <row r="71" spans="1:10" x14ac:dyDescent="0.3">
      <c r="A71" s="20" t="s">
        <v>728</v>
      </c>
      <c r="B71" s="20" t="s">
        <v>68</v>
      </c>
      <c r="C71" s="20" t="s">
        <v>503</v>
      </c>
      <c r="D71" s="36">
        <v>0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</row>
    <row r="72" spans="1:10" x14ac:dyDescent="0.3">
      <c r="A72" s="20" t="s">
        <v>729</v>
      </c>
      <c r="B72" s="20" t="s">
        <v>106</v>
      </c>
      <c r="C72" s="20" t="s">
        <v>503</v>
      </c>
      <c r="D72" s="36">
        <v>98</v>
      </c>
      <c r="E72" s="36">
        <v>98</v>
      </c>
      <c r="F72" s="36">
        <v>1</v>
      </c>
      <c r="G72" s="36">
        <v>1</v>
      </c>
      <c r="H72" s="36">
        <v>99</v>
      </c>
      <c r="I72" s="36">
        <v>99</v>
      </c>
      <c r="J72" s="36">
        <v>0</v>
      </c>
    </row>
    <row r="73" spans="1:10" x14ac:dyDescent="0.3">
      <c r="A73" s="20" t="s">
        <v>730</v>
      </c>
      <c r="B73" s="20" t="s">
        <v>499</v>
      </c>
      <c r="C73" s="20" t="s">
        <v>503</v>
      </c>
      <c r="D73" s="36">
        <v>991</v>
      </c>
      <c r="E73" s="36">
        <v>991</v>
      </c>
      <c r="F73" s="36">
        <v>2</v>
      </c>
      <c r="G73" s="36">
        <v>2</v>
      </c>
      <c r="H73" s="36">
        <v>993</v>
      </c>
      <c r="I73" s="36">
        <v>993</v>
      </c>
      <c r="J73" s="36">
        <v>0</v>
      </c>
    </row>
    <row r="74" spans="1:10" x14ac:dyDescent="0.3">
      <c r="A74" s="20" t="s">
        <v>731</v>
      </c>
      <c r="B74" s="20" t="s">
        <v>107</v>
      </c>
      <c r="C74" s="20" t="s">
        <v>504</v>
      </c>
      <c r="D74" s="36">
        <v>184</v>
      </c>
      <c r="E74" s="36">
        <v>184</v>
      </c>
      <c r="F74" s="36">
        <v>1</v>
      </c>
      <c r="G74" s="36">
        <v>1</v>
      </c>
      <c r="H74" s="36">
        <v>185</v>
      </c>
      <c r="I74" s="36">
        <v>185</v>
      </c>
      <c r="J74" s="36">
        <v>0</v>
      </c>
    </row>
    <row r="75" spans="1:10" x14ac:dyDescent="0.3">
      <c r="A75" s="20" t="s">
        <v>732</v>
      </c>
      <c r="B75" s="20" t="s">
        <v>108</v>
      </c>
      <c r="C75" s="20" t="s">
        <v>502</v>
      </c>
      <c r="D75" s="36">
        <v>8</v>
      </c>
      <c r="E75" s="36">
        <v>8</v>
      </c>
      <c r="F75" s="36">
        <v>0</v>
      </c>
      <c r="G75" s="36">
        <v>0</v>
      </c>
      <c r="H75" s="36">
        <v>8</v>
      </c>
      <c r="I75" s="36">
        <v>8</v>
      </c>
      <c r="J75" s="36">
        <v>1</v>
      </c>
    </row>
    <row r="76" spans="1:10" x14ac:dyDescent="0.3">
      <c r="A76" s="20" t="s">
        <v>733</v>
      </c>
      <c r="B76" s="20" t="s">
        <v>109</v>
      </c>
      <c r="C76" s="20" t="s">
        <v>502</v>
      </c>
      <c r="D76" s="36">
        <v>3</v>
      </c>
      <c r="E76" s="36">
        <v>3</v>
      </c>
      <c r="F76" s="36">
        <v>0</v>
      </c>
      <c r="G76" s="36">
        <v>0</v>
      </c>
      <c r="H76" s="36">
        <v>3</v>
      </c>
      <c r="I76" s="36">
        <v>3</v>
      </c>
      <c r="J76" s="36">
        <v>1</v>
      </c>
    </row>
    <row r="77" spans="1:10" x14ac:dyDescent="0.3">
      <c r="A77" s="20" t="s">
        <v>734</v>
      </c>
      <c r="B77" s="20" t="s">
        <v>447</v>
      </c>
      <c r="C77" s="20" t="s">
        <v>502</v>
      </c>
      <c r="D77" s="36">
        <v>5660</v>
      </c>
      <c r="E77" s="36">
        <v>5660</v>
      </c>
      <c r="F77" s="36">
        <v>1</v>
      </c>
      <c r="G77" s="36">
        <v>1</v>
      </c>
      <c r="H77" s="36">
        <v>5661</v>
      </c>
      <c r="I77" s="36">
        <v>5661</v>
      </c>
      <c r="J77" s="36">
        <v>1</v>
      </c>
    </row>
    <row r="78" spans="1:10" x14ac:dyDescent="0.3">
      <c r="A78" s="20" t="s">
        <v>735</v>
      </c>
      <c r="B78" s="20" t="s">
        <v>110</v>
      </c>
      <c r="C78" s="20" t="s">
        <v>502</v>
      </c>
      <c r="D78" s="36">
        <v>9663</v>
      </c>
      <c r="E78" s="36">
        <v>9663</v>
      </c>
      <c r="F78" s="36">
        <v>7</v>
      </c>
      <c r="G78" s="36">
        <v>7</v>
      </c>
      <c r="H78" s="36">
        <v>9670</v>
      </c>
      <c r="I78" s="36">
        <v>9670</v>
      </c>
      <c r="J78" s="36">
        <v>1</v>
      </c>
    </row>
    <row r="79" spans="1:10" x14ac:dyDescent="0.3">
      <c r="A79" s="20" t="s">
        <v>736</v>
      </c>
      <c r="B79" s="20" t="s">
        <v>111</v>
      </c>
      <c r="C79" s="20" t="s">
        <v>502</v>
      </c>
      <c r="D79" s="36">
        <v>55515</v>
      </c>
      <c r="E79" s="36">
        <v>55515</v>
      </c>
      <c r="F79" s="36">
        <v>4</v>
      </c>
      <c r="G79" s="36">
        <v>4</v>
      </c>
      <c r="H79" s="36">
        <v>55519</v>
      </c>
      <c r="I79" s="36">
        <v>55519</v>
      </c>
      <c r="J79" s="36">
        <v>1</v>
      </c>
    </row>
    <row r="80" spans="1:10" x14ac:dyDescent="0.3">
      <c r="A80" s="20" t="s">
        <v>737</v>
      </c>
      <c r="B80" s="20" t="s">
        <v>448</v>
      </c>
      <c r="C80" s="20" t="s">
        <v>502</v>
      </c>
      <c r="D80" s="36">
        <v>2644</v>
      </c>
      <c r="E80" s="36">
        <v>2644</v>
      </c>
      <c r="F80" s="36">
        <v>5</v>
      </c>
      <c r="G80" s="36">
        <v>5</v>
      </c>
      <c r="H80" s="36">
        <v>2649</v>
      </c>
      <c r="I80" s="36">
        <v>2649</v>
      </c>
      <c r="J80" s="36">
        <v>1</v>
      </c>
    </row>
    <row r="81" spans="1:10" x14ac:dyDescent="0.3">
      <c r="A81" s="20" t="s">
        <v>738</v>
      </c>
      <c r="B81" s="20" t="s">
        <v>112</v>
      </c>
      <c r="C81" s="20" t="s">
        <v>502</v>
      </c>
      <c r="D81" s="36">
        <v>0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1</v>
      </c>
    </row>
    <row r="82" spans="1:10" x14ac:dyDescent="0.3">
      <c r="A82" s="20" t="s">
        <v>739</v>
      </c>
      <c r="B82" s="20" t="s">
        <v>113</v>
      </c>
      <c r="C82" s="20" t="s">
        <v>503</v>
      </c>
      <c r="D82" s="36">
        <v>264</v>
      </c>
      <c r="E82" s="36">
        <v>264</v>
      </c>
      <c r="F82" s="36">
        <v>12</v>
      </c>
      <c r="G82" s="36">
        <v>12</v>
      </c>
      <c r="H82" s="36">
        <v>276</v>
      </c>
      <c r="I82" s="36">
        <v>276</v>
      </c>
      <c r="J82" s="36">
        <v>0</v>
      </c>
    </row>
    <row r="83" spans="1:10" x14ac:dyDescent="0.3">
      <c r="A83" s="20" t="s">
        <v>740</v>
      </c>
      <c r="B83" s="20" t="s">
        <v>114</v>
      </c>
      <c r="C83" s="20" t="s">
        <v>503</v>
      </c>
      <c r="D83" s="36">
        <v>19</v>
      </c>
      <c r="E83" s="36">
        <v>19</v>
      </c>
      <c r="F83" s="36">
        <v>3</v>
      </c>
      <c r="G83" s="36">
        <v>3</v>
      </c>
      <c r="H83" s="36">
        <v>22</v>
      </c>
      <c r="I83" s="36">
        <v>22</v>
      </c>
      <c r="J83" s="36">
        <v>0</v>
      </c>
    </row>
    <row r="84" spans="1:10" x14ac:dyDescent="0.3">
      <c r="A84" s="20" t="s">
        <v>741</v>
      </c>
      <c r="B84" s="20" t="s">
        <v>677</v>
      </c>
      <c r="C84" s="20" t="s">
        <v>503</v>
      </c>
      <c r="D84" s="36">
        <v>31</v>
      </c>
      <c r="E84" s="36">
        <v>31</v>
      </c>
      <c r="F84" s="36">
        <v>0</v>
      </c>
      <c r="G84" s="36">
        <v>0</v>
      </c>
      <c r="H84" s="36">
        <v>31</v>
      </c>
      <c r="I84" s="36">
        <v>31</v>
      </c>
      <c r="J84" s="36">
        <v>0</v>
      </c>
    </row>
    <row r="85" spans="1:10" x14ac:dyDescent="0.3">
      <c r="A85" s="20" t="s">
        <v>742</v>
      </c>
      <c r="B85" s="20" t="s">
        <v>537</v>
      </c>
      <c r="C85" s="20" t="s">
        <v>503</v>
      </c>
      <c r="D85" s="36">
        <v>6</v>
      </c>
      <c r="E85" s="36">
        <v>6</v>
      </c>
      <c r="F85" s="36">
        <v>0</v>
      </c>
      <c r="G85" s="36">
        <v>0</v>
      </c>
      <c r="H85" s="36">
        <v>6</v>
      </c>
      <c r="I85" s="36">
        <v>6</v>
      </c>
      <c r="J85" s="36">
        <v>0</v>
      </c>
    </row>
    <row r="86" spans="1:10" x14ac:dyDescent="0.3">
      <c r="A86" s="20" t="s">
        <v>743</v>
      </c>
      <c r="B86" s="20" t="s">
        <v>538</v>
      </c>
      <c r="C86" s="20" t="s">
        <v>510</v>
      </c>
      <c r="D86" s="36">
        <v>0</v>
      </c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</row>
    <row r="87" spans="1:10" x14ac:dyDescent="0.3">
      <c r="A87" s="20" t="s">
        <v>744</v>
      </c>
      <c r="B87" s="20" t="s">
        <v>115</v>
      </c>
      <c r="C87" s="20" t="s">
        <v>502</v>
      </c>
      <c r="D87" s="36">
        <v>1612</v>
      </c>
      <c r="E87" s="36">
        <v>1612</v>
      </c>
      <c r="F87" s="36">
        <v>54</v>
      </c>
      <c r="G87" s="36">
        <v>54</v>
      </c>
      <c r="H87" s="36">
        <v>1666</v>
      </c>
      <c r="I87" s="36">
        <v>1666</v>
      </c>
      <c r="J87" s="36">
        <v>1</v>
      </c>
    </row>
    <row r="88" spans="1:10" x14ac:dyDescent="0.3">
      <c r="A88" s="20" t="s">
        <v>745</v>
      </c>
      <c r="B88" s="20" t="s">
        <v>116</v>
      </c>
      <c r="C88" s="20" t="s">
        <v>502</v>
      </c>
      <c r="D88" s="36">
        <v>440</v>
      </c>
      <c r="E88" s="36">
        <v>440</v>
      </c>
      <c r="F88" s="36">
        <v>0</v>
      </c>
      <c r="G88" s="36">
        <v>0</v>
      </c>
      <c r="H88" s="36">
        <v>440</v>
      </c>
      <c r="I88" s="36">
        <v>440</v>
      </c>
      <c r="J88" s="36">
        <v>1</v>
      </c>
    </row>
    <row r="89" spans="1:10" x14ac:dyDescent="0.3">
      <c r="A89" s="20" t="s">
        <v>746</v>
      </c>
      <c r="B89" s="20" t="s">
        <v>496</v>
      </c>
      <c r="C89" s="20" t="s">
        <v>502</v>
      </c>
      <c r="D89" s="36">
        <v>2271</v>
      </c>
      <c r="E89" s="36">
        <v>2271</v>
      </c>
      <c r="F89" s="36">
        <v>4</v>
      </c>
      <c r="G89" s="36">
        <v>4</v>
      </c>
      <c r="H89" s="36">
        <v>2275</v>
      </c>
      <c r="I89" s="36">
        <v>2275</v>
      </c>
      <c r="J89" s="36">
        <v>1</v>
      </c>
    </row>
    <row r="90" spans="1:10" x14ac:dyDescent="0.3">
      <c r="A90" s="20" t="s">
        <v>747</v>
      </c>
      <c r="B90" s="20" t="s">
        <v>497</v>
      </c>
      <c r="C90" s="20" t="s">
        <v>502</v>
      </c>
      <c r="D90" s="36">
        <v>1925</v>
      </c>
      <c r="E90" s="36">
        <v>1925</v>
      </c>
      <c r="F90" s="36">
        <v>0</v>
      </c>
      <c r="G90" s="36">
        <v>0</v>
      </c>
      <c r="H90" s="36">
        <v>1925</v>
      </c>
      <c r="I90" s="36">
        <v>1925</v>
      </c>
      <c r="J90" s="36">
        <v>1</v>
      </c>
    </row>
    <row r="91" spans="1:10" x14ac:dyDescent="0.3">
      <c r="A91" s="20" t="s">
        <v>748</v>
      </c>
      <c r="B91" s="20" t="s">
        <v>117</v>
      </c>
      <c r="C91" s="20" t="s">
        <v>502</v>
      </c>
      <c r="D91" s="36">
        <v>1388</v>
      </c>
      <c r="E91" s="36">
        <v>1388</v>
      </c>
      <c r="F91" s="36">
        <v>0</v>
      </c>
      <c r="G91" s="36">
        <v>0</v>
      </c>
      <c r="H91" s="36">
        <v>1388</v>
      </c>
      <c r="I91" s="36">
        <v>1388</v>
      </c>
      <c r="J91" s="36">
        <v>1</v>
      </c>
    </row>
    <row r="92" spans="1:10" x14ac:dyDescent="0.3">
      <c r="A92" s="20" t="s">
        <v>749</v>
      </c>
      <c r="B92" s="20" t="s">
        <v>118</v>
      </c>
      <c r="C92" s="20" t="s">
        <v>502</v>
      </c>
      <c r="D92" s="36">
        <v>1219</v>
      </c>
      <c r="E92" s="36">
        <v>1219</v>
      </c>
      <c r="F92" s="36">
        <v>0</v>
      </c>
      <c r="G92" s="36">
        <v>0</v>
      </c>
      <c r="H92" s="36">
        <v>1219</v>
      </c>
      <c r="I92" s="36">
        <v>1219</v>
      </c>
      <c r="J92" s="36">
        <v>1</v>
      </c>
    </row>
    <row r="93" spans="1:10" x14ac:dyDescent="0.3">
      <c r="A93" s="20" t="s">
        <v>750</v>
      </c>
      <c r="B93" s="20" t="s">
        <v>119</v>
      </c>
      <c r="C93" s="20" t="s">
        <v>502</v>
      </c>
      <c r="D93" s="36">
        <v>4515</v>
      </c>
      <c r="E93" s="36">
        <v>4515</v>
      </c>
      <c r="F93" s="36">
        <v>0</v>
      </c>
      <c r="G93" s="36">
        <v>0</v>
      </c>
      <c r="H93" s="36">
        <v>4515</v>
      </c>
      <c r="I93" s="36">
        <v>4515</v>
      </c>
      <c r="J93" s="36">
        <v>1</v>
      </c>
    </row>
    <row r="94" spans="1:10" x14ac:dyDescent="0.3">
      <c r="A94" s="20" t="s">
        <v>751</v>
      </c>
      <c r="B94" s="20" t="s">
        <v>120</v>
      </c>
      <c r="C94" s="20" t="s">
        <v>504</v>
      </c>
      <c r="D94" s="36">
        <v>41</v>
      </c>
      <c r="E94" s="36">
        <v>41</v>
      </c>
      <c r="F94" s="36">
        <v>1</v>
      </c>
      <c r="G94" s="36">
        <v>1</v>
      </c>
      <c r="H94" s="36">
        <v>42</v>
      </c>
      <c r="I94" s="36">
        <v>42</v>
      </c>
      <c r="J94" s="36">
        <v>0</v>
      </c>
    </row>
    <row r="95" spans="1:10" x14ac:dyDescent="0.3">
      <c r="A95" s="20" t="s">
        <v>752</v>
      </c>
      <c r="B95" s="20" t="s">
        <v>121</v>
      </c>
      <c r="C95" s="20" t="s">
        <v>504</v>
      </c>
      <c r="D95" s="36">
        <v>0</v>
      </c>
      <c r="E95" s="36">
        <v>0</v>
      </c>
      <c r="F95" s="36">
        <v>0</v>
      </c>
      <c r="G95" s="36">
        <v>0</v>
      </c>
      <c r="H95" s="36">
        <v>0</v>
      </c>
      <c r="I95" s="36">
        <v>0</v>
      </c>
      <c r="J95" s="36">
        <v>0</v>
      </c>
    </row>
    <row r="96" spans="1:10" x14ac:dyDescent="0.3">
      <c r="A96" s="20" t="s">
        <v>753</v>
      </c>
      <c r="B96" s="20" t="s">
        <v>122</v>
      </c>
      <c r="C96" s="20" t="s">
        <v>502</v>
      </c>
      <c r="D96" s="36">
        <v>0</v>
      </c>
      <c r="E96" s="36">
        <v>0</v>
      </c>
      <c r="F96" s="36">
        <v>0</v>
      </c>
      <c r="G96" s="36">
        <v>0</v>
      </c>
      <c r="H96" s="36">
        <v>0</v>
      </c>
      <c r="I96" s="36">
        <v>0</v>
      </c>
      <c r="J96" s="36">
        <v>1</v>
      </c>
    </row>
    <row r="97" spans="1:10" x14ac:dyDescent="0.3">
      <c r="A97" s="20" t="s">
        <v>754</v>
      </c>
      <c r="B97" s="20" t="s">
        <v>123</v>
      </c>
      <c r="C97" s="20" t="s">
        <v>502</v>
      </c>
      <c r="D97" s="36">
        <v>0</v>
      </c>
      <c r="E97" s="36">
        <v>0</v>
      </c>
      <c r="F97" s="36">
        <v>0</v>
      </c>
      <c r="G97" s="36">
        <v>0</v>
      </c>
      <c r="H97" s="36">
        <v>0</v>
      </c>
      <c r="I97" s="36">
        <v>0</v>
      </c>
      <c r="J97" s="36">
        <v>1</v>
      </c>
    </row>
    <row r="98" spans="1:10" x14ac:dyDescent="0.3">
      <c r="A98" s="20" t="s">
        <v>755</v>
      </c>
      <c r="B98" s="20" t="s">
        <v>511</v>
      </c>
      <c r="C98" s="20" t="s">
        <v>503</v>
      </c>
      <c r="D98" s="36">
        <v>8</v>
      </c>
      <c r="E98" s="36">
        <v>8</v>
      </c>
      <c r="F98" s="36">
        <v>0</v>
      </c>
      <c r="G98" s="36">
        <v>0</v>
      </c>
      <c r="H98" s="36">
        <v>8</v>
      </c>
      <c r="I98" s="36">
        <v>8</v>
      </c>
      <c r="J98" s="36">
        <v>0</v>
      </c>
    </row>
    <row r="99" spans="1:10" x14ac:dyDescent="0.3">
      <c r="A99" s="20" t="s">
        <v>756</v>
      </c>
      <c r="B99" s="20" t="s">
        <v>124</v>
      </c>
      <c r="C99" s="20" t="s">
        <v>503</v>
      </c>
      <c r="D99" s="36">
        <v>16</v>
      </c>
      <c r="E99" s="36">
        <v>16</v>
      </c>
      <c r="F99" s="36">
        <v>1</v>
      </c>
      <c r="G99" s="36">
        <v>1</v>
      </c>
      <c r="H99" s="36">
        <v>17</v>
      </c>
      <c r="I99" s="36">
        <v>17</v>
      </c>
      <c r="J99" s="36">
        <v>0</v>
      </c>
    </row>
    <row r="100" spans="1:10" x14ac:dyDescent="0.3">
      <c r="A100" s="20" t="s">
        <v>757</v>
      </c>
      <c r="B100" s="20" t="s">
        <v>125</v>
      </c>
      <c r="C100" s="20" t="s">
        <v>503</v>
      </c>
      <c r="D100" s="36">
        <v>29</v>
      </c>
      <c r="E100" s="36">
        <v>29</v>
      </c>
      <c r="F100" s="36">
        <v>1</v>
      </c>
      <c r="G100" s="36">
        <v>1</v>
      </c>
      <c r="H100" s="36">
        <v>30</v>
      </c>
      <c r="I100" s="36">
        <v>30</v>
      </c>
      <c r="J100" s="36">
        <v>0</v>
      </c>
    </row>
    <row r="101" spans="1:10" x14ac:dyDescent="0.3">
      <c r="A101" s="20" t="s">
        <v>758</v>
      </c>
      <c r="B101" s="20" t="s">
        <v>126</v>
      </c>
      <c r="C101" s="20" t="s">
        <v>503</v>
      </c>
      <c r="D101" s="36">
        <v>11</v>
      </c>
      <c r="E101" s="36">
        <v>11</v>
      </c>
      <c r="F101" s="36">
        <v>0</v>
      </c>
      <c r="G101" s="36">
        <v>0</v>
      </c>
      <c r="H101" s="36">
        <v>11</v>
      </c>
      <c r="I101" s="36">
        <v>11</v>
      </c>
      <c r="J101" s="36">
        <v>0</v>
      </c>
    </row>
    <row r="102" spans="1:10" x14ac:dyDescent="0.3">
      <c r="A102" s="20" t="s">
        <v>759</v>
      </c>
      <c r="B102" s="20" t="s">
        <v>498</v>
      </c>
      <c r="C102" s="20" t="s">
        <v>502</v>
      </c>
      <c r="D102" s="36">
        <v>1662</v>
      </c>
      <c r="E102" s="36">
        <v>1662</v>
      </c>
      <c r="F102" s="36">
        <v>14</v>
      </c>
      <c r="G102" s="36">
        <v>14</v>
      </c>
      <c r="H102" s="36">
        <v>1676</v>
      </c>
      <c r="I102" s="36">
        <v>1676</v>
      </c>
      <c r="J102" s="36">
        <v>1</v>
      </c>
    </row>
    <row r="103" spans="1:10" x14ac:dyDescent="0.3">
      <c r="A103" s="20" t="s">
        <v>760</v>
      </c>
      <c r="B103" s="20" t="s">
        <v>432</v>
      </c>
      <c r="C103" s="20" t="s">
        <v>504</v>
      </c>
      <c r="D103" s="36">
        <v>0</v>
      </c>
      <c r="E103" s="36">
        <v>0</v>
      </c>
      <c r="F103" s="36">
        <v>1</v>
      </c>
      <c r="G103" s="36">
        <v>1</v>
      </c>
      <c r="H103" s="36">
        <v>1</v>
      </c>
      <c r="I103" s="36">
        <v>1</v>
      </c>
      <c r="J103" s="36">
        <v>0</v>
      </c>
    </row>
    <row r="104" spans="1:10" x14ac:dyDescent="0.3">
      <c r="A104" s="20" t="s">
        <v>761</v>
      </c>
      <c r="B104" s="20" t="s">
        <v>127</v>
      </c>
      <c r="C104" s="20" t="s">
        <v>503</v>
      </c>
      <c r="D104" s="36">
        <v>133</v>
      </c>
      <c r="E104" s="36">
        <v>133</v>
      </c>
      <c r="F104" s="36">
        <v>4</v>
      </c>
      <c r="G104" s="36">
        <v>4</v>
      </c>
      <c r="H104" s="36">
        <v>137</v>
      </c>
      <c r="I104" s="36">
        <v>137</v>
      </c>
      <c r="J104" s="36">
        <v>0</v>
      </c>
    </row>
    <row r="105" spans="1:10" x14ac:dyDescent="0.3">
      <c r="A105" s="20" t="s">
        <v>762</v>
      </c>
      <c r="B105" s="20" t="s">
        <v>528</v>
      </c>
      <c r="C105" s="20" t="s">
        <v>502</v>
      </c>
      <c r="D105" s="36">
        <v>1244</v>
      </c>
      <c r="E105" s="36">
        <v>1244</v>
      </c>
      <c r="F105" s="36">
        <v>7</v>
      </c>
      <c r="G105" s="36">
        <v>7</v>
      </c>
      <c r="H105" s="36">
        <v>1251</v>
      </c>
      <c r="I105" s="36">
        <v>1251</v>
      </c>
      <c r="J105" s="36">
        <v>1</v>
      </c>
    </row>
    <row r="106" spans="1:10" x14ac:dyDescent="0.3">
      <c r="A106" s="20" t="s">
        <v>763</v>
      </c>
      <c r="B106" s="20" t="s">
        <v>128</v>
      </c>
      <c r="C106" s="20" t="s">
        <v>502</v>
      </c>
      <c r="D106" s="36">
        <v>9945</v>
      </c>
      <c r="E106" s="36">
        <v>9945</v>
      </c>
      <c r="F106" s="36">
        <v>101</v>
      </c>
      <c r="G106" s="36">
        <v>101</v>
      </c>
      <c r="H106" s="36">
        <v>10046</v>
      </c>
      <c r="I106" s="36">
        <v>10046</v>
      </c>
      <c r="J106" s="36">
        <v>1</v>
      </c>
    </row>
    <row r="107" spans="1:10" x14ac:dyDescent="0.3">
      <c r="A107" s="20" t="s">
        <v>764</v>
      </c>
      <c r="B107" s="20" t="s">
        <v>512</v>
      </c>
      <c r="C107" s="20" t="s">
        <v>503</v>
      </c>
      <c r="D107" s="36">
        <v>2</v>
      </c>
      <c r="E107" s="36">
        <v>2</v>
      </c>
      <c r="F107" s="36">
        <v>1</v>
      </c>
      <c r="G107" s="36">
        <v>1</v>
      </c>
      <c r="H107" s="36">
        <v>3</v>
      </c>
      <c r="I107" s="36">
        <v>3</v>
      </c>
      <c r="J107" s="36">
        <v>0</v>
      </c>
    </row>
    <row r="108" spans="1:10" x14ac:dyDescent="0.3">
      <c r="A108" s="20" t="s">
        <v>765</v>
      </c>
      <c r="B108" s="20" t="s">
        <v>129</v>
      </c>
      <c r="C108" s="20" t="s">
        <v>502</v>
      </c>
      <c r="D108" s="36">
        <v>2573</v>
      </c>
      <c r="E108" s="36">
        <v>2573</v>
      </c>
      <c r="F108" s="36">
        <v>0</v>
      </c>
      <c r="G108" s="36">
        <v>0</v>
      </c>
      <c r="H108" s="36">
        <v>2573</v>
      </c>
      <c r="I108" s="36">
        <v>2573</v>
      </c>
      <c r="J108" s="36">
        <v>1</v>
      </c>
    </row>
    <row r="109" spans="1:10" x14ac:dyDescent="0.3">
      <c r="A109" s="20" t="s">
        <v>812</v>
      </c>
      <c r="B109" s="20" t="s">
        <v>819</v>
      </c>
      <c r="C109" s="20" t="s">
        <v>502</v>
      </c>
      <c r="D109" s="36">
        <v>0</v>
      </c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1</v>
      </c>
    </row>
    <row r="110" spans="1:10" x14ac:dyDescent="0.3">
      <c r="A110" s="20" t="s">
        <v>766</v>
      </c>
      <c r="B110" s="20" t="s">
        <v>130</v>
      </c>
      <c r="C110" s="20" t="s">
        <v>502</v>
      </c>
      <c r="D110" s="36">
        <v>6407</v>
      </c>
      <c r="E110" s="36">
        <v>6407</v>
      </c>
      <c r="F110" s="36">
        <v>4</v>
      </c>
      <c r="G110" s="36">
        <v>4</v>
      </c>
      <c r="H110" s="36">
        <v>6411</v>
      </c>
      <c r="I110" s="36">
        <v>6411</v>
      </c>
      <c r="J110" s="36">
        <v>1</v>
      </c>
    </row>
    <row r="111" spans="1:10" x14ac:dyDescent="0.3">
      <c r="A111" s="20" t="s">
        <v>767</v>
      </c>
      <c r="B111" s="20" t="s">
        <v>513</v>
      </c>
      <c r="C111" s="20" t="s">
        <v>502</v>
      </c>
      <c r="D111" s="36">
        <v>1662</v>
      </c>
      <c r="E111" s="36">
        <v>1662</v>
      </c>
      <c r="F111" s="36">
        <v>0</v>
      </c>
      <c r="G111" s="36">
        <v>0</v>
      </c>
      <c r="H111" s="36">
        <v>1662</v>
      </c>
      <c r="I111" s="36">
        <v>1662</v>
      </c>
      <c r="J111" s="36">
        <v>1</v>
      </c>
    </row>
    <row r="112" spans="1:10" x14ac:dyDescent="0.3">
      <c r="A112" s="20" t="s">
        <v>768</v>
      </c>
      <c r="B112" s="20" t="s">
        <v>514</v>
      </c>
      <c r="C112" s="20" t="s">
        <v>502</v>
      </c>
      <c r="D112" s="36">
        <v>88</v>
      </c>
      <c r="E112" s="36">
        <v>88</v>
      </c>
      <c r="F112" s="36">
        <v>0</v>
      </c>
      <c r="G112" s="36">
        <v>0</v>
      </c>
      <c r="H112" s="36">
        <v>88</v>
      </c>
      <c r="I112" s="36">
        <v>88</v>
      </c>
      <c r="J112" s="36">
        <v>1</v>
      </c>
    </row>
    <row r="113" spans="1:10" x14ac:dyDescent="0.3">
      <c r="A113" s="20" t="s">
        <v>769</v>
      </c>
      <c r="B113" s="20" t="s">
        <v>131</v>
      </c>
      <c r="C113" s="20" t="s">
        <v>503</v>
      </c>
      <c r="D113" s="36">
        <v>0</v>
      </c>
      <c r="E113" s="36">
        <v>0</v>
      </c>
      <c r="F113" s="36">
        <v>6</v>
      </c>
      <c r="G113" s="36">
        <v>6</v>
      </c>
      <c r="H113" s="36">
        <v>6</v>
      </c>
      <c r="I113" s="36">
        <v>6</v>
      </c>
      <c r="J113" s="36">
        <v>0</v>
      </c>
    </row>
    <row r="114" spans="1:10" x14ac:dyDescent="0.3">
      <c r="A114" s="20" t="s">
        <v>770</v>
      </c>
      <c r="B114" s="20" t="s">
        <v>433</v>
      </c>
      <c r="C114" s="20" t="s">
        <v>503</v>
      </c>
      <c r="D114" s="36">
        <v>15</v>
      </c>
      <c r="E114" s="36">
        <v>15</v>
      </c>
      <c r="F114" s="36">
        <v>6</v>
      </c>
      <c r="G114" s="36">
        <v>6</v>
      </c>
      <c r="H114" s="36">
        <v>21</v>
      </c>
      <c r="I114" s="36">
        <v>21</v>
      </c>
      <c r="J114" s="36">
        <v>0</v>
      </c>
    </row>
    <row r="115" spans="1:10" x14ac:dyDescent="0.3">
      <c r="A115" s="20" t="s">
        <v>771</v>
      </c>
      <c r="B115" s="20" t="s">
        <v>132</v>
      </c>
      <c r="C115" s="20" t="s">
        <v>503</v>
      </c>
      <c r="D115" s="36">
        <v>134</v>
      </c>
      <c r="E115" s="36">
        <v>134</v>
      </c>
      <c r="F115" s="36">
        <v>4</v>
      </c>
      <c r="G115" s="36">
        <v>4</v>
      </c>
      <c r="H115" s="36">
        <v>138</v>
      </c>
      <c r="I115" s="36">
        <v>138</v>
      </c>
      <c r="J115" s="36">
        <v>0</v>
      </c>
    </row>
    <row r="116" spans="1:10" x14ac:dyDescent="0.3">
      <c r="A116" s="20" t="s">
        <v>813</v>
      </c>
      <c r="B116" s="20" t="s">
        <v>814</v>
      </c>
      <c r="C116" s="20" t="s">
        <v>515</v>
      </c>
      <c r="D116" s="36">
        <v>0</v>
      </c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</row>
    <row r="117" spans="1:10" x14ac:dyDescent="0.3">
      <c r="A117" s="20" t="s">
        <v>815</v>
      </c>
      <c r="B117" s="20" t="s">
        <v>816</v>
      </c>
      <c r="C117" s="20" t="s">
        <v>515</v>
      </c>
      <c r="D117" s="36">
        <v>0</v>
      </c>
      <c r="E117" s="36">
        <v>0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</row>
    <row r="118" spans="1:10" x14ac:dyDescent="0.3">
      <c r="A118" s="20" t="s">
        <v>438</v>
      </c>
      <c r="B118" s="20" t="s">
        <v>454</v>
      </c>
      <c r="C118" s="20" t="s">
        <v>515</v>
      </c>
      <c r="D118" s="36">
        <v>0</v>
      </c>
      <c r="E118" s="36">
        <v>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</row>
    <row r="119" spans="1:10" x14ac:dyDescent="0.3">
      <c r="A119" s="20" t="s">
        <v>439</v>
      </c>
      <c r="B119" s="20" t="s">
        <v>455</v>
      </c>
      <c r="C119" s="20" t="s">
        <v>515</v>
      </c>
      <c r="D119" s="36">
        <v>0</v>
      </c>
      <c r="E119" s="36">
        <v>0</v>
      </c>
      <c r="F119" s="36">
        <v>0</v>
      </c>
      <c r="G119" s="36">
        <v>0</v>
      </c>
      <c r="H119" s="36">
        <v>0</v>
      </c>
      <c r="I119" s="36">
        <v>0</v>
      </c>
      <c r="J119" s="36">
        <v>0</v>
      </c>
    </row>
    <row r="120" spans="1:10" x14ac:dyDescent="0.3">
      <c r="A120" s="20" t="s">
        <v>440</v>
      </c>
      <c r="B120" s="20" t="s">
        <v>456</v>
      </c>
      <c r="C120" s="20" t="s">
        <v>515</v>
      </c>
      <c r="D120" s="36">
        <v>0</v>
      </c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</row>
    <row r="121" spans="1:10" x14ac:dyDescent="0.3">
      <c r="A121" s="20" t="s">
        <v>341</v>
      </c>
      <c r="B121" s="20" t="s">
        <v>539</v>
      </c>
      <c r="C121" s="20" t="s">
        <v>515</v>
      </c>
      <c r="D121" s="36">
        <v>360</v>
      </c>
      <c r="E121" s="36">
        <v>15</v>
      </c>
      <c r="F121" s="36">
        <v>21</v>
      </c>
      <c r="G121" s="36">
        <v>0.875</v>
      </c>
      <c r="H121" s="36">
        <v>381</v>
      </c>
      <c r="I121" s="36">
        <v>15.875</v>
      </c>
      <c r="J121" s="36">
        <v>24</v>
      </c>
    </row>
    <row r="122" spans="1:10" x14ac:dyDescent="0.3">
      <c r="A122" s="20" t="s">
        <v>342</v>
      </c>
      <c r="B122" s="20" t="s">
        <v>540</v>
      </c>
      <c r="C122" s="20" t="s">
        <v>515</v>
      </c>
      <c r="D122" s="36">
        <v>240</v>
      </c>
      <c r="E122" s="36">
        <v>10</v>
      </c>
      <c r="F122" s="36">
        <v>15</v>
      </c>
      <c r="G122" s="36">
        <v>0.625</v>
      </c>
      <c r="H122" s="36">
        <v>255</v>
      </c>
      <c r="I122" s="36">
        <v>10.625</v>
      </c>
      <c r="J122" s="36">
        <v>24</v>
      </c>
    </row>
    <row r="123" spans="1:10" x14ac:dyDescent="0.3">
      <c r="A123" s="20" t="s">
        <v>343</v>
      </c>
      <c r="B123" s="20" t="s">
        <v>541</v>
      </c>
      <c r="C123" s="20" t="s">
        <v>515</v>
      </c>
      <c r="D123" s="36">
        <v>1008</v>
      </c>
      <c r="E123" s="36">
        <v>42</v>
      </c>
      <c r="F123" s="36">
        <v>16</v>
      </c>
      <c r="G123" s="36">
        <v>0.66666999999999998</v>
      </c>
      <c r="H123" s="36">
        <v>1024</v>
      </c>
      <c r="I123" s="36">
        <v>42.666670000000003</v>
      </c>
      <c r="J123" s="36">
        <v>24</v>
      </c>
    </row>
    <row r="124" spans="1:10" x14ac:dyDescent="0.3">
      <c r="A124" s="20" t="s">
        <v>344</v>
      </c>
      <c r="B124" s="20" t="s">
        <v>542</v>
      </c>
      <c r="C124" s="20" t="s">
        <v>515</v>
      </c>
      <c r="D124" s="36">
        <v>480</v>
      </c>
      <c r="E124" s="36">
        <v>20</v>
      </c>
      <c r="F124" s="36">
        <v>22</v>
      </c>
      <c r="G124" s="36">
        <v>0.91666999999999998</v>
      </c>
      <c r="H124" s="36">
        <v>502</v>
      </c>
      <c r="I124" s="36">
        <v>20.91667</v>
      </c>
      <c r="J124" s="36">
        <v>24</v>
      </c>
    </row>
    <row r="125" spans="1:10" x14ac:dyDescent="0.3">
      <c r="A125" s="20" t="s">
        <v>345</v>
      </c>
      <c r="B125" s="20" t="s">
        <v>543</v>
      </c>
      <c r="C125" s="20" t="s">
        <v>515</v>
      </c>
      <c r="D125" s="36">
        <v>0</v>
      </c>
      <c r="E125" s="36">
        <v>0</v>
      </c>
      <c r="F125" s="36">
        <v>19</v>
      </c>
      <c r="G125" s="36">
        <v>0.79166999999999998</v>
      </c>
      <c r="H125" s="36">
        <v>19</v>
      </c>
      <c r="I125" s="36">
        <v>0.79166999999999998</v>
      </c>
      <c r="J125" s="36">
        <v>24</v>
      </c>
    </row>
    <row r="126" spans="1:10" x14ac:dyDescent="0.3">
      <c r="A126" s="20" t="s">
        <v>346</v>
      </c>
      <c r="B126" s="20" t="s">
        <v>544</v>
      </c>
      <c r="C126" s="20" t="s">
        <v>515</v>
      </c>
      <c r="D126" s="36">
        <v>408</v>
      </c>
      <c r="E126" s="36">
        <v>17</v>
      </c>
      <c r="F126" s="36">
        <v>15</v>
      </c>
      <c r="G126" s="36">
        <v>0.625</v>
      </c>
      <c r="H126" s="36">
        <v>423</v>
      </c>
      <c r="I126" s="36">
        <v>17.625</v>
      </c>
      <c r="J126" s="36">
        <v>24</v>
      </c>
    </row>
    <row r="127" spans="1:10" x14ac:dyDescent="0.3">
      <c r="A127" s="20" t="s">
        <v>347</v>
      </c>
      <c r="B127" s="20" t="s">
        <v>545</v>
      </c>
      <c r="C127" s="20" t="s">
        <v>515</v>
      </c>
      <c r="D127" s="36">
        <v>384</v>
      </c>
      <c r="E127" s="36">
        <v>16</v>
      </c>
      <c r="F127" s="36">
        <v>24</v>
      </c>
      <c r="G127" s="36">
        <v>1</v>
      </c>
      <c r="H127" s="36">
        <v>408</v>
      </c>
      <c r="I127" s="36">
        <v>17</v>
      </c>
      <c r="J127" s="36">
        <v>24</v>
      </c>
    </row>
    <row r="128" spans="1:10" x14ac:dyDescent="0.3">
      <c r="A128" s="20" t="s">
        <v>348</v>
      </c>
      <c r="B128" s="20" t="s">
        <v>546</v>
      </c>
      <c r="C128" s="20" t="s">
        <v>515</v>
      </c>
      <c r="D128" s="36">
        <v>384</v>
      </c>
      <c r="E128" s="36">
        <v>16</v>
      </c>
      <c r="F128" s="36">
        <v>16</v>
      </c>
      <c r="G128" s="36">
        <v>0.66666999999999998</v>
      </c>
      <c r="H128" s="36">
        <v>400</v>
      </c>
      <c r="I128" s="36">
        <v>16.66667</v>
      </c>
      <c r="J128" s="36">
        <v>24</v>
      </c>
    </row>
    <row r="129" spans="1:10" x14ac:dyDescent="0.3">
      <c r="A129" s="20" t="s">
        <v>349</v>
      </c>
      <c r="B129" s="20" t="s">
        <v>547</v>
      </c>
      <c r="C129" s="20" t="s">
        <v>515</v>
      </c>
      <c r="D129" s="36">
        <v>432</v>
      </c>
      <c r="E129" s="36">
        <v>18</v>
      </c>
      <c r="F129" s="36">
        <v>20</v>
      </c>
      <c r="G129" s="36">
        <v>0.83333000000000002</v>
      </c>
      <c r="H129" s="36">
        <v>452</v>
      </c>
      <c r="I129" s="36">
        <v>18.83333</v>
      </c>
      <c r="J129" s="36">
        <v>24</v>
      </c>
    </row>
    <row r="130" spans="1:10" x14ac:dyDescent="0.3">
      <c r="A130" s="20" t="s">
        <v>548</v>
      </c>
      <c r="B130" s="20" t="s">
        <v>549</v>
      </c>
      <c r="C130" s="20" t="s">
        <v>515</v>
      </c>
      <c r="D130" s="36">
        <v>0</v>
      </c>
      <c r="E130" s="36">
        <v>0</v>
      </c>
      <c r="F130" s="36">
        <v>0</v>
      </c>
      <c r="G130" s="36">
        <v>0</v>
      </c>
      <c r="H130" s="36">
        <v>0</v>
      </c>
      <c r="I130" s="36">
        <v>0</v>
      </c>
      <c r="J130" s="36">
        <v>12</v>
      </c>
    </row>
    <row r="131" spans="1:10" x14ac:dyDescent="0.3">
      <c r="A131" s="20" t="s">
        <v>550</v>
      </c>
      <c r="B131" s="20" t="s">
        <v>551</v>
      </c>
      <c r="C131" s="20" t="s">
        <v>515</v>
      </c>
      <c r="D131" s="36">
        <v>0</v>
      </c>
      <c r="E131" s="36">
        <v>0</v>
      </c>
      <c r="F131" s="36">
        <v>1</v>
      </c>
      <c r="G131" s="36">
        <v>0.25</v>
      </c>
      <c r="H131" s="36">
        <v>1</v>
      </c>
      <c r="I131" s="36">
        <v>0.25</v>
      </c>
      <c r="J131" s="36">
        <v>4</v>
      </c>
    </row>
    <row r="132" spans="1:10" x14ac:dyDescent="0.3">
      <c r="A132" s="20" t="s">
        <v>350</v>
      </c>
      <c r="B132" s="20" t="s">
        <v>552</v>
      </c>
      <c r="C132" s="20" t="s">
        <v>515</v>
      </c>
      <c r="D132" s="36">
        <v>0</v>
      </c>
      <c r="E132" s="36">
        <v>0</v>
      </c>
      <c r="F132" s="36">
        <v>20</v>
      </c>
      <c r="G132" s="36">
        <v>0.83333000000000002</v>
      </c>
      <c r="H132" s="36">
        <v>20</v>
      </c>
      <c r="I132" s="36">
        <v>0.83333000000000002</v>
      </c>
      <c r="J132" s="36">
        <v>24</v>
      </c>
    </row>
    <row r="133" spans="1:10" x14ac:dyDescent="0.3">
      <c r="A133" s="20" t="s">
        <v>351</v>
      </c>
      <c r="B133" s="20" t="s">
        <v>553</v>
      </c>
      <c r="C133" s="20" t="s">
        <v>515</v>
      </c>
      <c r="D133" s="36">
        <v>0</v>
      </c>
      <c r="E133" s="36">
        <v>0</v>
      </c>
      <c r="F133" s="36">
        <v>20</v>
      </c>
      <c r="G133" s="36">
        <v>0.83333000000000002</v>
      </c>
      <c r="H133" s="36">
        <v>20</v>
      </c>
      <c r="I133" s="36">
        <v>0.83333000000000002</v>
      </c>
      <c r="J133" s="36">
        <v>24</v>
      </c>
    </row>
    <row r="134" spans="1:10" x14ac:dyDescent="0.3">
      <c r="A134" s="20" t="s">
        <v>352</v>
      </c>
      <c r="B134" s="20" t="s">
        <v>554</v>
      </c>
      <c r="C134" s="20" t="s">
        <v>515</v>
      </c>
      <c r="D134" s="36">
        <v>576</v>
      </c>
      <c r="E134" s="36">
        <v>24</v>
      </c>
      <c r="F134" s="36">
        <v>17</v>
      </c>
      <c r="G134" s="36">
        <v>0.70833000000000002</v>
      </c>
      <c r="H134" s="36">
        <v>593</v>
      </c>
      <c r="I134" s="36">
        <v>24.70833</v>
      </c>
      <c r="J134" s="36">
        <v>24</v>
      </c>
    </row>
    <row r="135" spans="1:10" x14ac:dyDescent="0.3">
      <c r="A135" s="20" t="s">
        <v>353</v>
      </c>
      <c r="B135" s="20" t="s">
        <v>555</v>
      </c>
      <c r="C135" s="20" t="s">
        <v>515</v>
      </c>
      <c r="D135" s="36">
        <v>0</v>
      </c>
      <c r="E135" s="36">
        <v>0</v>
      </c>
      <c r="F135" s="36">
        <v>7</v>
      </c>
      <c r="G135" s="36">
        <v>0.58333000000000002</v>
      </c>
      <c r="H135" s="36">
        <v>7</v>
      </c>
      <c r="I135" s="36">
        <v>0.58333000000000002</v>
      </c>
      <c r="J135" s="36">
        <v>12</v>
      </c>
    </row>
    <row r="136" spans="1:10" x14ac:dyDescent="0.3">
      <c r="A136" s="20" t="s">
        <v>354</v>
      </c>
      <c r="B136" s="20" t="s">
        <v>556</v>
      </c>
      <c r="C136" s="20" t="s">
        <v>515</v>
      </c>
      <c r="D136" s="36">
        <v>24</v>
      </c>
      <c r="E136" s="36">
        <v>1</v>
      </c>
      <c r="F136" s="36">
        <v>17</v>
      </c>
      <c r="G136" s="36">
        <v>0.70833000000000002</v>
      </c>
      <c r="H136" s="36">
        <v>41</v>
      </c>
      <c r="I136" s="36">
        <v>1.7083299999999999</v>
      </c>
      <c r="J136" s="36">
        <v>24</v>
      </c>
    </row>
    <row r="137" spans="1:10" x14ac:dyDescent="0.3">
      <c r="A137" s="20" t="s">
        <v>673</v>
      </c>
      <c r="B137" s="20" t="s">
        <v>674</v>
      </c>
      <c r="C137" s="20" t="s">
        <v>515</v>
      </c>
      <c r="D137" s="36">
        <v>0</v>
      </c>
      <c r="E137" s="36">
        <v>0</v>
      </c>
      <c r="F137" s="36">
        <v>23</v>
      </c>
      <c r="G137" s="36">
        <v>0.95833000000000002</v>
      </c>
      <c r="H137" s="36">
        <v>23</v>
      </c>
      <c r="I137" s="36">
        <v>0.95833000000000002</v>
      </c>
      <c r="J137" s="36">
        <v>24</v>
      </c>
    </row>
    <row r="138" spans="1:10" x14ac:dyDescent="0.3">
      <c r="A138" s="20" t="s">
        <v>355</v>
      </c>
      <c r="B138" s="20" t="s">
        <v>557</v>
      </c>
      <c r="C138" s="20" t="s">
        <v>515</v>
      </c>
      <c r="D138" s="36">
        <v>0</v>
      </c>
      <c r="E138" s="36">
        <v>0</v>
      </c>
      <c r="F138" s="36">
        <v>22</v>
      </c>
      <c r="G138" s="36">
        <v>0.91666999999999998</v>
      </c>
      <c r="H138" s="36">
        <v>22</v>
      </c>
      <c r="I138" s="36">
        <v>0.91666999999999998</v>
      </c>
      <c r="J138" s="36">
        <v>24</v>
      </c>
    </row>
    <row r="139" spans="1:10" x14ac:dyDescent="0.3">
      <c r="A139" s="20" t="s">
        <v>356</v>
      </c>
      <c r="B139" s="20" t="s">
        <v>558</v>
      </c>
      <c r="C139" s="20" t="s">
        <v>515</v>
      </c>
      <c r="D139" s="36">
        <v>1032</v>
      </c>
      <c r="E139" s="36">
        <v>43</v>
      </c>
      <c r="F139" s="36">
        <v>22</v>
      </c>
      <c r="G139" s="36">
        <v>0.91666999999999998</v>
      </c>
      <c r="H139" s="36">
        <v>1054</v>
      </c>
      <c r="I139" s="36">
        <v>43.916670000000003</v>
      </c>
      <c r="J139" s="36">
        <v>24</v>
      </c>
    </row>
    <row r="140" spans="1:10" x14ac:dyDescent="0.3">
      <c r="A140" s="20" t="s">
        <v>357</v>
      </c>
      <c r="B140" s="20" t="s">
        <v>559</v>
      </c>
      <c r="C140" s="20" t="s">
        <v>515</v>
      </c>
      <c r="D140" s="36">
        <v>0</v>
      </c>
      <c r="E140" s="36">
        <v>0</v>
      </c>
      <c r="F140" s="36">
        <v>21</v>
      </c>
      <c r="G140" s="36">
        <v>0.875</v>
      </c>
      <c r="H140" s="36">
        <v>21</v>
      </c>
      <c r="I140" s="36">
        <v>0.875</v>
      </c>
      <c r="J140" s="36">
        <v>24</v>
      </c>
    </row>
    <row r="141" spans="1:10" x14ac:dyDescent="0.3">
      <c r="A141" s="20" t="s">
        <v>358</v>
      </c>
      <c r="B141" s="20" t="s">
        <v>560</v>
      </c>
      <c r="C141" s="20" t="s">
        <v>515</v>
      </c>
      <c r="D141" s="36">
        <v>0</v>
      </c>
      <c r="E141" s="36">
        <v>0</v>
      </c>
      <c r="F141" s="36">
        <v>0</v>
      </c>
      <c r="G141" s="36">
        <v>0</v>
      </c>
      <c r="H141" s="36">
        <v>0</v>
      </c>
      <c r="I141" s="36">
        <v>0</v>
      </c>
      <c r="J141" s="36">
        <v>24</v>
      </c>
    </row>
    <row r="142" spans="1:10" x14ac:dyDescent="0.3">
      <c r="A142" s="20" t="s">
        <v>359</v>
      </c>
      <c r="B142" s="20" t="s">
        <v>561</v>
      </c>
      <c r="C142" s="20" t="s">
        <v>515</v>
      </c>
      <c r="D142" s="36">
        <v>984</v>
      </c>
      <c r="E142" s="36">
        <v>41</v>
      </c>
      <c r="F142" s="36">
        <v>22</v>
      </c>
      <c r="G142" s="36">
        <v>0.91666999999999998</v>
      </c>
      <c r="H142" s="36">
        <v>1006</v>
      </c>
      <c r="I142" s="36">
        <v>41.916670000000003</v>
      </c>
      <c r="J142" s="36">
        <v>24</v>
      </c>
    </row>
    <row r="143" spans="1:10" x14ac:dyDescent="0.3">
      <c r="A143" s="20" t="s">
        <v>360</v>
      </c>
      <c r="B143" s="20" t="s">
        <v>562</v>
      </c>
      <c r="C143" s="20" t="s">
        <v>515</v>
      </c>
      <c r="D143" s="36">
        <v>600</v>
      </c>
      <c r="E143" s="36">
        <v>25</v>
      </c>
      <c r="F143" s="36">
        <v>16</v>
      </c>
      <c r="G143" s="36">
        <v>0.66666999999999998</v>
      </c>
      <c r="H143" s="36">
        <v>616</v>
      </c>
      <c r="I143" s="36">
        <v>25.66667</v>
      </c>
      <c r="J143" s="36">
        <v>24</v>
      </c>
    </row>
    <row r="144" spans="1:10" x14ac:dyDescent="0.3">
      <c r="A144" s="20" t="s">
        <v>462</v>
      </c>
      <c r="B144" s="20" t="s">
        <v>463</v>
      </c>
      <c r="C144" s="20" t="s">
        <v>515</v>
      </c>
      <c r="D144" s="36">
        <v>0</v>
      </c>
      <c r="E144" s="36">
        <v>0</v>
      </c>
      <c r="F144" s="36">
        <v>0</v>
      </c>
      <c r="G144" s="36">
        <v>0</v>
      </c>
      <c r="H144" s="36">
        <v>0</v>
      </c>
      <c r="I144" s="36">
        <v>0</v>
      </c>
      <c r="J144" s="36">
        <v>0</v>
      </c>
    </row>
    <row r="145" spans="1:10" x14ac:dyDescent="0.3">
      <c r="A145" s="20" t="s">
        <v>464</v>
      </c>
      <c r="B145" s="20" t="s">
        <v>465</v>
      </c>
      <c r="C145" s="20" t="s">
        <v>515</v>
      </c>
      <c r="D145" s="36">
        <v>0</v>
      </c>
      <c r="E145" s="36">
        <v>0</v>
      </c>
      <c r="F145" s="36">
        <v>0</v>
      </c>
      <c r="G145" s="36">
        <v>0</v>
      </c>
      <c r="H145" s="36">
        <v>0</v>
      </c>
      <c r="I145" s="36">
        <v>0</v>
      </c>
      <c r="J145" s="36">
        <v>0</v>
      </c>
    </row>
    <row r="146" spans="1:10" x14ac:dyDescent="0.3">
      <c r="A146" s="20" t="s">
        <v>466</v>
      </c>
      <c r="B146" s="20" t="s">
        <v>467</v>
      </c>
      <c r="C146" s="20" t="s">
        <v>515</v>
      </c>
      <c r="D146" s="36">
        <v>0</v>
      </c>
      <c r="E146" s="36">
        <v>0</v>
      </c>
      <c r="F146" s="36">
        <v>0</v>
      </c>
      <c r="G146" s="36">
        <v>0</v>
      </c>
      <c r="H146" s="36">
        <v>0</v>
      </c>
      <c r="I146" s="36">
        <v>0</v>
      </c>
      <c r="J146" s="36">
        <v>0</v>
      </c>
    </row>
    <row r="147" spans="1:10" x14ac:dyDescent="0.3">
      <c r="A147" s="20" t="s">
        <v>468</v>
      </c>
      <c r="B147" s="20" t="s">
        <v>469</v>
      </c>
      <c r="C147" s="20" t="s">
        <v>515</v>
      </c>
      <c r="D147" s="36">
        <v>0</v>
      </c>
      <c r="E147" s="36">
        <v>0</v>
      </c>
      <c r="F147" s="36">
        <v>0</v>
      </c>
      <c r="G147" s="36">
        <v>0</v>
      </c>
      <c r="H147" s="36">
        <v>0</v>
      </c>
      <c r="I147" s="36">
        <v>0</v>
      </c>
      <c r="J147" s="36">
        <v>0</v>
      </c>
    </row>
    <row r="148" spans="1:10" x14ac:dyDescent="0.3">
      <c r="A148" s="20" t="s">
        <v>470</v>
      </c>
      <c r="B148" s="20" t="s">
        <v>488</v>
      </c>
      <c r="C148" s="20" t="s">
        <v>515</v>
      </c>
      <c r="D148" s="36">
        <v>0</v>
      </c>
      <c r="E148" s="36">
        <v>0</v>
      </c>
      <c r="F148" s="36">
        <v>0</v>
      </c>
      <c r="G148" s="36">
        <v>0</v>
      </c>
      <c r="H148" s="36">
        <v>0</v>
      </c>
      <c r="I148" s="36">
        <v>0</v>
      </c>
      <c r="J148" s="36">
        <v>0</v>
      </c>
    </row>
    <row r="149" spans="1:10" x14ac:dyDescent="0.3">
      <c r="A149" s="20" t="s">
        <v>56</v>
      </c>
      <c r="B149" s="20" t="s">
        <v>57</v>
      </c>
      <c r="C149" s="20" t="s">
        <v>502</v>
      </c>
      <c r="D149" s="36">
        <v>112</v>
      </c>
      <c r="E149" s="36">
        <v>112</v>
      </c>
      <c r="F149" s="36">
        <v>7</v>
      </c>
      <c r="G149" s="36">
        <v>7</v>
      </c>
      <c r="H149" s="36">
        <v>119</v>
      </c>
      <c r="I149" s="36">
        <v>119</v>
      </c>
      <c r="J149" s="36">
        <v>1</v>
      </c>
    </row>
    <row r="150" spans="1:10" x14ac:dyDescent="0.3">
      <c r="A150" s="20" t="s">
        <v>471</v>
      </c>
      <c r="B150" s="20" t="s">
        <v>472</v>
      </c>
      <c r="C150" s="20" t="s">
        <v>515</v>
      </c>
      <c r="D150" s="36">
        <v>0</v>
      </c>
      <c r="E150" s="36">
        <v>0</v>
      </c>
      <c r="F150" s="36">
        <v>0</v>
      </c>
      <c r="G150" s="36">
        <v>0</v>
      </c>
      <c r="H150" s="36">
        <v>0</v>
      </c>
      <c r="I150" s="36">
        <v>0</v>
      </c>
      <c r="J150" s="36">
        <v>0</v>
      </c>
    </row>
    <row r="151" spans="1:10" x14ac:dyDescent="0.3">
      <c r="A151" s="20" t="s">
        <v>473</v>
      </c>
      <c r="B151" s="20" t="s">
        <v>474</v>
      </c>
      <c r="C151" s="20" t="s">
        <v>515</v>
      </c>
      <c r="D151" s="36">
        <v>0</v>
      </c>
      <c r="E151" s="36">
        <v>0</v>
      </c>
      <c r="F151" s="36">
        <v>0</v>
      </c>
      <c r="G151" s="36">
        <v>0</v>
      </c>
      <c r="H151" s="36">
        <v>0</v>
      </c>
      <c r="I151" s="36">
        <v>0</v>
      </c>
      <c r="J151" s="36">
        <v>0</v>
      </c>
    </row>
    <row r="152" spans="1:10" x14ac:dyDescent="0.3">
      <c r="A152" s="20" t="s">
        <v>475</v>
      </c>
      <c r="B152" s="20" t="s">
        <v>476</v>
      </c>
      <c r="C152" s="20" t="s">
        <v>515</v>
      </c>
      <c r="D152" s="36">
        <v>0</v>
      </c>
      <c r="E152" s="36">
        <v>0</v>
      </c>
      <c r="F152" s="36">
        <v>0</v>
      </c>
      <c r="G152" s="36">
        <v>0</v>
      </c>
      <c r="H152" s="36">
        <v>0</v>
      </c>
      <c r="I152" s="36">
        <v>0</v>
      </c>
      <c r="J152" s="36">
        <v>0</v>
      </c>
    </row>
    <row r="153" spans="1:10" x14ac:dyDescent="0.3">
      <c r="A153" s="20" t="s">
        <v>477</v>
      </c>
      <c r="B153" s="20" t="s">
        <v>478</v>
      </c>
      <c r="C153" s="20" t="s">
        <v>515</v>
      </c>
      <c r="D153" s="36">
        <v>0</v>
      </c>
      <c r="E153" s="36">
        <v>0</v>
      </c>
      <c r="F153" s="36">
        <v>0</v>
      </c>
      <c r="G153" s="36">
        <v>0</v>
      </c>
      <c r="H153" s="36">
        <v>0</v>
      </c>
      <c r="I153" s="36">
        <v>0</v>
      </c>
      <c r="J153" s="36">
        <v>0</v>
      </c>
    </row>
    <row r="154" spans="1:10" x14ac:dyDescent="0.3">
      <c r="A154" s="20" t="s">
        <v>479</v>
      </c>
      <c r="B154" s="20" t="s">
        <v>480</v>
      </c>
      <c r="C154" s="20" t="s">
        <v>515</v>
      </c>
      <c r="D154" s="36">
        <v>0</v>
      </c>
      <c r="E154" s="36">
        <v>0</v>
      </c>
      <c r="F154" s="36">
        <v>0</v>
      </c>
      <c r="G154" s="36">
        <v>0</v>
      </c>
      <c r="H154" s="36">
        <v>0</v>
      </c>
      <c r="I154" s="36">
        <v>0</v>
      </c>
      <c r="J154" s="36">
        <v>0</v>
      </c>
    </row>
    <row r="155" spans="1:10" x14ac:dyDescent="0.3">
      <c r="A155" s="20" t="s">
        <v>481</v>
      </c>
      <c r="B155" s="20" t="s">
        <v>482</v>
      </c>
      <c r="C155" s="20" t="s">
        <v>515</v>
      </c>
      <c r="D155" s="36">
        <v>0</v>
      </c>
      <c r="E155" s="36">
        <v>0</v>
      </c>
      <c r="F155" s="36">
        <v>0</v>
      </c>
      <c r="G155" s="36">
        <v>0</v>
      </c>
      <c r="H155" s="36">
        <v>0</v>
      </c>
      <c r="I155" s="36">
        <v>0</v>
      </c>
      <c r="J155" s="36">
        <v>0</v>
      </c>
    </row>
    <row r="156" spans="1:10" x14ac:dyDescent="0.3">
      <c r="A156" s="20" t="s">
        <v>483</v>
      </c>
      <c r="B156" s="20" t="s">
        <v>489</v>
      </c>
      <c r="C156" s="20" t="s">
        <v>515</v>
      </c>
      <c r="D156" s="36">
        <v>0</v>
      </c>
      <c r="E156" s="36">
        <v>0</v>
      </c>
      <c r="F156" s="36">
        <v>0</v>
      </c>
      <c r="G156" s="36">
        <v>0</v>
      </c>
      <c r="H156" s="36">
        <v>0</v>
      </c>
      <c r="I156" s="36">
        <v>0</v>
      </c>
      <c r="J156" s="36">
        <v>0</v>
      </c>
    </row>
    <row r="157" spans="1:10" x14ac:dyDescent="0.3">
      <c r="A157" s="20" t="s">
        <v>484</v>
      </c>
      <c r="B157" s="20" t="s">
        <v>485</v>
      </c>
      <c r="C157" s="20" t="s">
        <v>515</v>
      </c>
      <c r="D157" s="36">
        <v>0</v>
      </c>
      <c r="E157" s="36">
        <v>0</v>
      </c>
      <c r="F157" s="36">
        <v>0</v>
      </c>
      <c r="G157" s="36">
        <v>0</v>
      </c>
      <c r="H157" s="36">
        <v>0</v>
      </c>
      <c r="I157" s="36">
        <v>0</v>
      </c>
      <c r="J157" s="36">
        <v>0</v>
      </c>
    </row>
    <row r="158" spans="1:10" x14ac:dyDescent="0.3">
      <c r="A158" s="20" t="s">
        <v>516</v>
      </c>
      <c r="B158" s="20" t="s">
        <v>517</v>
      </c>
      <c r="C158" s="20" t="s">
        <v>515</v>
      </c>
      <c r="D158" s="36">
        <v>0</v>
      </c>
      <c r="E158" s="36">
        <v>0</v>
      </c>
      <c r="F158" s="36">
        <v>0</v>
      </c>
      <c r="G158" s="36">
        <v>0</v>
      </c>
      <c r="H158" s="36">
        <v>0</v>
      </c>
      <c r="I158" s="36">
        <v>0</v>
      </c>
      <c r="J158" s="36">
        <v>0</v>
      </c>
    </row>
    <row r="159" spans="1:10" x14ac:dyDescent="0.3">
      <c r="A159" s="20" t="s">
        <v>529</v>
      </c>
      <c r="B159" s="20" t="s">
        <v>530</v>
      </c>
      <c r="C159" s="20" t="s">
        <v>515</v>
      </c>
      <c r="D159" s="36">
        <v>0</v>
      </c>
      <c r="E159" s="36">
        <v>0</v>
      </c>
      <c r="F159" s="36">
        <v>0</v>
      </c>
      <c r="G159" s="36">
        <v>0</v>
      </c>
      <c r="H159" s="36">
        <v>0</v>
      </c>
      <c r="I159" s="36">
        <v>0</v>
      </c>
      <c r="J159" s="36">
        <v>0</v>
      </c>
    </row>
    <row r="160" spans="1:10" x14ac:dyDescent="0.3">
      <c r="A160" s="20" t="s">
        <v>441</v>
      </c>
      <c r="B160" s="20" t="s">
        <v>457</v>
      </c>
      <c r="C160" s="20" t="s">
        <v>515</v>
      </c>
      <c r="D160" s="36">
        <v>0</v>
      </c>
      <c r="E160" s="36">
        <v>0</v>
      </c>
      <c r="F160" s="36">
        <v>0</v>
      </c>
      <c r="G160" s="36">
        <v>0</v>
      </c>
      <c r="H160" s="36">
        <v>0</v>
      </c>
      <c r="I160" s="36">
        <v>0</v>
      </c>
      <c r="J160" s="36">
        <v>0</v>
      </c>
    </row>
    <row r="161" spans="1:10" x14ac:dyDescent="0.3">
      <c r="A161" s="20" t="s">
        <v>442</v>
      </c>
      <c r="B161" s="20" t="s">
        <v>458</v>
      </c>
      <c r="C161" s="20" t="s">
        <v>515</v>
      </c>
      <c r="D161" s="36">
        <v>0</v>
      </c>
      <c r="E161" s="36">
        <v>0</v>
      </c>
      <c r="F161" s="36">
        <v>0</v>
      </c>
      <c r="G161" s="36">
        <v>0</v>
      </c>
      <c r="H161" s="36">
        <v>0</v>
      </c>
      <c r="I161" s="36">
        <v>0</v>
      </c>
      <c r="J161" s="36">
        <v>0</v>
      </c>
    </row>
    <row r="162" spans="1:10" x14ac:dyDescent="0.3">
      <c r="A162" s="20" t="s">
        <v>361</v>
      </c>
      <c r="B162" s="20" t="s">
        <v>563</v>
      </c>
      <c r="C162" s="20" t="s">
        <v>515</v>
      </c>
      <c r="D162" s="36">
        <v>400</v>
      </c>
      <c r="E162" s="36">
        <v>8</v>
      </c>
      <c r="F162" s="36">
        <v>46</v>
      </c>
      <c r="G162" s="36">
        <v>0.92</v>
      </c>
      <c r="H162" s="36">
        <v>446</v>
      </c>
      <c r="I162" s="36">
        <v>8.92</v>
      </c>
      <c r="J162" s="36">
        <v>50</v>
      </c>
    </row>
    <row r="163" spans="1:10" x14ac:dyDescent="0.3">
      <c r="A163" s="20" t="s">
        <v>362</v>
      </c>
      <c r="B163" s="20" t="s">
        <v>564</v>
      </c>
      <c r="C163" s="20" t="s">
        <v>515</v>
      </c>
      <c r="D163" s="36">
        <v>0</v>
      </c>
      <c r="E163" s="36">
        <v>0</v>
      </c>
      <c r="F163" s="36">
        <v>46</v>
      </c>
      <c r="G163" s="36">
        <v>0.92</v>
      </c>
      <c r="H163" s="36">
        <v>46</v>
      </c>
      <c r="I163" s="36">
        <v>0.92</v>
      </c>
      <c r="J163" s="36">
        <v>50</v>
      </c>
    </row>
    <row r="164" spans="1:10" x14ac:dyDescent="0.3">
      <c r="A164" s="20" t="s">
        <v>363</v>
      </c>
      <c r="B164" s="20" t="s">
        <v>565</v>
      </c>
      <c r="C164" s="20" t="s">
        <v>515</v>
      </c>
      <c r="D164" s="36">
        <v>7600</v>
      </c>
      <c r="E164" s="36">
        <v>152</v>
      </c>
      <c r="F164" s="36">
        <v>46</v>
      </c>
      <c r="G164" s="36">
        <v>0.92</v>
      </c>
      <c r="H164" s="36">
        <v>7646</v>
      </c>
      <c r="I164" s="36">
        <v>152.91999999999999</v>
      </c>
      <c r="J164" s="36">
        <v>50</v>
      </c>
    </row>
    <row r="165" spans="1:10" x14ac:dyDescent="0.3">
      <c r="A165" s="20" t="s">
        <v>364</v>
      </c>
      <c r="B165" s="20" t="s">
        <v>566</v>
      </c>
      <c r="C165" s="20" t="s">
        <v>515</v>
      </c>
      <c r="D165" s="36">
        <v>1300</v>
      </c>
      <c r="E165" s="36">
        <v>26</v>
      </c>
      <c r="F165" s="36">
        <v>46</v>
      </c>
      <c r="G165" s="36">
        <v>0.92</v>
      </c>
      <c r="H165" s="36">
        <v>1346</v>
      </c>
      <c r="I165" s="36">
        <v>26.92</v>
      </c>
      <c r="J165" s="36">
        <v>50</v>
      </c>
    </row>
    <row r="166" spans="1:10" x14ac:dyDescent="0.3">
      <c r="A166" s="20" t="s">
        <v>365</v>
      </c>
      <c r="B166" s="20" t="s">
        <v>567</v>
      </c>
      <c r="C166" s="20" t="s">
        <v>515</v>
      </c>
      <c r="D166" s="36">
        <v>0</v>
      </c>
      <c r="E166" s="36">
        <v>0</v>
      </c>
      <c r="F166" s="36">
        <v>928</v>
      </c>
      <c r="G166" s="36">
        <v>18.559999999999999</v>
      </c>
      <c r="H166" s="36">
        <v>928</v>
      </c>
      <c r="I166" s="36">
        <v>18.559999999999999</v>
      </c>
      <c r="J166" s="36">
        <v>50</v>
      </c>
    </row>
    <row r="167" spans="1:10" x14ac:dyDescent="0.3">
      <c r="A167" s="20" t="s">
        <v>366</v>
      </c>
      <c r="B167" s="20" t="s">
        <v>568</v>
      </c>
      <c r="C167" s="20" t="s">
        <v>515</v>
      </c>
      <c r="D167" s="36">
        <v>0</v>
      </c>
      <c r="E167" s="36">
        <v>0</v>
      </c>
      <c r="F167" s="36">
        <v>96</v>
      </c>
      <c r="G167" s="36">
        <v>0.96</v>
      </c>
      <c r="H167" s="36">
        <v>96</v>
      </c>
      <c r="I167" s="36">
        <v>0.96</v>
      </c>
      <c r="J167" s="36">
        <v>100</v>
      </c>
    </row>
    <row r="168" spans="1:10" x14ac:dyDescent="0.3">
      <c r="A168" s="20" t="s">
        <v>367</v>
      </c>
      <c r="B168" s="20" t="s">
        <v>569</v>
      </c>
      <c r="C168" s="20" t="s">
        <v>515</v>
      </c>
      <c r="D168" s="36">
        <v>0</v>
      </c>
      <c r="E168" s="36">
        <v>0</v>
      </c>
      <c r="F168" s="36">
        <v>46</v>
      </c>
      <c r="G168" s="36">
        <v>0.92</v>
      </c>
      <c r="H168" s="36">
        <v>46</v>
      </c>
      <c r="I168" s="36">
        <v>0.92</v>
      </c>
      <c r="J168" s="36">
        <v>50</v>
      </c>
    </row>
    <row r="169" spans="1:10" x14ac:dyDescent="0.3">
      <c r="A169" s="20" t="s">
        <v>368</v>
      </c>
      <c r="B169" s="20" t="s">
        <v>570</v>
      </c>
      <c r="C169" s="20" t="s">
        <v>515</v>
      </c>
      <c r="D169" s="36">
        <v>250</v>
      </c>
      <c r="E169" s="36">
        <v>5</v>
      </c>
      <c r="F169" s="36">
        <v>48</v>
      </c>
      <c r="G169" s="36">
        <v>0.96</v>
      </c>
      <c r="H169" s="36">
        <v>298</v>
      </c>
      <c r="I169" s="36">
        <v>5.96</v>
      </c>
      <c r="J169" s="36">
        <v>50</v>
      </c>
    </row>
    <row r="170" spans="1:10" x14ac:dyDescent="0.3">
      <c r="A170" s="20" t="s">
        <v>369</v>
      </c>
      <c r="B170" s="20" t="s">
        <v>571</v>
      </c>
      <c r="C170" s="20" t="s">
        <v>515</v>
      </c>
      <c r="D170" s="36">
        <v>0</v>
      </c>
      <c r="E170" s="36">
        <v>0</v>
      </c>
      <c r="F170" s="36">
        <v>46</v>
      </c>
      <c r="G170" s="36">
        <v>0.92</v>
      </c>
      <c r="H170" s="36">
        <v>46</v>
      </c>
      <c r="I170" s="36">
        <v>0.92</v>
      </c>
      <c r="J170" s="36">
        <v>50</v>
      </c>
    </row>
    <row r="171" spans="1:10" x14ac:dyDescent="0.3">
      <c r="A171" s="20" t="s">
        <v>370</v>
      </c>
      <c r="B171" s="20" t="s">
        <v>572</v>
      </c>
      <c r="C171" s="20" t="s">
        <v>515</v>
      </c>
      <c r="D171" s="36">
        <v>0</v>
      </c>
      <c r="E171" s="36">
        <v>0</v>
      </c>
      <c r="F171" s="36">
        <v>46</v>
      </c>
      <c r="G171" s="36">
        <v>0.92</v>
      </c>
      <c r="H171" s="36">
        <v>46</v>
      </c>
      <c r="I171" s="36">
        <v>0.92</v>
      </c>
      <c r="J171" s="36">
        <v>50</v>
      </c>
    </row>
    <row r="172" spans="1:10" x14ac:dyDescent="0.3">
      <c r="A172" s="20" t="s">
        <v>371</v>
      </c>
      <c r="B172" s="20" t="s">
        <v>573</v>
      </c>
      <c r="C172" s="20" t="s">
        <v>515</v>
      </c>
      <c r="D172" s="36">
        <v>150</v>
      </c>
      <c r="E172" s="36">
        <v>3</v>
      </c>
      <c r="F172" s="36">
        <v>0</v>
      </c>
      <c r="G172" s="36">
        <v>0</v>
      </c>
      <c r="H172" s="36">
        <v>150</v>
      </c>
      <c r="I172" s="36">
        <v>3</v>
      </c>
      <c r="J172" s="36">
        <v>50</v>
      </c>
    </row>
    <row r="173" spans="1:10" x14ac:dyDescent="0.3">
      <c r="A173" s="20" t="s">
        <v>372</v>
      </c>
      <c r="B173" s="20" t="s">
        <v>574</v>
      </c>
      <c r="C173" s="20" t="s">
        <v>515</v>
      </c>
      <c r="D173" s="36">
        <v>0</v>
      </c>
      <c r="E173" s="36">
        <v>0</v>
      </c>
      <c r="F173" s="36">
        <v>99</v>
      </c>
      <c r="G173" s="36">
        <v>0.99</v>
      </c>
      <c r="H173" s="36">
        <v>99</v>
      </c>
      <c r="I173" s="36">
        <v>0.99</v>
      </c>
      <c r="J173" s="36">
        <v>100</v>
      </c>
    </row>
    <row r="174" spans="1:10" x14ac:dyDescent="0.3">
      <c r="A174" s="20" t="s">
        <v>373</v>
      </c>
      <c r="B174" s="20" t="s">
        <v>575</v>
      </c>
      <c r="C174" s="20" t="s">
        <v>515</v>
      </c>
      <c r="D174" s="36">
        <v>250</v>
      </c>
      <c r="E174" s="36">
        <v>5</v>
      </c>
      <c r="F174" s="36">
        <v>46</v>
      </c>
      <c r="G174" s="36">
        <v>0.92</v>
      </c>
      <c r="H174" s="36">
        <v>296</v>
      </c>
      <c r="I174" s="36">
        <v>5.92</v>
      </c>
      <c r="J174" s="36">
        <v>50</v>
      </c>
    </row>
    <row r="175" spans="1:10" x14ac:dyDescent="0.3">
      <c r="A175" s="20" t="s">
        <v>374</v>
      </c>
      <c r="B175" s="20" t="s">
        <v>576</v>
      </c>
      <c r="C175" s="20" t="s">
        <v>515</v>
      </c>
      <c r="D175" s="36">
        <v>0</v>
      </c>
      <c r="E175" s="36">
        <v>0</v>
      </c>
      <c r="F175" s="36">
        <v>48</v>
      </c>
      <c r="G175" s="36">
        <v>0.96</v>
      </c>
      <c r="H175" s="36">
        <v>48</v>
      </c>
      <c r="I175" s="36">
        <v>0.96</v>
      </c>
      <c r="J175" s="36">
        <v>50</v>
      </c>
    </row>
    <row r="176" spans="1:10" x14ac:dyDescent="0.3">
      <c r="A176" s="20" t="s">
        <v>375</v>
      </c>
      <c r="B176" s="20" t="s">
        <v>577</v>
      </c>
      <c r="C176" s="20" t="s">
        <v>515</v>
      </c>
      <c r="D176" s="36">
        <v>0</v>
      </c>
      <c r="E176" s="36">
        <v>0</v>
      </c>
      <c r="F176" s="36">
        <v>40</v>
      </c>
      <c r="G176" s="36">
        <v>0.8</v>
      </c>
      <c r="H176" s="36">
        <v>40</v>
      </c>
      <c r="I176" s="36">
        <v>0.8</v>
      </c>
      <c r="J176" s="36">
        <v>50</v>
      </c>
    </row>
    <row r="177" spans="1:10" x14ac:dyDescent="0.3">
      <c r="A177" s="20" t="s">
        <v>376</v>
      </c>
      <c r="B177" s="20" t="s">
        <v>578</v>
      </c>
      <c r="C177" s="20" t="s">
        <v>515</v>
      </c>
      <c r="D177" s="36">
        <v>13900</v>
      </c>
      <c r="E177" s="36">
        <v>278</v>
      </c>
      <c r="F177" s="36">
        <v>40</v>
      </c>
      <c r="G177" s="36">
        <v>0.8</v>
      </c>
      <c r="H177" s="36">
        <v>13940</v>
      </c>
      <c r="I177" s="36">
        <v>278.8</v>
      </c>
      <c r="J177" s="36">
        <v>50</v>
      </c>
    </row>
    <row r="178" spans="1:10" x14ac:dyDescent="0.3">
      <c r="A178" s="20" t="s">
        <v>377</v>
      </c>
      <c r="B178" s="20" t="s">
        <v>579</v>
      </c>
      <c r="C178" s="20" t="s">
        <v>515</v>
      </c>
      <c r="D178" s="36">
        <v>7300</v>
      </c>
      <c r="E178" s="36">
        <v>146</v>
      </c>
      <c r="F178" s="36">
        <v>41</v>
      </c>
      <c r="G178" s="36">
        <v>0.82</v>
      </c>
      <c r="H178" s="36">
        <v>7341</v>
      </c>
      <c r="I178" s="36">
        <v>146.82</v>
      </c>
      <c r="J178" s="36">
        <v>50</v>
      </c>
    </row>
    <row r="179" spans="1:10" x14ac:dyDescent="0.3">
      <c r="A179" s="20" t="s">
        <v>378</v>
      </c>
      <c r="B179" s="20" t="s">
        <v>580</v>
      </c>
      <c r="C179" s="20" t="s">
        <v>515</v>
      </c>
      <c r="D179" s="36">
        <v>0</v>
      </c>
      <c r="E179" s="36">
        <v>0</v>
      </c>
      <c r="F179" s="36">
        <v>46</v>
      </c>
      <c r="G179" s="36">
        <v>0.92</v>
      </c>
      <c r="H179" s="36">
        <v>46</v>
      </c>
      <c r="I179" s="36">
        <v>0.92</v>
      </c>
      <c r="J179" s="36">
        <v>50</v>
      </c>
    </row>
    <row r="180" spans="1:10" x14ac:dyDescent="0.3">
      <c r="A180" s="20" t="s">
        <v>379</v>
      </c>
      <c r="B180" s="20" t="s">
        <v>581</v>
      </c>
      <c r="C180" s="20" t="s">
        <v>515</v>
      </c>
      <c r="D180" s="36">
        <v>0</v>
      </c>
      <c r="E180" s="36">
        <v>0</v>
      </c>
      <c r="F180" s="36">
        <v>196</v>
      </c>
      <c r="G180" s="36">
        <v>3.92</v>
      </c>
      <c r="H180" s="36">
        <v>196</v>
      </c>
      <c r="I180" s="36">
        <v>3.92</v>
      </c>
      <c r="J180" s="36">
        <v>50</v>
      </c>
    </row>
    <row r="181" spans="1:10" x14ac:dyDescent="0.3">
      <c r="A181" s="20" t="s">
        <v>380</v>
      </c>
      <c r="B181" s="20" t="s">
        <v>582</v>
      </c>
      <c r="C181" s="20" t="s">
        <v>515</v>
      </c>
      <c r="D181" s="36">
        <v>250</v>
      </c>
      <c r="E181" s="36">
        <v>5</v>
      </c>
      <c r="F181" s="36">
        <v>43</v>
      </c>
      <c r="G181" s="36">
        <v>0.86</v>
      </c>
      <c r="H181" s="36">
        <v>293</v>
      </c>
      <c r="I181" s="36">
        <v>5.86</v>
      </c>
      <c r="J181" s="36">
        <v>50</v>
      </c>
    </row>
    <row r="182" spans="1:10" x14ac:dyDescent="0.3">
      <c r="A182" s="20" t="s">
        <v>381</v>
      </c>
      <c r="B182" s="20" t="s">
        <v>583</v>
      </c>
      <c r="C182" s="20" t="s">
        <v>515</v>
      </c>
      <c r="D182" s="36">
        <v>0</v>
      </c>
      <c r="E182" s="36">
        <v>0</v>
      </c>
      <c r="F182" s="36">
        <v>46</v>
      </c>
      <c r="G182" s="36">
        <v>0.92</v>
      </c>
      <c r="H182" s="36">
        <v>46</v>
      </c>
      <c r="I182" s="36">
        <v>0.92</v>
      </c>
      <c r="J182" s="36">
        <v>50</v>
      </c>
    </row>
    <row r="183" spans="1:10" x14ac:dyDescent="0.3">
      <c r="A183" s="20" t="s">
        <v>382</v>
      </c>
      <c r="B183" s="20" t="s">
        <v>584</v>
      </c>
      <c r="C183" s="20" t="s">
        <v>515</v>
      </c>
      <c r="D183" s="36">
        <v>700</v>
      </c>
      <c r="E183" s="36">
        <v>14</v>
      </c>
      <c r="F183" s="36">
        <v>46</v>
      </c>
      <c r="G183" s="36">
        <v>0.92</v>
      </c>
      <c r="H183" s="36">
        <v>746</v>
      </c>
      <c r="I183" s="36">
        <v>14.92</v>
      </c>
      <c r="J183" s="36">
        <v>50</v>
      </c>
    </row>
    <row r="184" spans="1:10" x14ac:dyDescent="0.3">
      <c r="A184" s="20" t="s">
        <v>383</v>
      </c>
      <c r="B184" s="20" t="s">
        <v>585</v>
      </c>
      <c r="C184" s="20" t="s">
        <v>515</v>
      </c>
      <c r="D184" s="36">
        <v>0</v>
      </c>
      <c r="E184" s="36">
        <v>0</v>
      </c>
      <c r="F184" s="36">
        <v>235</v>
      </c>
      <c r="G184" s="36">
        <v>4.7</v>
      </c>
      <c r="H184" s="36">
        <v>235</v>
      </c>
      <c r="I184" s="36">
        <v>4.7</v>
      </c>
      <c r="J184" s="36">
        <v>50</v>
      </c>
    </row>
    <row r="185" spans="1:10" x14ac:dyDescent="0.3">
      <c r="A185" s="20" t="s">
        <v>384</v>
      </c>
      <c r="B185" s="20" t="s">
        <v>586</v>
      </c>
      <c r="C185" s="20" t="s">
        <v>515</v>
      </c>
      <c r="D185" s="36">
        <v>600</v>
      </c>
      <c r="E185" s="36">
        <v>12</v>
      </c>
      <c r="F185" s="36">
        <v>387</v>
      </c>
      <c r="G185" s="36">
        <v>7.74</v>
      </c>
      <c r="H185" s="36">
        <v>987</v>
      </c>
      <c r="I185" s="36">
        <v>19.739999999999998</v>
      </c>
      <c r="J185" s="36">
        <v>50</v>
      </c>
    </row>
    <row r="186" spans="1:10" x14ac:dyDescent="0.3">
      <c r="A186" s="20" t="s">
        <v>385</v>
      </c>
      <c r="B186" s="20" t="s">
        <v>587</v>
      </c>
      <c r="C186" s="20" t="s">
        <v>515</v>
      </c>
      <c r="D186" s="36">
        <v>3242</v>
      </c>
      <c r="E186" s="36">
        <v>64.84</v>
      </c>
      <c r="F186" s="36">
        <v>48</v>
      </c>
      <c r="G186" s="36">
        <v>0.96</v>
      </c>
      <c r="H186" s="36">
        <v>3290</v>
      </c>
      <c r="I186" s="36">
        <v>65.8</v>
      </c>
      <c r="J186" s="36">
        <v>50</v>
      </c>
    </row>
    <row r="187" spans="1:10" x14ac:dyDescent="0.3">
      <c r="A187" s="20" t="s">
        <v>386</v>
      </c>
      <c r="B187" s="20" t="s">
        <v>588</v>
      </c>
      <c r="C187" s="20" t="s">
        <v>515</v>
      </c>
      <c r="D187" s="36">
        <v>250</v>
      </c>
      <c r="E187" s="36">
        <v>5</v>
      </c>
      <c r="F187" s="36">
        <v>48</v>
      </c>
      <c r="G187" s="36">
        <v>0.96</v>
      </c>
      <c r="H187" s="36">
        <v>298</v>
      </c>
      <c r="I187" s="36">
        <v>5.96</v>
      </c>
      <c r="J187" s="36">
        <v>50</v>
      </c>
    </row>
    <row r="188" spans="1:10" x14ac:dyDescent="0.3">
      <c r="A188" s="20" t="s">
        <v>490</v>
      </c>
      <c r="B188" s="20" t="s">
        <v>491</v>
      </c>
      <c r="C188" s="20" t="s">
        <v>515</v>
      </c>
      <c r="D188" s="36">
        <v>0</v>
      </c>
      <c r="E188" s="36">
        <v>0</v>
      </c>
      <c r="F188" s="36">
        <v>0</v>
      </c>
      <c r="G188" s="36">
        <v>0</v>
      </c>
      <c r="H188" s="36">
        <v>0</v>
      </c>
      <c r="I188" s="36">
        <v>0</v>
      </c>
      <c r="J188" s="36">
        <v>0</v>
      </c>
    </row>
    <row r="189" spans="1:10" x14ac:dyDescent="0.3">
      <c r="A189" s="20" t="s">
        <v>492</v>
      </c>
      <c r="B189" s="20" t="s">
        <v>493</v>
      </c>
      <c r="C189" s="20" t="s">
        <v>515</v>
      </c>
      <c r="D189" s="36">
        <v>0</v>
      </c>
      <c r="E189" s="36">
        <v>0</v>
      </c>
      <c r="F189" s="36">
        <v>0</v>
      </c>
      <c r="G189" s="36">
        <v>0</v>
      </c>
      <c r="H189" s="36">
        <v>0</v>
      </c>
      <c r="I189" s="36">
        <v>0</v>
      </c>
      <c r="J189" s="36">
        <v>0</v>
      </c>
    </row>
    <row r="190" spans="1:10" x14ac:dyDescent="0.3">
      <c r="A190" s="20" t="s">
        <v>589</v>
      </c>
      <c r="B190" s="20" t="s">
        <v>590</v>
      </c>
      <c r="C190" s="20" t="s">
        <v>515</v>
      </c>
      <c r="D190" s="36">
        <v>432</v>
      </c>
      <c r="E190" s="36">
        <v>9</v>
      </c>
      <c r="F190" s="36">
        <v>45</v>
      </c>
      <c r="G190" s="36">
        <v>0.9375</v>
      </c>
      <c r="H190" s="36">
        <v>477</v>
      </c>
      <c r="I190" s="36">
        <v>9.9375</v>
      </c>
      <c r="J190" s="36">
        <v>48</v>
      </c>
    </row>
    <row r="191" spans="1:10" x14ac:dyDescent="0.3">
      <c r="A191" s="20" t="s">
        <v>591</v>
      </c>
      <c r="B191" s="20" t="s">
        <v>592</v>
      </c>
      <c r="C191" s="20" t="s">
        <v>515</v>
      </c>
      <c r="D191" s="36">
        <v>576</v>
      </c>
      <c r="E191" s="36">
        <v>12</v>
      </c>
      <c r="F191" s="36">
        <v>45</v>
      </c>
      <c r="G191" s="36">
        <v>0.9375</v>
      </c>
      <c r="H191" s="36">
        <v>621</v>
      </c>
      <c r="I191" s="36">
        <v>12.9375</v>
      </c>
      <c r="J191" s="36">
        <v>48</v>
      </c>
    </row>
    <row r="192" spans="1:10" x14ac:dyDescent="0.3">
      <c r="A192" s="20" t="s">
        <v>593</v>
      </c>
      <c r="B192" s="20" t="s">
        <v>594</v>
      </c>
      <c r="C192" s="20" t="s">
        <v>515</v>
      </c>
      <c r="D192" s="36">
        <v>1968</v>
      </c>
      <c r="E192" s="36">
        <v>82</v>
      </c>
      <c r="F192" s="36">
        <v>21</v>
      </c>
      <c r="G192" s="36">
        <v>0.875</v>
      </c>
      <c r="H192" s="36">
        <v>1989</v>
      </c>
      <c r="I192" s="36">
        <v>82.875</v>
      </c>
      <c r="J192" s="36">
        <v>24</v>
      </c>
    </row>
    <row r="193" spans="1:10" x14ac:dyDescent="0.3">
      <c r="A193" s="20" t="s">
        <v>595</v>
      </c>
      <c r="B193" s="20" t="s">
        <v>596</v>
      </c>
      <c r="C193" s="20" t="s">
        <v>515</v>
      </c>
      <c r="D193" s="36">
        <v>2112</v>
      </c>
      <c r="E193" s="36">
        <v>88</v>
      </c>
      <c r="F193" s="36">
        <v>21</v>
      </c>
      <c r="G193" s="36">
        <v>0.875</v>
      </c>
      <c r="H193" s="36">
        <v>2133</v>
      </c>
      <c r="I193" s="36">
        <v>88.875</v>
      </c>
      <c r="J193" s="36">
        <v>24</v>
      </c>
    </row>
    <row r="194" spans="1:10" x14ac:dyDescent="0.3">
      <c r="A194" s="20" t="s">
        <v>597</v>
      </c>
      <c r="B194" s="20" t="s">
        <v>598</v>
      </c>
      <c r="C194" s="20" t="s">
        <v>515</v>
      </c>
      <c r="D194" s="36">
        <v>1848</v>
      </c>
      <c r="E194" s="36">
        <v>77</v>
      </c>
      <c r="F194" s="36">
        <v>21</v>
      </c>
      <c r="G194" s="36">
        <v>0.875</v>
      </c>
      <c r="H194" s="36">
        <v>1869</v>
      </c>
      <c r="I194" s="36">
        <v>77.875</v>
      </c>
      <c r="J194" s="36">
        <v>24</v>
      </c>
    </row>
    <row r="195" spans="1:10" x14ac:dyDescent="0.3">
      <c r="A195" s="20" t="s">
        <v>599</v>
      </c>
      <c r="B195" s="20" t="s">
        <v>600</v>
      </c>
      <c r="C195" s="20" t="s">
        <v>515</v>
      </c>
      <c r="D195" s="36">
        <v>6921</v>
      </c>
      <c r="E195" s="36">
        <v>173.02500000000001</v>
      </c>
      <c r="F195" s="36">
        <v>36</v>
      </c>
      <c r="G195" s="36">
        <v>0.9</v>
      </c>
      <c r="H195" s="36">
        <v>6957</v>
      </c>
      <c r="I195" s="36">
        <v>173.92500000000001</v>
      </c>
      <c r="J195" s="36">
        <v>40</v>
      </c>
    </row>
    <row r="196" spans="1:10" x14ac:dyDescent="0.3">
      <c r="A196" s="20" t="s">
        <v>601</v>
      </c>
      <c r="B196" s="20" t="s">
        <v>602</v>
      </c>
      <c r="C196" s="20" t="s">
        <v>515</v>
      </c>
      <c r="D196" s="36">
        <v>2064</v>
      </c>
      <c r="E196" s="36">
        <v>172</v>
      </c>
      <c r="F196" s="36">
        <v>9</v>
      </c>
      <c r="G196" s="36">
        <v>0.75</v>
      </c>
      <c r="H196" s="36">
        <v>2073</v>
      </c>
      <c r="I196" s="36">
        <v>172.75</v>
      </c>
      <c r="J196" s="36">
        <v>12</v>
      </c>
    </row>
    <row r="197" spans="1:10" x14ac:dyDescent="0.3">
      <c r="A197" s="20" t="s">
        <v>603</v>
      </c>
      <c r="B197" s="20" t="s">
        <v>604</v>
      </c>
      <c r="C197" s="20" t="s">
        <v>515</v>
      </c>
      <c r="D197" s="36">
        <v>1848</v>
      </c>
      <c r="E197" s="36">
        <v>154</v>
      </c>
      <c r="F197" s="36">
        <v>9</v>
      </c>
      <c r="G197" s="36">
        <v>0.75</v>
      </c>
      <c r="H197" s="36">
        <v>1857</v>
      </c>
      <c r="I197" s="36">
        <v>154.75</v>
      </c>
      <c r="J197" s="36">
        <v>12</v>
      </c>
    </row>
    <row r="198" spans="1:10" x14ac:dyDescent="0.3">
      <c r="A198" s="20" t="s">
        <v>605</v>
      </c>
      <c r="B198" s="20" t="s">
        <v>606</v>
      </c>
      <c r="C198" s="20" t="s">
        <v>515</v>
      </c>
      <c r="D198" s="36">
        <v>840</v>
      </c>
      <c r="E198" s="36">
        <v>70</v>
      </c>
      <c r="F198" s="36">
        <v>9</v>
      </c>
      <c r="G198" s="36">
        <v>0.75</v>
      </c>
      <c r="H198" s="36">
        <v>849</v>
      </c>
      <c r="I198" s="36">
        <v>70.75</v>
      </c>
      <c r="J198" s="36">
        <v>12</v>
      </c>
    </row>
    <row r="199" spans="1:10" x14ac:dyDescent="0.3">
      <c r="A199" s="20" t="s">
        <v>607</v>
      </c>
      <c r="B199" s="20" t="s">
        <v>608</v>
      </c>
      <c r="C199" s="20" t="s">
        <v>515</v>
      </c>
      <c r="D199" s="36">
        <v>0</v>
      </c>
      <c r="E199" s="36">
        <v>0</v>
      </c>
      <c r="F199" s="36">
        <v>37</v>
      </c>
      <c r="G199" s="36">
        <v>0.92500000000000004</v>
      </c>
      <c r="H199" s="36">
        <v>37</v>
      </c>
      <c r="I199" s="36">
        <v>0.92500000000000004</v>
      </c>
      <c r="J199" s="36">
        <v>40</v>
      </c>
    </row>
    <row r="200" spans="1:10" x14ac:dyDescent="0.3">
      <c r="A200" s="20" t="s">
        <v>609</v>
      </c>
      <c r="B200" s="20" t="s">
        <v>610</v>
      </c>
      <c r="C200" s="20" t="s">
        <v>515</v>
      </c>
      <c r="D200" s="36">
        <v>4656</v>
      </c>
      <c r="E200" s="36">
        <v>194</v>
      </c>
      <c r="F200" s="36">
        <v>21</v>
      </c>
      <c r="G200" s="36">
        <v>0.875</v>
      </c>
      <c r="H200" s="36">
        <v>4677</v>
      </c>
      <c r="I200" s="36">
        <v>194.875</v>
      </c>
      <c r="J200" s="36">
        <v>24</v>
      </c>
    </row>
    <row r="201" spans="1:10" x14ac:dyDescent="0.3">
      <c r="A201" s="20" t="s">
        <v>611</v>
      </c>
      <c r="B201" s="20" t="s">
        <v>612</v>
      </c>
      <c r="C201" s="20" t="s">
        <v>515</v>
      </c>
      <c r="D201" s="36">
        <v>0</v>
      </c>
      <c r="E201" s="36">
        <v>0</v>
      </c>
      <c r="F201" s="36">
        <v>21</v>
      </c>
      <c r="G201" s="36">
        <v>0.875</v>
      </c>
      <c r="H201" s="36">
        <v>21</v>
      </c>
      <c r="I201" s="36">
        <v>0.875</v>
      </c>
      <c r="J201" s="36">
        <v>24</v>
      </c>
    </row>
    <row r="202" spans="1:10" x14ac:dyDescent="0.3">
      <c r="A202" s="20" t="s">
        <v>613</v>
      </c>
      <c r="B202" s="20" t="s">
        <v>614</v>
      </c>
      <c r="C202" s="20" t="s">
        <v>515</v>
      </c>
      <c r="D202" s="36">
        <v>48</v>
      </c>
      <c r="E202" s="36">
        <v>2</v>
      </c>
      <c r="F202" s="36">
        <v>21</v>
      </c>
      <c r="G202" s="36">
        <v>0.875</v>
      </c>
      <c r="H202" s="36">
        <v>69</v>
      </c>
      <c r="I202" s="36">
        <v>2.875</v>
      </c>
      <c r="J202" s="36">
        <v>24</v>
      </c>
    </row>
    <row r="203" spans="1:10" x14ac:dyDescent="0.3">
      <c r="A203" s="20" t="s">
        <v>615</v>
      </c>
      <c r="B203" s="20" t="s">
        <v>616</v>
      </c>
      <c r="C203" s="20" t="s">
        <v>515</v>
      </c>
      <c r="D203" s="36">
        <v>1332</v>
      </c>
      <c r="E203" s="36">
        <v>111</v>
      </c>
      <c r="F203" s="36">
        <v>9</v>
      </c>
      <c r="G203" s="36">
        <v>0.75</v>
      </c>
      <c r="H203" s="36">
        <v>1341</v>
      </c>
      <c r="I203" s="36">
        <v>111.75</v>
      </c>
      <c r="J203" s="36">
        <v>12</v>
      </c>
    </row>
    <row r="204" spans="1:10" x14ac:dyDescent="0.3">
      <c r="A204" s="20" t="s">
        <v>617</v>
      </c>
      <c r="B204" s="20" t="s">
        <v>616</v>
      </c>
      <c r="C204" s="20" t="s">
        <v>515</v>
      </c>
      <c r="D204" s="36">
        <v>1080</v>
      </c>
      <c r="E204" s="36">
        <v>90</v>
      </c>
      <c r="F204" s="36">
        <v>9</v>
      </c>
      <c r="G204" s="36">
        <v>0.75</v>
      </c>
      <c r="H204" s="36">
        <v>1089</v>
      </c>
      <c r="I204" s="36">
        <v>90.75</v>
      </c>
      <c r="J204" s="36">
        <v>12</v>
      </c>
    </row>
    <row r="205" spans="1:10" x14ac:dyDescent="0.3">
      <c r="A205" s="20" t="s">
        <v>618</v>
      </c>
      <c r="B205" s="20" t="s">
        <v>619</v>
      </c>
      <c r="C205" s="20" t="s">
        <v>515</v>
      </c>
      <c r="D205" s="36">
        <v>0</v>
      </c>
      <c r="E205" s="36">
        <v>0</v>
      </c>
      <c r="F205" s="36">
        <v>21</v>
      </c>
      <c r="G205" s="36">
        <v>0.875</v>
      </c>
      <c r="H205" s="36">
        <v>21</v>
      </c>
      <c r="I205" s="36">
        <v>0.875</v>
      </c>
      <c r="J205" s="36">
        <v>24</v>
      </c>
    </row>
    <row r="206" spans="1:10" x14ac:dyDescent="0.3">
      <c r="A206" s="20" t="s">
        <v>620</v>
      </c>
      <c r="B206" s="20" t="s">
        <v>621</v>
      </c>
      <c r="C206" s="20" t="s">
        <v>515</v>
      </c>
      <c r="D206" s="36">
        <v>96</v>
      </c>
      <c r="E206" s="36">
        <v>4</v>
      </c>
      <c r="F206" s="36">
        <v>21</v>
      </c>
      <c r="G206" s="36">
        <v>0.875</v>
      </c>
      <c r="H206" s="36">
        <v>117</v>
      </c>
      <c r="I206" s="36">
        <v>4.875</v>
      </c>
      <c r="J206" s="36">
        <v>24</v>
      </c>
    </row>
    <row r="207" spans="1:10" x14ac:dyDescent="0.3">
      <c r="A207" s="20" t="s">
        <v>387</v>
      </c>
      <c r="B207" s="20" t="s">
        <v>610</v>
      </c>
      <c r="C207" s="20" t="s">
        <v>515</v>
      </c>
      <c r="D207" s="36">
        <v>0</v>
      </c>
      <c r="E207" s="36">
        <v>0</v>
      </c>
      <c r="F207" s="36">
        <v>20</v>
      </c>
      <c r="G207" s="36">
        <v>0.83333000000000002</v>
      </c>
      <c r="H207" s="36">
        <v>20</v>
      </c>
      <c r="I207" s="36">
        <v>0.83333000000000002</v>
      </c>
      <c r="J207" s="36">
        <v>24</v>
      </c>
    </row>
    <row r="208" spans="1:10" x14ac:dyDescent="0.3">
      <c r="A208" s="20" t="s">
        <v>388</v>
      </c>
      <c r="B208" s="20" t="s">
        <v>612</v>
      </c>
      <c r="C208" s="20" t="s">
        <v>515</v>
      </c>
      <c r="D208" s="36">
        <v>0</v>
      </c>
      <c r="E208" s="36">
        <v>0</v>
      </c>
      <c r="F208" s="36">
        <v>20</v>
      </c>
      <c r="G208" s="36">
        <v>0.83333000000000002</v>
      </c>
      <c r="H208" s="36">
        <v>20</v>
      </c>
      <c r="I208" s="36">
        <v>0.83333000000000002</v>
      </c>
      <c r="J208" s="36">
        <v>24</v>
      </c>
    </row>
    <row r="209" spans="1:10" x14ac:dyDescent="0.3">
      <c r="A209" s="20" t="s">
        <v>622</v>
      </c>
      <c r="B209" s="20" t="s">
        <v>623</v>
      </c>
      <c r="C209" s="20" t="s">
        <v>515</v>
      </c>
      <c r="D209" s="36">
        <v>1536</v>
      </c>
      <c r="E209" s="36">
        <v>32</v>
      </c>
      <c r="F209" s="36">
        <v>45</v>
      </c>
      <c r="G209" s="36">
        <v>0.9375</v>
      </c>
      <c r="H209" s="36">
        <v>1581</v>
      </c>
      <c r="I209" s="36">
        <v>32.9375</v>
      </c>
      <c r="J209" s="36">
        <v>48</v>
      </c>
    </row>
    <row r="210" spans="1:10" x14ac:dyDescent="0.3">
      <c r="A210" s="20" t="s">
        <v>15</v>
      </c>
      <c r="B210" s="20" t="s">
        <v>16</v>
      </c>
      <c r="C210" s="20" t="s">
        <v>503</v>
      </c>
      <c r="D210" s="36">
        <v>0</v>
      </c>
      <c r="E210" s="36">
        <v>0</v>
      </c>
      <c r="F210" s="36">
        <v>0</v>
      </c>
      <c r="G210" s="36">
        <v>0</v>
      </c>
      <c r="H210" s="36">
        <v>0</v>
      </c>
      <c r="I210" s="36">
        <v>0</v>
      </c>
      <c r="J210" s="36">
        <v>0</v>
      </c>
    </row>
    <row r="211" spans="1:10" x14ac:dyDescent="0.3">
      <c r="A211" s="20" t="s">
        <v>17</v>
      </c>
      <c r="B211" s="20" t="s">
        <v>18</v>
      </c>
      <c r="C211" s="20" t="s">
        <v>502</v>
      </c>
      <c r="D211" s="36">
        <v>49</v>
      </c>
      <c r="E211" s="36">
        <v>49</v>
      </c>
      <c r="F211" s="36">
        <v>1</v>
      </c>
      <c r="G211" s="36">
        <v>1</v>
      </c>
      <c r="H211" s="36">
        <v>50</v>
      </c>
      <c r="I211" s="36">
        <v>50</v>
      </c>
      <c r="J211" s="36">
        <v>1</v>
      </c>
    </row>
    <row r="212" spans="1:10" x14ac:dyDescent="0.3">
      <c r="A212" s="20" t="s">
        <v>19</v>
      </c>
      <c r="B212" s="20" t="s">
        <v>20</v>
      </c>
      <c r="C212" s="20" t="s">
        <v>502</v>
      </c>
      <c r="D212" s="36">
        <v>9</v>
      </c>
      <c r="E212" s="36">
        <v>9</v>
      </c>
      <c r="F212" s="36">
        <v>0</v>
      </c>
      <c r="G212" s="36">
        <v>0</v>
      </c>
      <c r="H212" s="36">
        <v>9</v>
      </c>
      <c r="I212" s="36">
        <v>9</v>
      </c>
      <c r="J212" s="36">
        <v>1</v>
      </c>
    </row>
    <row r="213" spans="1:10" x14ac:dyDescent="0.3">
      <c r="A213" s="20" t="s">
        <v>21</v>
      </c>
      <c r="B213" s="20" t="s">
        <v>22</v>
      </c>
      <c r="C213" s="20" t="s">
        <v>503</v>
      </c>
      <c r="D213" s="36">
        <v>0</v>
      </c>
      <c r="E213" s="36">
        <v>0</v>
      </c>
      <c r="F213" s="36">
        <v>0</v>
      </c>
      <c r="G213" s="36">
        <v>0</v>
      </c>
      <c r="H213" s="36">
        <v>0</v>
      </c>
      <c r="I213" s="36">
        <v>0</v>
      </c>
      <c r="J213" s="36">
        <v>0</v>
      </c>
    </row>
    <row r="214" spans="1:10" x14ac:dyDescent="0.3">
      <c r="A214" s="20" t="s">
        <v>23</v>
      </c>
      <c r="B214" s="20" t="s">
        <v>24</v>
      </c>
      <c r="C214" s="20" t="s">
        <v>502</v>
      </c>
      <c r="D214" s="36">
        <v>3071</v>
      </c>
      <c r="E214" s="36">
        <v>3071</v>
      </c>
      <c r="F214" s="36">
        <v>1</v>
      </c>
      <c r="G214" s="36">
        <v>1</v>
      </c>
      <c r="H214" s="36">
        <v>3072</v>
      </c>
      <c r="I214" s="36">
        <v>3072</v>
      </c>
      <c r="J214" s="36">
        <v>1</v>
      </c>
    </row>
    <row r="215" spans="1:10" x14ac:dyDescent="0.3">
      <c r="A215" s="20" t="s">
        <v>25</v>
      </c>
      <c r="B215" s="20" t="s">
        <v>26</v>
      </c>
      <c r="C215" s="20" t="s">
        <v>502</v>
      </c>
      <c r="D215" s="36">
        <v>1434</v>
      </c>
      <c r="E215" s="36">
        <v>1434</v>
      </c>
      <c r="F215" s="36">
        <v>0</v>
      </c>
      <c r="G215" s="36">
        <v>0</v>
      </c>
      <c r="H215" s="36">
        <v>1434</v>
      </c>
      <c r="I215" s="36">
        <v>1434</v>
      </c>
      <c r="J215" s="36">
        <v>1</v>
      </c>
    </row>
    <row r="216" spans="1:10" x14ac:dyDescent="0.3">
      <c r="A216" s="20" t="s">
        <v>27</v>
      </c>
      <c r="B216" s="20" t="s">
        <v>28</v>
      </c>
      <c r="C216" s="20" t="s">
        <v>502</v>
      </c>
      <c r="D216" s="36">
        <v>3256</v>
      </c>
      <c r="E216" s="36">
        <v>3256</v>
      </c>
      <c r="F216" s="36">
        <v>0</v>
      </c>
      <c r="G216" s="36">
        <v>0</v>
      </c>
      <c r="H216" s="36">
        <v>3256</v>
      </c>
      <c r="I216" s="36">
        <v>3256</v>
      </c>
      <c r="J216" s="36">
        <v>1</v>
      </c>
    </row>
    <row r="217" spans="1:10" x14ac:dyDescent="0.3">
      <c r="A217" s="20" t="s">
        <v>29</v>
      </c>
      <c r="B217" s="20" t="s">
        <v>30</v>
      </c>
      <c r="C217" s="20" t="s">
        <v>502</v>
      </c>
      <c r="D217" s="36">
        <v>1156</v>
      </c>
      <c r="E217" s="36">
        <v>1156</v>
      </c>
      <c r="F217" s="36">
        <v>2</v>
      </c>
      <c r="G217" s="36">
        <v>2</v>
      </c>
      <c r="H217" s="36">
        <v>1158</v>
      </c>
      <c r="I217" s="36">
        <v>1158</v>
      </c>
      <c r="J217" s="36">
        <v>1</v>
      </c>
    </row>
    <row r="218" spans="1:10" x14ac:dyDescent="0.3">
      <c r="A218" s="20" t="s">
        <v>31</v>
      </c>
      <c r="B218" s="20" t="s">
        <v>32</v>
      </c>
      <c r="C218" s="20" t="s">
        <v>502</v>
      </c>
      <c r="D218" s="36">
        <v>0</v>
      </c>
      <c r="E218" s="36">
        <v>0</v>
      </c>
      <c r="F218" s="36">
        <v>5</v>
      </c>
      <c r="G218" s="36">
        <v>5</v>
      </c>
      <c r="H218" s="36">
        <v>5</v>
      </c>
      <c r="I218" s="36">
        <v>5</v>
      </c>
      <c r="J218" s="36">
        <v>1</v>
      </c>
    </row>
    <row r="219" spans="1:10" x14ac:dyDescent="0.3">
      <c r="A219" s="20" t="s">
        <v>33</v>
      </c>
      <c r="B219" s="20" t="s">
        <v>34</v>
      </c>
      <c r="C219" s="20" t="s">
        <v>502</v>
      </c>
      <c r="D219" s="36">
        <v>1</v>
      </c>
      <c r="E219" s="36">
        <v>1</v>
      </c>
      <c r="F219" s="36">
        <v>3</v>
      </c>
      <c r="G219" s="36">
        <v>3</v>
      </c>
      <c r="H219" s="36">
        <v>4</v>
      </c>
      <c r="I219" s="36">
        <v>4</v>
      </c>
      <c r="J219" s="36">
        <v>1</v>
      </c>
    </row>
    <row r="220" spans="1:10" x14ac:dyDescent="0.3">
      <c r="A220" s="20" t="s">
        <v>35</v>
      </c>
      <c r="B220" s="20" t="s">
        <v>36</v>
      </c>
      <c r="C220" s="20" t="s">
        <v>502</v>
      </c>
      <c r="D220" s="36">
        <v>0</v>
      </c>
      <c r="E220" s="36">
        <v>0</v>
      </c>
      <c r="F220" s="36">
        <v>0</v>
      </c>
      <c r="G220" s="36">
        <v>0</v>
      </c>
      <c r="H220" s="36">
        <v>0</v>
      </c>
      <c r="I220" s="36">
        <v>0</v>
      </c>
      <c r="J220" s="36">
        <v>1</v>
      </c>
    </row>
    <row r="221" spans="1:10" x14ac:dyDescent="0.3">
      <c r="A221" s="20" t="s">
        <v>451</v>
      </c>
      <c r="B221" s="20" t="s">
        <v>452</v>
      </c>
      <c r="C221" s="20" t="s">
        <v>503</v>
      </c>
      <c r="D221" s="36">
        <v>0</v>
      </c>
      <c r="E221" s="36">
        <v>0</v>
      </c>
      <c r="F221" s="36">
        <v>0</v>
      </c>
      <c r="G221" s="36">
        <v>0</v>
      </c>
      <c r="H221" s="36">
        <v>0</v>
      </c>
      <c r="I221" s="36">
        <v>0</v>
      </c>
      <c r="J221" s="36">
        <v>0</v>
      </c>
    </row>
    <row r="222" spans="1:10" x14ac:dyDescent="0.3">
      <c r="A222" s="20" t="s">
        <v>389</v>
      </c>
      <c r="B222" s="20" t="s">
        <v>624</v>
      </c>
      <c r="C222" s="20" t="s">
        <v>515</v>
      </c>
      <c r="D222" s="36">
        <v>0</v>
      </c>
      <c r="E222" s="36">
        <v>0</v>
      </c>
      <c r="F222" s="36">
        <v>12</v>
      </c>
      <c r="G222" s="36">
        <v>0.5</v>
      </c>
      <c r="H222" s="36">
        <v>12</v>
      </c>
      <c r="I222" s="36">
        <v>0.5</v>
      </c>
      <c r="J222" s="36">
        <v>24</v>
      </c>
    </row>
    <row r="223" spans="1:10" x14ac:dyDescent="0.3">
      <c r="A223" s="20" t="s">
        <v>390</v>
      </c>
      <c r="B223" s="20" t="s">
        <v>625</v>
      </c>
      <c r="C223" s="20" t="s">
        <v>515</v>
      </c>
      <c r="D223" s="36">
        <v>10416</v>
      </c>
      <c r="E223" s="36">
        <v>217</v>
      </c>
      <c r="F223" s="36">
        <v>0</v>
      </c>
      <c r="G223" s="36">
        <v>0</v>
      </c>
      <c r="H223" s="36">
        <v>10416</v>
      </c>
      <c r="I223" s="36">
        <v>217</v>
      </c>
      <c r="J223" s="36">
        <v>48</v>
      </c>
    </row>
    <row r="224" spans="1:10" x14ac:dyDescent="0.3">
      <c r="A224" s="20" t="s">
        <v>675</v>
      </c>
      <c r="B224" s="20" t="s">
        <v>676</v>
      </c>
      <c r="C224" s="20" t="s">
        <v>515</v>
      </c>
      <c r="D224" s="36">
        <v>144</v>
      </c>
      <c r="E224" s="36">
        <v>3</v>
      </c>
      <c r="F224" s="36">
        <v>42</v>
      </c>
      <c r="G224" s="36">
        <v>0.875</v>
      </c>
      <c r="H224" s="36">
        <v>186</v>
      </c>
      <c r="I224" s="36">
        <v>3.875</v>
      </c>
      <c r="J224" s="36">
        <v>48</v>
      </c>
    </row>
    <row r="225" spans="1:10" x14ac:dyDescent="0.3">
      <c r="A225" s="20" t="s">
        <v>391</v>
      </c>
      <c r="B225" s="20" t="s">
        <v>626</v>
      </c>
      <c r="C225" s="20" t="s">
        <v>515</v>
      </c>
      <c r="D225" s="36">
        <v>11184</v>
      </c>
      <c r="E225" s="36">
        <v>233</v>
      </c>
      <c r="F225" s="36">
        <v>6</v>
      </c>
      <c r="G225" s="36">
        <v>0.125</v>
      </c>
      <c r="H225" s="36">
        <v>11190</v>
      </c>
      <c r="I225" s="36">
        <v>233.125</v>
      </c>
      <c r="J225" s="36">
        <v>48</v>
      </c>
    </row>
    <row r="226" spans="1:10" x14ac:dyDescent="0.3">
      <c r="A226" s="20" t="s">
        <v>392</v>
      </c>
      <c r="B226" s="20" t="s">
        <v>627</v>
      </c>
      <c r="C226" s="20" t="s">
        <v>515</v>
      </c>
      <c r="D226" s="36">
        <v>11280</v>
      </c>
      <c r="E226" s="36">
        <v>235</v>
      </c>
      <c r="F226" s="36">
        <v>84</v>
      </c>
      <c r="G226" s="36">
        <v>1.75</v>
      </c>
      <c r="H226" s="36">
        <v>11364</v>
      </c>
      <c r="I226" s="36">
        <v>236.75</v>
      </c>
      <c r="J226" s="36">
        <v>48</v>
      </c>
    </row>
    <row r="227" spans="1:10" x14ac:dyDescent="0.3">
      <c r="A227" s="20" t="s">
        <v>393</v>
      </c>
      <c r="B227" s="20" t="s">
        <v>628</v>
      </c>
      <c r="C227" s="20" t="s">
        <v>515</v>
      </c>
      <c r="D227" s="36">
        <v>5688</v>
      </c>
      <c r="E227" s="36">
        <v>237</v>
      </c>
      <c r="F227" s="36">
        <v>18</v>
      </c>
      <c r="G227" s="36">
        <v>0.75</v>
      </c>
      <c r="H227" s="36">
        <v>5706</v>
      </c>
      <c r="I227" s="36">
        <v>237.75</v>
      </c>
      <c r="J227" s="36">
        <v>24</v>
      </c>
    </row>
    <row r="228" spans="1:10" x14ac:dyDescent="0.3">
      <c r="A228" s="20" t="s">
        <v>394</v>
      </c>
      <c r="B228" s="20" t="s">
        <v>629</v>
      </c>
      <c r="C228" s="20" t="s">
        <v>515</v>
      </c>
      <c r="D228" s="36">
        <v>1392</v>
      </c>
      <c r="E228" s="36">
        <v>58</v>
      </c>
      <c r="F228" s="36">
        <v>18</v>
      </c>
      <c r="G228" s="36">
        <v>0.75</v>
      </c>
      <c r="H228" s="36">
        <v>1410</v>
      </c>
      <c r="I228" s="36">
        <v>58.75</v>
      </c>
      <c r="J228" s="36">
        <v>24</v>
      </c>
    </row>
    <row r="229" spans="1:10" x14ac:dyDescent="0.3">
      <c r="A229" s="20" t="s">
        <v>395</v>
      </c>
      <c r="B229" s="20" t="s">
        <v>630</v>
      </c>
      <c r="C229" s="20" t="s">
        <v>515</v>
      </c>
      <c r="D229" s="36">
        <v>0</v>
      </c>
      <c r="E229" s="36">
        <v>0</v>
      </c>
      <c r="F229" s="36">
        <v>18</v>
      </c>
      <c r="G229" s="36">
        <v>0.75</v>
      </c>
      <c r="H229" s="36">
        <v>18</v>
      </c>
      <c r="I229" s="36">
        <v>0.75</v>
      </c>
      <c r="J229" s="36">
        <v>24</v>
      </c>
    </row>
    <row r="230" spans="1:10" x14ac:dyDescent="0.3">
      <c r="A230" s="20" t="s">
        <v>396</v>
      </c>
      <c r="B230" s="20" t="s">
        <v>631</v>
      </c>
      <c r="C230" s="20" t="s">
        <v>515</v>
      </c>
      <c r="D230" s="36">
        <v>96</v>
      </c>
      <c r="E230" s="36">
        <v>4</v>
      </c>
      <c r="F230" s="36">
        <v>6</v>
      </c>
      <c r="G230" s="36">
        <v>0.25</v>
      </c>
      <c r="H230" s="36">
        <v>102</v>
      </c>
      <c r="I230" s="36">
        <v>4.25</v>
      </c>
      <c r="J230" s="36">
        <v>24</v>
      </c>
    </row>
    <row r="231" spans="1:10" x14ac:dyDescent="0.3">
      <c r="A231" s="20" t="s">
        <v>397</v>
      </c>
      <c r="B231" s="20" t="s">
        <v>632</v>
      </c>
      <c r="C231" s="20" t="s">
        <v>515</v>
      </c>
      <c r="D231" s="36">
        <v>6600</v>
      </c>
      <c r="E231" s="36">
        <v>275</v>
      </c>
      <c r="F231" s="36">
        <v>6</v>
      </c>
      <c r="G231" s="36">
        <v>0.25</v>
      </c>
      <c r="H231" s="36">
        <v>6606</v>
      </c>
      <c r="I231" s="36">
        <v>275.25</v>
      </c>
      <c r="J231" s="36">
        <v>24</v>
      </c>
    </row>
    <row r="232" spans="1:10" x14ac:dyDescent="0.3">
      <c r="A232" s="20" t="s">
        <v>398</v>
      </c>
      <c r="B232" s="20" t="s">
        <v>633</v>
      </c>
      <c r="C232" s="20" t="s">
        <v>515</v>
      </c>
      <c r="D232" s="36">
        <v>51576</v>
      </c>
      <c r="E232" s="36">
        <v>2149</v>
      </c>
      <c r="F232" s="36">
        <v>12</v>
      </c>
      <c r="G232" s="36">
        <v>0.5</v>
      </c>
      <c r="H232" s="36">
        <v>51588</v>
      </c>
      <c r="I232" s="36">
        <v>2149.5</v>
      </c>
      <c r="J232" s="36">
        <v>24</v>
      </c>
    </row>
    <row r="233" spans="1:10" x14ac:dyDescent="0.3">
      <c r="A233" s="20" t="s">
        <v>399</v>
      </c>
      <c r="B233" s="20" t="s">
        <v>634</v>
      </c>
      <c r="C233" s="20" t="s">
        <v>515</v>
      </c>
      <c r="D233" s="36">
        <v>0</v>
      </c>
      <c r="E233" s="36">
        <v>0</v>
      </c>
      <c r="F233" s="36">
        <v>12</v>
      </c>
      <c r="G233" s="36">
        <v>0.5</v>
      </c>
      <c r="H233" s="36">
        <v>12</v>
      </c>
      <c r="I233" s="36">
        <v>0.5</v>
      </c>
      <c r="J233" s="36">
        <v>24</v>
      </c>
    </row>
    <row r="234" spans="1:10" x14ac:dyDescent="0.3">
      <c r="A234" s="20" t="s">
        <v>400</v>
      </c>
      <c r="B234" s="20" t="s">
        <v>635</v>
      </c>
      <c r="C234" s="20" t="s">
        <v>515</v>
      </c>
      <c r="D234" s="36">
        <v>14568</v>
      </c>
      <c r="E234" s="36">
        <v>607</v>
      </c>
      <c r="F234" s="36">
        <v>6</v>
      </c>
      <c r="G234" s="36">
        <v>0.25</v>
      </c>
      <c r="H234" s="36">
        <v>14574</v>
      </c>
      <c r="I234" s="36">
        <v>607.25</v>
      </c>
      <c r="J234" s="36">
        <v>24</v>
      </c>
    </row>
    <row r="235" spans="1:10" x14ac:dyDescent="0.3">
      <c r="A235" s="20" t="s">
        <v>401</v>
      </c>
      <c r="B235" s="20" t="s">
        <v>612</v>
      </c>
      <c r="C235" s="20" t="s">
        <v>515</v>
      </c>
      <c r="D235" s="36">
        <v>0</v>
      </c>
      <c r="E235" s="36">
        <v>0</v>
      </c>
      <c r="F235" s="36">
        <v>8</v>
      </c>
      <c r="G235" s="36">
        <v>0.66666999999999998</v>
      </c>
      <c r="H235" s="36">
        <v>8</v>
      </c>
      <c r="I235" s="36">
        <v>0.66666999999999998</v>
      </c>
      <c r="J235" s="36">
        <v>12</v>
      </c>
    </row>
    <row r="236" spans="1:10" x14ac:dyDescent="0.3">
      <c r="A236" s="20" t="s">
        <v>402</v>
      </c>
      <c r="B236" s="20" t="s">
        <v>636</v>
      </c>
      <c r="C236" s="20" t="s">
        <v>515</v>
      </c>
      <c r="D236" s="36">
        <v>16032</v>
      </c>
      <c r="E236" s="36">
        <v>668</v>
      </c>
      <c r="F236" s="36">
        <v>0</v>
      </c>
      <c r="G236" s="36">
        <v>0</v>
      </c>
      <c r="H236" s="36">
        <v>16032</v>
      </c>
      <c r="I236" s="36">
        <v>668</v>
      </c>
      <c r="J236" s="36">
        <v>24</v>
      </c>
    </row>
    <row r="237" spans="1:10" x14ac:dyDescent="0.3">
      <c r="A237" s="20" t="s">
        <v>403</v>
      </c>
      <c r="B237" s="20" t="s">
        <v>637</v>
      </c>
      <c r="C237" s="20" t="s">
        <v>515</v>
      </c>
      <c r="D237" s="36">
        <v>0</v>
      </c>
      <c r="E237" s="36">
        <v>0</v>
      </c>
      <c r="F237" s="36">
        <v>18</v>
      </c>
      <c r="G237" s="36">
        <v>0.75</v>
      </c>
      <c r="H237" s="36">
        <v>18</v>
      </c>
      <c r="I237" s="36">
        <v>0.75</v>
      </c>
      <c r="J237" s="36">
        <v>24</v>
      </c>
    </row>
    <row r="238" spans="1:10" x14ac:dyDescent="0.3">
      <c r="A238" s="20" t="s">
        <v>404</v>
      </c>
      <c r="B238" s="20" t="s">
        <v>638</v>
      </c>
      <c r="C238" s="20" t="s">
        <v>515</v>
      </c>
      <c r="D238" s="36">
        <v>3480</v>
      </c>
      <c r="E238" s="36">
        <v>145</v>
      </c>
      <c r="F238" s="36">
        <v>18</v>
      </c>
      <c r="G238" s="36">
        <v>0.75</v>
      </c>
      <c r="H238" s="36">
        <v>3498</v>
      </c>
      <c r="I238" s="36">
        <v>145.75</v>
      </c>
      <c r="J238" s="36">
        <v>24</v>
      </c>
    </row>
    <row r="239" spans="1:10" x14ac:dyDescent="0.3">
      <c r="A239" s="20" t="s">
        <v>405</v>
      </c>
      <c r="B239" s="20" t="s">
        <v>639</v>
      </c>
      <c r="C239" s="20" t="s">
        <v>515</v>
      </c>
      <c r="D239" s="36">
        <v>76848</v>
      </c>
      <c r="E239" s="36">
        <v>3202</v>
      </c>
      <c r="F239" s="36">
        <v>24</v>
      </c>
      <c r="G239" s="36">
        <v>1</v>
      </c>
      <c r="H239" s="36">
        <v>76872</v>
      </c>
      <c r="I239" s="36">
        <v>3203</v>
      </c>
      <c r="J239" s="36">
        <v>24</v>
      </c>
    </row>
    <row r="240" spans="1:10" x14ac:dyDescent="0.3">
      <c r="A240" s="20" t="s">
        <v>406</v>
      </c>
      <c r="B240" s="20" t="s">
        <v>640</v>
      </c>
      <c r="C240" s="20" t="s">
        <v>515</v>
      </c>
      <c r="D240" s="36">
        <v>1680</v>
      </c>
      <c r="E240" s="36">
        <v>70</v>
      </c>
      <c r="F240" s="36">
        <v>12</v>
      </c>
      <c r="G240" s="36">
        <v>0.5</v>
      </c>
      <c r="H240" s="36">
        <v>1692</v>
      </c>
      <c r="I240" s="36">
        <v>70.5</v>
      </c>
      <c r="J240" s="36">
        <v>24</v>
      </c>
    </row>
    <row r="241" spans="1:10" x14ac:dyDescent="0.3">
      <c r="A241" s="20" t="s">
        <v>407</v>
      </c>
      <c r="B241" s="20" t="s">
        <v>641</v>
      </c>
      <c r="C241" s="20" t="s">
        <v>515</v>
      </c>
      <c r="D241" s="36">
        <v>0</v>
      </c>
      <c r="E241" s="36">
        <v>0</v>
      </c>
      <c r="F241" s="36">
        <v>12</v>
      </c>
      <c r="G241" s="36">
        <v>0.5</v>
      </c>
      <c r="H241" s="36">
        <v>12</v>
      </c>
      <c r="I241" s="36">
        <v>0.5</v>
      </c>
      <c r="J241" s="36">
        <v>24</v>
      </c>
    </row>
    <row r="242" spans="1:10" x14ac:dyDescent="0.3">
      <c r="A242" s="20" t="s">
        <v>642</v>
      </c>
      <c r="B242" s="20" t="s">
        <v>643</v>
      </c>
      <c r="C242" s="20" t="s">
        <v>515</v>
      </c>
      <c r="D242" s="36">
        <v>0</v>
      </c>
      <c r="E242" s="36">
        <v>0</v>
      </c>
      <c r="F242" s="36">
        <v>9</v>
      </c>
      <c r="G242" s="36">
        <v>0.75</v>
      </c>
      <c r="H242" s="36">
        <v>9</v>
      </c>
      <c r="I242" s="36">
        <v>0.75</v>
      </c>
      <c r="J242" s="36">
        <v>12</v>
      </c>
    </row>
    <row r="243" spans="1:10" x14ac:dyDescent="0.3">
      <c r="A243" s="20" t="s">
        <v>644</v>
      </c>
      <c r="B243" s="20" t="s">
        <v>645</v>
      </c>
      <c r="C243" s="20" t="s">
        <v>515</v>
      </c>
      <c r="D243" s="36">
        <v>0</v>
      </c>
      <c r="E243" s="36">
        <v>0</v>
      </c>
      <c r="F243" s="36">
        <v>21</v>
      </c>
      <c r="G243" s="36">
        <v>0.875</v>
      </c>
      <c r="H243" s="36">
        <v>21</v>
      </c>
      <c r="I243" s="36">
        <v>0.875</v>
      </c>
      <c r="J243" s="36">
        <v>24</v>
      </c>
    </row>
    <row r="244" spans="1:10" x14ac:dyDescent="0.3">
      <c r="A244" s="20" t="s">
        <v>646</v>
      </c>
      <c r="B244" s="20" t="s">
        <v>647</v>
      </c>
      <c r="C244" s="20" t="s">
        <v>515</v>
      </c>
      <c r="D244" s="36">
        <v>504</v>
      </c>
      <c r="E244" s="36">
        <v>21</v>
      </c>
      <c r="F244" s="36">
        <v>21</v>
      </c>
      <c r="G244" s="36">
        <v>0.875</v>
      </c>
      <c r="H244" s="36">
        <v>525</v>
      </c>
      <c r="I244" s="36">
        <v>21.875</v>
      </c>
      <c r="J244" s="36">
        <v>24</v>
      </c>
    </row>
    <row r="245" spans="1:10" x14ac:dyDescent="0.3">
      <c r="A245" s="20" t="s">
        <v>648</v>
      </c>
      <c r="B245" s="20" t="s">
        <v>649</v>
      </c>
      <c r="C245" s="20" t="s">
        <v>515</v>
      </c>
      <c r="D245" s="36">
        <v>144</v>
      </c>
      <c r="E245" s="36">
        <v>12</v>
      </c>
      <c r="F245" s="36">
        <v>0</v>
      </c>
      <c r="G245" s="36">
        <v>0</v>
      </c>
      <c r="H245" s="36">
        <v>144</v>
      </c>
      <c r="I245" s="36">
        <v>12</v>
      </c>
      <c r="J245" s="36">
        <v>12</v>
      </c>
    </row>
    <row r="246" spans="1:10" x14ac:dyDescent="0.3">
      <c r="A246" s="20" t="s">
        <v>650</v>
      </c>
      <c r="B246" s="20" t="s">
        <v>651</v>
      </c>
      <c r="C246" s="20" t="s">
        <v>515</v>
      </c>
      <c r="D246" s="36">
        <v>0</v>
      </c>
      <c r="E246" s="36">
        <v>0</v>
      </c>
      <c r="F246" s="36">
        <v>9</v>
      </c>
      <c r="G246" s="36">
        <v>0.75</v>
      </c>
      <c r="H246" s="36">
        <v>9</v>
      </c>
      <c r="I246" s="36">
        <v>0.75</v>
      </c>
      <c r="J246" s="36">
        <v>12</v>
      </c>
    </row>
    <row r="247" spans="1:10" x14ac:dyDescent="0.3">
      <c r="A247" s="20" t="s">
        <v>652</v>
      </c>
      <c r="B247" s="20" t="s">
        <v>653</v>
      </c>
      <c r="C247" s="20" t="s">
        <v>515</v>
      </c>
      <c r="D247" s="36">
        <v>444</v>
      </c>
      <c r="E247" s="36">
        <v>37</v>
      </c>
      <c r="F247" s="36">
        <v>9</v>
      </c>
      <c r="G247" s="36">
        <v>0.75</v>
      </c>
      <c r="H247" s="36">
        <v>453</v>
      </c>
      <c r="I247" s="36">
        <v>37.75</v>
      </c>
      <c r="J247" s="36">
        <v>12</v>
      </c>
    </row>
    <row r="248" spans="1:10" x14ac:dyDescent="0.3">
      <c r="A248" s="20" t="s">
        <v>654</v>
      </c>
      <c r="B248" s="20" t="s">
        <v>614</v>
      </c>
      <c r="C248" s="20" t="s">
        <v>515</v>
      </c>
      <c r="D248" s="36">
        <v>0</v>
      </c>
      <c r="E248" s="36">
        <v>0</v>
      </c>
      <c r="F248" s="36">
        <v>21</v>
      </c>
      <c r="G248" s="36">
        <v>0.875</v>
      </c>
      <c r="H248" s="36">
        <v>21</v>
      </c>
      <c r="I248" s="36">
        <v>0.875</v>
      </c>
      <c r="J248" s="36">
        <v>24</v>
      </c>
    </row>
    <row r="249" spans="1:10" x14ac:dyDescent="0.3">
      <c r="A249" s="20" t="s">
        <v>655</v>
      </c>
      <c r="B249" s="20" t="s">
        <v>656</v>
      </c>
      <c r="C249" s="20" t="s">
        <v>515</v>
      </c>
      <c r="D249" s="36">
        <v>0</v>
      </c>
      <c r="E249" s="36">
        <v>0</v>
      </c>
      <c r="F249" s="36">
        <v>9</v>
      </c>
      <c r="G249" s="36">
        <v>0.75</v>
      </c>
      <c r="H249" s="36">
        <v>9</v>
      </c>
      <c r="I249" s="36">
        <v>0.75</v>
      </c>
      <c r="J249" s="36">
        <v>12</v>
      </c>
    </row>
    <row r="250" spans="1:10" x14ac:dyDescent="0.3">
      <c r="A250" s="20" t="s">
        <v>657</v>
      </c>
      <c r="B250" s="20" t="s">
        <v>658</v>
      </c>
      <c r="C250" s="20" t="s">
        <v>515</v>
      </c>
      <c r="D250" s="36">
        <v>132</v>
      </c>
      <c r="E250" s="36">
        <v>11</v>
      </c>
      <c r="F250" s="36">
        <v>9</v>
      </c>
      <c r="G250" s="36">
        <v>0.75</v>
      </c>
      <c r="H250" s="36">
        <v>141</v>
      </c>
      <c r="I250" s="36">
        <v>11.75</v>
      </c>
      <c r="J250" s="36">
        <v>12</v>
      </c>
    </row>
    <row r="251" spans="1:10" x14ac:dyDescent="0.3">
      <c r="A251" s="20" t="s">
        <v>659</v>
      </c>
      <c r="B251" s="20" t="s">
        <v>660</v>
      </c>
      <c r="C251" s="20" t="s">
        <v>515</v>
      </c>
      <c r="D251" s="36">
        <v>0</v>
      </c>
      <c r="E251" s="36">
        <v>0</v>
      </c>
      <c r="F251" s="36">
        <v>0</v>
      </c>
      <c r="G251" s="36">
        <v>0</v>
      </c>
      <c r="H251" s="36">
        <v>0</v>
      </c>
      <c r="I251" s="36">
        <v>0</v>
      </c>
      <c r="J251" s="36">
        <v>12</v>
      </c>
    </row>
    <row r="252" spans="1:10" x14ac:dyDescent="0.3">
      <c r="A252" s="20" t="s">
        <v>661</v>
      </c>
      <c r="B252" s="20" t="s">
        <v>612</v>
      </c>
      <c r="C252" s="20" t="s">
        <v>515</v>
      </c>
      <c r="D252" s="36">
        <v>2916</v>
      </c>
      <c r="E252" s="36">
        <v>243</v>
      </c>
      <c r="F252" s="36">
        <v>9</v>
      </c>
      <c r="G252" s="36">
        <v>0.75</v>
      </c>
      <c r="H252" s="36">
        <v>2925</v>
      </c>
      <c r="I252" s="36">
        <v>243.75</v>
      </c>
      <c r="J252" s="36">
        <v>12</v>
      </c>
    </row>
    <row r="253" spans="1:10" x14ac:dyDescent="0.3">
      <c r="A253" s="20" t="s">
        <v>662</v>
      </c>
      <c r="B253" s="20" t="s">
        <v>663</v>
      </c>
      <c r="C253" s="20" t="s">
        <v>515</v>
      </c>
      <c r="D253" s="36">
        <v>0</v>
      </c>
      <c r="E253" s="36">
        <v>0</v>
      </c>
      <c r="F253" s="36">
        <v>9</v>
      </c>
      <c r="G253" s="36">
        <v>0.75</v>
      </c>
      <c r="H253" s="36">
        <v>9</v>
      </c>
      <c r="I253" s="36">
        <v>0.75</v>
      </c>
      <c r="J253" s="36">
        <v>12</v>
      </c>
    </row>
    <row r="254" spans="1:10" x14ac:dyDescent="0.3">
      <c r="A254" s="20" t="s">
        <v>664</v>
      </c>
      <c r="B254" s="20" t="s">
        <v>665</v>
      </c>
      <c r="C254" s="20" t="s">
        <v>515</v>
      </c>
      <c r="D254" s="36">
        <v>0</v>
      </c>
      <c r="E254" s="36">
        <v>0</v>
      </c>
      <c r="F254" s="36">
        <v>9</v>
      </c>
      <c r="G254" s="36">
        <v>0.75</v>
      </c>
      <c r="H254" s="36">
        <v>9</v>
      </c>
      <c r="I254" s="36">
        <v>0.75</v>
      </c>
      <c r="J254" s="36">
        <v>12</v>
      </c>
    </row>
    <row r="255" spans="1:10" x14ac:dyDescent="0.3">
      <c r="A255" s="20" t="s">
        <v>408</v>
      </c>
      <c r="B255" s="20" t="s">
        <v>666</v>
      </c>
      <c r="C255" s="20" t="s">
        <v>515</v>
      </c>
      <c r="D255" s="36">
        <v>2424</v>
      </c>
      <c r="E255" s="36">
        <v>101</v>
      </c>
      <c r="F255" s="36">
        <v>18</v>
      </c>
      <c r="G255" s="36">
        <v>0.75</v>
      </c>
      <c r="H255" s="36">
        <v>2442</v>
      </c>
      <c r="I255" s="36">
        <v>101.75</v>
      </c>
      <c r="J255" s="36">
        <v>24</v>
      </c>
    </row>
    <row r="256" spans="1:10" x14ac:dyDescent="0.3">
      <c r="A256" s="20" t="s">
        <v>667</v>
      </c>
      <c r="B256" s="20" t="s">
        <v>668</v>
      </c>
      <c r="C256" s="20" t="s">
        <v>515</v>
      </c>
      <c r="D256" s="36">
        <v>108</v>
      </c>
      <c r="E256" s="36">
        <v>9</v>
      </c>
      <c r="F256" s="36">
        <v>9</v>
      </c>
      <c r="G256" s="36">
        <v>0.75</v>
      </c>
      <c r="H256" s="36">
        <v>117</v>
      </c>
      <c r="I256" s="36">
        <v>9.75</v>
      </c>
      <c r="J256" s="36">
        <v>12</v>
      </c>
    </row>
    <row r="257" spans="1:10" x14ac:dyDescent="0.3">
      <c r="A257" s="20" t="s">
        <v>409</v>
      </c>
      <c r="B257" s="20" t="s">
        <v>669</v>
      </c>
      <c r="C257" s="20" t="s">
        <v>515</v>
      </c>
      <c r="D257" s="36">
        <v>0</v>
      </c>
      <c r="E257" s="36">
        <v>0</v>
      </c>
      <c r="F257" s="36">
        <v>12</v>
      </c>
      <c r="G257" s="36">
        <v>0.5</v>
      </c>
      <c r="H257" s="36">
        <v>12</v>
      </c>
      <c r="I257" s="36">
        <v>0.5</v>
      </c>
      <c r="J257" s="36">
        <v>24</v>
      </c>
    </row>
    <row r="258" spans="1:10" x14ac:dyDescent="0.3">
      <c r="A258" s="20" t="s">
        <v>410</v>
      </c>
      <c r="B258" s="20" t="s">
        <v>670</v>
      </c>
      <c r="C258" s="20" t="s">
        <v>515</v>
      </c>
      <c r="D258" s="36">
        <v>14664</v>
      </c>
      <c r="E258" s="36">
        <v>611</v>
      </c>
      <c r="F258" s="36">
        <v>12</v>
      </c>
      <c r="G258" s="36">
        <v>0.5</v>
      </c>
      <c r="H258" s="36">
        <v>14676</v>
      </c>
      <c r="I258" s="36">
        <v>611.5</v>
      </c>
      <c r="J258" s="36">
        <v>24</v>
      </c>
    </row>
    <row r="259" spans="1:10" x14ac:dyDescent="0.3">
      <c r="A259" s="20" t="s">
        <v>411</v>
      </c>
      <c r="B259" s="20" t="s">
        <v>671</v>
      </c>
      <c r="C259" s="20" t="s">
        <v>515</v>
      </c>
      <c r="D259" s="36">
        <v>0</v>
      </c>
      <c r="E259" s="36">
        <v>0</v>
      </c>
      <c r="F259" s="36">
        <v>18</v>
      </c>
      <c r="G259" s="36">
        <v>0.75</v>
      </c>
      <c r="H259" s="36">
        <v>18</v>
      </c>
      <c r="I259" s="36">
        <v>0.75</v>
      </c>
      <c r="J259" s="36">
        <v>24</v>
      </c>
    </row>
    <row r="260" spans="1:10" x14ac:dyDescent="0.3">
      <c r="A260" s="20" t="s">
        <v>412</v>
      </c>
      <c r="B260" s="20" t="s">
        <v>672</v>
      </c>
      <c r="C260" s="20" t="s">
        <v>515</v>
      </c>
      <c r="D260" s="36">
        <v>10656</v>
      </c>
      <c r="E260" s="36">
        <v>222</v>
      </c>
      <c r="F260" s="36">
        <v>42</v>
      </c>
      <c r="G260" s="36">
        <v>0.875</v>
      </c>
      <c r="H260" s="36">
        <v>10698</v>
      </c>
      <c r="I260" s="36">
        <v>222.875</v>
      </c>
      <c r="J260" s="36">
        <v>48</v>
      </c>
    </row>
    <row r="261" spans="1:10" x14ac:dyDescent="0.3">
      <c r="A261" s="20" t="s">
        <v>443</v>
      </c>
      <c r="B261" s="20" t="s">
        <v>459</v>
      </c>
      <c r="C261" s="20" t="s">
        <v>515</v>
      </c>
      <c r="D261" s="36">
        <v>0</v>
      </c>
      <c r="E261" s="36">
        <v>0</v>
      </c>
      <c r="F261" s="36">
        <v>0</v>
      </c>
      <c r="G261" s="36">
        <v>0</v>
      </c>
      <c r="H261" s="36">
        <v>0</v>
      </c>
      <c r="I261" s="36">
        <v>0</v>
      </c>
      <c r="J261" s="36">
        <v>0</v>
      </c>
    </row>
    <row r="262" spans="1:10" x14ac:dyDescent="0.3">
      <c r="A262" s="20" t="s">
        <v>37</v>
      </c>
      <c r="B262" s="20" t="s">
        <v>38</v>
      </c>
      <c r="C262" s="20" t="s">
        <v>502</v>
      </c>
      <c r="D262" s="36">
        <v>2102</v>
      </c>
      <c r="E262" s="36">
        <v>2102</v>
      </c>
      <c r="F262" s="36">
        <v>2</v>
      </c>
      <c r="G262" s="36">
        <v>2</v>
      </c>
      <c r="H262" s="36">
        <v>2104</v>
      </c>
      <c r="I262" s="36">
        <v>2104</v>
      </c>
      <c r="J262" s="36">
        <v>1</v>
      </c>
    </row>
    <row r="263" spans="1:10" x14ac:dyDescent="0.3">
      <c r="A263" s="20" t="s">
        <v>525</v>
      </c>
      <c r="B263" s="20" t="s">
        <v>526</v>
      </c>
      <c r="C263" s="20" t="s">
        <v>502</v>
      </c>
      <c r="D263" s="36">
        <v>1363</v>
      </c>
      <c r="E263" s="36">
        <v>1363</v>
      </c>
      <c r="F263" s="36">
        <v>0</v>
      </c>
      <c r="G263" s="36">
        <v>0</v>
      </c>
      <c r="H263" s="36">
        <v>1363</v>
      </c>
      <c r="I263" s="36">
        <v>1363</v>
      </c>
      <c r="J263" s="36">
        <v>1</v>
      </c>
    </row>
    <row r="264" spans="1:10" x14ac:dyDescent="0.3">
      <c r="A264" s="20" t="s">
        <v>39</v>
      </c>
      <c r="B264" s="20" t="s">
        <v>40</v>
      </c>
      <c r="C264" s="20" t="s">
        <v>503</v>
      </c>
      <c r="D264" s="36">
        <v>0</v>
      </c>
      <c r="E264" s="36">
        <v>0</v>
      </c>
      <c r="F264" s="36">
        <v>0</v>
      </c>
      <c r="G264" s="36">
        <v>0</v>
      </c>
      <c r="H264" s="36">
        <v>0</v>
      </c>
      <c r="I264" s="36">
        <v>0</v>
      </c>
      <c r="J264" s="36">
        <v>0</v>
      </c>
    </row>
    <row r="265" spans="1:10" x14ac:dyDescent="0.3">
      <c r="A265" s="20" t="s">
        <v>41</v>
      </c>
      <c r="B265" s="20" t="s">
        <v>42</v>
      </c>
      <c r="C265" s="20" t="s">
        <v>502</v>
      </c>
      <c r="D265" s="36">
        <v>1506</v>
      </c>
      <c r="E265" s="36">
        <v>1506</v>
      </c>
      <c r="F265" s="36">
        <v>0</v>
      </c>
      <c r="G265" s="36">
        <v>0</v>
      </c>
      <c r="H265" s="36">
        <v>1506</v>
      </c>
      <c r="I265" s="36">
        <v>1506</v>
      </c>
      <c r="J265" s="36">
        <v>1</v>
      </c>
    </row>
    <row r="266" spans="1:10" x14ac:dyDescent="0.3">
      <c r="A266" s="20" t="s">
        <v>531</v>
      </c>
      <c r="B266" s="20" t="s">
        <v>532</v>
      </c>
      <c r="C266" s="20" t="s">
        <v>502</v>
      </c>
      <c r="D266" s="36">
        <v>1275</v>
      </c>
      <c r="E266" s="36">
        <v>1275</v>
      </c>
      <c r="F266" s="36">
        <v>0</v>
      </c>
      <c r="G266" s="36">
        <v>0</v>
      </c>
      <c r="H266" s="36">
        <v>1275</v>
      </c>
      <c r="I266" s="36">
        <v>1275</v>
      </c>
      <c r="J266" s="36">
        <v>1</v>
      </c>
    </row>
    <row r="267" spans="1:10" x14ac:dyDescent="0.3">
      <c r="A267" s="20" t="s">
        <v>43</v>
      </c>
      <c r="B267" s="20" t="s">
        <v>44</v>
      </c>
      <c r="C267" s="20" t="s">
        <v>503</v>
      </c>
      <c r="D267" s="36">
        <v>0</v>
      </c>
      <c r="E267" s="36">
        <v>0</v>
      </c>
      <c r="F267" s="36">
        <v>0</v>
      </c>
      <c r="G267" s="36">
        <v>0</v>
      </c>
      <c r="H267" s="36">
        <v>0</v>
      </c>
      <c r="I267" s="36">
        <v>0</v>
      </c>
      <c r="J267" s="36">
        <v>0</v>
      </c>
    </row>
    <row r="268" spans="1:10" x14ac:dyDescent="0.3">
      <c r="A268" s="20" t="s">
        <v>45</v>
      </c>
      <c r="B268" s="20" t="s">
        <v>46</v>
      </c>
      <c r="C268" s="20" t="s">
        <v>502</v>
      </c>
      <c r="D268" s="36">
        <v>1287</v>
      </c>
      <c r="E268" s="36">
        <v>1287</v>
      </c>
      <c r="F268" s="36">
        <v>0</v>
      </c>
      <c r="G268" s="36">
        <v>0</v>
      </c>
      <c r="H268" s="36">
        <v>1287</v>
      </c>
      <c r="I268" s="36">
        <v>1287</v>
      </c>
      <c r="J268" s="36">
        <v>1</v>
      </c>
    </row>
    <row r="269" spans="1:10" x14ac:dyDescent="0.3">
      <c r="A269" s="20" t="s">
        <v>47</v>
      </c>
      <c r="B269" s="20" t="s">
        <v>48</v>
      </c>
      <c r="C269" s="20" t="s">
        <v>503</v>
      </c>
      <c r="D269" s="36">
        <v>12</v>
      </c>
      <c r="E269" s="36">
        <v>12</v>
      </c>
      <c r="F269" s="36">
        <v>1</v>
      </c>
      <c r="G269" s="36">
        <v>1</v>
      </c>
      <c r="H269" s="36">
        <v>13</v>
      </c>
      <c r="I269" s="36">
        <v>13</v>
      </c>
      <c r="J269" s="36">
        <v>0</v>
      </c>
    </row>
    <row r="270" spans="1:10" x14ac:dyDescent="0.3">
      <c r="A270" s="20" t="s">
        <v>533</v>
      </c>
      <c r="B270" s="20" t="s">
        <v>534</v>
      </c>
      <c r="C270" s="20" t="s">
        <v>502</v>
      </c>
      <c r="D270" s="36">
        <v>984</v>
      </c>
      <c r="E270" s="36">
        <v>984</v>
      </c>
      <c r="F270" s="36">
        <v>0</v>
      </c>
      <c r="G270" s="36">
        <v>0</v>
      </c>
      <c r="H270" s="36">
        <v>984</v>
      </c>
      <c r="I270" s="36">
        <v>984</v>
      </c>
      <c r="J270" s="36">
        <v>1</v>
      </c>
    </row>
    <row r="271" spans="1:10" x14ac:dyDescent="0.3">
      <c r="A271" s="20" t="s">
        <v>535</v>
      </c>
      <c r="B271" s="20" t="s">
        <v>536</v>
      </c>
      <c r="C271" s="20" t="s">
        <v>503</v>
      </c>
      <c r="D271" s="36">
        <v>58</v>
      </c>
      <c r="E271" s="36">
        <v>58</v>
      </c>
      <c r="F271" s="36">
        <v>0</v>
      </c>
      <c r="G271" s="36">
        <v>0</v>
      </c>
      <c r="H271" s="36">
        <v>58</v>
      </c>
      <c r="I271" s="36">
        <v>58</v>
      </c>
      <c r="J271" s="36">
        <v>0</v>
      </c>
    </row>
    <row r="272" spans="1:10" x14ac:dyDescent="0.3">
      <c r="A272" s="20" t="s">
        <v>49</v>
      </c>
      <c r="B272" s="20" t="s">
        <v>50</v>
      </c>
      <c r="C272" s="20" t="s">
        <v>502</v>
      </c>
      <c r="D272" s="36">
        <v>55</v>
      </c>
      <c r="E272" s="36">
        <v>55</v>
      </c>
      <c r="F272" s="36">
        <v>12</v>
      </c>
      <c r="G272" s="36">
        <v>12</v>
      </c>
      <c r="H272" s="36">
        <v>67</v>
      </c>
      <c r="I272" s="36">
        <v>67</v>
      </c>
      <c r="J272" s="36">
        <v>1</v>
      </c>
    </row>
    <row r="273" spans="1:10" x14ac:dyDescent="0.3">
      <c r="A273" s="20" t="s">
        <v>51</v>
      </c>
      <c r="B273" s="20" t="s">
        <v>52</v>
      </c>
      <c r="C273" s="20" t="s">
        <v>502</v>
      </c>
      <c r="D273" s="36">
        <v>157</v>
      </c>
      <c r="E273" s="36">
        <v>157</v>
      </c>
      <c r="F273" s="36">
        <v>2</v>
      </c>
      <c r="G273" s="36">
        <v>2</v>
      </c>
      <c r="H273" s="36">
        <v>159</v>
      </c>
      <c r="I273" s="36">
        <v>159</v>
      </c>
      <c r="J273" s="36">
        <v>1</v>
      </c>
    </row>
    <row r="274" spans="1:10" x14ac:dyDescent="0.3">
      <c r="A274" s="20" t="s">
        <v>53</v>
      </c>
      <c r="B274" s="20" t="s">
        <v>54</v>
      </c>
      <c r="C274" s="20" t="s">
        <v>503</v>
      </c>
      <c r="D274" s="36">
        <v>2</v>
      </c>
      <c r="E274" s="36">
        <v>2</v>
      </c>
      <c r="F274" s="36">
        <v>0</v>
      </c>
      <c r="G274" s="36">
        <v>0</v>
      </c>
      <c r="H274" s="36">
        <v>2</v>
      </c>
      <c r="I274" s="36">
        <v>2</v>
      </c>
      <c r="J274" s="36">
        <v>0</v>
      </c>
    </row>
    <row r="275" spans="1:10" x14ac:dyDescent="0.3">
      <c r="A275" s="20" t="s">
        <v>494</v>
      </c>
      <c r="B275" s="20" t="s">
        <v>495</v>
      </c>
      <c r="C275" s="20" t="s">
        <v>515</v>
      </c>
      <c r="D275" s="36">
        <v>0</v>
      </c>
      <c r="E275" s="36">
        <v>0</v>
      </c>
      <c r="F275" s="36">
        <v>0</v>
      </c>
      <c r="G275" s="36">
        <v>0</v>
      </c>
      <c r="H275" s="36">
        <v>0</v>
      </c>
      <c r="I275" s="36">
        <v>0</v>
      </c>
      <c r="J275" s="36">
        <v>0</v>
      </c>
    </row>
    <row r="276" spans="1:10" x14ac:dyDescent="0.3">
      <c r="A276" s="20" t="s">
        <v>444</v>
      </c>
      <c r="B276" s="20" t="s">
        <v>460</v>
      </c>
      <c r="C276" s="20" t="s">
        <v>515</v>
      </c>
      <c r="D276" s="36">
        <v>0</v>
      </c>
      <c r="E276" s="36">
        <v>0</v>
      </c>
      <c r="F276" s="36">
        <v>0</v>
      </c>
      <c r="G276" s="36">
        <v>0</v>
      </c>
      <c r="H276" s="36">
        <v>0</v>
      </c>
      <c r="I276" s="36">
        <v>0</v>
      </c>
      <c r="J276" s="36">
        <v>0</v>
      </c>
    </row>
    <row r="277" spans="1:10" x14ac:dyDescent="0.3">
      <c r="A277" s="20" t="s">
        <v>445</v>
      </c>
      <c r="B277" s="20" t="s">
        <v>486</v>
      </c>
      <c r="C277" s="20" t="s">
        <v>515</v>
      </c>
      <c r="D277" s="36">
        <v>0</v>
      </c>
      <c r="E277" s="36">
        <v>0</v>
      </c>
      <c r="F277" s="36">
        <v>0</v>
      </c>
      <c r="G277" s="36">
        <v>0</v>
      </c>
      <c r="H277" s="36">
        <v>0</v>
      </c>
      <c r="I277" s="36">
        <v>0</v>
      </c>
      <c r="J277" s="36">
        <v>0</v>
      </c>
    </row>
    <row r="278" spans="1:10" x14ac:dyDescent="0.3">
      <c r="A278" s="20" t="s">
        <v>518</v>
      </c>
      <c r="B278" s="20" t="s">
        <v>519</v>
      </c>
      <c r="C278" s="20" t="s">
        <v>515</v>
      </c>
      <c r="D278" s="36">
        <v>0</v>
      </c>
      <c r="E278" s="36">
        <v>0</v>
      </c>
      <c r="F278" s="36">
        <v>0</v>
      </c>
      <c r="G278" s="36">
        <v>0</v>
      </c>
      <c r="H278" s="36">
        <v>0</v>
      </c>
      <c r="I278" s="36">
        <v>0</v>
      </c>
      <c r="J278" s="36">
        <v>0</v>
      </c>
    </row>
    <row r="279" spans="1:10" x14ac:dyDescent="0.3">
      <c r="A279" s="20" t="s">
        <v>413</v>
      </c>
      <c r="B279" s="20" t="s">
        <v>292</v>
      </c>
      <c r="C279" s="20" t="s">
        <v>515</v>
      </c>
      <c r="D279" s="36">
        <v>0</v>
      </c>
      <c r="E279" s="36">
        <v>0</v>
      </c>
      <c r="F279" s="36">
        <v>0</v>
      </c>
      <c r="G279" s="36">
        <v>0</v>
      </c>
      <c r="H279" s="36">
        <v>0</v>
      </c>
      <c r="I279" s="36">
        <v>0</v>
      </c>
      <c r="J279" s="36">
        <v>0</v>
      </c>
    </row>
    <row r="280" spans="1:10" x14ac:dyDescent="0.3">
      <c r="A280" s="20" t="s">
        <v>414</v>
      </c>
      <c r="B280" s="20" t="s">
        <v>294</v>
      </c>
      <c r="C280" s="20" t="s">
        <v>515</v>
      </c>
      <c r="D280" s="36">
        <v>0</v>
      </c>
      <c r="E280" s="36">
        <v>0</v>
      </c>
      <c r="F280" s="36">
        <v>0</v>
      </c>
      <c r="G280" s="36">
        <v>0</v>
      </c>
      <c r="H280" s="36">
        <v>0</v>
      </c>
      <c r="I280" s="36">
        <v>0</v>
      </c>
      <c r="J280" s="36">
        <v>0</v>
      </c>
    </row>
    <row r="281" spans="1:10" x14ac:dyDescent="0.3">
      <c r="A281" s="20" t="s">
        <v>415</v>
      </c>
      <c r="B281" s="20" t="s">
        <v>296</v>
      </c>
      <c r="C281" s="20" t="s">
        <v>515</v>
      </c>
      <c r="D281" s="36">
        <v>0</v>
      </c>
      <c r="E281" s="36">
        <v>0</v>
      </c>
      <c r="F281" s="36">
        <v>0</v>
      </c>
      <c r="G281" s="36">
        <v>0</v>
      </c>
      <c r="H281" s="36">
        <v>0</v>
      </c>
      <c r="I281" s="36">
        <v>0</v>
      </c>
      <c r="J281" s="36">
        <v>0</v>
      </c>
    </row>
    <row r="282" spans="1:10" x14ac:dyDescent="0.3">
      <c r="A282" s="20" t="s">
        <v>416</v>
      </c>
      <c r="B282" s="20" t="s">
        <v>298</v>
      </c>
      <c r="C282" s="20" t="s">
        <v>515</v>
      </c>
      <c r="D282" s="36">
        <v>0</v>
      </c>
      <c r="E282" s="36">
        <v>0</v>
      </c>
      <c r="F282" s="36">
        <v>0</v>
      </c>
      <c r="G282" s="36">
        <v>0</v>
      </c>
      <c r="H282" s="36">
        <v>0</v>
      </c>
      <c r="I282" s="36">
        <v>0</v>
      </c>
      <c r="J282" s="36">
        <v>0</v>
      </c>
    </row>
    <row r="283" spans="1:10" x14ac:dyDescent="0.3">
      <c r="A283" s="20" t="s">
        <v>417</v>
      </c>
      <c r="B283" s="20" t="s">
        <v>300</v>
      </c>
      <c r="C283" s="20" t="s">
        <v>515</v>
      </c>
      <c r="D283" s="36">
        <v>0</v>
      </c>
      <c r="E283" s="36">
        <v>0</v>
      </c>
      <c r="F283" s="36">
        <v>0</v>
      </c>
      <c r="G283" s="36">
        <v>0</v>
      </c>
      <c r="H283" s="36">
        <v>0</v>
      </c>
      <c r="I283" s="36">
        <v>0</v>
      </c>
      <c r="J283" s="36">
        <v>0</v>
      </c>
    </row>
    <row r="284" spans="1:10" x14ac:dyDescent="0.3">
      <c r="A284" s="20" t="s">
        <v>418</v>
      </c>
      <c r="B284" s="20" t="s">
        <v>302</v>
      </c>
      <c r="C284" s="20" t="s">
        <v>515</v>
      </c>
      <c r="D284" s="36">
        <v>0</v>
      </c>
      <c r="E284" s="36">
        <v>0</v>
      </c>
      <c r="F284" s="36">
        <v>0</v>
      </c>
      <c r="G284" s="36">
        <v>0</v>
      </c>
      <c r="H284" s="36">
        <v>0</v>
      </c>
      <c r="I284" s="36">
        <v>0</v>
      </c>
      <c r="J284" s="36">
        <v>0</v>
      </c>
    </row>
    <row r="285" spans="1:10" x14ac:dyDescent="0.3">
      <c r="A285" s="20" t="s">
        <v>419</v>
      </c>
      <c r="B285" s="20" t="s">
        <v>304</v>
      </c>
      <c r="C285" s="20" t="s">
        <v>515</v>
      </c>
      <c r="D285" s="36">
        <v>0</v>
      </c>
      <c r="E285" s="36">
        <v>0</v>
      </c>
      <c r="F285" s="36">
        <v>0</v>
      </c>
      <c r="G285" s="36">
        <v>0</v>
      </c>
      <c r="H285" s="36">
        <v>0</v>
      </c>
      <c r="I285" s="36">
        <v>0</v>
      </c>
      <c r="J285" s="36">
        <v>0</v>
      </c>
    </row>
    <row r="286" spans="1:10" x14ac:dyDescent="0.3">
      <c r="A286" s="20" t="s">
        <v>420</v>
      </c>
      <c r="B286" s="20" t="s">
        <v>306</v>
      </c>
      <c r="C286" s="20" t="s">
        <v>515</v>
      </c>
      <c r="D286" s="36">
        <v>0</v>
      </c>
      <c r="E286" s="36">
        <v>0</v>
      </c>
      <c r="F286" s="36">
        <v>0</v>
      </c>
      <c r="G286" s="36">
        <v>0</v>
      </c>
      <c r="H286" s="36">
        <v>0</v>
      </c>
      <c r="I286" s="36">
        <v>0</v>
      </c>
      <c r="J286" s="36">
        <v>0</v>
      </c>
    </row>
    <row r="287" spans="1:10" x14ac:dyDescent="0.3">
      <c r="A287" s="20" t="s">
        <v>421</v>
      </c>
      <c r="B287" s="20" t="s">
        <v>308</v>
      </c>
      <c r="C287" s="20" t="s">
        <v>515</v>
      </c>
      <c r="D287" s="36">
        <v>0</v>
      </c>
      <c r="E287" s="36">
        <v>0</v>
      </c>
      <c r="F287" s="36">
        <v>0</v>
      </c>
      <c r="G287" s="36">
        <v>0</v>
      </c>
      <c r="H287" s="36">
        <v>0</v>
      </c>
      <c r="I287" s="36">
        <v>0</v>
      </c>
      <c r="J287" s="36">
        <v>0</v>
      </c>
    </row>
    <row r="288" spans="1:10" x14ac:dyDescent="0.3">
      <c r="A288" s="20" t="s">
        <v>422</v>
      </c>
      <c r="B288" s="20" t="s">
        <v>310</v>
      </c>
      <c r="C288" s="20" t="s">
        <v>515</v>
      </c>
      <c r="D288" s="36">
        <v>0</v>
      </c>
      <c r="E288" s="36">
        <v>0</v>
      </c>
      <c r="F288" s="36">
        <v>0</v>
      </c>
      <c r="G288" s="36">
        <v>0</v>
      </c>
      <c r="H288" s="36">
        <v>0</v>
      </c>
      <c r="I288" s="36">
        <v>0</v>
      </c>
      <c r="J288" s="36">
        <v>0</v>
      </c>
    </row>
    <row r="289" spans="1:10" x14ac:dyDescent="0.3">
      <c r="A289" s="20" t="s">
        <v>423</v>
      </c>
      <c r="B289" s="20" t="s">
        <v>312</v>
      </c>
      <c r="C289" s="20" t="s">
        <v>515</v>
      </c>
      <c r="D289" s="36">
        <v>0</v>
      </c>
      <c r="E289" s="36">
        <v>0</v>
      </c>
      <c r="F289" s="36">
        <v>0</v>
      </c>
      <c r="G289" s="36">
        <v>0</v>
      </c>
      <c r="H289" s="36">
        <v>0</v>
      </c>
      <c r="I289" s="36">
        <v>0</v>
      </c>
      <c r="J289" s="36">
        <v>0</v>
      </c>
    </row>
    <row r="290" spans="1:10" x14ac:dyDescent="0.3">
      <c r="A290" s="20" t="s">
        <v>424</v>
      </c>
      <c r="B290" s="20" t="s">
        <v>314</v>
      </c>
      <c r="C290" s="20" t="s">
        <v>515</v>
      </c>
      <c r="D290" s="36">
        <v>0</v>
      </c>
      <c r="E290" s="36">
        <v>0</v>
      </c>
      <c r="F290" s="36">
        <v>0</v>
      </c>
      <c r="G290" s="36">
        <v>0</v>
      </c>
      <c r="H290" s="36">
        <v>0</v>
      </c>
      <c r="I290" s="36">
        <v>0</v>
      </c>
      <c r="J290" s="36">
        <v>0</v>
      </c>
    </row>
    <row r="291" spans="1:10" x14ac:dyDescent="0.3">
      <c r="A291" s="20" t="s">
        <v>425</v>
      </c>
      <c r="B291" s="20" t="s">
        <v>316</v>
      </c>
      <c r="C291" s="20" t="s">
        <v>515</v>
      </c>
      <c r="D291" s="36">
        <v>0</v>
      </c>
      <c r="E291" s="36">
        <v>0</v>
      </c>
      <c r="F291" s="36">
        <v>0</v>
      </c>
      <c r="G291" s="36">
        <v>0</v>
      </c>
      <c r="H291" s="36">
        <v>0</v>
      </c>
      <c r="I291" s="36">
        <v>0</v>
      </c>
      <c r="J291" s="36">
        <v>0</v>
      </c>
    </row>
    <row r="292" spans="1:10" x14ac:dyDescent="0.3">
      <c r="A292" s="20" t="s">
        <v>426</v>
      </c>
      <c r="B292" s="20" t="s">
        <v>318</v>
      </c>
      <c r="C292" s="20" t="s">
        <v>515</v>
      </c>
      <c r="D292" s="36">
        <v>0</v>
      </c>
      <c r="E292" s="36">
        <v>0</v>
      </c>
      <c r="F292" s="36">
        <v>0</v>
      </c>
      <c r="G292" s="36">
        <v>0</v>
      </c>
      <c r="H292" s="36">
        <v>0</v>
      </c>
      <c r="I292" s="36">
        <v>0</v>
      </c>
      <c r="J292" s="36">
        <v>0</v>
      </c>
    </row>
    <row r="293" spans="1:10" x14ac:dyDescent="0.3">
      <c r="A293" s="20" t="s">
        <v>427</v>
      </c>
      <c r="B293" s="20" t="s">
        <v>320</v>
      </c>
      <c r="C293" s="20" t="s">
        <v>515</v>
      </c>
      <c r="D293" s="36">
        <v>0</v>
      </c>
      <c r="E293" s="36">
        <v>0</v>
      </c>
      <c r="F293" s="36">
        <v>0</v>
      </c>
      <c r="G293" s="36">
        <v>0</v>
      </c>
      <c r="H293" s="36">
        <v>0</v>
      </c>
      <c r="I293" s="36">
        <v>0</v>
      </c>
      <c r="J293" s="36">
        <v>0</v>
      </c>
    </row>
    <row r="294" spans="1:10" x14ac:dyDescent="0.3">
      <c r="A294" s="20" t="s">
        <v>449</v>
      </c>
      <c r="B294" s="20" t="s">
        <v>450</v>
      </c>
      <c r="C294" s="20" t="s">
        <v>515</v>
      </c>
      <c r="D294" s="36">
        <v>0</v>
      </c>
      <c r="E294" s="36">
        <v>0</v>
      </c>
      <c r="F294" s="36">
        <v>0</v>
      </c>
      <c r="G294" s="36">
        <v>0</v>
      </c>
      <c r="H294" s="36">
        <v>0</v>
      </c>
      <c r="I294" s="36">
        <v>0</v>
      </c>
      <c r="J294" s="36">
        <v>0</v>
      </c>
    </row>
    <row r="295" spans="1:10" x14ac:dyDescent="0.3">
      <c r="D295" s="36"/>
      <c r="E295" s="36"/>
      <c r="F295" s="36"/>
      <c r="G295" s="36"/>
      <c r="H295" s="36"/>
      <c r="I295" s="36"/>
      <c r="J295" s="36"/>
    </row>
    <row r="296" spans="1:10" x14ac:dyDescent="0.3">
      <c r="D296" s="36"/>
      <c r="E296" s="36"/>
      <c r="F296" s="36"/>
      <c r="G296" s="36"/>
      <c r="H296" s="36"/>
      <c r="I296" s="36"/>
      <c r="J296" s="36"/>
    </row>
    <row r="297" spans="1:10" x14ac:dyDescent="0.3">
      <c r="D297" s="36"/>
      <c r="E297" s="36"/>
      <c r="F297" s="36"/>
      <c r="G297" s="36"/>
      <c r="H297" s="36"/>
      <c r="I297" s="36"/>
      <c r="J297" s="36"/>
    </row>
    <row r="298" spans="1:10" x14ac:dyDescent="0.3">
      <c r="D298" s="36"/>
      <c r="E298" s="36"/>
      <c r="F298" s="36"/>
      <c r="G298" s="36"/>
      <c r="H298" s="36"/>
      <c r="I298" s="36"/>
      <c r="J298" s="36"/>
    </row>
    <row r="299" spans="1:10" x14ac:dyDescent="0.3">
      <c r="D299" s="36"/>
      <c r="E299" s="36"/>
      <c r="F299" s="36"/>
      <c r="G299" s="36"/>
      <c r="H299" s="36"/>
      <c r="I299" s="36"/>
      <c r="J299" s="36"/>
    </row>
    <row r="300" spans="1:10" x14ac:dyDescent="0.3">
      <c r="D300" s="36"/>
      <c r="E300" s="36"/>
      <c r="F300" s="36"/>
      <c r="G300" s="36"/>
      <c r="H300" s="36"/>
      <c r="I300" s="36"/>
      <c r="J300" s="36"/>
    </row>
    <row r="301" spans="1:10" x14ac:dyDescent="0.3">
      <c r="D301" s="36"/>
      <c r="E301" s="36"/>
      <c r="F301" s="36"/>
      <c r="G301" s="36"/>
      <c r="H301" s="36"/>
      <c r="I301" s="36"/>
      <c r="J301" s="36"/>
    </row>
    <row r="302" spans="1:10" x14ac:dyDescent="0.3">
      <c r="D302" s="36"/>
      <c r="E302" s="36"/>
      <c r="F302" s="36"/>
      <c r="G302" s="36"/>
      <c r="H302" s="36"/>
      <c r="I302" s="36"/>
      <c r="J302" s="36"/>
    </row>
    <row r="303" spans="1:10" x14ac:dyDescent="0.3">
      <c r="D303" s="36"/>
      <c r="E303" s="36"/>
      <c r="F303" s="36"/>
      <c r="G303" s="36"/>
      <c r="H303" s="36"/>
      <c r="I303" s="36"/>
      <c r="J303" s="36"/>
    </row>
    <row r="304" spans="1:10" x14ac:dyDescent="0.3">
      <c r="D304" s="36"/>
      <c r="E304" s="36"/>
      <c r="F304" s="36"/>
      <c r="G304" s="36"/>
      <c r="H304" s="36"/>
      <c r="I304" s="36"/>
      <c r="J304" s="36"/>
    </row>
    <row r="305" spans="4:10" x14ac:dyDescent="0.3">
      <c r="D305" s="36"/>
      <c r="E305" s="36"/>
      <c r="F305" s="36"/>
      <c r="G305" s="36"/>
      <c r="H305" s="36"/>
      <c r="I305" s="36"/>
      <c r="J305" s="36"/>
    </row>
    <row r="306" spans="4:10" x14ac:dyDescent="0.3">
      <c r="D306" s="36"/>
      <c r="E306" s="36"/>
      <c r="F306" s="36"/>
      <c r="G306" s="36"/>
      <c r="H306" s="36"/>
      <c r="I306" s="36"/>
      <c r="J306" s="36"/>
    </row>
    <row r="307" spans="4:10" x14ac:dyDescent="0.3">
      <c r="D307" s="36"/>
      <c r="E307" s="36"/>
      <c r="F307" s="36"/>
      <c r="G307" s="36"/>
      <c r="H307" s="36"/>
      <c r="I307" s="36"/>
      <c r="J307" s="36"/>
    </row>
    <row r="308" spans="4:10" x14ac:dyDescent="0.3">
      <c r="D308" s="36"/>
      <c r="E308" s="36"/>
      <c r="F308" s="36"/>
      <c r="G308" s="36"/>
      <c r="H308" s="36"/>
      <c r="I308" s="36"/>
      <c r="J308" s="36"/>
    </row>
    <row r="309" spans="4:10" x14ac:dyDescent="0.3">
      <c r="D309" s="36"/>
      <c r="E309" s="36"/>
      <c r="F309" s="36"/>
      <c r="G309" s="36"/>
      <c r="H309" s="36"/>
      <c r="I309" s="36"/>
      <c r="J309" s="36"/>
    </row>
    <row r="310" spans="4:10" x14ac:dyDescent="0.3">
      <c r="D310" s="36"/>
      <c r="E310" s="36"/>
      <c r="F310" s="36"/>
      <c r="G310" s="36"/>
      <c r="H310" s="36"/>
      <c r="I310" s="36"/>
      <c r="J310" s="36"/>
    </row>
    <row r="311" spans="4:10" x14ac:dyDescent="0.3">
      <c r="D311" s="36"/>
      <c r="E311" s="36"/>
      <c r="F311" s="36"/>
      <c r="G311" s="36"/>
      <c r="H311" s="36"/>
      <c r="I311" s="36"/>
      <c r="J311" s="36"/>
    </row>
    <row r="312" spans="4:10" x14ac:dyDescent="0.3">
      <c r="D312" s="36"/>
      <c r="E312" s="36"/>
      <c r="F312" s="36"/>
      <c r="G312" s="36"/>
      <c r="H312" s="36"/>
      <c r="I312" s="36"/>
      <c r="J312" s="36"/>
    </row>
    <row r="313" spans="4:10" x14ac:dyDescent="0.3">
      <c r="D313" s="36"/>
      <c r="E313" s="36"/>
      <c r="F313" s="36"/>
      <c r="G313" s="36"/>
      <c r="H313" s="36"/>
      <c r="I313" s="36"/>
      <c r="J313" s="36"/>
    </row>
    <row r="314" spans="4:10" x14ac:dyDescent="0.3">
      <c r="D314" s="36"/>
      <c r="E314" s="36"/>
      <c r="F314" s="36"/>
      <c r="G314" s="36"/>
      <c r="H314" s="36"/>
      <c r="I314" s="36"/>
      <c r="J314" s="36"/>
    </row>
    <row r="315" spans="4:10" x14ac:dyDescent="0.3">
      <c r="D315" s="36"/>
      <c r="E315" s="36"/>
      <c r="F315" s="36"/>
      <c r="G315" s="36"/>
      <c r="H315" s="36"/>
      <c r="I315" s="36"/>
      <c r="J315" s="36"/>
    </row>
    <row r="316" spans="4:10" x14ac:dyDescent="0.3">
      <c r="D316" s="36"/>
      <c r="E316" s="36"/>
      <c r="F316" s="36"/>
      <c r="G316" s="36"/>
      <c r="H316" s="36"/>
      <c r="I316" s="36"/>
      <c r="J316" s="36"/>
    </row>
    <row r="317" spans="4:10" x14ac:dyDescent="0.3">
      <c r="D317" s="36"/>
      <c r="E317" s="36"/>
      <c r="F317" s="36"/>
      <c r="G317" s="36"/>
      <c r="H317" s="36"/>
      <c r="I317" s="36"/>
      <c r="J317" s="36"/>
    </row>
    <row r="318" spans="4:10" x14ac:dyDescent="0.3">
      <c r="D318" s="36"/>
      <c r="E318" s="36"/>
      <c r="F318" s="36"/>
      <c r="G318" s="36"/>
      <c r="H318" s="36"/>
      <c r="I318" s="36"/>
      <c r="J318" s="36"/>
    </row>
    <row r="319" spans="4:10" x14ac:dyDescent="0.3">
      <c r="D319" s="36"/>
      <c r="E319" s="36"/>
      <c r="F319" s="36"/>
      <c r="G319" s="36"/>
      <c r="H319" s="36"/>
      <c r="I319" s="36"/>
      <c r="J319" s="36"/>
    </row>
    <row r="320" spans="4:10" x14ac:dyDescent="0.3">
      <c r="D320" s="36"/>
      <c r="E320" s="36"/>
      <c r="F320" s="36"/>
      <c r="G320" s="36"/>
      <c r="H320" s="36"/>
      <c r="I320" s="36"/>
      <c r="J320" s="36"/>
    </row>
    <row r="321" spans="4:10" x14ac:dyDescent="0.3">
      <c r="D321" s="36"/>
      <c r="E321" s="36"/>
      <c r="F321" s="36"/>
      <c r="G321" s="36"/>
      <c r="H321" s="36"/>
      <c r="I321" s="36"/>
      <c r="J321" s="36"/>
    </row>
    <row r="322" spans="4:10" x14ac:dyDescent="0.3">
      <c r="D322" s="36"/>
      <c r="E322" s="36"/>
      <c r="F322" s="36"/>
      <c r="G322" s="36"/>
      <c r="H322" s="36"/>
      <c r="I322" s="36"/>
      <c r="J322" s="36"/>
    </row>
    <row r="323" spans="4:10" x14ac:dyDescent="0.3">
      <c r="D323" s="36"/>
      <c r="E323" s="36"/>
      <c r="F323" s="36"/>
      <c r="G323" s="36"/>
      <c r="H323" s="36"/>
      <c r="I323" s="36"/>
      <c r="J323" s="36"/>
    </row>
    <row r="324" spans="4:10" x14ac:dyDescent="0.3">
      <c r="D324" s="36"/>
      <c r="E324" s="36"/>
      <c r="F324" s="36"/>
      <c r="G324" s="36"/>
      <c r="H324" s="36"/>
      <c r="I324" s="36"/>
      <c r="J324" s="36"/>
    </row>
    <row r="325" spans="4:10" x14ac:dyDescent="0.3">
      <c r="D325" s="36"/>
      <c r="E325" s="36"/>
      <c r="F325" s="36"/>
      <c r="G325" s="36"/>
      <c r="H325" s="36"/>
      <c r="I325" s="36"/>
      <c r="J325" s="36"/>
    </row>
    <row r="326" spans="4:10" x14ac:dyDescent="0.3">
      <c r="D326" s="36"/>
      <c r="E326" s="36"/>
      <c r="F326" s="36"/>
      <c r="G326" s="36"/>
      <c r="H326" s="36"/>
      <c r="I326" s="36"/>
      <c r="J326" s="36"/>
    </row>
    <row r="327" spans="4:10" x14ac:dyDescent="0.3">
      <c r="D327" s="36"/>
      <c r="E327" s="36"/>
      <c r="F327" s="36"/>
      <c r="G327" s="36"/>
      <c r="H327" s="36"/>
      <c r="I327" s="36"/>
      <c r="J327" s="36"/>
    </row>
    <row r="328" spans="4:10" x14ac:dyDescent="0.3">
      <c r="D328" s="36"/>
      <c r="E328" s="36"/>
      <c r="F328" s="36"/>
      <c r="G328" s="36"/>
      <c r="H328" s="36"/>
      <c r="I328" s="36"/>
      <c r="J328" s="36"/>
    </row>
    <row r="329" spans="4:10" x14ac:dyDescent="0.3">
      <c r="D329" s="36"/>
      <c r="E329" s="36"/>
      <c r="F329" s="36"/>
      <c r="G329" s="36"/>
      <c r="H329" s="36"/>
      <c r="I329" s="36"/>
      <c r="J329" s="36"/>
    </row>
    <row r="330" spans="4:10" x14ac:dyDescent="0.3">
      <c r="D330" s="36"/>
      <c r="E330" s="36"/>
      <c r="F330" s="36"/>
      <c r="G330" s="36"/>
      <c r="H330" s="36"/>
      <c r="I330" s="36"/>
      <c r="J330" s="36"/>
    </row>
    <row r="331" spans="4:10" x14ac:dyDescent="0.3">
      <c r="D331" s="36"/>
      <c r="E331" s="36"/>
      <c r="F331" s="36"/>
      <c r="G331" s="36"/>
      <c r="H331" s="36"/>
      <c r="I331" s="36"/>
      <c r="J331" s="36"/>
    </row>
    <row r="332" spans="4:10" x14ac:dyDescent="0.3">
      <c r="D332" s="36"/>
      <c r="E332" s="36"/>
      <c r="F332" s="36"/>
      <c r="G332" s="36"/>
      <c r="H332" s="36"/>
      <c r="I332" s="36"/>
      <c r="J332" s="36"/>
    </row>
    <row r="333" spans="4:10" x14ac:dyDescent="0.3">
      <c r="D333" s="36"/>
      <c r="E333" s="36"/>
      <c r="F333" s="36"/>
      <c r="G333" s="36"/>
      <c r="H333" s="36"/>
      <c r="I333" s="36"/>
      <c r="J333" s="36"/>
    </row>
    <row r="334" spans="4:10" x14ac:dyDescent="0.3">
      <c r="D334" s="36"/>
      <c r="E334" s="36"/>
      <c r="F334" s="36"/>
      <c r="G334" s="36"/>
      <c r="H334" s="36"/>
      <c r="I334" s="36"/>
      <c r="J334" s="36"/>
    </row>
    <row r="335" spans="4:10" x14ac:dyDescent="0.3">
      <c r="D335" s="36"/>
      <c r="E335" s="36"/>
      <c r="F335" s="36"/>
      <c r="G335" s="36"/>
      <c r="H335" s="36"/>
      <c r="I335" s="36"/>
      <c r="J335" s="36"/>
    </row>
    <row r="336" spans="4:10" x14ac:dyDescent="0.3">
      <c r="D336" s="36"/>
      <c r="E336" s="36"/>
      <c r="F336" s="36"/>
      <c r="G336" s="36"/>
      <c r="H336" s="36"/>
      <c r="I336" s="36"/>
      <c r="J336" s="36"/>
    </row>
    <row r="337" spans="4:10" x14ac:dyDescent="0.3">
      <c r="D337" s="36"/>
      <c r="E337" s="36"/>
      <c r="F337" s="36"/>
      <c r="G337" s="36"/>
      <c r="H337" s="36"/>
      <c r="I337" s="36"/>
      <c r="J337" s="36"/>
    </row>
    <row r="338" spans="4:10" x14ac:dyDescent="0.3">
      <c r="D338" s="36"/>
      <c r="E338" s="36"/>
      <c r="F338" s="36"/>
      <c r="G338" s="36"/>
      <c r="H338" s="36"/>
      <c r="I338" s="36"/>
      <c r="J338" s="36"/>
    </row>
    <row r="339" spans="4:10" x14ac:dyDescent="0.3">
      <c r="D339" s="36"/>
      <c r="E339" s="36"/>
      <c r="F339" s="36"/>
      <c r="G339" s="36"/>
      <c r="H339" s="36"/>
      <c r="I339" s="36"/>
      <c r="J339" s="36"/>
    </row>
    <row r="340" spans="4:10" x14ac:dyDescent="0.3">
      <c r="D340" s="36"/>
      <c r="E340" s="36"/>
      <c r="F340" s="36"/>
      <c r="G340" s="36"/>
      <c r="H340" s="36"/>
      <c r="I340" s="36"/>
      <c r="J340" s="36"/>
    </row>
    <row r="341" spans="4:10" x14ac:dyDescent="0.3">
      <c r="D341" s="36"/>
      <c r="E341" s="36"/>
      <c r="F341" s="36"/>
      <c r="G341" s="36"/>
      <c r="H341" s="36"/>
      <c r="I341" s="36"/>
      <c r="J341" s="36"/>
    </row>
    <row r="342" spans="4:10" x14ac:dyDescent="0.3">
      <c r="D342" s="36"/>
      <c r="E342" s="36"/>
      <c r="F342" s="36"/>
      <c r="G342" s="36"/>
      <c r="H342" s="36"/>
      <c r="I342" s="36"/>
      <c r="J342" s="36"/>
    </row>
    <row r="343" spans="4:10" x14ac:dyDescent="0.3">
      <c r="D343" s="36"/>
      <c r="E343" s="36"/>
      <c r="F343" s="36"/>
      <c r="G343" s="36"/>
      <c r="H343" s="36"/>
      <c r="I343" s="36"/>
      <c r="J343" s="36"/>
    </row>
    <row r="344" spans="4:10" x14ac:dyDescent="0.3">
      <c r="D344" s="36"/>
      <c r="E344" s="36"/>
      <c r="F344" s="36"/>
      <c r="G344" s="36"/>
      <c r="H344" s="36"/>
      <c r="I344" s="36"/>
      <c r="J344" s="36"/>
    </row>
    <row r="345" spans="4:10" x14ac:dyDescent="0.3">
      <c r="D345" s="36"/>
      <c r="E345" s="36"/>
      <c r="F345" s="36"/>
      <c r="G345" s="36"/>
      <c r="H345" s="36"/>
      <c r="I345" s="36"/>
      <c r="J345" s="36"/>
    </row>
    <row r="346" spans="4:10" x14ac:dyDescent="0.3">
      <c r="D346" s="36"/>
      <c r="E346" s="36"/>
      <c r="F346" s="36"/>
      <c r="G346" s="36"/>
      <c r="H346" s="36"/>
      <c r="I346" s="36"/>
      <c r="J346" s="36"/>
    </row>
    <row r="347" spans="4:10" x14ac:dyDescent="0.3">
      <c r="D347" s="36"/>
      <c r="E347" s="36"/>
      <c r="F347" s="36"/>
      <c r="G347" s="36"/>
      <c r="H347" s="36"/>
      <c r="I347" s="36"/>
      <c r="J347" s="36"/>
    </row>
    <row r="348" spans="4:10" x14ac:dyDescent="0.3">
      <c r="D348" s="36"/>
      <c r="E348" s="36"/>
      <c r="F348" s="36"/>
      <c r="G348" s="36"/>
      <c r="H348" s="36"/>
      <c r="I348" s="36"/>
      <c r="J348" s="36"/>
    </row>
    <row r="349" spans="4:10" x14ac:dyDescent="0.3">
      <c r="D349" s="36"/>
      <c r="E349" s="36"/>
      <c r="F349" s="36"/>
      <c r="G349" s="36"/>
      <c r="H349" s="36"/>
      <c r="I349" s="36"/>
      <c r="J349" s="36"/>
    </row>
    <row r="350" spans="4:10" x14ac:dyDescent="0.3">
      <c r="D350" s="36"/>
      <c r="E350" s="36"/>
      <c r="F350" s="36"/>
      <c r="G350" s="36"/>
      <c r="H350" s="36"/>
      <c r="I350" s="36"/>
      <c r="J350" s="36"/>
    </row>
    <row r="351" spans="4:10" x14ac:dyDescent="0.3">
      <c r="D351" s="36"/>
      <c r="E351" s="36"/>
      <c r="F351" s="36"/>
      <c r="G351" s="36"/>
      <c r="H351" s="36"/>
      <c r="I351" s="36"/>
      <c r="J351" s="36"/>
    </row>
    <row r="352" spans="4:10" x14ac:dyDescent="0.3">
      <c r="D352" s="36"/>
      <c r="E352" s="36"/>
      <c r="F352" s="36"/>
      <c r="G352" s="36"/>
      <c r="H352" s="36"/>
      <c r="I352" s="36"/>
      <c r="J352" s="36"/>
    </row>
    <row r="353" spans="4:10" x14ac:dyDescent="0.3">
      <c r="D353" s="36"/>
      <c r="E353" s="36"/>
      <c r="F353" s="36"/>
      <c r="G353" s="36"/>
      <c r="H353" s="36"/>
      <c r="I353" s="36"/>
      <c r="J353" s="36"/>
    </row>
    <row r="354" spans="4:10" x14ac:dyDescent="0.3">
      <c r="D354" s="36"/>
      <c r="E354" s="36"/>
      <c r="F354" s="36"/>
      <c r="G354" s="36"/>
      <c r="H354" s="36"/>
      <c r="I354" s="36"/>
      <c r="J354" s="36"/>
    </row>
    <row r="355" spans="4:10" x14ac:dyDescent="0.3">
      <c r="D355" s="36"/>
      <c r="E355" s="36"/>
      <c r="F355" s="36"/>
      <c r="G355" s="36"/>
      <c r="H355" s="36"/>
      <c r="I355" s="36"/>
      <c r="J355" s="36"/>
    </row>
    <row r="356" spans="4:10" x14ac:dyDescent="0.3">
      <c r="D356" s="36"/>
      <c r="E356" s="36"/>
      <c r="F356" s="36"/>
      <c r="G356" s="36"/>
      <c r="H356" s="36"/>
      <c r="I356" s="36"/>
      <c r="J356" s="36"/>
    </row>
    <row r="357" spans="4:10" x14ac:dyDescent="0.3">
      <c r="D357" s="36"/>
      <c r="E357" s="36"/>
      <c r="F357" s="36"/>
      <c r="G357" s="36"/>
      <c r="H357" s="36"/>
      <c r="I357" s="36"/>
      <c r="J357" s="36"/>
    </row>
    <row r="358" spans="4:10" x14ac:dyDescent="0.3">
      <c r="D358" s="36"/>
      <c r="E358" s="36"/>
      <c r="F358" s="36"/>
      <c r="G358" s="36"/>
      <c r="H358" s="36"/>
      <c r="I358" s="36"/>
      <c r="J358" s="36"/>
    </row>
    <row r="359" spans="4:10" x14ac:dyDescent="0.3">
      <c r="D359" s="36"/>
      <c r="E359" s="36"/>
      <c r="F359" s="36"/>
      <c r="G359" s="36"/>
      <c r="H359" s="36"/>
      <c r="I359" s="36"/>
      <c r="J359" s="36"/>
    </row>
    <row r="360" spans="4:10" x14ac:dyDescent="0.3">
      <c r="D360" s="36"/>
      <c r="E360" s="36"/>
      <c r="F360" s="36"/>
      <c r="G360" s="36"/>
      <c r="H360" s="36"/>
      <c r="I360" s="36"/>
      <c r="J360" s="36"/>
    </row>
    <row r="361" spans="4:10" x14ac:dyDescent="0.3">
      <c r="D361" s="36"/>
      <c r="E361" s="36"/>
      <c r="F361" s="36"/>
      <c r="G361" s="36"/>
      <c r="H361" s="36"/>
      <c r="I361" s="36"/>
      <c r="J361" s="36"/>
    </row>
    <row r="362" spans="4:10" x14ac:dyDescent="0.3">
      <c r="D362" s="36"/>
      <c r="E362" s="36"/>
      <c r="F362" s="36"/>
      <c r="G362" s="36"/>
      <c r="H362" s="36"/>
      <c r="I362" s="36"/>
      <c r="J362" s="36"/>
    </row>
    <row r="363" spans="4:10" x14ac:dyDescent="0.3">
      <c r="D363" s="36"/>
      <c r="E363" s="36"/>
      <c r="F363" s="36"/>
      <c r="G363" s="36"/>
      <c r="H363" s="36"/>
      <c r="I363" s="36"/>
      <c r="J363" s="36"/>
    </row>
    <row r="364" spans="4:10" x14ac:dyDescent="0.3">
      <c r="D364" s="36"/>
      <c r="E364" s="36"/>
      <c r="F364" s="36"/>
      <c r="G364" s="36"/>
      <c r="H364" s="36"/>
      <c r="I364" s="36"/>
      <c r="J364" s="36"/>
    </row>
    <row r="365" spans="4:10" x14ac:dyDescent="0.3">
      <c r="D365" s="36"/>
      <c r="E365" s="36"/>
      <c r="F365" s="36"/>
      <c r="G365" s="36"/>
      <c r="H365" s="36"/>
      <c r="I365" s="36"/>
      <c r="J365" s="36"/>
    </row>
    <row r="366" spans="4:10" x14ac:dyDescent="0.3">
      <c r="D366" s="36"/>
      <c r="E366" s="36"/>
      <c r="F366" s="36"/>
      <c r="G366" s="36"/>
      <c r="H366" s="36"/>
      <c r="I366" s="36"/>
      <c r="J366" s="36"/>
    </row>
    <row r="367" spans="4:10" x14ac:dyDescent="0.3">
      <c r="D367" s="36"/>
      <c r="E367" s="36"/>
      <c r="F367" s="36"/>
      <c r="G367" s="36"/>
      <c r="H367" s="36"/>
      <c r="I367" s="36"/>
      <c r="J367" s="36"/>
    </row>
    <row r="368" spans="4:10" x14ac:dyDescent="0.3">
      <c r="D368" s="36"/>
      <c r="E368" s="36"/>
      <c r="F368" s="36"/>
      <c r="G368" s="36"/>
      <c r="H368" s="36"/>
      <c r="I368" s="36"/>
      <c r="J368" s="36"/>
    </row>
    <row r="369" spans="4:10" x14ac:dyDescent="0.3">
      <c r="D369" s="36"/>
      <c r="E369" s="36"/>
      <c r="F369" s="36"/>
      <c r="G369" s="36"/>
      <c r="H369" s="36"/>
      <c r="I369" s="36"/>
      <c r="J369" s="36"/>
    </row>
    <row r="370" spans="4:10" x14ac:dyDescent="0.3">
      <c r="D370" s="36"/>
      <c r="E370" s="36"/>
      <c r="F370" s="36"/>
      <c r="G370" s="36"/>
      <c r="H370" s="36"/>
      <c r="I370" s="36"/>
      <c r="J370" s="36"/>
    </row>
    <row r="371" spans="4:10" x14ac:dyDescent="0.3">
      <c r="D371" s="36"/>
      <c r="E371" s="36"/>
      <c r="F371" s="36"/>
      <c r="G371" s="36"/>
      <c r="H371" s="36"/>
      <c r="I371" s="36"/>
      <c r="J371" s="36"/>
    </row>
    <row r="372" spans="4:10" x14ac:dyDescent="0.3">
      <c r="D372" s="36"/>
      <c r="E372" s="36"/>
      <c r="F372" s="36"/>
      <c r="G372" s="36"/>
      <c r="H372" s="36"/>
      <c r="I372" s="36"/>
      <c r="J372" s="36"/>
    </row>
    <row r="373" spans="4:10" x14ac:dyDescent="0.3">
      <c r="D373" s="36"/>
      <c r="E373" s="36"/>
      <c r="F373" s="36"/>
      <c r="G373" s="36"/>
      <c r="H373" s="36"/>
      <c r="I373" s="36"/>
      <c r="J373" s="36"/>
    </row>
    <row r="374" spans="4:10" x14ac:dyDescent="0.3">
      <c r="D374" s="36"/>
      <c r="E374" s="36"/>
      <c r="F374" s="36"/>
      <c r="G374" s="36"/>
      <c r="H374" s="36"/>
      <c r="I374" s="36"/>
      <c r="J374" s="36"/>
    </row>
    <row r="375" spans="4:10" x14ac:dyDescent="0.3">
      <c r="D375" s="36"/>
      <c r="E375" s="36"/>
      <c r="F375" s="36"/>
      <c r="G375" s="36"/>
      <c r="H375" s="36"/>
      <c r="I375" s="36"/>
      <c r="J375" s="36"/>
    </row>
    <row r="376" spans="4:10" x14ac:dyDescent="0.3">
      <c r="D376" s="36"/>
      <c r="E376" s="36"/>
      <c r="F376" s="36"/>
      <c r="G376" s="36"/>
      <c r="H376" s="36"/>
      <c r="I376" s="36"/>
      <c r="J376" s="36"/>
    </row>
    <row r="377" spans="4:10" x14ac:dyDescent="0.3">
      <c r="D377" s="36"/>
      <c r="E377" s="36"/>
      <c r="F377" s="36"/>
      <c r="G377" s="36"/>
      <c r="H377" s="36"/>
      <c r="I377" s="36"/>
      <c r="J377" s="36"/>
    </row>
    <row r="378" spans="4:10" x14ac:dyDescent="0.3">
      <c r="D378" s="36"/>
      <c r="E378" s="36"/>
      <c r="F378" s="36"/>
      <c r="G378" s="36"/>
      <c r="H378" s="36"/>
      <c r="I378" s="36"/>
      <c r="J378" s="36"/>
    </row>
    <row r="379" spans="4:10" x14ac:dyDescent="0.3">
      <c r="D379" s="36"/>
      <c r="E379" s="36"/>
      <c r="F379" s="36"/>
      <c r="G379" s="36"/>
      <c r="H379" s="36"/>
      <c r="I379" s="36"/>
      <c r="J379" s="36"/>
    </row>
    <row r="380" spans="4:10" x14ac:dyDescent="0.3">
      <c r="D380" s="36"/>
      <c r="E380" s="36"/>
      <c r="F380" s="36"/>
      <c r="G380" s="36"/>
      <c r="H380" s="36"/>
      <c r="I380" s="36"/>
      <c r="J380" s="36"/>
    </row>
    <row r="381" spans="4:10" x14ac:dyDescent="0.3">
      <c r="D381" s="36"/>
      <c r="E381" s="36"/>
      <c r="F381" s="36"/>
      <c r="G381" s="36"/>
      <c r="H381" s="36"/>
      <c r="I381" s="36"/>
      <c r="J381" s="36"/>
    </row>
    <row r="382" spans="4:10" x14ac:dyDescent="0.3">
      <c r="D382" s="36"/>
      <c r="E382" s="36"/>
      <c r="F382" s="36"/>
      <c r="G382" s="36"/>
      <c r="H382" s="36"/>
      <c r="I382" s="36"/>
      <c r="J382" s="36"/>
    </row>
    <row r="383" spans="4:10" x14ac:dyDescent="0.3">
      <c r="D383" s="36"/>
      <c r="E383" s="36"/>
      <c r="F383" s="36"/>
      <c r="G383" s="36"/>
      <c r="H383" s="36"/>
      <c r="I383" s="36"/>
      <c r="J383" s="36"/>
    </row>
    <row r="384" spans="4:10" x14ac:dyDescent="0.3">
      <c r="D384" s="36"/>
      <c r="E384" s="36"/>
      <c r="F384" s="36"/>
      <c r="G384" s="36"/>
      <c r="H384" s="36"/>
      <c r="I384" s="36"/>
      <c r="J384" s="36"/>
    </row>
    <row r="385" spans="4:10" x14ac:dyDescent="0.3">
      <c r="D385" s="36"/>
      <c r="E385" s="36"/>
      <c r="F385" s="36"/>
      <c r="G385" s="36"/>
      <c r="H385" s="36"/>
      <c r="I385" s="36"/>
      <c r="J385" s="36"/>
    </row>
    <row r="386" spans="4:10" x14ac:dyDescent="0.3">
      <c r="D386" s="36"/>
      <c r="E386" s="36"/>
      <c r="F386" s="36"/>
      <c r="G386" s="36"/>
      <c r="H386" s="36"/>
      <c r="I386" s="36"/>
      <c r="J386" s="36"/>
    </row>
    <row r="387" spans="4:10" x14ac:dyDescent="0.3">
      <c r="D387" s="36"/>
      <c r="E387" s="36"/>
      <c r="F387" s="36"/>
      <c r="G387" s="36"/>
      <c r="H387" s="36"/>
      <c r="I387" s="36"/>
      <c r="J387" s="36"/>
    </row>
    <row r="388" spans="4:10" x14ac:dyDescent="0.3">
      <c r="D388" s="36"/>
      <c r="E388" s="36"/>
      <c r="F388" s="36"/>
      <c r="G388" s="36"/>
      <c r="H388" s="36"/>
      <c r="I388" s="36"/>
      <c r="J388" s="36"/>
    </row>
    <row r="389" spans="4:10" x14ac:dyDescent="0.3">
      <c r="D389" s="36"/>
      <c r="E389" s="36"/>
      <c r="F389" s="36"/>
      <c r="G389" s="36"/>
      <c r="H389" s="36"/>
      <c r="I389" s="36"/>
      <c r="J389" s="36"/>
    </row>
    <row r="390" spans="4:10" x14ac:dyDescent="0.3">
      <c r="D390" s="36"/>
      <c r="E390" s="36"/>
      <c r="F390" s="36"/>
      <c r="G390" s="36"/>
      <c r="H390" s="36"/>
      <c r="I390" s="36"/>
      <c r="J390" s="36"/>
    </row>
    <row r="391" spans="4:10" x14ac:dyDescent="0.3">
      <c r="D391" s="36"/>
      <c r="E391" s="36"/>
      <c r="F391" s="36"/>
      <c r="G391" s="36"/>
      <c r="H391" s="36"/>
      <c r="I391" s="36"/>
      <c r="J391" s="36"/>
    </row>
    <row r="392" spans="4:10" x14ac:dyDescent="0.3">
      <c r="D392" s="36"/>
      <c r="E392" s="36"/>
      <c r="F392" s="36"/>
      <c r="G392" s="36"/>
      <c r="H392" s="36"/>
      <c r="I392" s="36"/>
      <c r="J392" s="36"/>
    </row>
    <row r="393" spans="4:10" x14ac:dyDescent="0.3">
      <c r="D393" s="36"/>
      <c r="E393" s="36"/>
      <c r="F393" s="36"/>
      <c r="G393" s="36"/>
      <c r="H393" s="36"/>
      <c r="I393" s="36"/>
      <c r="J393" s="36"/>
    </row>
    <row r="394" spans="4:10" x14ac:dyDescent="0.3">
      <c r="D394" s="36"/>
      <c r="E394" s="36"/>
      <c r="F394" s="36"/>
      <c r="G394" s="36"/>
      <c r="H394" s="36"/>
      <c r="I394" s="36"/>
      <c r="J394" s="36"/>
    </row>
    <row r="395" spans="4:10" x14ac:dyDescent="0.3">
      <c r="D395" s="36"/>
      <c r="E395" s="36"/>
      <c r="F395" s="36"/>
      <c r="G395" s="36"/>
      <c r="H395" s="36"/>
      <c r="I395" s="36"/>
      <c r="J395" s="36"/>
    </row>
    <row r="396" spans="4:10" x14ac:dyDescent="0.3">
      <c r="D396" s="36"/>
      <c r="E396" s="36"/>
      <c r="F396" s="36"/>
      <c r="G396" s="36"/>
      <c r="H396" s="36"/>
      <c r="I396" s="36"/>
      <c r="J396" s="36"/>
    </row>
    <row r="397" spans="4:10" x14ac:dyDescent="0.3">
      <c r="D397" s="36"/>
      <c r="E397" s="36"/>
      <c r="F397" s="36"/>
      <c r="G397" s="36"/>
      <c r="H397" s="36"/>
      <c r="I397" s="36"/>
      <c r="J397" s="36"/>
    </row>
    <row r="398" spans="4:10" x14ac:dyDescent="0.3">
      <c r="D398" s="36"/>
      <c r="E398" s="36"/>
      <c r="F398" s="36"/>
      <c r="G398" s="36"/>
      <c r="H398" s="36"/>
      <c r="I398" s="36"/>
      <c r="J398" s="36"/>
    </row>
    <row r="399" spans="4:10" x14ac:dyDescent="0.3">
      <c r="D399" s="36"/>
      <c r="E399" s="36"/>
      <c r="F399" s="36"/>
      <c r="G399" s="36"/>
      <c r="H399" s="36"/>
      <c r="I399" s="36"/>
      <c r="J399" s="36"/>
    </row>
    <row r="400" spans="4:10" x14ac:dyDescent="0.3">
      <c r="D400" s="36"/>
      <c r="E400" s="36"/>
      <c r="F400" s="36"/>
      <c r="G400" s="36"/>
      <c r="H400" s="36"/>
      <c r="I400" s="36"/>
      <c r="J400" s="36"/>
    </row>
    <row r="401" spans="4:10" x14ac:dyDescent="0.3">
      <c r="D401" s="36"/>
      <c r="E401" s="36"/>
      <c r="F401" s="36"/>
      <c r="G401" s="36"/>
      <c r="H401" s="36"/>
      <c r="I401" s="36"/>
      <c r="J401" s="36"/>
    </row>
    <row r="402" spans="4:10" x14ac:dyDescent="0.3">
      <c r="D402" s="36"/>
      <c r="E402" s="36"/>
      <c r="F402" s="36"/>
      <c r="G402" s="36"/>
      <c r="H402" s="36"/>
      <c r="I402" s="36"/>
      <c r="J402" s="36"/>
    </row>
    <row r="403" spans="4:10" x14ac:dyDescent="0.3">
      <c r="D403" s="36"/>
      <c r="E403" s="36"/>
      <c r="F403" s="36"/>
      <c r="G403" s="36"/>
      <c r="H403" s="36"/>
      <c r="I403" s="36"/>
      <c r="J403" s="36"/>
    </row>
    <row r="404" spans="4:10" x14ac:dyDescent="0.3">
      <c r="D404" s="36"/>
      <c r="E404" s="36"/>
      <c r="F404" s="36"/>
      <c r="G404" s="36"/>
      <c r="H404" s="36"/>
      <c r="I404" s="36"/>
      <c r="J404" s="36"/>
    </row>
    <row r="405" spans="4:10" x14ac:dyDescent="0.3">
      <c r="D405" s="36"/>
      <c r="E405" s="36"/>
      <c r="F405" s="36"/>
      <c r="G405" s="36"/>
      <c r="H405" s="36"/>
      <c r="I405" s="36"/>
      <c r="J405" s="36"/>
    </row>
    <row r="406" spans="4:10" x14ac:dyDescent="0.3">
      <c r="D406" s="36"/>
      <c r="E406" s="36"/>
      <c r="F406" s="36"/>
      <c r="G406" s="36"/>
      <c r="H406" s="36"/>
      <c r="I406" s="36"/>
      <c r="J406" s="36"/>
    </row>
    <row r="407" spans="4:10" x14ac:dyDescent="0.3">
      <c r="D407" s="36"/>
      <c r="E407" s="36"/>
      <c r="F407" s="36"/>
      <c r="G407" s="36"/>
      <c r="H407" s="36"/>
      <c r="I407" s="36"/>
      <c r="J407" s="36"/>
    </row>
    <row r="408" spans="4:10" x14ac:dyDescent="0.3">
      <c r="D408" s="36"/>
      <c r="E408" s="36"/>
      <c r="F408" s="36"/>
      <c r="G408" s="36"/>
      <c r="H408" s="36"/>
      <c r="I408" s="36"/>
      <c r="J408" s="36"/>
    </row>
    <row r="409" spans="4:10" x14ac:dyDescent="0.3">
      <c r="D409" s="36"/>
      <c r="E409" s="36"/>
      <c r="F409" s="36"/>
      <c r="G409" s="36"/>
      <c r="H409" s="36"/>
      <c r="I409" s="36"/>
      <c r="J409" s="36"/>
    </row>
    <row r="410" spans="4:10" x14ac:dyDescent="0.3">
      <c r="D410" s="36"/>
      <c r="E410" s="36"/>
      <c r="F410" s="36"/>
      <c r="G410" s="36"/>
      <c r="H410" s="36"/>
      <c r="I410" s="36"/>
      <c r="J410" s="36"/>
    </row>
    <row r="411" spans="4:10" x14ac:dyDescent="0.3">
      <c r="D411" s="36"/>
      <c r="E411" s="36"/>
      <c r="F411" s="36"/>
      <c r="G411" s="36"/>
      <c r="H411" s="36"/>
      <c r="I411" s="36"/>
      <c r="J411" s="36"/>
    </row>
    <row r="412" spans="4:10" x14ac:dyDescent="0.3">
      <c r="D412" s="36"/>
      <c r="E412" s="36"/>
      <c r="F412" s="36"/>
      <c r="G412" s="36"/>
      <c r="H412" s="36"/>
      <c r="I412" s="36"/>
      <c r="J412" s="36"/>
    </row>
    <row r="413" spans="4:10" x14ac:dyDescent="0.3">
      <c r="D413" s="36"/>
      <c r="E413" s="36"/>
      <c r="F413" s="36"/>
      <c r="G413" s="36"/>
      <c r="H413" s="36"/>
      <c r="I413" s="36"/>
      <c r="J413" s="36"/>
    </row>
    <row r="414" spans="4:10" x14ac:dyDescent="0.3">
      <c r="D414" s="36"/>
      <c r="E414" s="36"/>
      <c r="F414" s="36"/>
      <c r="G414" s="36"/>
      <c r="H414" s="36"/>
      <c r="I414" s="36"/>
      <c r="J414" s="36"/>
    </row>
    <row r="415" spans="4:10" x14ac:dyDescent="0.3">
      <c r="D415" s="36"/>
      <c r="E415" s="36"/>
      <c r="F415" s="36"/>
      <c r="G415" s="36"/>
      <c r="H415" s="36"/>
      <c r="I415" s="36"/>
      <c r="J415" s="36"/>
    </row>
    <row r="416" spans="4:10" x14ac:dyDescent="0.3">
      <c r="D416" s="36"/>
      <c r="E416" s="36"/>
      <c r="F416" s="36"/>
      <c r="G416" s="36"/>
      <c r="H416" s="36"/>
      <c r="I416" s="36"/>
      <c r="J416" s="36"/>
    </row>
    <row r="417" spans="4:10" x14ac:dyDescent="0.3">
      <c r="D417" s="36"/>
      <c r="E417" s="36"/>
      <c r="F417" s="36"/>
      <c r="G417" s="36"/>
      <c r="H417" s="36"/>
      <c r="I417" s="36"/>
      <c r="J417" s="36"/>
    </row>
    <row r="418" spans="4:10" x14ac:dyDescent="0.3">
      <c r="D418" s="36"/>
      <c r="E418" s="36"/>
      <c r="F418" s="36"/>
      <c r="G418" s="36"/>
      <c r="H418" s="36"/>
      <c r="I418" s="36"/>
      <c r="J418" s="36"/>
    </row>
    <row r="419" spans="4:10" x14ac:dyDescent="0.3">
      <c r="D419" s="36"/>
      <c r="E419" s="36"/>
      <c r="F419" s="36"/>
      <c r="G419" s="36"/>
      <c r="H419" s="36"/>
      <c r="I419" s="36"/>
      <c r="J419" s="36"/>
    </row>
    <row r="420" spans="4:10" x14ac:dyDescent="0.3">
      <c r="D420" s="36"/>
      <c r="E420" s="36"/>
      <c r="F420" s="36"/>
      <c r="G420" s="36"/>
      <c r="H420" s="36"/>
      <c r="I420" s="36"/>
      <c r="J420" s="36"/>
    </row>
    <row r="421" spans="4:10" x14ac:dyDescent="0.3">
      <c r="D421" s="36"/>
      <c r="E421" s="36"/>
      <c r="F421" s="36"/>
      <c r="G421" s="36"/>
      <c r="H421" s="36"/>
      <c r="I421" s="36"/>
      <c r="J421" s="36"/>
    </row>
    <row r="422" spans="4:10" x14ac:dyDescent="0.3">
      <c r="D422" s="36"/>
      <c r="E422" s="36"/>
      <c r="F422" s="36"/>
      <c r="G422" s="36"/>
      <c r="H422" s="36"/>
      <c r="I422" s="36"/>
      <c r="J422" s="36"/>
    </row>
    <row r="423" spans="4:10" x14ac:dyDescent="0.3">
      <c r="D423" s="36"/>
      <c r="E423" s="36"/>
      <c r="F423" s="36"/>
      <c r="G423" s="36"/>
      <c r="H423" s="36"/>
      <c r="I423" s="36"/>
      <c r="J423" s="36"/>
    </row>
    <row r="424" spans="4:10" x14ac:dyDescent="0.3">
      <c r="D424" s="36"/>
      <c r="E424" s="36"/>
      <c r="F424" s="36"/>
      <c r="G424" s="36"/>
      <c r="H424" s="36"/>
      <c r="I424" s="36"/>
      <c r="J424" s="36"/>
    </row>
    <row r="425" spans="4:10" x14ac:dyDescent="0.3">
      <c r="D425" s="36"/>
      <c r="E425" s="36"/>
      <c r="F425" s="36"/>
      <c r="G425" s="36"/>
      <c r="H425" s="36"/>
      <c r="I425" s="36"/>
      <c r="J425" s="36"/>
    </row>
    <row r="426" spans="4:10" x14ac:dyDescent="0.3">
      <c r="D426" s="36"/>
      <c r="E426" s="36"/>
      <c r="F426" s="36"/>
      <c r="G426" s="36"/>
      <c r="H426" s="36"/>
      <c r="I426" s="36"/>
      <c r="J426" s="36"/>
    </row>
    <row r="427" spans="4:10" x14ac:dyDescent="0.3">
      <c r="D427" s="36"/>
      <c r="E427" s="36"/>
      <c r="F427" s="36"/>
      <c r="G427" s="36"/>
      <c r="H427" s="36"/>
      <c r="I427" s="36"/>
      <c r="J427" s="36"/>
    </row>
    <row r="428" spans="4:10" x14ac:dyDescent="0.3">
      <c r="D428" s="36"/>
      <c r="E428" s="36"/>
      <c r="F428" s="36"/>
      <c r="G428" s="36"/>
      <c r="H428" s="36"/>
      <c r="I428" s="36"/>
      <c r="J428" s="36"/>
    </row>
    <row r="429" spans="4:10" x14ac:dyDescent="0.3">
      <c r="D429" s="36"/>
      <c r="E429" s="36"/>
      <c r="F429" s="36"/>
      <c r="G429" s="36"/>
      <c r="H429" s="36"/>
      <c r="I429" s="36"/>
      <c r="J429" s="36"/>
    </row>
    <row r="430" spans="4:10" x14ac:dyDescent="0.3">
      <c r="D430" s="36"/>
      <c r="E430" s="36"/>
      <c r="F430" s="36"/>
      <c r="G430" s="36"/>
      <c r="H430" s="36"/>
      <c r="I430" s="36"/>
      <c r="J430" s="36"/>
    </row>
    <row r="431" spans="4:10" x14ac:dyDescent="0.3">
      <c r="D431" s="36"/>
      <c r="E431" s="36"/>
      <c r="F431" s="36"/>
      <c r="G431" s="36"/>
      <c r="H431" s="36"/>
      <c r="I431" s="36"/>
      <c r="J431" s="36"/>
    </row>
    <row r="432" spans="4:10" x14ac:dyDescent="0.3">
      <c r="D432" s="36"/>
      <c r="E432" s="36"/>
      <c r="F432" s="36"/>
      <c r="G432" s="36"/>
      <c r="H432" s="36"/>
      <c r="I432" s="36"/>
      <c r="J432" s="36"/>
    </row>
    <row r="433" spans="4:10" x14ac:dyDescent="0.3">
      <c r="D433" s="36"/>
      <c r="E433" s="36"/>
      <c r="F433" s="36"/>
      <c r="G433" s="36"/>
      <c r="H433" s="36"/>
      <c r="I433" s="36"/>
      <c r="J433" s="36"/>
    </row>
    <row r="434" spans="4:10" x14ac:dyDescent="0.3">
      <c r="D434" s="36"/>
      <c r="E434" s="36"/>
      <c r="F434" s="36"/>
      <c r="G434" s="36"/>
      <c r="H434" s="36"/>
      <c r="I434" s="36"/>
      <c r="J434" s="36"/>
    </row>
    <row r="435" spans="4:10" x14ac:dyDescent="0.3">
      <c r="D435" s="36"/>
      <c r="E435" s="36"/>
      <c r="F435" s="36"/>
      <c r="G435" s="36"/>
      <c r="H435" s="36"/>
      <c r="I435" s="36"/>
      <c r="J435" s="36"/>
    </row>
    <row r="436" spans="4:10" x14ac:dyDescent="0.3">
      <c r="D436" s="36"/>
      <c r="E436" s="36"/>
      <c r="F436" s="36"/>
      <c r="G436" s="36"/>
      <c r="H436" s="36"/>
      <c r="I436" s="36"/>
      <c r="J436" s="36"/>
    </row>
    <row r="437" spans="4:10" x14ac:dyDescent="0.3">
      <c r="D437" s="36"/>
      <c r="E437" s="36"/>
      <c r="F437" s="36"/>
      <c r="G437" s="36"/>
      <c r="H437" s="36"/>
      <c r="I437" s="36"/>
      <c r="J437" s="36"/>
    </row>
    <row r="438" spans="4:10" x14ac:dyDescent="0.3">
      <c r="D438" s="36"/>
      <c r="E438" s="36"/>
      <c r="F438" s="36"/>
      <c r="G438" s="36"/>
      <c r="H438" s="36"/>
      <c r="I438" s="36"/>
      <c r="J438" s="36"/>
    </row>
    <row r="439" spans="4:10" x14ac:dyDescent="0.3">
      <c r="D439" s="36"/>
      <c r="E439" s="36"/>
      <c r="F439" s="36"/>
      <c r="G439" s="36"/>
      <c r="H439" s="36"/>
      <c r="I439" s="36"/>
      <c r="J439" s="36"/>
    </row>
    <row r="440" spans="4:10" x14ac:dyDescent="0.3">
      <c r="D440" s="36"/>
      <c r="E440" s="36"/>
      <c r="F440" s="36"/>
      <c r="G440" s="36"/>
      <c r="H440" s="36"/>
      <c r="I440" s="36"/>
      <c r="J440" s="36"/>
    </row>
    <row r="441" spans="4:10" x14ac:dyDescent="0.3">
      <c r="D441" s="36"/>
      <c r="E441" s="36"/>
      <c r="F441" s="36"/>
      <c r="G441" s="36"/>
      <c r="H441" s="36"/>
      <c r="I441" s="36"/>
      <c r="J441" s="36"/>
    </row>
    <row r="442" spans="4:10" x14ac:dyDescent="0.3">
      <c r="D442" s="36"/>
      <c r="E442" s="36"/>
      <c r="F442" s="36"/>
      <c r="G442" s="36"/>
      <c r="H442" s="36"/>
      <c r="I442" s="36"/>
      <c r="J442" s="36"/>
    </row>
    <row r="443" spans="4:10" x14ac:dyDescent="0.3">
      <c r="D443" s="36"/>
      <c r="E443" s="36"/>
      <c r="F443" s="36"/>
      <c r="G443" s="36"/>
      <c r="H443" s="36"/>
      <c r="I443" s="36"/>
      <c r="J443" s="36"/>
    </row>
    <row r="444" spans="4:10" x14ac:dyDescent="0.3">
      <c r="D444" s="36"/>
      <c r="E444" s="36"/>
      <c r="F444" s="36"/>
      <c r="G444" s="36"/>
      <c r="H444" s="36"/>
      <c r="I444" s="36"/>
      <c r="J444" s="36"/>
    </row>
    <row r="445" spans="4:10" x14ac:dyDescent="0.3">
      <c r="D445" s="36"/>
      <c r="E445" s="36"/>
      <c r="F445" s="36"/>
      <c r="G445" s="36"/>
      <c r="H445" s="36"/>
      <c r="I445" s="36"/>
      <c r="J445" s="36"/>
    </row>
    <row r="446" spans="4:10" x14ac:dyDescent="0.3">
      <c r="D446" s="36"/>
      <c r="E446" s="36"/>
      <c r="F446" s="36"/>
      <c r="G446" s="36"/>
      <c r="H446" s="36"/>
      <c r="I446" s="36"/>
      <c r="J446" s="36"/>
    </row>
    <row r="447" spans="4:10" x14ac:dyDescent="0.3">
      <c r="D447" s="36"/>
      <c r="E447" s="36"/>
      <c r="F447" s="36"/>
      <c r="G447" s="36"/>
      <c r="H447" s="36"/>
      <c r="I447" s="36"/>
      <c r="J447" s="36"/>
    </row>
    <row r="448" spans="4:10" x14ac:dyDescent="0.3">
      <c r="D448" s="36"/>
      <c r="E448" s="36"/>
      <c r="F448" s="36"/>
      <c r="G448" s="36"/>
      <c r="H448" s="36"/>
      <c r="I448" s="36"/>
      <c r="J448" s="36"/>
    </row>
    <row r="449" spans="4:10" x14ac:dyDescent="0.3">
      <c r="D449" s="36"/>
      <c r="E449" s="36"/>
      <c r="F449" s="36"/>
      <c r="G449" s="36"/>
      <c r="H449" s="36"/>
      <c r="I449" s="36"/>
      <c r="J449" s="36"/>
    </row>
    <row r="450" spans="4:10" x14ac:dyDescent="0.3">
      <c r="D450" s="36"/>
      <c r="E450" s="36"/>
      <c r="F450" s="36"/>
      <c r="G450" s="36"/>
      <c r="H450" s="36"/>
      <c r="I450" s="36"/>
      <c r="J450" s="36"/>
    </row>
    <row r="451" spans="4:10" x14ac:dyDescent="0.3">
      <c r="D451" s="36"/>
      <c r="E451" s="36"/>
      <c r="F451" s="36"/>
      <c r="G451" s="36"/>
      <c r="H451" s="36"/>
      <c r="I451" s="36"/>
      <c r="J451" s="36"/>
    </row>
    <row r="452" spans="4:10" x14ac:dyDescent="0.3">
      <c r="D452" s="36"/>
      <c r="E452" s="36"/>
      <c r="F452" s="36"/>
      <c r="G452" s="36"/>
      <c r="H452" s="36"/>
      <c r="I452" s="36"/>
      <c r="J452" s="36"/>
    </row>
    <row r="453" spans="4:10" x14ac:dyDescent="0.3">
      <c r="D453" s="36"/>
      <c r="E453" s="36"/>
      <c r="F453" s="36"/>
      <c r="G453" s="36"/>
      <c r="H453" s="36"/>
      <c r="I453" s="36"/>
      <c r="J453" s="36"/>
    </row>
    <row r="454" spans="4:10" x14ac:dyDescent="0.3">
      <c r="D454" s="36"/>
      <c r="E454" s="36"/>
      <c r="F454" s="36"/>
      <c r="G454" s="36"/>
      <c r="H454" s="36"/>
      <c r="I454" s="36"/>
      <c r="J454" s="36"/>
    </row>
    <row r="455" spans="4:10" x14ac:dyDescent="0.3">
      <c r="D455" s="36"/>
      <c r="E455" s="36"/>
      <c r="F455" s="36"/>
      <c r="G455" s="36"/>
      <c r="H455" s="36"/>
      <c r="I455" s="36"/>
      <c r="J455" s="36"/>
    </row>
    <row r="456" spans="4:10" x14ac:dyDescent="0.3">
      <c r="D456" s="36"/>
      <c r="E456" s="36"/>
      <c r="F456" s="36"/>
      <c r="G456" s="36"/>
      <c r="H456" s="36"/>
      <c r="I456" s="36"/>
      <c r="J456" s="36"/>
    </row>
    <row r="457" spans="4:10" x14ac:dyDescent="0.3">
      <c r="D457" s="36"/>
      <c r="E457" s="36"/>
      <c r="F457" s="36"/>
      <c r="G457" s="36"/>
      <c r="H457" s="36"/>
      <c r="I457" s="36"/>
      <c r="J457" s="36"/>
    </row>
    <row r="458" spans="4:10" x14ac:dyDescent="0.3">
      <c r="D458" s="36"/>
      <c r="E458" s="36"/>
      <c r="F458" s="36"/>
      <c r="G458" s="36"/>
      <c r="H458" s="36"/>
      <c r="I458" s="36"/>
      <c r="J458" s="36"/>
    </row>
    <row r="459" spans="4:10" x14ac:dyDescent="0.3">
      <c r="D459" s="36"/>
      <c r="E459" s="36"/>
      <c r="F459" s="36"/>
      <c r="G459" s="36"/>
      <c r="H459" s="36"/>
      <c r="I459" s="36"/>
      <c r="J459" s="36"/>
    </row>
    <row r="460" spans="4:10" x14ac:dyDescent="0.3">
      <c r="D460" s="36"/>
      <c r="E460" s="36"/>
      <c r="F460" s="36"/>
      <c r="G460" s="36"/>
      <c r="H460" s="36"/>
      <c r="I460" s="36"/>
      <c r="J460" s="36"/>
    </row>
    <row r="461" spans="4:10" x14ac:dyDescent="0.3">
      <c r="D461" s="36"/>
      <c r="E461" s="36"/>
      <c r="F461" s="36"/>
      <c r="G461" s="36"/>
      <c r="H461" s="36"/>
      <c r="I461" s="36"/>
      <c r="J461" s="36"/>
    </row>
    <row r="462" spans="4:10" x14ac:dyDescent="0.3">
      <c r="D462" s="36"/>
      <c r="E462" s="36"/>
      <c r="F462" s="36"/>
      <c r="G462" s="36"/>
      <c r="H462" s="36"/>
      <c r="I462" s="36"/>
      <c r="J462" s="36"/>
    </row>
    <row r="463" spans="4:10" x14ac:dyDescent="0.3">
      <c r="D463" s="36"/>
      <c r="E463" s="36"/>
      <c r="F463" s="36"/>
      <c r="G463" s="36"/>
      <c r="H463" s="36"/>
      <c r="I463" s="36"/>
      <c r="J463" s="36"/>
    </row>
    <row r="464" spans="4:10" x14ac:dyDescent="0.3">
      <c r="D464" s="36"/>
      <c r="E464" s="36"/>
      <c r="F464" s="36"/>
      <c r="G464" s="36"/>
      <c r="H464" s="36"/>
      <c r="I464" s="36"/>
      <c r="J464" s="36"/>
    </row>
    <row r="465" spans="4:10" x14ac:dyDescent="0.3">
      <c r="D465" s="36"/>
      <c r="E465" s="36"/>
      <c r="F465" s="36"/>
      <c r="G465" s="36"/>
      <c r="H465" s="36"/>
      <c r="I465" s="36"/>
      <c r="J465" s="36"/>
    </row>
    <row r="466" spans="4:10" x14ac:dyDescent="0.3">
      <c r="D466" s="36"/>
      <c r="E466" s="36"/>
      <c r="F466" s="36"/>
      <c r="G466" s="36"/>
      <c r="H466" s="36"/>
      <c r="I466" s="36"/>
      <c r="J466" s="36"/>
    </row>
    <row r="467" spans="4:10" x14ac:dyDescent="0.3">
      <c r="D467" s="36"/>
      <c r="E467" s="36"/>
      <c r="F467" s="36"/>
      <c r="G467" s="36"/>
      <c r="H467" s="36"/>
      <c r="I467" s="36"/>
      <c r="J467" s="36"/>
    </row>
    <row r="468" spans="4:10" x14ac:dyDescent="0.3">
      <c r="D468" s="36"/>
      <c r="E468" s="36"/>
      <c r="F468" s="36"/>
      <c r="G468" s="36"/>
      <c r="H468" s="36"/>
      <c r="I468" s="36"/>
      <c r="J468" s="36"/>
    </row>
    <row r="469" spans="4:10" x14ac:dyDescent="0.3">
      <c r="D469" s="36"/>
      <c r="E469" s="36"/>
      <c r="F469" s="36"/>
      <c r="G469" s="36"/>
      <c r="H469" s="36"/>
      <c r="I469" s="36"/>
      <c r="J469" s="36"/>
    </row>
    <row r="470" spans="4:10" x14ac:dyDescent="0.3">
      <c r="D470" s="36"/>
      <c r="E470" s="36"/>
      <c r="F470" s="36"/>
      <c r="G470" s="36"/>
      <c r="H470" s="36"/>
      <c r="I470" s="36"/>
      <c r="J470" s="36"/>
    </row>
    <row r="471" spans="4:10" x14ac:dyDescent="0.3">
      <c r="D471" s="36"/>
      <c r="E471" s="36"/>
      <c r="F471" s="36"/>
      <c r="G471" s="36"/>
      <c r="H471" s="36"/>
      <c r="I471" s="36"/>
      <c r="J471" s="36"/>
    </row>
    <row r="472" spans="4:10" x14ac:dyDescent="0.3">
      <c r="D472" s="36"/>
      <c r="E472" s="36"/>
      <c r="F472" s="36"/>
      <c r="G472" s="36"/>
      <c r="H472" s="36"/>
      <c r="I472" s="36"/>
      <c r="J472" s="36"/>
    </row>
    <row r="473" spans="4:10" x14ac:dyDescent="0.3">
      <c r="D473" s="36"/>
      <c r="E473" s="36"/>
      <c r="F473" s="36"/>
      <c r="G473" s="36"/>
      <c r="H473" s="36"/>
      <c r="I473" s="36"/>
      <c r="J473" s="36"/>
    </row>
    <row r="474" spans="4:10" x14ac:dyDescent="0.3">
      <c r="D474" s="36"/>
      <c r="E474" s="36"/>
      <c r="F474" s="36"/>
      <c r="G474" s="36"/>
      <c r="H474" s="36"/>
      <c r="I474" s="36"/>
      <c r="J474" s="36"/>
    </row>
    <row r="475" spans="4:10" x14ac:dyDescent="0.3">
      <c r="D475" s="36"/>
      <c r="E475" s="36"/>
      <c r="F475" s="36"/>
      <c r="G475" s="36"/>
      <c r="H475" s="36"/>
      <c r="I475" s="36"/>
      <c r="J475" s="36"/>
    </row>
    <row r="476" spans="4:10" x14ac:dyDescent="0.3">
      <c r="D476" s="36"/>
      <c r="E476" s="36"/>
      <c r="F476" s="36"/>
      <c r="G476" s="36"/>
      <c r="H476" s="36"/>
      <c r="I476" s="36"/>
      <c r="J476" s="36"/>
    </row>
    <row r="477" spans="4:10" x14ac:dyDescent="0.3">
      <c r="D477" s="36"/>
      <c r="E477" s="36"/>
      <c r="F477" s="36"/>
      <c r="G477" s="36"/>
      <c r="H477" s="36"/>
      <c r="I477" s="36"/>
      <c r="J477" s="36"/>
    </row>
    <row r="478" spans="4:10" x14ac:dyDescent="0.3">
      <c r="D478" s="36"/>
      <c r="E478" s="36"/>
      <c r="F478" s="36"/>
      <c r="G478" s="36"/>
      <c r="H478" s="36"/>
      <c r="I478" s="36"/>
      <c r="J478" s="36"/>
    </row>
    <row r="479" spans="4:10" x14ac:dyDescent="0.3">
      <c r="D479" s="36"/>
      <c r="E479" s="36"/>
      <c r="F479" s="36"/>
      <c r="G479" s="36"/>
      <c r="H479" s="36"/>
      <c r="I479" s="36"/>
      <c r="J479" s="36"/>
    </row>
    <row r="480" spans="4:10" x14ac:dyDescent="0.3">
      <c r="D480" s="36"/>
      <c r="E480" s="36"/>
      <c r="F480" s="36"/>
      <c r="G480" s="36"/>
      <c r="H480" s="36"/>
      <c r="I480" s="36"/>
      <c r="J480" s="36"/>
    </row>
    <row r="481" spans="4:10" x14ac:dyDescent="0.3">
      <c r="D481" s="36"/>
      <c r="E481" s="36"/>
      <c r="F481" s="36"/>
      <c r="G481" s="36"/>
      <c r="H481" s="36"/>
      <c r="I481" s="36"/>
      <c r="J481" s="36"/>
    </row>
    <row r="482" spans="4:10" x14ac:dyDescent="0.3">
      <c r="D482" s="36"/>
      <c r="E482" s="36"/>
      <c r="F482" s="36"/>
      <c r="G482" s="36"/>
      <c r="H482" s="36"/>
      <c r="I482" s="36"/>
      <c r="J482" s="36"/>
    </row>
    <row r="483" spans="4:10" x14ac:dyDescent="0.3">
      <c r="D483" s="36"/>
      <c r="E483" s="36"/>
      <c r="F483" s="36"/>
      <c r="G483" s="36"/>
      <c r="H483" s="36"/>
      <c r="I483" s="36"/>
      <c r="J483" s="36"/>
    </row>
    <row r="484" spans="4:10" x14ac:dyDescent="0.3">
      <c r="D484" s="36"/>
      <c r="E484" s="36"/>
      <c r="F484" s="36"/>
      <c r="G484" s="36"/>
      <c r="H484" s="36"/>
      <c r="I484" s="36"/>
      <c r="J484" s="36"/>
    </row>
    <row r="485" spans="4:10" x14ac:dyDescent="0.3">
      <c r="D485" s="36"/>
      <c r="E485" s="36"/>
      <c r="F485" s="36"/>
      <c r="G485" s="36"/>
      <c r="H485" s="36"/>
      <c r="I485" s="36"/>
      <c r="J485" s="36"/>
    </row>
    <row r="486" spans="4:10" x14ac:dyDescent="0.3">
      <c r="D486" s="36"/>
      <c r="E486" s="36"/>
      <c r="F486" s="36"/>
      <c r="G486" s="36"/>
      <c r="H486" s="36"/>
      <c r="I486" s="36"/>
      <c r="J486" s="36"/>
    </row>
    <row r="487" spans="4:10" x14ac:dyDescent="0.3">
      <c r="D487" s="36"/>
      <c r="E487" s="36"/>
      <c r="F487" s="36"/>
      <c r="G487" s="36"/>
      <c r="H487" s="36"/>
      <c r="I487" s="36"/>
      <c r="J487" s="36"/>
    </row>
    <row r="488" spans="4:10" x14ac:dyDescent="0.3">
      <c r="D488" s="36"/>
      <c r="E488" s="36"/>
      <c r="F488" s="36"/>
      <c r="G488" s="36"/>
      <c r="H488" s="36"/>
      <c r="I488" s="36"/>
      <c r="J488" s="36"/>
    </row>
    <row r="489" spans="4:10" x14ac:dyDescent="0.3">
      <c r="D489" s="36"/>
      <c r="E489" s="36"/>
      <c r="F489" s="36"/>
      <c r="G489" s="36"/>
      <c r="H489" s="36"/>
      <c r="I489" s="36"/>
      <c r="J489" s="36"/>
    </row>
    <row r="490" spans="4:10" x14ac:dyDescent="0.3">
      <c r="D490" s="36"/>
      <c r="E490" s="36"/>
      <c r="F490" s="36"/>
      <c r="G490" s="36"/>
      <c r="H490" s="36"/>
      <c r="I490" s="36"/>
      <c r="J490" s="36"/>
    </row>
    <row r="491" spans="4:10" x14ac:dyDescent="0.3">
      <c r="D491" s="36"/>
      <c r="E491" s="36"/>
      <c r="F491" s="36"/>
      <c r="G491" s="36"/>
      <c r="H491" s="36"/>
      <c r="I491" s="36"/>
      <c r="J491" s="36"/>
    </row>
    <row r="492" spans="4:10" x14ac:dyDescent="0.3">
      <c r="D492" s="36"/>
      <c r="E492" s="36"/>
      <c r="F492" s="36"/>
      <c r="G492" s="36"/>
      <c r="H492" s="36"/>
      <c r="I492" s="36"/>
      <c r="J492" s="36"/>
    </row>
    <row r="493" spans="4:10" x14ac:dyDescent="0.3">
      <c r="D493" s="36"/>
      <c r="E493" s="36"/>
      <c r="F493" s="36"/>
      <c r="G493" s="36"/>
      <c r="H493" s="36"/>
      <c r="I493" s="36"/>
      <c r="J493" s="36"/>
    </row>
    <row r="494" spans="4:10" x14ac:dyDescent="0.3">
      <c r="D494" s="36"/>
      <c r="E494" s="36"/>
      <c r="F494" s="36"/>
      <c r="G494" s="36"/>
      <c r="H494" s="36"/>
      <c r="I494" s="36"/>
      <c r="J494" s="36"/>
    </row>
    <row r="495" spans="4:10" x14ac:dyDescent="0.3">
      <c r="D495" s="36"/>
      <c r="E495" s="36"/>
      <c r="F495" s="36"/>
      <c r="G495" s="36"/>
      <c r="H495" s="36"/>
      <c r="I495" s="36"/>
      <c r="J495" s="36"/>
    </row>
    <row r="496" spans="4:10" x14ac:dyDescent="0.3">
      <c r="D496" s="36"/>
      <c r="E496" s="36"/>
      <c r="F496" s="36"/>
      <c r="G496" s="36"/>
      <c r="H496" s="36"/>
      <c r="I496" s="36"/>
      <c r="J496" s="36"/>
    </row>
    <row r="497" spans="4:10" x14ac:dyDescent="0.3">
      <c r="D497" s="36"/>
      <c r="E497" s="36"/>
      <c r="F497" s="36"/>
      <c r="G497" s="36"/>
      <c r="H497" s="36"/>
      <c r="I497" s="36"/>
      <c r="J497" s="36"/>
    </row>
    <row r="498" spans="4:10" x14ac:dyDescent="0.3">
      <c r="D498" s="36"/>
      <c r="E498" s="36"/>
      <c r="F498" s="36"/>
      <c r="G498" s="36"/>
      <c r="H498" s="36"/>
      <c r="I498" s="36"/>
      <c r="J498" s="36"/>
    </row>
    <row r="499" spans="4:10" x14ac:dyDescent="0.3">
      <c r="D499" s="36"/>
      <c r="E499" s="36"/>
      <c r="F499" s="36"/>
      <c r="G499" s="36"/>
      <c r="H499" s="36"/>
      <c r="I499" s="36"/>
      <c r="J499" s="36"/>
    </row>
    <row r="500" spans="4:10" x14ac:dyDescent="0.3">
      <c r="D500" s="36"/>
      <c r="E500" s="36"/>
      <c r="F500" s="36"/>
      <c r="G500" s="36"/>
      <c r="H500" s="36"/>
      <c r="I500" s="36"/>
      <c r="J500" s="36"/>
    </row>
    <row r="501" spans="4:10" x14ac:dyDescent="0.3">
      <c r="D501" s="36"/>
      <c r="E501" s="36"/>
      <c r="F501" s="36"/>
      <c r="G501" s="36"/>
      <c r="H501" s="36"/>
      <c r="I501" s="36"/>
      <c r="J501" s="36"/>
    </row>
    <row r="502" spans="4:10" x14ac:dyDescent="0.3">
      <c r="D502" s="36"/>
      <c r="E502" s="36"/>
      <c r="F502" s="36"/>
      <c r="G502" s="36"/>
      <c r="H502" s="36"/>
      <c r="I502" s="36"/>
      <c r="J502" s="36"/>
    </row>
    <row r="503" spans="4:10" x14ac:dyDescent="0.3">
      <c r="D503" s="36"/>
      <c r="E503" s="36"/>
      <c r="F503" s="36"/>
      <c r="G503" s="36"/>
      <c r="H503" s="36"/>
      <c r="I503" s="36"/>
      <c r="J503" s="36"/>
    </row>
    <row r="504" spans="4:10" x14ac:dyDescent="0.3">
      <c r="D504" s="36"/>
      <c r="E504" s="36"/>
      <c r="F504" s="36"/>
      <c r="G504" s="36"/>
      <c r="H504" s="36"/>
      <c r="I504" s="36"/>
      <c r="J504" s="36"/>
    </row>
    <row r="505" spans="4:10" x14ac:dyDescent="0.3">
      <c r="D505" s="36"/>
      <c r="E505" s="36"/>
      <c r="F505" s="36"/>
      <c r="G505" s="36"/>
      <c r="H505" s="36"/>
      <c r="I505" s="36"/>
      <c r="J505" s="36"/>
    </row>
    <row r="506" spans="4:10" x14ac:dyDescent="0.3">
      <c r="D506" s="36"/>
      <c r="E506" s="36"/>
      <c r="F506" s="36"/>
      <c r="G506" s="36"/>
      <c r="H506" s="36"/>
      <c r="I506" s="36"/>
      <c r="J506" s="36"/>
    </row>
    <row r="507" spans="4:10" x14ac:dyDescent="0.3">
      <c r="D507" s="36"/>
      <c r="E507" s="36"/>
      <c r="F507" s="36"/>
      <c r="G507" s="36"/>
      <c r="H507" s="36"/>
      <c r="I507" s="36"/>
      <c r="J507" s="36"/>
    </row>
    <row r="508" spans="4:10" x14ac:dyDescent="0.3">
      <c r="D508" s="36"/>
      <c r="E508" s="36"/>
      <c r="F508" s="36"/>
      <c r="G508" s="36"/>
      <c r="H508" s="36"/>
      <c r="I508" s="36"/>
      <c r="J508" s="36"/>
    </row>
    <row r="509" spans="4:10" x14ac:dyDescent="0.3">
      <c r="D509" s="36"/>
      <c r="E509" s="36"/>
      <c r="F509" s="36"/>
      <c r="G509" s="36"/>
      <c r="H509" s="36"/>
      <c r="I509" s="36"/>
      <c r="J509" s="36"/>
    </row>
    <row r="510" spans="4:10" x14ac:dyDescent="0.3">
      <c r="D510" s="36"/>
      <c r="E510" s="36"/>
      <c r="F510" s="36"/>
      <c r="G510" s="36"/>
      <c r="H510" s="36"/>
      <c r="I510" s="36"/>
      <c r="J510" s="36"/>
    </row>
    <row r="511" spans="4:10" x14ac:dyDescent="0.3">
      <c r="D511" s="36"/>
      <c r="E511" s="36"/>
      <c r="F511" s="36"/>
      <c r="G511" s="36"/>
      <c r="H511" s="36"/>
      <c r="I511" s="36"/>
      <c r="J511" s="36"/>
    </row>
    <row r="512" spans="4:10" x14ac:dyDescent="0.3">
      <c r="D512" s="36"/>
      <c r="E512" s="36"/>
      <c r="F512" s="36"/>
      <c r="G512" s="36"/>
      <c r="H512" s="36"/>
      <c r="I512" s="36"/>
      <c r="J512" s="36"/>
    </row>
    <row r="513" spans="4:10" x14ac:dyDescent="0.3">
      <c r="D513" s="36"/>
      <c r="E513" s="36"/>
      <c r="F513" s="36"/>
      <c r="G513" s="36"/>
      <c r="H513" s="36"/>
      <c r="I513" s="36"/>
      <c r="J513" s="36"/>
    </row>
    <row r="514" spans="4:10" x14ac:dyDescent="0.3">
      <c r="D514" s="36"/>
      <c r="E514" s="36"/>
      <c r="F514" s="36"/>
      <c r="G514" s="36"/>
      <c r="H514" s="36"/>
      <c r="I514" s="36"/>
      <c r="J514" s="36"/>
    </row>
    <row r="515" spans="4:10" x14ac:dyDescent="0.3">
      <c r="D515" s="36"/>
      <c r="E515" s="36"/>
      <c r="F515" s="36"/>
      <c r="G515" s="36"/>
      <c r="H515" s="36"/>
      <c r="I515" s="36"/>
      <c r="J515" s="36"/>
    </row>
    <row r="516" spans="4:10" x14ac:dyDescent="0.3">
      <c r="D516" s="36"/>
      <c r="E516" s="36"/>
      <c r="F516" s="36"/>
      <c r="G516" s="36"/>
      <c r="H516" s="36"/>
      <c r="I516" s="36"/>
      <c r="J516" s="36"/>
    </row>
    <row r="517" spans="4:10" x14ac:dyDescent="0.3">
      <c r="D517" s="36"/>
      <c r="E517" s="36"/>
      <c r="F517" s="36"/>
      <c r="G517" s="36"/>
      <c r="H517" s="36"/>
      <c r="I517" s="36"/>
      <c r="J517" s="36"/>
    </row>
    <row r="518" spans="4:10" x14ac:dyDescent="0.3">
      <c r="D518" s="36"/>
      <c r="E518" s="36"/>
      <c r="F518" s="36"/>
      <c r="G518" s="36"/>
      <c r="H518" s="36"/>
      <c r="I518" s="36"/>
      <c r="J518" s="36"/>
    </row>
    <row r="519" spans="4:10" x14ac:dyDescent="0.3">
      <c r="D519" s="36"/>
      <c r="E519" s="36"/>
      <c r="F519" s="36"/>
      <c r="G519" s="36"/>
      <c r="H519" s="36"/>
      <c r="I519" s="36"/>
      <c r="J519" s="36"/>
    </row>
    <row r="520" spans="4:10" x14ac:dyDescent="0.3">
      <c r="D520" s="36"/>
      <c r="E520" s="36"/>
      <c r="F520" s="36"/>
      <c r="G520" s="36"/>
      <c r="H520" s="36"/>
      <c r="I520" s="36"/>
      <c r="J520" s="36"/>
    </row>
    <row r="521" spans="4:10" x14ac:dyDescent="0.3">
      <c r="D521" s="36"/>
      <c r="E521" s="36"/>
      <c r="F521" s="36"/>
      <c r="G521" s="36"/>
      <c r="H521" s="36"/>
      <c r="I521" s="36"/>
      <c r="J521" s="36"/>
    </row>
    <row r="522" spans="4:10" x14ac:dyDescent="0.3">
      <c r="D522" s="36"/>
      <c r="E522" s="36"/>
      <c r="F522" s="36"/>
      <c r="G522" s="36"/>
      <c r="H522" s="36"/>
      <c r="I522" s="36"/>
      <c r="J522" s="36"/>
    </row>
    <row r="523" spans="4:10" x14ac:dyDescent="0.3">
      <c r="D523" s="36"/>
      <c r="E523" s="36"/>
      <c r="F523" s="36"/>
      <c r="G523" s="36"/>
      <c r="H523" s="36"/>
      <c r="I523" s="36"/>
      <c r="J523" s="36"/>
    </row>
    <row r="524" spans="4:10" x14ac:dyDescent="0.3">
      <c r="D524" s="36"/>
      <c r="E524" s="36"/>
      <c r="F524" s="36"/>
      <c r="G524" s="36"/>
      <c r="H524" s="36"/>
      <c r="I524" s="36"/>
      <c r="J524" s="36"/>
    </row>
    <row r="525" spans="4:10" x14ac:dyDescent="0.3">
      <c r="D525" s="36"/>
      <c r="E525" s="36"/>
      <c r="F525" s="36"/>
      <c r="G525" s="36"/>
      <c r="H525" s="36"/>
      <c r="I525" s="36"/>
      <c r="J525" s="36"/>
    </row>
    <row r="526" spans="4:10" x14ac:dyDescent="0.3">
      <c r="D526" s="36"/>
      <c r="E526" s="36"/>
      <c r="F526" s="36"/>
      <c r="G526" s="36"/>
      <c r="H526" s="36"/>
      <c r="I526" s="36"/>
      <c r="J526" s="36"/>
    </row>
    <row r="527" spans="4:10" x14ac:dyDescent="0.3">
      <c r="D527" s="36"/>
      <c r="E527" s="36"/>
      <c r="F527" s="36"/>
      <c r="G527" s="36"/>
      <c r="H527" s="36"/>
      <c r="I527" s="36"/>
      <c r="J527" s="36"/>
    </row>
    <row r="528" spans="4:10" x14ac:dyDescent="0.3">
      <c r="D528" s="36"/>
      <c r="E528" s="36"/>
      <c r="F528" s="36"/>
      <c r="G528" s="36"/>
      <c r="H528" s="36"/>
      <c r="I528" s="36"/>
      <c r="J528" s="36"/>
    </row>
    <row r="529" spans="4:10" x14ac:dyDescent="0.3">
      <c r="D529" s="36"/>
      <c r="E529" s="36"/>
      <c r="F529" s="36"/>
      <c r="G529" s="36"/>
      <c r="H529" s="36"/>
      <c r="I529" s="36"/>
      <c r="J529" s="36"/>
    </row>
    <row r="530" spans="4:10" x14ac:dyDescent="0.3">
      <c r="D530" s="36"/>
      <c r="E530" s="36"/>
      <c r="F530" s="36"/>
      <c r="G530" s="36"/>
      <c r="H530" s="36"/>
      <c r="I530" s="36"/>
      <c r="J530" s="36"/>
    </row>
    <row r="531" spans="4:10" x14ac:dyDescent="0.3">
      <c r="D531" s="36"/>
      <c r="E531" s="36"/>
      <c r="F531" s="36"/>
      <c r="G531" s="36"/>
      <c r="H531" s="36"/>
      <c r="I531" s="36"/>
      <c r="J531" s="36"/>
    </row>
    <row r="532" spans="4:10" x14ac:dyDescent="0.3">
      <c r="D532" s="36"/>
      <c r="E532" s="36"/>
      <c r="F532" s="36"/>
      <c r="G532" s="36"/>
      <c r="H532" s="36"/>
      <c r="I532" s="36"/>
      <c r="J532" s="36"/>
    </row>
    <row r="533" spans="4:10" x14ac:dyDescent="0.3">
      <c r="D533" s="36"/>
      <c r="E533" s="36"/>
      <c r="F533" s="36"/>
      <c r="G533" s="36"/>
      <c r="H533" s="36"/>
      <c r="I533" s="36"/>
      <c r="J533" s="36"/>
    </row>
    <row r="534" spans="4:10" x14ac:dyDescent="0.3">
      <c r="D534" s="36"/>
      <c r="E534" s="36"/>
      <c r="F534" s="36"/>
      <c r="G534" s="36"/>
      <c r="H534" s="36"/>
      <c r="I534" s="36"/>
      <c r="J534" s="36"/>
    </row>
    <row r="535" spans="4:10" x14ac:dyDescent="0.3">
      <c r="D535" s="36"/>
      <c r="E535" s="36"/>
      <c r="F535" s="36"/>
      <c r="G535" s="36"/>
      <c r="H535" s="36"/>
      <c r="I535" s="36"/>
      <c r="J535" s="36"/>
    </row>
    <row r="536" spans="4:10" x14ac:dyDescent="0.3">
      <c r="D536" s="36"/>
      <c r="E536" s="36"/>
      <c r="F536" s="36"/>
      <c r="G536" s="36"/>
      <c r="H536" s="36"/>
      <c r="I536" s="36"/>
      <c r="J536" s="36"/>
    </row>
    <row r="537" spans="4:10" x14ac:dyDescent="0.3">
      <c r="D537" s="36"/>
      <c r="E537" s="36"/>
      <c r="F537" s="36"/>
      <c r="G537" s="36"/>
      <c r="H537" s="36"/>
      <c r="I537" s="36"/>
      <c r="J537" s="36"/>
    </row>
    <row r="538" spans="4:10" x14ac:dyDescent="0.3">
      <c r="D538" s="36"/>
      <c r="E538" s="36"/>
      <c r="F538" s="36"/>
      <c r="G538" s="36"/>
      <c r="H538" s="36"/>
      <c r="I538" s="36"/>
      <c r="J538" s="36"/>
    </row>
    <row r="539" spans="4:10" x14ac:dyDescent="0.3">
      <c r="D539" s="36"/>
      <c r="E539" s="36"/>
      <c r="F539" s="36"/>
      <c r="G539" s="36"/>
      <c r="H539" s="36"/>
      <c r="I539" s="36"/>
      <c r="J539" s="36"/>
    </row>
    <row r="540" spans="4:10" x14ac:dyDescent="0.3">
      <c r="D540" s="36"/>
      <c r="E540" s="36"/>
      <c r="F540" s="36"/>
      <c r="G540" s="36"/>
      <c r="H540" s="36"/>
      <c r="I540" s="36"/>
      <c r="J540" s="36"/>
    </row>
    <row r="541" spans="4:10" x14ac:dyDescent="0.3">
      <c r="D541" s="36"/>
      <c r="E541" s="36"/>
      <c r="F541" s="36"/>
      <c r="G541" s="36"/>
      <c r="H541" s="36"/>
      <c r="I541" s="36"/>
      <c r="J541" s="36"/>
    </row>
    <row r="542" spans="4:10" x14ac:dyDescent="0.3">
      <c r="D542" s="36"/>
      <c r="E542" s="36"/>
      <c r="F542" s="36"/>
      <c r="G542" s="36"/>
      <c r="H542" s="36"/>
      <c r="I542" s="36"/>
      <c r="J542" s="36"/>
    </row>
    <row r="543" spans="4:10" x14ac:dyDescent="0.3">
      <c r="D543" s="36"/>
      <c r="E543" s="36"/>
      <c r="F543" s="36"/>
      <c r="G543" s="36"/>
      <c r="H543" s="36"/>
      <c r="I543" s="36"/>
      <c r="J543" s="36"/>
    </row>
    <row r="544" spans="4:10" x14ac:dyDescent="0.3">
      <c r="D544" s="36"/>
      <c r="E544" s="36"/>
      <c r="F544" s="36"/>
      <c r="G544" s="36"/>
      <c r="H544" s="36"/>
      <c r="I544" s="36"/>
      <c r="J544" s="36"/>
    </row>
    <row r="545" spans="4:10" x14ac:dyDescent="0.3">
      <c r="D545" s="36"/>
      <c r="E545" s="36"/>
      <c r="F545" s="36"/>
      <c r="G545" s="36"/>
      <c r="H545" s="36"/>
      <c r="I545" s="36"/>
      <c r="J545" s="36"/>
    </row>
    <row r="546" spans="4:10" x14ac:dyDescent="0.3">
      <c r="D546" s="36"/>
      <c r="E546" s="36"/>
      <c r="F546" s="36"/>
      <c r="G546" s="36"/>
      <c r="H546" s="36"/>
      <c r="I546" s="36"/>
      <c r="J546" s="36"/>
    </row>
    <row r="547" spans="4:10" x14ac:dyDescent="0.3">
      <c r="D547" s="36"/>
      <c r="E547" s="36"/>
      <c r="F547" s="36"/>
      <c r="G547" s="36"/>
      <c r="H547" s="36"/>
      <c r="I547" s="36"/>
      <c r="J547" s="36"/>
    </row>
    <row r="548" spans="4:10" x14ac:dyDescent="0.3">
      <c r="D548" s="36"/>
      <c r="E548" s="36"/>
      <c r="F548" s="36"/>
      <c r="G548" s="36"/>
      <c r="H548" s="36"/>
      <c r="I548" s="36"/>
      <c r="J548" s="36"/>
    </row>
    <row r="549" spans="4:10" x14ac:dyDescent="0.3">
      <c r="D549" s="36"/>
      <c r="E549" s="36"/>
      <c r="F549" s="36"/>
      <c r="G549" s="36"/>
      <c r="H549" s="36"/>
      <c r="I549" s="36"/>
      <c r="J549" s="36"/>
    </row>
    <row r="550" spans="4:10" x14ac:dyDescent="0.3">
      <c r="D550" s="36"/>
      <c r="E550" s="36"/>
      <c r="F550" s="36"/>
      <c r="G550" s="36"/>
      <c r="H550" s="36"/>
      <c r="I550" s="36"/>
      <c r="J550" s="36"/>
    </row>
    <row r="551" spans="4:10" x14ac:dyDescent="0.3">
      <c r="D551" s="36"/>
      <c r="E551" s="36"/>
      <c r="F551" s="36"/>
      <c r="G551" s="36"/>
      <c r="H551" s="36"/>
      <c r="I551" s="36"/>
      <c r="J551" s="36"/>
    </row>
    <row r="552" spans="4:10" x14ac:dyDescent="0.3">
      <c r="D552" s="36"/>
      <c r="E552" s="36"/>
      <c r="F552" s="36"/>
      <c r="G552" s="36"/>
      <c r="H552" s="36"/>
      <c r="I552" s="36"/>
      <c r="J552" s="36"/>
    </row>
    <row r="553" spans="4:10" x14ac:dyDescent="0.3">
      <c r="D553" s="36"/>
      <c r="E553" s="36"/>
      <c r="F553" s="36"/>
      <c r="G553" s="36"/>
      <c r="H553" s="36"/>
      <c r="I553" s="36"/>
      <c r="J553" s="36"/>
    </row>
    <row r="554" spans="4:10" x14ac:dyDescent="0.3">
      <c r="D554" s="36"/>
      <c r="E554" s="36"/>
      <c r="F554" s="36"/>
      <c r="G554" s="36"/>
      <c r="H554" s="36"/>
      <c r="I554" s="36"/>
      <c r="J554" s="36"/>
    </row>
    <row r="555" spans="4:10" x14ac:dyDescent="0.3">
      <c r="D555" s="36"/>
      <c r="E555" s="36"/>
      <c r="F555" s="36"/>
      <c r="G555" s="36"/>
      <c r="H555" s="36"/>
      <c r="I555" s="36"/>
      <c r="J555" s="36"/>
    </row>
    <row r="556" spans="4:10" x14ac:dyDescent="0.3">
      <c r="D556" s="36"/>
      <c r="E556" s="36"/>
      <c r="F556" s="36"/>
      <c r="G556" s="36"/>
      <c r="H556" s="36"/>
      <c r="I556" s="36"/>
      <c r="J556" s="36"/>
    </row>
    <row r="557" spans="4:10" x14ac:dyDescent="0.3">
      <c r="D557" s="36"/>
      <c r="E557" s="36"/>
      <c r="F557" s="36"/>
      <c r="G557" s="36"/>
      <c r="H557" s="36"/>
      <c r="I557" s="36"/>
      <c r="J557" s="36"/>
    </row>
    <row r="558" spans="4:10" x14ac:dyDescent="0.3">
      <c r="D558" s="36"/>
      <c r="E558" s="36"/>
      <c r="F558" s="36"/>
      <c r="G558" s="36"/>
      <c r="H558" s="36"/>
      <c r="I558" s="36"/>
      <c r="J558" s="36"/>
    </row>
    <row r="559" spans="4:10" x14ac:dyDescent="0.3">
      <c r="D559" s="36"/>
      <c r="E559" s="36"/>
      <c r="F559" s="36"/>
      <c r="G559" s="36"/>
      <c r="H559" s="36"/>
      <c r="I559" s="36"/>
      <c r="J559" s="36"/>
    </row>
    <row r="560" spans="4:10" x14ac:dyDescent="0.3">
      <c r="D560" s="36"/>
      <c r="E560" s="36"/>
      <c r="F560" s="36"/>
      <c r="G560" s="36"/>
      <c r="H560" s="36"/>
      <c r="I560" s="36"/>
      <c r="J560" s="36"/>
    </row>
    <row r="561" spans="4:10" x14ac:dyDescent="0.3">
      <c r="D561" s="36"/>
      <c r="E561" s="36"/>
      <c r="F561" s="36"/>
      <c r="G561" s="36"/>
      <c r="H561" s="36"/>
      <c r="I561" s="36"/>
      <c r="J561" s="36"/>
    </row>
    <row r="562" spans="4:10" x14ac:dyDescent="0.3">
      <c r="D562" s="36"/>
      <c r="E562" s="36"/>
      <c r="F562" s="36"/>
      <c r="G562" s="36"/>
      <c r="H562" s="36"/>
      <c r="I562" s="36"/>
      <c r="J562" s="36"/>
    </row>
    <row r="563" spans="4:10" x14ac:dyDescent="0.3">
      <c r="D563" s="36"/>
      <c r="E563" s="36"/>
      <c r="F563" s="36"/>
      <c r="G563" s="36"/>
      <c r="H563" s="36"/>
      <c r="I563" s="36"/>
      <c r="J563" s="36"/>
    </row>
    <row r="564" spans="4:10" x14ac:dyDescent="0.3">
      <c r="D564" s="36"/>
      <c r="E564" s="36"/>
      <c r="F564" s="36"/>
      <c r="G564" s="36"/>
      <c r="H564" s="36"/>
      <c r="I564" s="36"/>
      <c r="J564" s="36"/>
    </row>
    <row r="565" spans="4:10" x14ac:dyDescent="0.3">
      <c r="D565" s="36"/>
      <c r="E565" s="36"/>
      <c r="F565" s="36"/>
      <c r="G565" s="36"/>
      <c r="H565" s="36"/>
      <c r="I565" s="36"/>
      <c r="J565" s="36"/>
    </row>
    <row r="566" spans="4:10" x14ac:dyDescent="0.3">
      <c r="D566" s="36"/>
      <c r="E566" s="36"/>
      <c r="F566" s="36"/>
      <c r="G566" s="36"/>
      <c r="H566" s="36"/>
      <c r="I566" s="36"/>
      <c r="J566" s="36"/>
    </row>
    <row r="567" spans="4:10" x14ac:dyDescent="0.3">
      <c r="D567" s="36"/>
      <c r="E567" s="36"/>
      <c r="F567" s="36"/>
      <c r="G567" s="36"/>
      <c r="H567" s="36"/>
      <c r="I567" s="36"/>
      <c r="J567" s="36"/>
    </row>
    <row r="568" spans="4:10" x14ac:dyDescent="0.3">
      <c r="D568" s="36"/>
      <c r="E568" s="36"/>
      <c r="F568" s="36"/>
      <c r="G568" s="36"/>
      <c r="H568" s="36"/>
      <c r="I568" s="36"/>
      <c r="J568" s="36"/>
    </row>
    <row r="569" spans="4:10" x14ac:dyDescent="0.3">
      <c r="D569" s="36"/>
      <c r="E569" s="36"/>
      <c r="F569" s="36"/>
      <c r="G569" s="36"/>
      <c r="H569" s="36"/>
      <c r="I569" s="36"/>
      <c r="J569" s="36"/>
    </row>
    <row r="570" spans="4:10" x14ac:dyDescent="0.3">
      <c r="D570" s="36"/>
      <c r="E570" s="36"/>
      <c r="F570" s="36"/>
      <c r="G570" s="36"/>
      <c r="H570" s="36"/>
      <c r="I570" s="36"/>
      <c r="J570" s="36"/>
    </row>
    <row r="571" spans="4:10" x14ac:dyDescent="0.3">
      <c r="D571" s="36"/>
      <c r="E571" s="36"/>
      <c r="F571" s="36"/>
      <c r="G571" s="36"/>
      <c r="H571" s="36"/>
      <c r="I571" s="36"/>
      <c r="J571" s="36"/>
    </row>
    <row r="572" spans="4:10" x14ac:dyDescent="0.3">
      <c r="D572" s="36"/>
      <c r="E572" s="36"/>
      <c r="F572" s="36"/>
      <c r="G572" s="36"/>
      <c r="H572" s="36"/>
      <c r="I572" s="36"/>
      <c r="J572" s="36"/>
    </row>
    <row r="573" spans="4:10" x14ac:dyDescent="0.3">
      <c r="D573" s="36"/>
      <c r="E573" s="36"/>
      <c r="F573" s="36"/>
      <c r="G573" s="36"/>
      <c r="H573" s="36"/>
      <c r="I573" s="36"/>
      <c r="J573" s="36"/>
    </row>
    <row r="574" spans="4:10" x14ac:dyDescent="0.3">
      <c r="D574" s="36"/>
      <c r="E574" s="36"/>
      <c r="F574" s="36"/>
      <c r="G574" s="36"/>
      <c r="H574" s="36"/>
      <c r="I574" s="36"/>
      <c r="J574" s="36"/>
    </row>
    <row r="575" spans="4:10" x14ac:dyDescent="0.3">
      <c r="D575" s="36"/>
      <c r="E575" s="36"/>
      <c r="F575" s="36"/>
      <c r="G575" s="36"/>
      <c r="H575" s="36"/>
      <c r="I575" s="36"/>
      <c r="J575" s="36"/>
    </row>
    <row r="576" spans="4:10" x14ac:dyDescent="0.3">
      <c r="D576" s="36"/>
      <c r="E576" s="36"/>
      <c r="F576" s="36"/>
      <c r="G576" s="36"/>
      <c r="H576" s="36"/>
      <c r="I576" s="36"/>
      <c r="J576" s="36"/>
    </row>
    <row r="577" spans="4:10" x14ac:dyDescent="0.3">
      <c r="D577" s="36"/>
      <c r="E577" s="36"/>
      <c r="F577" s="36"/>
      <c r="G577" s="36"/>
      <c r="H577" s="36"/>
      <c r="I577" s="36"/>
      <c r="J577" s="36"/>
    </row>
    <row r="578" spans="4:10" x14ac:dyDescent="0.3">
      <c r="D578" s="36"/>
      <c r="E578" s="36"/>
      <c r="F578" s="36"/>
      <c r="G578" s="36"/>
      <c r="H578" s="36"/>
      <c r="I578" s="36"/>
      <c r="J578" s="36"/>
    </row>
    <row r="579" spans="4:10" x14ac:dyDescent="0.3">
      <c r="D579" s="36"/>
      <c r="E579" s="36"/>
      <c r="F579" s="36"/>
      <c r="G579" s="36"/>
      <c r="H579" s="36"/>
      <c r="I579" s="36"/>
      <c r="J579" s="36"/>
    </row>
    <row r="580" spans="4:10" x14ac:dyDescent="0.3">
      <c r="D580" s="36"/>
      <c r="E580" s="36"/>
      <c r="F580" s="36"/>
      <c r="G580" s="36"/>
      <c r="H580" s="36"/>
      <c r="I580" s="36"/>
      <c r="J580" s="36"/>
    </row>
    <row r="581" spans="4:10" x14ac:dyDescent="0.3">
      <c r="D581" s="36"/>
      <c r="E581" s="36"/>
      <c r="F581" s="36"/>
      <c r="G581" s="36"/>
      <c r="H581" s="36"/>
      <c r="I581" s="36"/>
      <c r="J581" s="36"/>
    </row>
    <row r="582" spans="4:10" x14ac:dyDescent="0.3">
      <c r="D582" s="36"/>
      <c r="E582" s="36"/>
      <c r="F582" s="36"/>
      <c r="G582" s="36"/>
      <c r="H582" s="36"/>
      <c r="I582" s="36"/>
      <c r="J582" s="36"/>
    </row>
    <row r="583" spans="4:10" x14ac:dyDescent="0.3">
      <c r="D583" s="36"/>
      <c r="E583" s="36"/>
      <c r="F583" s="36"/>
      <c r="G583" s="36"/>
      <c r="H583" s="36"/>
      <c r="I583" s="36"/>
      <c r="J583" s="36"/>
    </row>
    <row r="584" spans="4:10" x14ac:dyDescent="0.3">
      <c r="D584" s="36"/>
      <c r="E584" s="36"/>
      <c r="F584" s="36"/>
      <c r="G584" s="36"/>
      <c r="H584" s="36"/>
      <c r="I584" s="36"/>
      <c r="J584" s="36"/>
    </row>
    <row r="585" spans="4:10" x14ac:dyDescent="0.3">
      <c r="D585" s="36"/>
      <c r="E585" s="36"/>
      <c r="F585" s="36"/>
      <c r="G585" s="36"/>
      <c r="H585" s="36"/>
      <c r="I585" s="36"/>
      <c r="J585" s="36"/>
    </row>
    <row r="586" spans="4:10" x14ac:dyDescent="0.3">
      <c r="D586" s="36"/>
      <c r="E586" s="36"/>
      <c r="F586" s="36"/>
      <c r="G586" s="36"/>
      <c r="H586" s="36"/>
      <c r="I586" s="36"/>
      <c r="J586" s="36"/>
    </row>
    <row r="587" spans="4:10" x14ac:dyDescent="0.3">
      <c r="D587" s="36"/>
      <c r="E587" s="36"/>
      <c r="F587" s="36"/>
      <c r="G587" s="36"/>
      <c r="H587" s="36"/>
      <c r="I587" s="36"/>
      <c r="J587" s="36"/>
    </row>
  </sheetData>
  <autoFilter ref="A1:D314" xr:uid="{9703E311-631E-4447-B0C6-B4212296B5D0}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C37D-0EAB-4C0D-91F4-001504560F86}">
  <sheetPr filterMode="1">
    <pageSetUpPr fitToPage="1"/>
  </sheetPr>
  <dimension ref="B3:G35"/>
  <sheetViews>
    <sheetView showGridLines="0" zoomScale="82" zoomScaleNormal="82" workbookViewId="0">
      <pane ySplit="3" topLeftCell="A4" activePane="bottomLeft" state="frozen"/>
      <selection pane="bottomLeft" activeCell="B18" sqref="B18"/>
    </sheetView>
  </sheetViews>
  <sheetFormatPr baseColWidth="10" defaultColWidth="11.44140625" defaultRowHeight="14.4" x14ac:dyDescent="0.3"/>
  <cols>
    <col min="1" max="1" width="11.44140625" style="5"/>
    <col min="2" max="2" width="12.88671875" style="5" customWidth="1"/>
    <col min="3" max="3" width="50.33203125" style="5" bestFit="1" customWidth="1"/>
    <col min="4" max="4" width="11.88671875" style="5" customWidth="1"/>
    <col min="5" max="7" width="13.109375" style="5" customWidth="1"/>
    <col min="8" max="16384" width="11.44140625" style="5"/>
  </cols>
  <sheetData>
    <row r="3" spans="2:7" x14ac:dyDescent="0.3">
      <c r="B3" s="13" t="s">
        <v>55</v>
      </c>
      <c r="C3" s="13" t="s">
        <v>0</v>
      </c>
      <c r="D3" s="13" t="s">
        <v>1</v>
      </c>
      <c r="E3" s="13" t="s">
        <v>10</v>
      </c>
      <c r="F3" s="13" t="s">
        <v>430</v>
      </c>
      <c r="G3" s="13" t="s">
        <v>431</v>
      </c>
    </row>
    <row r="4" spans="2:7" hidden="1" x14ac:dyDescent="0.3">
      <c r="B4" s="18" t="s">
        <v>41</v>
      </c>
      <c r="C4" s="2" t="s">
        <v>42</v>
      </c>
      <c r="D4" s="14" t="s">
        <v>59</v>
      </c>
      <c r="E4" s="4"/>
      <c r="F4" s="4"/>
      <c r="G4" s="4"/>
    </row>
    <row r="5" spans="2:7" hidden="1" x14ac:dyDescent="0.3">
      <c r="B5" s="18" t="s">
        <v>43</v>
      </c>
      <c r="C5" s="2" t="s">
        <v>44</v>
      </c>
      <c r="D5" s="14" t="s">
        <v>12</v>
      </c>
      <c r="E5" s="4"/>
      <c r="F5" s="4"/>
      <c r="G5" s="4"/>
    </row>
    <row r="6" spans="2:7" hidden="1" x14ac:dyDescent="0.3">
      <c r="B6" s="18" t="s">
        <v>37</v>
      </c>
      <c r="C6" s="2" t="s">
        <v>38</v>
      </c>
      <c r="D6" s="14" t="s">
        <v>59</v>
      </c>
      <c r="E6" s="4"/>
      <c r="F6" s="4"/>
      <c r="G6" s="4"/>
    </row>
    <row r="7" spans="2:7" hidden="1" x14ac:dyDescent="0.3">
      <c r="B7" s="18" t="s">
        <v>45</v>
      </c>
      <c r="C7" s="2" t="s">
        <v>46</v>
      </c>
      <c r="D7" s="14" t="s">
        <v>59</v>
      </c>
      <c r="E7" s="4"/>
      <c r="F7" s="4"/>
      <c r="G7" s="4"/>
    </row>
    <row r="8" spans="2:7" hidden="1" x14ac:dyDescent="0.3">
      <c r="B8" s="18" t="s">
        <v>47</v>
      </c>
      <c r="C8" s="2" t="s">
        <v>48</v>
      </c>
      <c r="D8" s="14" t="s">
        <v>12</v>
      </c>
      <c r="E8" s="4"/>
      <c r="F8" s="4"/>
      <c r="G8" s="4"/>
    </row>
    <row r="9" spans="2:7" hidden="1" x14ac:dyDescent="0.3">
      <c r="B9" s="18" t="s">
        <v>39</v>
      </c>
      <c r="C9" s="2" t="s">
        <v>40</v>
      </c>
      <c r="D9" s="14" t="s">
        <v>12</v>
      </c>
      <c r="E9" s="4"/>
      <c r="F9" s="4"/>
      <c r="G9" s="4"/>
    </row>
    <row r="10" spans="2:7" x14ac:dyDescent="0.3">
      <c r="B10" s="18" t="s">
        <v>17</v>
      </c>
      <c r="C10" s="2" t="s">
        <v>18</v>
      </c>
      <c r="D10" s="14" t="s">
        <v>59</v>
      </c>
      <c r="E10" s="4">
        <f>30+18+30+30+((47+20+55+56+55+55)/4)</f>
        <v>180</v>
      </c>
      <c r="F10" s="4">
        <f>+((55+56+55+55+47+20)/4)+30+30+30*2+4+1</f>
        <v>197</v>
      </c>
      <c r="G10" s="4">
        <f>+F10-E10</f>
        <v>17</v>
      </c>
    </row>
    <row r="11" spans="2:7" x14ac:dyDescent="0.3">
      <c r="B11" s="18" t="s">
        <v>19</v>
      </c>
      <c r="C11" s="2" t="s">
        <v>20</v>
      </c>
      <c r="D11" s="14" t="s">
        <v>335</v>
      </c>
      <c r="E11" s="4">
        <f>36+40+14+30+40+40</f>
        <v>200</v>
      </c>
      <c r="F11" s="4">
        <f>18+1+36+40+40</f>
        <v>135</v>
      </c>
      <c r="G11" s="4">
        <f t="shared" ref="G11:G18" si="0">+F11-E11</f>
        <v>-65</v>
      </c>
    </row>
    <row r="12" spans="2:7" hidden="1" x14ac:dyDescent="0.3">
      <c r="B12" s="18" t="s">
        <v>21</v>
      </c>
      <c r="C12" s="2" t="s">
        <v>22</v>
      </c>
      <c r="D12" s="14" t="s">
        <v>12</v>
      </c>
      <c r="E12" s="4"/>
      <c r="F12" s="4"/>
      <c r="G12" s="4">
        <f t="shared" si="0"/>
        <v>0</v>
      </c>
    </row>
    <row r="13" spans="2:7" hidden="1" x14ac:dyDescent="0.3">
      <c r="B13" s="18" t="s">
        <v>15</v>
      </c>
      <c r="C13" s="2" t="s">
        <v>16</v>
      </c>
      <c r="D13" s="14" t="s">
        <v>12</v>
      </c>
      <c r="E13" s="4"/>
      <c r="F13" s="4"/>
      <c r="G13" s="4">
        <f t="shared" si="0"/>
        <v>0</v>
      </c>
    </row>
    <row r="14" spans="2:7" x14ac:dyDescent="0.3">
      <c r="B14" s="18" t="s">
        <v>49</v>
      </c>
      <c r="C14" s="2" t="s">
        <v>50</v>
      </c>
      <c r="D14" s="14" t="s">
        <v>59</v>
      </c>
      <c r="E14" s="4">
        <f>30+22+8</f>
        <v>60</v>
      </c>
      <c r="F14" s="4">
        <f>6+5</f>
        <v>11</v>
      </c>
      <c r="G14" s="4">
        <f t="shared" si="0"/>
        <v>-49</v>
      </c>
    </row>
    <row r="15" spans="2:7" x14ac:dyDescent="0.3">
      <c r="B15" s="18" t="s">
        <v>51</v>
      </c>
      <c r="C15" s="2" t="s">
        <v>52</v>
      </c>
      <c r="D15" s="14" t="s">
        <v>335</v>
      </c>
      <c r="E15" s="4">
        <f>+((27+9)/12)+37</f>
        <v>40</v>
      </c>
      <c r="F15" s="4">
        <f>18+1+2</f>
        <v>21</v>
      </c>
      <c r="G15" s="4">
        <f t="shared" si="0"/>
        <v>-19</v>
      </c>
    </row>
    <row r="16" spans="2:7" hidden="1" x14ac:dyDescent="0.3">
      <c r="B16" s="18" t="s">
        <v>53</v>
      </c>
      <c r="C16" s="2" t="s">
        <v>54</v>
      </c>
      <c r="D16" s="14" t="s">
        <v>12</v>
      </c>
      <c r="E16" s="4"/>
      <c r="F16" s="4"/>
      <c r="G16" s="4">
        <f t="shared" si="0"/>
        <v>0</v>
      </c>
    </row>
    <row r="17" spans="2:7" x14ac:dyDescent="0.3">
      <c r="B17" s="18" t="s">
        <v>33</v>
      </c>
      <c r="C17" s="2" t="s">
        <v>34</v>
      </c>
      <c r="D17" s="14" t="s">
        <v>59</v>
      </c>
      <c r="E17" s="4">
        <v>30</v>
      </c>
      <c r="F17" s="4">
        <v>2</v>
      </c>
      <c r="G17" s="4">
        <f t="shared" si="0"/>
        <v>-28</v>
      </c>
    </row>
    <row r="18" spans="2:7" x14ac:dyDescent="0.3">
      <c r="B18" s="18" t="s">
        <v>35</v>
      </c>
      <c r="C18" s="2" t="s">
        <v>36</v>
      </c>
      <c r="D18" s="14" t="s">
        <v>335</v>
      </c>
      <c r="E18" s="4">
        <f>40+39</f>
        <v>79</v>
      </c>
      <c r="F18" s="4">
        <v>39</v>
      </c>
      <c r="G18" s="4">
        <f t="shared" si="0"/>
        <v>-40</v>
      </c>
    </row>
    <row r="19" spans="2:7" hidden="1" x14ac:dyDescent="0.3">
      <c r="B19" s="18" t="s">
        <v>56</v>
      </c>
      <c r="C19" s="2" t="s">
        <v>57</v>
      </c>
      <c r="D19" s="14" t="s">
        <v>335</v>
      </c>
      <c r="E19" s="4"/>
      <c r="F19" s="4"/>
      <c r="G19" s="4"/>
    </row>
    <row r="20" spans="2:7" hidden="1" x14ac:dyDescent="0.3">
      <c r="B20" s="18" t="s">
        <v>31</v>
      </c>
      <c r="C20" s="2" t="s">
        <v>32</v>
      </c>
      <c r="D20" s="14" t="s">
        <v>336</v>
      </c>
      <c r="E20" s="4"/>
      <c r="F20" s="4"/>
      <c r="G20" s="4"/>
    </row>
    <row r="21" spans="2:7" hidden="1" x14ac:dyDescent="0.3">
      <c r="B21" s="18" t="s">
        <v>23</v>
      </c>
      <c r="C21" s="2" t="s">
        <v>24</v>
      </c>
      <c r="D21" s="14" t="s">
        <v>337</v>
      </c>
      <c r="E21" s="4"/>
      <c r="F21" s="4"/>
      <c r="G21" s="4"/>
    </row>
    <row r="22" spans="2:7" hidden="1" x14ac:dyDescent="0.3">
      <c r="B22" s="18" t="s">
        <v>27</v>
      </c>
      <c r="C22" s="2" t="s">
        <v>28</v>
      </c>
      <c r="D22" s="14" t="s">
        <v>337</v>
      </c>
      <c r="E22" s="4"/>
      <c r="F22" s="4"/>
      <c r="G22" s="4"/>
    </row>
    <row r="23" spans="2:7" hidden="1" x14ac:dyDescent="0.3">
      <c r="B23" s="18" t="s">
        <v>25</v>
      </c>
      <c r="C23" s="2" t="s">
        <v>26</v>
      </c>
      <c r="D23" s="14" t="s">
        <v>338</v>
      </c>
      <c r="E23" s="4"/>
      <c r="F23" s="4"/>
      <c r="G23" s="4"/>
    </row>
    <row r="24" spans="2:7" hidden="1" x14ac:dyDescent="0.3">
      <c r="B24" s="18" t="s">
        <v>29</v>
      </c>
      <c r="C24" s="2" t="s">
        <v>30</v>
      </c>
      <c r="D24" s="14" t="s">
        <v>338</v>
      </c>
      <c r="E24" s="4"/>
      <c r="F24" s="4"/>
      <c r="G24" s="4"/>
    </row>
    <row r="25" spans="2:7" hidden="1" x14ac:dyDescent="0.3">
      <c r="B25" s="2"/>
      <c r="C25" s="4"/>
      <c r="D25" s="14"/>
      <c r="E25" s="4"/>
      <c r="F25" s="4"/>
      <c r="G25" s="4"/>
    </row>
    <row r="26" spans="2:7" hidden="1" x14ac:dyDescent="0.3">
      <c r="B26" s="2"/>
      <c r="C26" s="22"/>
      <c r="D26" s="14"/>
      <c r="E26" s="4"/>
      <c r="F26" s="4"/>
      <c r="G26" s="4"/>
    </row>
    <row r="27" spans="2:7" hidden="1" x14ac:dyDescent="0.3">
      <c r="B27" s="2"/>
      <c r="C27" s="22"/>
      <c r="D27" s="14"/>
      <c r="E27" s="4"/>
      <c r="F27" s="4"/>
      <c r="G27" s="4"/>
    </row>
    <row r="31" spans="2:7" x14ac:dyDescent="0.3">
      <c r="C31" s="6"/>
    </row>
    <row r="32" spans="2:7" ht="31.2" x14ac:dyDescent="0.3">
      <c r="C32" s="10" t="s">
        <v>11</v>
      </c>
    </row>
    <row r="33" spans="3:4" ht="15.6" x14ac:dyDescent="0.3">
      <c r="C33" s="11">
        <f>1-0/44</f>
        <v>1</v>
      </c>
    </row>
    <row r="34" spans="3:4" ht="15.6" x14ac:dyDescent="0.3">
      <c r="D34" s="9"/>
    </row>
    <row r="35" spans="3:4" ht="15.6" x14ac:dyDescent="0.3">
      <c r="D35" s="8"/>
    </row>
  </sheetData>
  <autoFilter ref="B3:G27" xr:uid="{44A9ED47-5DE0-4EBD-B676-7E13612CE465}">
    <filterColumn colId="3">
      <customFilters>
        <customFilter operator="notEqual" val=" "/>
      </customFilters>
    </filterColumn>
  </autoFilter>
  <pageMargins left="0" right="0" top="0" bottom="0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991B-F17A-477F-9424-36C244C4E563}">
  <dimension ref="A1:E109"/>
  <sheetViews>
    <sheetView workbookViewId="0">
      <selection activeCell="A94" sqref="A94:XFD109"/>
    </sheetView>
  </sheetViews>
  <sheetFormatPr baseColWidth="10" defaultRowHeight="14.4" x14ac:dyDescent="0.3"/>
  <cols>
    <col min="2" max="2" width="51.5546875" bestFit="1" customWidth="1"/>
  </cols>
  <sheetData>
    <row r="1" spans="1:5" ht="15.6" x14ac:dyDescent="0.3">
      <c r="A1" s="19" t="s">
        <v>330</v>
      </c>
      <c r="B1" s="19" t="s">
        <v>331</v>
      </c>
      <c r="C1" s="19" t="s">
        <v>332</v>
      </c>
      <c r="D1" s="19" t="s">
        <v>333</v>
      </c>
      <c r="E1" s="19" t="s">
        <v>334</v>
      </c>
    </row>
    <row r="2" spans="1:5" x14ac:dyDescent="0.3">
      <c r="A2" s="20" t="s">
        <v>313</v>
      </c>
      <c r="B2" s="20" t="s">
        <v>314</v>
      </c>
      <c r="C2" s="20">
        <v>0</v>
      </c>
      <c r="D2" s="20">
        <v>0</v>
      </c>
      <c r="E2" s="20">
        <v>0</v>
      </c>
    </row>
    <row r="3" spans="1:5" x14ac:dyDescent="0.3">
      <c r="A3" s="20" t="s">
        <v>309</v>
      </c>
      <c r="B3" s="20" t="s">
        <v>310</v>
      </c>
      <c r="C3" s="20">
        <v>0</v>
      </c>
      <c r="D3" s="20">
        <v>0</v>
      </c>
      <c r="E3" s="20">
        <v>0</v>
      </c>
    </row>
    <row r="4" spans="1:5" x14ac:dyDescent="0.3">
      <c r="A4" s="20" t="s">
        <v>301</v>
      </c>
      <c r="B4" s="20" t="s">
        <v>302</v>
      </c>
      <c r="C4" s="20">
        <v>0</v>
      </c>
      <c r="D4" s="20">
        <v>0</v>
      </c>
      <c r="E4" s="20">
        <v>0</v>
      </c>
    </row>
    <row r="5" spans="1:5" x14ac:dyDescent="0.3">
      <c r="A5" s="20" t="s">
        <v>307</v>
      </c>
      <c r="B5" s="20" t="s">
        <v>308</v>
      </c>
      <c r="C5" s="20">
        <v>0</v>
      </c>
      <c r="D5" s="20">
        <v>0</v>
      </c>
      <c r="E5" s="20">
        <v>0</v>
      </c>
    </row>
    <row r="6" spans="1:5" x14ac:dyDescent="0.3">
      <c r="A6" s="20" t="s">
        <v>311</v>
      </c>
      <c r="B6" s="20" t="s">
        <v>312</v>
      </c>
      <c r="C6" s="20">
        <v>0</v>
      </c>
      <c r="D6" s="20">
        <v>0</v>
      </c>
      <c r="E6" s="20">
        <v>0</v>
      </c>
    </row>
    <row r="7" spans="1:5" x14ac:dyDescent="0.3">
      <c r="A7" s="20" t="s">
        <v>299</v>
      </c>
      <c r="B7" s="20" t="s">
        <v>300</v>
      </c>
      <c r="C7" s="20">
        <v>0</v>
      </c>
      <c r="D7" s="20">
        <v>0</v>
      </c>
      <c r="E7" s="20">
        <v>0</v>
      </c>
    </row>
    <row r="8" spans="1:5" x14ac:dyDescent="0.3">
      <c r="A8" s="20" t="s">
        <v>305</v>
      </c>
      <c r="B8" s="20" t="s">
        <v>306</v>
      </c>
      <c r="C8" s="20">
        <v>0</v>
      </c>
      <c r="D8" s="20">
        <v>0</v>
      </c>
      <c r="E8" s="20">
        <v>0</v>
      </c>
    </row>
    <row r="9" spans="1:5" x14ac:dyDescent="0.3">
      <c r="A9" s="20" t="s">
        <v>295</v>
      </c>
      <c r="B9" s="20" t="s">
        <v>296</v>
      </c>
      <c r="C9" s="20">
        <v>0</v>
      </c>
      <c r="D9" s="20">
        <v>0</v>
      </c>
      <c r="E9" s="20">
        <v>0</v>
      </c>
    </row>
    <row r="10" spans="1:5" x14ac:dyDescent="0.3">
      <c r="A10" s="20" t="s">
        <v>293</v>
      </c>
      <c r="B10" s="20" t="s">
        <v>294</v>
      </c>
      <c r="C10" s="20">
        <v>0</v>
      </c>
      <c r="D10" s="20">
        <v>0</v>
      </c>
      <c r="E10" s="20">
        <v>0</v>
      </c>
    </row>
    <row r="11" spans="1:5" x14ac:dyDescent="0.3">
      <c r="A11" s="20" t="s">
        <v>291</v>
      </c>
      <c r="B11" s="20" t="s">
        <v>292</v>
      </c>
      <c r="C11" s="20">
        <v>0</v>
      </c>
      <c r="D11" s="20">
        <v>0</v>
      </c>
      <c r="E11" s="20">
        <v>0</v>
      </c>
    </row>
    <row r="12" spans="1:5" x14ac:dyDescent="0.3">
      <c r="A12" s="20" t="s">
        <v>297</v>
      </c>
      <c r="B12" s="20" t="s">
        <v>298</v>
      </c>
      <c r="C12" s="20">
        <v>0</v>
      </c>
      <c r="D12" s="20">
        <v>0</v>
      </c>
      <c r="E12" s="20">
        <v>0</v>
      </c>
    </row>
    <row r="13" spans="1:5" x14ac:dyDescent="0.3">
      <c r="A13" s="20" t="s">
        <v>303</v>
      </c>
      <c r="B13" s="20" t="s">
        <v>304</v>
      </c>
      <c r="C13" s="20">
        <v>0</v>
      </c>
      <c r="D13" s="20">
        <v>0</v>
      </c>
      <c r="E13" s="20">
        <v>0</v>
      </c>
    </row>
    <row r="14" spans="1:5" x14ac:dyDescent="0.3">
      <c r="A14" s="20" t="s">
        <v>315</v>
      </c>
      <c r="B14" s="20" t="s">
        <v>316</v>
      </c>
      <c r="C14" s="20">
        <v>0</v>
      </c>
      <c r="D14" s="20">
        <v>0</v>
      </c>
      <c r="E14" s="20">
        <v>0</v>
      </c>
    </row>
    <row r="15" spans="1:5" x14ac:dyDescent="0.3">
      <c r="A15" s="20" t="s">
        <v>317</v>
      </c>
      <c r="B15" s="20" t="s">
        <v>318</v>
      </c>
      <c r="C15" s="20">
        <v>0</v>
      </c>
      <c r="D15" s="20">
        <v>0</v>
      </c>
      <c r="E15" s="20">
        <v>0</v>
      </c>
    </row>
    <row r="16" spans="1:5" x14ac:dyDescent="0.3">
      <c r="A16" s="20" t="s">
        <v>173</v>
      </c>
      <c r="B16" s="20" t="s">
        <v>57</v>
      </c>
      <c r="C16" s="20">
        <v>0</v>
      </c>
      <c r="D16" s="20">
        <v>0</v>
      </c>
      <c r="E16" s="20">
        <v>0</v>
      </c>
    </row>
    <row r="17" spans="1:5" x14ac:dyDescent="0.3">
      <c r="A17" s="20" t="s">
        <v>230</v>
      </c>
      <c r="B17" s="20" t="s">
        <v>16</v>
      </c>
      <c r="C17" s="20">
        <v>0</v>
      </c>
      <c r="D17" s="20">
        <v>0</v>
      </c>
      <c r="E17" s="20">
        <v>0</v>
      </c>
    </row>
    <row r="18" spans="1:5" x14ac:dyDescent="0.3">
      <c r="A18" s="20" t="s">
        <v>232</v>
      </c>
      <c r="B18" s="20" t="s">
        <v>20</v>
      </c>
      <c r="C18" s="20">
        <v>0</v>
      </c>
      <c r="D18" s="20">
        <v>0</v>
      </c>
      <c r="E18" s="20">
        <v>0</v>
      </c>
    </row>
    <row r="19" spans="1:5" x14ac:dyDescent="0.3">
      <c r="A19" s="20" t="s">
        <v>233</v>
      </c>
      <c r="B19" s="20" t="s">
        <v>22</v>
      </c>
      <c r="C19" s="20">
        <v>0</v>
      </c>
      <c r="D19" s="20">
        <v>0</v>
      </c>
      <c r="E19" s="20">
        <v>0</v>
      </c>
    </row>
    <row r="20" spans="1:5" x14ac:dyDescent="0.3">
      <c r="A20" s="20" t="s">
        <v>231</v>
      </c>
      <c r="B20" s="20" t="s">
        <v>18</v>
      </c>
      <c r="C20" s="20">
        <v>0</v>
      </c>
      <c r="D20" s="20">
        <v>0</v>
      </c>
      <c r="E20" s="20">
        <v>0</v>
      </c>
    </row>
    <row r="21" spans="1:5" x14ac:dyDescent="0.3">
      <c r="A21" s="20" t="s">
        <v>238</v>
      </c>
      <c r="B21" s="20" t="s">
        <v>32</v>
      </c>
      <c r="C21" s="20">
        <v>0</v>
      </c>
      <c r="D21" s="20">
        <v>0</v>
      </c>
      <c r="E21" s="20">
        <v>0</v>
      </c>
    </row>
    <row r="22" spans="1:5" x14ac:dyDescent="0.3">
      <c r="A22" s="20" t="s">
        <v>241</v>
      </c>
      <c r="B22" s="20" t="s">
        <v>242</v>
      </c>
      <c r="C22" s="20">
        <v>3120</v>
      </c>
      <c r="D22" s="20">
        <v>24</v>
      </c>
      <c r="E22" s="20">
        <v>3144</v>
      </c>
    </row>
    <row r="23" spans="1:5" x14ac:dyDescent="0.3">
      <c r="A23" s="20" t="s">
        <v>243</v>
      </c>
      <c r="B23" s="20" t="s">
        <v>244</v>
      </c>
      <c r="C23" s="20">
        <v>2268</v>
      </c>
      <c r="D23" s="20">
        <v>48</v>
      </c>
      <c r="E23" s="20">
        <v>2316</v>
      </c>
    </row>
    <row r="24" spans="1:5" x14ac:dyDescent="0.3">
      <c r="A24" s="20" t="s">
        <v>245</v>
      </c>
      <c r="B24" s="20" t="s">
        <v>246</v>
      </c>
      <c r="C24" s="20">
        <v>1260</v>
      </c>
      <c r="D24" s="20">
        <v>48</v>
      </c>
      <c r="E24" s="20">
        <v>1308</v>
      </c>
    </row>
    <row r="25" spans="1:5" x14ac:dyDescent="0.3">
      <c r="A25" s="20" t="s">
        <v>247</v>
      </c>
      <c r="B25" s="20" t="s">
        <v>248</v>
      </c>
      <c r="C25" s="20">
        <v>2460</v>
      </c>
      <c r="D25" s="20">
        <v>48</v>
      </c>
      <c r="E25" s="20">
        <v>2508</v>
      </c>
    </row>
    <row r="26" spans="1:5" x14ac:dyDescent="0.3">
      <c r="A26" s="20" t="s">
        <v>249</v>
      </c>
      <c r="B26" s="20" t="s">
        <v>250</v>
      </c>
      <c r="C26" s="20">
        <v>0</v>
      </c>
      <c r="D26" s="20">
        <v>24</v>
      </c>
      <c r="E26" s="20">
        <v>24</v>
      </c>
    </row>
    <row r="27" spans="1:5" x14ac:dyDescent="0.3">
      <c r="A27" s="20" t="s">
        <v>251</v>
      </c>
      <c r="B27" s="20" t="s">
        <v>252</v>
      </c>
      <c r="C27" s="20">
        <v>2616</v>
      </c>
      <c r="D27" s="20">
        <v>24</v>
      </c>
      <c r="E27" s="20">
        <v>2640</v>
      </c>
    </row>
    <row r="28" spans="1:5" x14ac:dyDescent="0.3">
      <c r="A28" s="20" t="s">
        <v>253</v>
      </c>
      <c r="B28" s="20" t="s">
        <v>254</v>
      </c>
      <c r="C28" s="20">
        <v>2328</v>
      </c>
      <c r="D28" s="20">
        <v>24</v>
      </c>
      <c r="E28" s="20">
        <v>2352</v>
      </c>
    </row>
    <row r="29" spans="1:5" x14ac:dyDescent="0.3">
      <c r="A29" s="20" t="s">
        <v>255</v>
      </c>
      <c r="B29" s="20" t="s">
        <v>256</v>
      </c>
      <c r="C29" s="20">
        <v>4296</v>
      </c>
      <c r="D29" s="20">
        <v>24</v>
      </c>
      <c r="E29" s="20">
        <v>4320</v>
      </c>
    </row>
    <row r="30" spans="1:5" x14ac:dyDescent="0.3">
      <c r="A30" s="20" t="s">
        <v>257</v>
      </c>
      <c r="B30" s="20" t="s">
        <v>258</v>
      </c>
      <c r="C30" s="20">
        <v>6192</v>
      </c>
      <c r="D30" s="20">
        <v>24</v>
      </c>
      <c r="E30" s="20">
        <v>6216</v>
      </c>
    </row>
    <row r="31" spans="1:5" x14ac:dyDescent="0.3">
      <c r="A31" s="20" t="s">
        <v>259</v>
      </c>
      <c r="B31" s="20" t="s">
        <v>260</v>
      </c>
      <c r="C31" s="20">
        <v>0</v>
      </c>
      <c r="D31" s="20">
        <v>6</v>
      </c>
      <c r="E31" s="20">
        <v>6</v>
      </c>
    </row>
    <row r="32" spans="1:5" x14ac:dyDescent="0.3">
      <c r="A32" s="20" t="s">
        <v>261</v>
      </c>
      <c r="B32" s="20" t="s">
        <v>262</v>
      </c>
      <c r="C32" s="20">
        <v>1920</v>
      </c>
      <c r="D32" s="20">
        <v>24</v>
      </c>
      <c r="E32" s="20">
        <v>1944</v>
      </c>
    </row>
    <row r="33" spans="1:5" x14ac:dyDescent="0.3">
      <c r="A33" s="20" t="s">
        <v>263</v>
      </c>
      <c r="B33" s="20" t="s">
        <v>264</v>
      </c>
      <c r="C33" s="20">
        <v>1128</v>
      </c>
      <c r="D33" s="20">
        <v>24</v>
      </c>
      <c r="E33" s="20">
        <v>1152</v>
      </c>
    </row>
    <row r="34" spans="1:5" x14ac:dyDescent="0.3">
      <c r="A34" s="20" t="s">
        <v>265</v>
      </c>
      <c r="B34" s="20" t="s">
        <v>266</v>
      </c>
      <c r="C34" s="20">
        <v>2568</v>
      </c>
      <c r="D34" s="20">
        <v>12</v>
      </c>
      <c r="E34" s="20">
        <v>2580</v>
      </c>
    </row>
    <row r="35" spans="1:5" x14ac:dyDescent="0.3">
      <c r="A35" s="20" t="s">
        <v>267</v>
      </c>
      <c r="B35" s="20" t="s">
        <v>268</v>
      </c>
      <c r="C35" s="20">
        <v>0</v>
      </c>
      <c r="D35" s="20">
        <v>24</v>
      </c>
      <c r="E35" s="20">
        <v>24</v>
      </c>
    </row>
    <row r="36" spans="1:5" x14ac:dyDescent="0.3">
      <c r="A36" s="20" t="s">
        <v>269</v>
      </c>
      <c r="B36" s="20" t="s">
        <v>270</v>
      </c>
      <c r="C36" s="20">
        <v>1512</v>
      </c>
      <c r="D36" s="20">
        <v>24</v>
      </c>
      <c r="E36" s="20">
        <v>1536</v>
      </c>
    </row>
    <row r="37" spans="1:5" x14ac:dyDescent="0.3">
      <c r="A37" s="20" t="s">
        <v>271</v>
      </c>
      <c r="B37" s="20" t="s">
        <v>272</v>
      </c>
      <c r="C37" s="20">
        <v>1176</v>
      </c>
      <c r="D37" s="20">
        <v>24</v>
      </c>
      <c r="E37" s="20">
        <v>1200</v>
      </c>
    </row>
    <row r="38" spans="1:5" x14ac:dyDescent="0.3">
      <c r="A38" s="20" t="s">
        <v>273</v>
      </c>
      <c r="B38" s="20" t="s">
        <v>274</v>
      </c>
      <c r="C38" s="20">
        <v>264</v>
      </c>
      <c r="D38" s="20">
        <v>30</v>
      </c>
      <c r="E38" s="20">
        <v>294</v>
      </c>
    </row>
    <row r="39" spans="1:5" x14ac:dyDescent="0.3">
      <c r="A39" s="20" t="s">
        <v>275</v>
      </c>
      <c r="B39" s="20" t="s">
        <v>276</v>
      </c>
      <c r="C39" s="20">
        <v>0</v>
      </c>
      <c r="D39" s="20">
        <v>24</v>
      </c>
      <c r="E39" s="20">
        <v>24</v>
      </c>
    </row>
    <row r="40" spans="1:5" x14ac:dyDescent="0.3">
      <c r="A40" s="20" t="s">
        <v>277</v>
      </c>
      <c r="B40" s="20" t="s">
        <v>278</v>
      </c>
      <c r="C40" s="20">
        <v>0</v>
      </c>
      <c r="D40" s="20">
        <v>24</v>
      </c>
      <c r="E40" s="20">
        <v>24</v>
      </c>
    </row>
    <row r="41" spans="1:5" x14ac:dyDescent="0.3">
      <c r="A41" s="20" t="s">
        <v>279</v>
      </c>
      <c r="B41" s="20" t="s">
        <v>280</v>
      </c>
      <c r="C41" s="20">
        <v>0</v>
      </c>
      <c r="D41" s="20">
        <v>24</v>
      </c>
      <c r="E41" s="20">
        <v>24</v>
      </c>
    </row>
    <row r="42" spans="1:5" x14ac:dyDescent="0.3">
      <c r="A42" s="20" t="s">
        <v>281</v>
      </c>
      <c r="B42" s="20" t="s">
        <v>282</v>
      </c>
      <c r="C42" s="20">
        <v>0</v>
      </c>
      <c r="D42" s="20">
        <v>24</v>
      </c>
      <c r="E42" s="20">
        <v>24</v>
      </c>
    </row>
    <row r="43" spans="1:5" x14ac:dyDescent="0.3">
      <c r="A43" s="20" t="s">
        <v>283</v>
      </c>
      <c r="B43" s="20" t="s">
        <v>284</v>
      </c>
      <c r="C43" s="20">
        <v>0</v>
      </c>
      <c r="D43" s="20">
        <v>6</v>
      </c>
      <c r="E43" s="20">
        <v>6</v>
      </c>
    </row>
    <row r="44" spans="1:5" x14ac:dyDescent="0.3">
      <c r="A44" s="20" t="s">
        <v>285</v>
      </c>
      <c r="B44" s="20" t="s">
        <v>286</v>
      </c>
      <c r="C44" s="20">
        <v>0</v>
      </c>
      <c r="D44" s="20">
        <v>24</v>
      </c>
      <c r="E44" s="20">
        <v>24</v>
      </c>
    </row>
    <row r="45" spans="1:5" x14ac:dyDescent="0.3">
      <c r="A45" s="20" t="s">
        <v>287</v>
      </c>
      <c r="B45" s="20" t="s">
        <v>288</v>
      </c>
      <c r="C45" s="20">
        <v>1192</v>
      </c>
      <c r="D45" s="20">
        <v>48</v>
      </c>
      <c r="E45" s="20">
        <v>1240</v>
      </c>
    </row>
    <row r="46" spans="1:5" x14ac:dyDescent="0.3">
      <c r="A46" s="20" t="s">
        <v>133</v>
      </c>
      <c r="B46" s="20" t="s">
        <v>134</v>
      </c>
      <c r="C46" s="20">
        <v>0</v>
      </c>
      <c r="D46" s="20">
        <v>24</v>
      </c>
      <c r="E46" s="20">
        <v>24</v>
      </c>
    </row>
    <row r="47" spans="1:5" x14ac:dyDescent="0.3">
      <c r="A47" s="20" t="s">
        <v>135</v>
      </c>
      <c r="B47" s="20" t="s">
        <v>136</v>
      </c>
      <c r="C47" s="20">
        <v>0</v>
      </c>
      <c r="D47" s="20">
        <v>24</v>
      </c>
      <c r="E47" s="20">
        <v>24</v>
      </c>
    </row>
    <row r="48" spans="1:5" x14ac:dyDescent="0.3">
      <c r="A48" s="20" t="s">
        <v>137</v>
      </c>
      <c r="B48" s="20" t="s">
        <v>138</v>
      </c>
      <c r="C48" s="20">
        <v>120</v>
      </c>
      <c r="D48" s="20">
        <v>24</v>
      </c>
      <c r="E48" s="20">
        <v>144</v>
      </c>
    </row>
    <row r="49" spans="1:5" x14ac:dyDescent="0.3">
      <c r="A49" s="20" t="s">
        <v>139</v>
      </c>
      <c r="B49" s="20" t="s">
        <v>140</v>
      </c>
      <c r="C49" s="20">
        <v>0</v>
      </c>
      <c r="D49" s="20">
        <v>24</v>
      </c>
      <c r="E49" s="20">
        <v>24</v>
      </c>
    </row>
    <row r="50" spans="1:5" x14ac:dyDescent="0.3">
      <c r="A50" s="20" t="s">
        <v>141</v>
      </c>
      <c r="B50" s="20" t="s">
        <v>142</v>
      </c>
      <c r="C50" s="20">
        <v>0</v>
      </c>
      <c r="D50" s="20">
        <v>24</v>
      </c>
      <c r="E50" s="20">
        <v>24</v>
      </c>
    </row>
    <row r="51" spans="1:5" x14ac:dyDescent="0.3">
      <c r="A51" s="20" t="s">
        <v>143</v>
      </c>
      <c r="B51" s="20" t="s">
        <v>144</v>
      </c>
      <c r="C51" s="20">
        <v>48</v>
      </c>
      <c r="D51" s="20">
        <v>24</v>
      </c>
      <c r="E51" s="20">
        <v>72</v>
      </c>
    </row>
    <row r="52" spans="1:5" x14ac:dyDescent="0.3">
      <c r="A52" s="20" t="s">
        <v>145</v>
      </c>
      <c r="B52" s="20" t="s">
        <v>146</v>
      </c>
      <c r="C52" s="20">
        <v>0</v>
      </c>
      <c r="D52" s="20">
        <v>552</v>
      </c>
      <c r="E52" s="20">
        <v>552</v>
      </c>
    </row>
    <row r="53" spans="1:5" x14ac:dyDescent="0.3">
      <c r="A53" s="20" t="s">
        <v>147</v>
      </c>
      <c r="B53" s="20" t="s">
        <v>148</v>
      </c>
      <c r="C53" s="20">
        <v>0</v>
      </c>
      <c r="D53" s="20">
        <v>24</v>
      </c>
      <c r="E53" s="20">
        <v>24</v>
      </c>
    </row>
    <row r="54" spans="1:5" x14ac:dyDescent="0.3">
      <c r="A54" s="20" t="s">
        <v>149</v>
      </c>
      <c r="B54" s="20" t="s">
        <v>150</v>
      </c>
      <c r="C54" s="20">
        <v>1704</v>
      </c>
      <c r="D54" s="20">
        <v>24</v>
      </c>
      <c r="E54" s="20">
        <v>1728</v>
      </c>
    </row>
    <row r="55" spans="1:5" x14ac:dyDescent="0.3">
      <c r="A55" s="20" t="s">
        <v>151</v>
      </c>
      <c r="B55" s="20" t="s">
        <v>152</v>
      </c>
      <c r="C55" s="20">
        <v>480</v>
      </c>
      <c r="D55" s="20">
        <v>24</v>
      </c>
      <c r="E55" s="20">
        <v>504</v>
      </c>
    </row>
    <row r="56" spans="1:5" x14ac:dyDescent="0.3">
      <c r="A56" s="20" t="s">
        <v>153</v>
      </c>
      <c r="B56" s="20" t="s">
        <v>154</v>
      </c>
      <c r="C56" s="20">
        <v>576</v>
      </c>
      <c r="D56" s="20">
        <v>24</v>
      </c>
      <c r="E56" s="20">
        <v>600</v>
      </c>
    </row>
    <row r="57" spans="1:5" x14ac:dyDescent="0.3">
      <c r="A57" s="20" t="s">
        <v>155</v>
      </c>
      <c r="B57" s="20" t="s">
        <v>156</v>
      </c>
      <c r="C57" s="20">
        <v>624</v>
      </c>
      <c r="D57" s="20">
        <v>24</v>
      </c>
      <c r="E57" s="20">
        <v>648</v>
      </c>
    </row>
    <row r="58" spans="1:5" x14ac:dyDescent="0.3">
      <c r="A58" s="20" t="s">
        <v>157</v>
      </c>
      <c r="B58" s="20" t="s">
        <v>158</v>
      </c>
      <c r="C58" s="20">
        <v>0</v>
      </c>
      <c r="D58" s="20">
        <v>12</v>
      </c>
      <c r="E58" s="20">
        <v>12</v>
      </c>
    </row>
    <row r="59" spans="1:5" x14ac:dyDescent="0.3">
      <c r="A59" s="20" t="s">
        <v>159</v>
      </c>
      <c r="B59" s="20" t="s">
        <v>160</v>
      </c>
      <c r="C59" s="20">
        <v>600</v>
      </c>
      <c r="D59" s="20">
        <v>24</v>
      </c>
      <c r="E59" s="20">
        <v>624</v>
      </c>
    </row>
    <row r="60" spans="1:5" x14ac:dyDescent="0.3">
      <c r="A60" s="20" t="s">
        <v>161</v>
      </c>
      <c r="B60" s="20" t="s">
        <v>162</v>
      </c>
      <c r="C60" s="20">
        <v>0</v>
      </c>
      <c r="D60" s="20">
        <v>24</v>
      </c>
      <c r="E60" s="20">
        <v>24</v>
      </c>
    </row>
    <row r="61" spans="1:5" x14ac:dyDescent="0.3">
      <c r="A61" s="20" t="s">
        <v>163</v>
      </c>
      <c r="B61" s="20" t="s">
        <v>164</v>
      </c>
      <c r="C61" s="20">
        <v>0</v>
      </c>
      <c r="D61" s="20">
        <v>24</v>
      </c>
      <c r="E61" s="20">
        <v>24</v>
      </c>
    </row>
    <row r="62" spans="1:5" x14ac:dyDescent="0.3">
      <c r="A62" s="20" t="s">
        <v>165</v>
      </c>
      <c r="B62" s="20" t="s">
        <v>166</v>
      </c>
      <c r="C62" s="20">
        <v>0</v>
      </c>
      <c r="D62" s="20">
        <v>2</v>
      </c>
      <c r="E62" s="20">
        <v>2</v>
      </c>
    </row>
    <row r="63" spans="1:5" x14ac:dyDescent="0.3">
      <c r="A63" s="20" t="s">
        <v>167</v>
      </c>
      <c r="B63" s="20" t="s">
        <v>168</v>
      </c>
      <c r="C63" s="20">
        <v>0</v>
      </c>
      <c r="D63" s="20">
        <v>2</v>
      </c>
      <c r="E63" s="20">
        <v>2</v>
      </c>
    </row>
    <row r="64" spans="1:5" x14ac:dyDescent="0.3">
      <c r="A64" s="20" t="s">
        <v>169</v>
      </c>
      <c r="B64" s="20" t="s">
        <v>170</v>
      </c>
      <c r="C64" s="20">
        <v>0</v>
      </c>
      <c r="D64" s="20">
        <v>24</v>
      </c>
      <c r="E64" s="20">
        <v>24</v>
      </c>
    </row>
    <row r="65" spans="1:5" x14ac:dyDescent="0.3">
      <c r="A65" s="20" t="s">
        <v>171</v>
      </c>
      <c r="B65" s="20" t="s">
        <v>172</v>
      </c>
      <c r="C65" s="20">
        <v>1872</v>
      </c>
      <c r="D65" s="20">
        <v>24</v>
      </c>
      <c r="E65" s="20">
        <v>1896</v>
      </c>
    </row>
    <row r="66" spans="1:5" x14ac:dyDescent="0.3">
      <c r="A66" s="20" t="s">
        <v>174</v>
      </c>
      <c r="B66" s="20" t="s">
        <v>175</v>
      </c>
      <c r="C66" s="20">
        <v>1050</v>
      </c>
      <c r="D66" s="20">
        <v>50</v>
      </c>
      <c r="E66" s="20">
        <v>1100</v>
      </c>
    </row>
    <row r="67" spans="1:5" x14ac:dyDescent="0.3">
      <c r="A67" s="20" t="s">
        <v>176</v>
      </c>
      <c r="B67" s="20" t="s">
        <v>177</v>
      </c>
      <c r="C67" s="20">
        <v>250</v>
      </c>
      <c r="D67" s="20">
        <v>50</v>
      </c>
      <c r="E67" s="20">
        <v>300</v>
      </c>
    </row>
    <row r="68" spans="1:5" x14ac:dyDescent="0.3">
      <c r="A68" s="20" t="s">
        <v>178</v>
      </c>
      <c r="B68" s="20" t="s">
        <v>179</v>
      </c>
      <c r="C68" s="20">
        <v>3150</v>
      </c>
      <c r="D68" s="20">
        <v>50</v>
      </c>
      <c r="E68" s="20">
        <v>3200</v>
      </c>
    </row>
    <row r="69" spans="1:5" x14ac:dyDescent="0.3">
      <c r="A69" s="20" t="s">
        <v>180</v>
      </c>
      <c r="B69" s="20" t="s">
        <v>181</v>
      </c>
      <c r="C69" s="20">
        <v>0</v>
      </c>
      <c r="D69" s="20">
        <v>50</v>
      </c>
      <c r="E69" s="20">
        <v>50</v>
      </c>
    </row>
    <row r="70" spans="1:5" x14ac:dyDescent="0.3">
      <c r="A70" s="20" t="s">
        <v>182</v>
      </c>
      <c r="B70" s="20" t="s">
        <v>183</v>
      </c>
      <c r="C70" s="20">
        <v>850</v>
      </c>
      <c r="D70" s="20">
        <v>50</v>
      </c>
      <c r="E70" s="20">
        <v>900</v>
      </c>
    </row>
    <row r="71" spans="1:5" x14ac:dyDescent="0.3">
      <c r="A71" s="20" t="s">
        <v>184</v>
      </c>
      <c r="B71" s="20" t="s">
        <v>185</v>
      </c>
      <c r="C71" s="20">
        <v>1300</v>
      </c>
      <c r="D71" s="20">
        <v>100</v>
      </c>
      <c r="E71" s="20">
        <v>1400</v>
      </c>
    </row>
    <row r="72" spans="1:5" x14ac:dyDescent="0.3">
      <c r="A72" s="20" t="s">
        <v>186</v>
      </c>
      <c r="B72" s="20" t="s">
        <v>187</v>
      </c>
      <c r="C72" s="20">
        <v>1850</v>
      </c>
      <c r="D72" s="20">
        <v>50</v>
      </c>
      <c r="E72" s="20">
        <v>1900</v>
      </c>
    </row>
    <row r="73" spans="1:5" x14ac:dyDescent="0.3">
      <c r="A73" s="20" t="s">
        <v>188</v>
      </c>
      <c r="B73" s="20" t="s">
        <v>189</v>
      </c>
      <c r="C73" s="20">
        <v>0</v>
      </c>
      <c r="D73" s="20">
        <v>0</v>
      </c>
      <c r="E73" s="20">
        <v>0</v>
      </c>
    </row>
    <row r="74" spans="1:5" x14ac:dyDescent="0.3">
      <c r="A74" s="20" t="s">
        <v>190</v>
      </c>
      <c r="B74" s="20" t="s">
        <v>191</v>
      </c>
      <c r="C74" s="20">
        <v>450</v>
      </c>
      <c r="D74" s="20">
        <v>50</v>
      </c>
      <c r="E74" s="20">
        <v>500</v>
      </c>
    </row>
    <row r="75" spans="1:5" x14ac:dyDescent="0.3">
      <c r="A75" s="20" t="s">
        <v>192</v>
      </c>
      <c r="B75" s="20" t="s">
        <v>193</v>
      </c>
      <c r="C75" s="20">
        <v>850</v>
      </c>
      <c r="D75" s="20">
        <v>50</v>
      </c>
      <c r="E75" s="20">
        <v>900</v>
      </c>
    </row>
    <row r="76" spans="1:5" x14ac:dyDescent="0.3">
      <c r="A76" s="20" t="s">
        <v>194</v>
      </c>
      <c r="B76" s="20" t="s">
        <v>195</v>
      </c>
      <c r="C76" s="20">
        <v>950</v>
      </c>
      <c r="D76" s="20">
        <v>50</v>
      </c>
      <c r="E76" s="20">
        <v>1000</v>
      </c>
    </row>
    <row r="77" spans="1:5" x14ac:dyDescent="0.3">
      <c r="A77" s="20" t="s">
        <v>196</v>
      </c>
      <c r="B77" s="20" t="s">
        <v>197</v>
      </c>
      <c r="C77" s="20">
        <v>600</v>
      </c>
      <c r="D77" s="20">
        <v>100</v>
      </c>
      <c r="E77" s="20">
        <v>700</v>
      </c>
    </row>
    <row r="78" spans="1:5" x14ac:dyDescent="0.3">
      <c r="A78" s="20" t="s">
        <v>198</v>
      </c>
      <c r="B78" s="20" t="s">
        <v>199</v>
      </c>
      <c r="C78" s="20">
        <v>500</v>
      </c>
      <c r="D78" s="20">
        <v>50</v>
      </c>
      <c r="E78" s="20">
        <v>550</v>
      </c>
    </row>
    <row r="79" spans="1:5" x14ac:dyDescent="0.3">
      <c r="A79" s="20" t="s">
        <v>200</v>
      </c>
      <c r="B79" s="20" t="s">
        <v>201</v>
      </c>
      <c r="C79" s="20">
        <v>0</v>
      </c>
      <c r="D79" s="20">
        <v>0</v>
      </c>
      <c r="E79" s="20">
        <v>0</v>
      </c>
    </row>
    <row r="80" spans="1:5" x14ac:dyDescent="0.3">
      <c r="A80" s="20" t="s">
        <v>202</v>
      </c>
      <c r="B80" s="20" t="s">
        <v>203</v>
      </c>
      <c r="C80" s="20">
        <v>400</v>
      </c>
      <c r="D80" s="20">
        <v>50</v>
      </c>
      <c r="E80" s="20">
        <v>450</v>
      </c>
    </row>
    <row r="81" spans="1:5" x14ac:dyDescent="0.3">
      <c r="A81" s="20" t="s">
        <v>204</v>
      </c>
      <c r="B81" s="20" t="s">
        <v>205</v>
      </c>
      <c r="C81" s="20">
        <v>8050</v>
      </c>
      <c r="D81" s="20">
        <v>50</v>
      </c>
      <c r="E81" s="20">
        <v>8100</v>
      </c>
    </row>
    <row r="82" spans="1:5" x14ac:dyDescent="0.3">
      <c r="A82" s="20" t="s">
        <v>206</v>
      </c>
      <c r="B82" s="20" t="s">
        <v>207</v>
      </c>
      <c r="C82" s="20">
        <v>6550</v>
      </c>
      <c r="D82" s="20">
        <v>50</v>
      </c>
      <c r="E82" s="20">
        <v>6600</v>
      </c>
    </row>
    <row r="83" spans="1:5" x14ac:dyDescent="0.3">
      <c r="A83" s="20" t="s">
        <v>208</v>
      </c>
      <c r="B83" s="20" t="s">
        <v>209</v>
      </c>
      <c r="C83" s="20">
        <v>450</v>
      </c>
      <c r="D83" s="20">
        <v>50</v>
      </c>
      <c r="E83" s="20">
        <v>500</v>
      </c>
    </row>
    <row r="84" spans="1:5" x14ac:dyDescent="0.3">
      <c r="A84" s="20" t="s">
        <v>210</v>
      </c>
      <c r="B84" s="20" t="s">
        <v>211</v>
      </c>
      <c r="C84" s="20">
        <v>300</v>
      </c>
      <c r="D84" s="20">
        <v>200</v>
      </c>
      <c r="E84" s="20">
        <v>500</v>
      </c>
    </row>
    <row r="85" spans="1:5" x14ac:dyDescent="0.3">
      <c r="A85" s="20" t="s">
        <v>212</v>
      </c>
      <c r="B85" s="20" t="s">
        <v>213</v>
      </c>
      <c r="C85" s="20">
        <v>3200</v>
      </c>
      <c r="D85" s="20">
        <v>50</v>
      </c>
      <c r="E85" s="20">
        <v>3250</v>
      </c>
    </row>
    <row r="86" spans="1:5" x14ac:dyDescent="0.3">
      <c r="A86" s="20" t="s">
        <v>214</v>
      </c>
      <c r="B86" s="20" t="s">
        <v>215</v>
      </c>
      <c r="C86" s="20">
        <v>0</v>
      </c>
      <c r="D86" s="20">
        <v>50</v>
      </c>
      <c r="E86" s="20">
        <v>50</v>
      </c>
    </row>
    <row r="87" spans="1:5" x14ac:dyDescent="0.3">
      <c r="A87" s="20" t="s">
        <v>216</v>
      </c>
      <c r="B87" s="20" t="s">
        <v>217</v>
      </c>
      <c r="C87" s="20">
        <v>1000</v>
      </c>
      <c r="D87" s="20">
        <v>50</v>
      </c>
      <c r="E87" s="20">
        <v>1050</v>
      </c>
    </row>
    <row r="88" spans="1:5" x14ac:dyDescent="0.3">
      <c r="A88" s="20" t="s">
        <v>218</v>
      </c>
      <c r="B88" s="20" t="s">
        <v>219</v>
      </c>
      <c r="C88" s="20">
        <v>0</v>
      </c>
      <c r="D88" s="20">
        <v>50</v>
      </c>
      <c r="E88" s="20">
        <v>50</v>
      </c>
    </row>
    <row r="89" spans="1:5" x14ac:dyDescent="0.3">
      <c r="A89" s="20" t="s">
        <v>220</v>
      </c>
      <c r="B89" s="20" t="s">
        <v>221</v>
      </c>
      <c r="C89" s="20">
        <v>2100</v>
      </c>
      <c r="D89" s="20">
        <v>50</v>
      </c>
      <c r="E89" s="20">
        <v>2150</v>
      </c>
    </row>
    <row r="90" spans="1:5" x14ac:dyDescent="0.3">
      <c r="A90" s="20" t="s">
        <v>222</v>
      </c>
      <c r="B90" s="20" t="s">
        <v>223</v>
      </c>
      <c r="C90" s="20">
        <v>0</v>
      </c>
      <c r="D90" s="20">
        <v>0</v>
      </c>
      <c r="E90" s="20">
        <v>0</v>
      </c>
    </row>
    <row r="91" spans="1:5" x14ac:dyDescent="0.3">
      <c r="A91" s="20" t="s">
        <v>224</v>
      </c>
      <c r="B91" s="20" t="s">
        <v>225</v>
      </c>
      <c r="C91" s="20">
        <v>0</v>
      </c>
      <c r="D91" s="20">
        <v>0</v>
      </c>
      <c r="E91" s="20">
        <v>0</v>
      </c>
    </row>
    <row r="92" spans="1:5" x14ac:dyDescent="0.3">
      <c r="A92" s="20" t="s">
        <v>226</v>
      </c>
      <c r="B92" s="20" t="s">
        <v>227</v>
      </c>
      <c r="C92" s="20">
        <v>3816</v>
      </c>
      <c r="D92" s="20">
        <v>24</v>
      </c>
      <c r="E92" s="20">
        <v>3840</v>
      </c>
    </row>
    <row r="93" spans="1:5" x14ac:dyDescent="0.3">
      <c r="A93" s="20" t="s">
        <v>228</v>
      </c>
      <c r="B93" s="20" t="s">
        <v>229</v>
      </c>
      <c r="C93" s="20">
        <v>3816</v>
      </c>
      <c r="D93" s="20">
        <v>24</v>
      </c>
      <c r="E93" s="20">
        <v>3840</v>
      </c>
    </row>
    <row r="94" spans="1:5" x14ac:dyDescent="0.3">
      <c r="A94" s="20" t="s">
        <v>240</v>
      </c>
      <c r="B94" s="20" t="s">
        <v>36</v>
      </c>
      <c r="C94" s="20">
        <v>0</v>
      </c>
      <c r="D94" s="20">
        <v>0</v>
      </c>
      <c r="E94" s="20">
        <v>0</v>
      </c>
    </row>
    <row r="95" spans="1:5" x14ac:dyDescent="0.3">
      <c r="A95" s="20" t="s">
        <v>239</v>
      </c>
      <c r="B95" s="20" t="s">
        <v>34</v>
      </c>
      <c r="C95" s="20">
        <v>0</v>
      </c>
      <c r="D95" s="20">
        <v>0</v>
      </c>
      <c r="E95" s="20">
        <v>0</v>
      </c>
    </row>
    <row r="96" spans="1:5" x14ac:dyDescent="0.3">
      <c r="A96" s="20" t="s">
        <v>234</v>
      </c>
      <c r="B96" s="20" t="s">
        <v>24</v>
      </c>
      <c r="C96" s="20">
        <v>0</v>
      </c>
      <c r="D96" s="20">
        <v>0</v>
      </c>
      <c r="E96" s="20">
        <v>0</v>
      </c>
    </row>
    <row r="97" spans="1:5" x14ac:dyDescent="0.3">
      <c r="A97" s="20" t="s">
        <v>235</v>
      </c>
      <c r="B97" s="20" t="s">
        <v>26</v>
      </c>
      <c r="C97" s="20">
        <v>0</v>
      </c>
      <c r="D97" s="20">
        <v>0</v>
      </c>
      <c r="E97" s="20">
        <v>0</v>
      </c>
    </row>
    <row r="98" spans="1:5" x14ac:dyDescent="0.3">
      <c r="A98" s="20" t="s">
        <v>236</v>
      </c>
      <c r="B98" s="20" t="s">
        <v>28</v>
      </c>
      <c r="C98" s="20">
        <v>0</v>
      </c>
      <c r="D98" s="20">
        <v>0</v>
      </c>
      <c r="E98" s="20">
        <v>0</v>
      </c>
    </row>
    <row r="99" spans="1:5" x14ac:dyDescent="0.3">
      <c r="A99" s="20" t="s">
        <v>237</v>
      </c>
      <c r="B99" s="20" t="s">
        <v>30</v>
      </c>
      <c r="C99" s="20">
        <v>0</v>
      </c>
      <c r="D99" s="20">
        <v>0</v>
      </c>
      <c r="E99" s="20">
        <v>0</v>
      </c>
    </row>
    <row r="100" spans="1:5" x14ac:dyDescent="0.3">
      <c r="A100" s="20" t="s">
        <v>324</v>
      </c>
      <c r="B100" s="20" t="s">
        <v>40</v>
      </c>
      <c r="C100" s="20">
        <v>0</v>
      </c>
      <c r="D100" s="20">
        <v>0</v>
      </c>
      <c r="E100" s="20">
        <v>0</v>
      </c>
    </row>
    <row r="101" spans="1:5" x14ac:dyDescent="0.3">
      <c r="A101" s="20" t="s">
        <v>323</v>
      </c>
      <c r="B101" s="20" t="s">
        <v>38</v>
      </c>
      <c r="C101" s="20">
        <v>8</v>
      </c>
      <c r="D101" s="20">
        <v>0</v>
      </c>
      <c r="E101" s="20">
        <v>8</v>
      </c>
    </row>
    <row r="102" spans="1:5" x14ac:dyDescent="0.3">
      <c r="A102" s="20" t="s">
        <v>325</v>
      </c>
      <c r="B102" s="20" t="s">
        <v>42</v>
      </c>
      <c r="C102" s="20">
        <v>6</v>
      </c>
      <c r="D102" s="20">
        <v>0</v>
      </c>
      <c r="E102" s="20">
        <v>6</v>
      </c>
    </row>
    <row r="103" spans="1:5" x14ac:dyDescent="0.3">
      <c r="A103" s="20" t="s">
        <v>326</v>
      </c>
      <c r="B103" s="20" t="s">
        <v>44</v>
      </c>
      <c r="C103" s="20">
        <v>0</v>
      </c>
      <c r="D103" s="20">
        <v>0</v>
      </c>
      <c r="E103" s="20">
        <v>0</v>
      </c>
    </row>
    <row r="104" spans="1:5" x14ac:dyDescent="0.3">
      <c r="A104" s="20" t="s">
        <v>290</v>
      </c>
      <c r="B104" s="20" t="s">
        <v>48</v>
      </c>
      <c r="C104" s="20">
        <v>176</v>
      </c>
      <c r="D104" s="20">
        <v>0</v>
      </c>
      <c r="E104" s="20">
        <v>176</v>
      </c>
    </row>
    <row r="105" spans="1:5" x14ac:dyDescent="0.3">
      <c r="A105" s="20" t="s">
        <v>289</v>
      </c>
      <c r="B105" s="20" t="s">
        <v>46</v>
      </c>
      <c r="C105" s="20">
        <v>0</v>
      </c>
      <c r="D105" s="20">
        <v>0</v>
      </c>
      <c r="E105" s="20">
        <v>0</v>
      </c>
    </row>
    <row r="106" spans="1:5" x14ac:dyDescent="0.3">
      <c r="A106" s="20" t="s">
        <v>328</v>
      </c>
      <c r="B106" s="20" t="s">
        <v>52</v>
      </c>
      <c r="C106" s="20">
        <v>0</v>
      </c>
      <c r="D106" s="20">
        <v>0</v>
      </c>
      <c r="E106" s="20">
        <v>0</v>
      </c>
    </row>
    <row r="107" spans="1:5" x14ac:dyDescent="0.3">
      <c r="A107" s="20" t="s">
        <v>329</v>
      </c>
      <c r="B107" s="20" t="s">
        <v>54</v>
      </c>
      <c r="C107" s="20">
        <v>0</v>
      </c>
      <c r="D107" s="20">
        <v>0</v>
      </c>
      <c r="E107" s="20">
        <v>0</v>
      </c>
    </row>
    <row r="108" spans="1:5" x14ac:dyDescent="0.3">
      <c r="A108" s="20" t="s">
        <v>327</v>
      </c>
      <c r="B108" s="20" t="s">
        <v>50</v>
      </c>
      <c r="C108" s="20">
        <v>0</v>
      </c>
      <c r="D108" s="20">
        <v>0</v>
      </c>
      <c r="E108" s="20">
        <v>0</v>
      </c>
    </row>
    <row r="109" spans="1:5" x14ac:dyDescent="0.3">
      <c r="A109" s="20" t="s">
        <v>319</v>
      </c>
      <c r="B109" s="20" t="s">
        <v>320</v>
      </c>
      <c r="C109" s="20">
        <v>0</v>
      </c>
      <c r="D109" s="20">
        <v>0</v>
      </c>
      <c r="E109" s="20">
        <v>0</v>
      </c>
    </row>
  </sheetData>
  <autoFilter ref="A1:E109" xr:uid="{DBC28725-62BE-4490-A853-A3978582619F}">
    <sortState ref="A2:E109">
      <sortCondition ref="B2:B109"/>
    </sortState>
  </autoFilter>
  <pageMargins left="0.31496062992125984" right="0.70866141732283472" top="0.35433070866141736" bottom="0.35433070866141736" header="0" footer="0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Recepcion de Producto</vt:lpstr>
      <vt:lpstr>Salida de Producto</vt:lpstr>
      <vt:lpstr>Balance de Inventarios</vt:lpstr>
      <vt:lpstr>Inventario Profit</vt:lpstr>
      <vt:lpstr>MAL ESTADO</vt:lpstr>
      <vt:lpstr>Hoja1</vt:lpstr>
      <vt:lpstr>'Balance de Inventarios'!Área_de_impresión</vt:lpstr>
      <vt:lpstr>'MAL ESTADO'!Área_de_impresión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Orta</dc:creator>
  <cp:lastModifiedBy>Duglas Ledezma</cp:lastModifiedBy>
  <cp:lastPrinted>2023-06-21T13:31:24Z</cp:lastPrinted>
  <dcterms:created xsi:type="dcterms:W3CDTF">2019-09-11T14:34:39Z</dcterms:created>
  <dcterms:modified xsi:type="dcterms:W3CDTF">2023-07-17T11:52:04Z</dcterms:modified>
</cp:coreProperties>
</file>