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0e1a4a2e665636b7/Público/Escritorio/"/>
    </mc:Choice>
  </mc:AlternateContent>
  <xr:revisionPtr revIDLastSave="481" documentId="8_{E6056B32-D41B-42AD-9D6C-9A3197401802}" xr6:coauthVersionLast="47" xr6:coauthVersionMax="47" xr10:uidLastSave="{110479A3-6571-4B2A-854D-E73B122F73E6}"/>
  <bookViews>
    <workbookView xWindow="-120" yWindow="-120" windowWidth="20730" windowHeight="11160" activeTab="2" xr2:uid="{00000000-000D-0000-FFFF-FFFF00000000}"/>
  </bookViews>
  <sheets>
    <sheet name="Ingresos y Egresos Planificados" sheetId="6" r:id="rId1"/>
    <sheet name="Ingresos y Egresos reales" sheetId="7" r:id="rId2"/>
    <sheet name="Curva S" sheetId="3" r:id="rId3"/>
    <sheet name="Supuestos" sheetId="5" r:id="rId4"/>
    <sheet name="Calculos de apoyo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7" l="1"/>
  <c r="F11" i="7" s="1"/>
  <c r="I9" i="7"/>
  <c r="I11" i="7" s="1"/>
  <c r="J9" i="7"/>
  <c r="J11" i="7" s="1"/>
  <c r="M9" i="7"/>
  <c r="M11" i="7" s="1"/>
  <c r="E9" i="7"/>
  <c r="E11" i="7" s="1"/>
  <c r="H9" i="7"/>
  <c r="H11" i="7" s="1"/>
  <c r="K9" i="7"/>
  <c r="K11" i="7" s="1"/>
  <c r="G9" i="7"/>
  <c r="G11" i="7" s="1"/>
  <c r="C9" i="7"/>
  <c r="C11" i="7" s="1"/>
  <c r="D2" i="5"/>
  <c r="L9" i="7"/>
  <c r="L11" i="7" s="1"/>
  <c r="D9" i="7"/>
  <c r="D11" i="7" s="1"/>
  <c r="B9" i="7"/>
  <c r="B11" i="7" s="1"/>
  <c r="D20" i="7"/>
  <c r="C20" i="7"/>
  <c r="B20" i="7"/>
  <c r="B19" i="7"/>
  <c r="C20" i="6"/>
  <c r="B20" i="6"/>
  <c r="B19" i="6"/>
  <c r="D6" i="8"/>
  <c r="F3" i="8" s="1"/>
  <c r="B10" i="5" s="1"/>
  <c r="C6" i="5"/>
  <c r="B2" i="8"/>
  <c r="B51" i="8"/>
  <c r="A51" i="8"/>
  <c r="K12" i="7" l="1"/>
  <c r="K10" i="3" s="1"/>
  <c r="G12" i="7"/>
  <c r="G10" i="3" s="1"/>
  <c r="C12" i="7"/>
  <c r="C13" i="7" s="1"/>
  <c r="M12" i="7"/>
  <c r="M10" i="3" s="1"/>
  <c r="I12" i="7"/>
  <c r="I10" i="3" s="1"/>
  <c r="E12" i="7"/>
  <c r="E10" i="3" s="1"/>
  <c r="J12" i="7"/>
  <c r="J10" i="3" s="1"/>
  <c r="F12" i="7"/>
  <c r="F10" i="3" s="1"/>
  <c r="B12" i="7"/>
  <c r="B10" i="3" s="1"/>
  <c r="L12" i="7"/>
  <c r="L10" i="3" s="1"/>
  <c r="H12" i="7"/>
  <c r="H10" i="3" s="1"/>
  <c r="D12" i="7"/>
  <c r="D10" i="3" s="1"/>
  <c r="F5" i="8"/>
  <c r="B12" i="5" s="1"/>
  <c r="F4" i="8"/>
  <c r="B11" i="5" s="1"/>
  <c r="F11" i="5" s="1"/>
  <c r="F12" i="5" s="1"/>
  <c r="D13" i="7" l="1"/>
  <c r="E13" i="7" s="1"/>
  <c r="F13" i="7" s="1"/>
  <c r="G13" i="7" s="1"/>
  <c r="H13" i="7" s="1"/>
  <c r="I13" i="7" s="1"/>
  <c r="J13" i="7" s="1"/>
  <c r="K13" i="7" s="1"/>
  <c r="L13" i="7" s="1"/>
  <c r="M13" i="7" s="1"/>
  <c r="C10" i="3"/>
  <c r="O10" i="3" s="1"/>
  <c r="B13" i="5"/>
  <c r="D21" i="7"/>
  <c r="F23" i="7"/>
  <c r="J23" i="7"/>
  <c r="I22" i="7"/>
  <c r="E22" i="7"/>
  <c r="I27" i="7"/>
  <c r="H27" i="7"/>
  <c r="G27" i="7"/>
  <c r="F27" i="7"/>
  <c r="E27" i="7"/>
  <c r="D27" i="7"/>
  <c r="C27" i="7"/>
  <c r="B27" i="7"/>
  <c r="F22" i="7"/>
  <c r="G23" i="7" s="1"/>
  <c r="I27" i="6"/>
  <c r="H27" i="6"/>
  <c r="G27" i="6"/>
  <c r="F27" i="6"/>
  <c r="E27" i="6"/>
  <c r="D27" i="6"/>
  <c r="C27" i="6"/>
  <c r="B27" i="6"/>
  <c r="E23" i="6"/>
  <c r="H22" i="6"/>
  <c r="I23" i="6" s="1"/>
  <c r="F22" i="6"/>
  <c r="G23" i="6" s="1"/>
  <c r="D22" i="6"/>
  <c r="D21" i="6"/>
  <c r="M8" i="6"/>
  <c r="L8" i="6"/>
  <c r="K8" i="6"/>
  <c r="J8" i="6"/>
  <c r="I8" i="6"/>
  <c r="H8" i="6"/>
  <c r="G8" i="6"/>
  <c r="F8" i="6"/>
  <c r="E8" i="6"/>
  <c r="D8" i="6"/>
  <c r="C8" i="6"/>
  <c r="B8" i="6"/>
  <c r="E6" i="6"/>
  <c r="B7" i="6"/>
  <c r="C11" i="5"/>
  <c r="C4" i="5"/>
  <c r="B9" i="6" l="1"/>
  <c r="F6" i="6"/>
  <c r="C12" i="5"/>
  <c r="E12" i="5" s="1"/>
  <c r="C10" i="5"/>
  <c r="G6" i="6" l="1"/>
  <c r="C7" i="5"/>
  <c r="J10" i="6"/>
  <c r="F10" i="6"/>
  <c r="B10" i="6"/>
  <c r="B11" i="6" s="1"/>
  <c r="M10" i="6"/>
  <c r="I10" i="6"/>
  <c r="E10" i="6"/>
  <c r="L10" i="6"/>
  <c r="H10" i="6"/>
  <c r="D10" i="6"/>
  <c r="K10" i="6"/>
  <c r="G10" i="6"/>
  <c r="C10" i="6"/>
  <c r="D24" i="7"/>
  <c r="D29" i="7" s="1"/>
  <c r="C24" i="7"/>
  <c r="C29" i="7" s="1"/>
  <c r="E24" i="7"/>
  <c r="E29" i="7" s="1"/>
  <c r="B24" i="7"/>
  <c r="B29" i="7" s="1"/>
  <c r="C13" i="5"/>
  <c r="H12" i="5" s="1"/>
  <c r="D10" i="5"/>
  <c r="H6" i="6" l="1"/>
  <c r="G10" i="5"/>
  <c r="B12" i="6"/>
  <c r="C33" i="7"/>
  <c r="C13" i="3" s="1"/>
  <c r="C7" i="3"/>
  <c r="B30" i="7"/>
  <c r="C30" i="7" s="1"/>
  <c r="D30" i="7" s="1"/>
  <c r="E30" i="7" s="1"/>
  <c r="B7" i="3"/>
  <c r="D33" i="7"/>
  <c r="D13" i="3" s="1"/>
  <c r="D7" i="3"/>
  <c r="E33" i="7"/>
  <c r="E13" i="3" s="1"/>
  <c r="E7" i="3"/>
  <c r="B33" i="7"/>
  <c r="I6" i="6" l="1"/>
  <c r="C16" i="5"/>
  <c r="B14" i="6"/>
  <c r="B9" i="3"/>
  <c r="B13" i="6"/>
  <c r="B24" i="6"/>
  <c r="B29" i="6" s="1"/>
  <c r="B34" i="7"/>
  <c r="B13" i="3"/>
  <c r="F24" i="7"/>
  <c r="F29" i="7" s="1"/>
  <c r="J6" i="6" l="1"/>
  <c r="C17" i="5"/>
  <c r="C18" i="5" s="1"/>
  <c r="C19" i="5" s="1"/>
  <c r="D16" i="5"/>
  <c r="E16" i="5" s="1"/>
  <c r="B33" i="6"/>
  <c r="B30" i="6"/>
  <c r="B6" i="3"/>
  <c r="F33" i="7"/>
  <c r="F7" i="3"/>
  <c r="C34" i="7"/>
  <c r="B16" i="3"/>
  <c r="F30" i="7"/>
  <c r="G24" i="7"/>
  <c r="G29" i="7" s="1"/>
  <c r="E7" i="6" l="1"/>
  <c r="C7" i="6"/>
  <c r="M7" i="6"/>
  <c r="D7" i="6"/>
  <c r="D9" i="6" s="1"/>
  <c r="D11" i="6" s="1"/>
  <c r="D12" i="6" s="1"/>
  <c r="D24" i="6" s="1"/>
  <c r="D29" i="6" s="1"/>
  <c r="F7" i="6"/>
  <c r="G7" i="6"/>
  <c r="H7" i="6"/>
  <c r="I7" i="6"/>
  <c r="I9" i="6" s="1"/>
  <c r="I11" i="6" s="1"/>
  <c r="I12" i="6" s="1"/>
  <c r="I9" i="3" s="1"/>
  <c r="J7" i="6"/>
  <c r="K6" i="6"/>
  <c r="J9" i="6"/>
  <c r="J11" i="6" s="1"/>
  <c r="J12" i="6" s="1"/>
  <c r="J9" i="3" s="1"/>
  <c r="H9" i="6"/>
  <c r="H11" i="6" s="1"/>
  <c r="H12" i="6" s="1"/>
  <c r="H24" i="6" s="1"/>
  <c r="H29" i="6" s="1"/>
  <c r="E9" i="6"/>
  <c r="E11" i="6" s="1"/>
  <c r="E12" i="6" s="1"/>
  <c r="E14" i="6" s="1"/>
  <c r="G9" i="6"/>
  <c r="G11" i="6" s="1"/>
  <c r="G12" i="6" s="1"/>
  <c r="G14" i="6" s="1"/>
  <c r="F9" i="6"/>
  <c r="F11" i="6" s="1"/>
  <c r="F12" i="6" s="1"/>
  <c r="F14" i="6" s="1"/>
  <c r="C9" i="6"/>
  <c r="C11" i="6" s="1"/>
  <c r="C12" i="6" s="1"/>
  <c r="C13" i="6" s="1"/>
  <c r="B12" i="3"/>
  <c r="B34" i="6"/>
  <c r="G33" i="7"/>
  <c r="G7" i="3"/>
  <c r="D34" i="7"/>
  <c r="C16" i="3"/>
  <c r="F13" i="3"/>
  <c r="G30" i="7"/>
  <c r="H24" i="7"/>
  <c r="H29" i="7" s="1"/>
  <c r="E24" i="6" l="1"/>
  <c r="E29" i="6" s="1"/>
  <c r="K7" i="6"/>
  <c r="K9" i="6" s="1"/>
  <c r="K11" i="6" s="1"/>
  <c r="K12" i="6" s="1"/>
  <c r="L6" i="6"/>
  <c r="L7" i="6" s="1"/>
  <c r="L9" i="6" s="1"/>
  <c r="L11" i="6" s="1"/>
  <c r="L12" i="6" s="1"/>
  <c r="J14" i="6"/>
  <c r="E9" i="3"/>
  <c r="I14" i="6"/>
  <c r="G9" i="3"/>
  <c r="I24" i="6"/>
  <c r="I29" i="6" s="1"/>
  <c r="I6" i="3" s="1"/>
  <c r="H9" i="3"/>
  <c r="C14" i="6"/>
  <c r="C24" i="6"/>
  <c r="C29" i="6" s="1"/>
  <c r="C33" i="6" s="1"/>
  <c r="C12" i="3" s="1"/>
  <c r="H14" i="6"/>
  <c r="J24" i="6"/>
  <c r="J29" i="6" s="1"/>
  <c r="J33" i="6" s="1"/>
  <c r="J12" i="3" s="1"/>
  <c r="F24" i="6"/>
  <c r="F29" i="6" s="1"/>
  <c r="F33" i="6" s="1"/>
  <c r="F12" i="3" s="1"/>
  <c r="F9" i="3"/>
  <c r="G24" i="6"/>
  <c r="G29" i="6" s="1"/>
  <c r="G6" i="3" s="1"/>
  <c r="D13" i="6"/>
  <c r="E13" i="6" s="1"/>
  <c r="F13" i="6" s="1"/>
  <c r="G13" i="6" s="1"/>
  <c r="H13" i="6" s="1"/>
  <c r="I13" i="6" s="1"/>
  <c r="J13" i="6" s="1"/>
  <c r="K13" i="6" s="1"/>
  <c r="D14" i="6"/>
  <c r="D9" i="3"/>
  <c r="K9" i="3"/>
  <c r="K14" i="6"/>
  <c r="K24" i="6"/>
  <c r="K29" i="6" s="1"/>
  <c r="C9" i="3"/>
  <c r="M9" i="6"/>
  <c r="M11" i="6" s="1"/>
  <c r="M12" i="6" s="1"/>
  <c r="D33" i="6"/>
  <c r="D12" i="3" s="1"/>
  <c r="D6" i="3"/>
  <c r="H33" i="6"/>
  <c r="H12" i="3" s="1"/>
  <c r="H6" i="3"/>
  <c r="E6" i="3"/>
  <c r="E33" i="6"/>
  <c r="E12" i="3" s="1"/>
  <c r="B15" i="3"/>
  <c r="E34" i="7"/>
  <c r="D16" i="3"/>
  <c r="G13" i="3"/>
  <c r="H33" i="7"/>
  <c r="H7" i="3"/>
  <c r="H30" i="7"/>
  <c r="I24" i="7"/>
  <c r="I29" i="7" s="1"/>
  <c r="C30" i="6" l="1"/>
  <c r="D30" i="6" s="1"/>
  <c r="E30" i="6" s="1"/>
  <c r="F30" i="6" s="1"/>
  <c r="G30" i="6" s="1"/>
  <c r="H30" i="6" s="1"/>
  <c r="I30" i="6" s="1"/>
  <c r="J30" i="6" s="1"/>
  <c r="K30" i="6" s="1"/>
  <c r="C6" i="3"/>
  <c r="B17" i="3"/>
  <c r="J6" i="3"/>
  <c r="I33" i="6"/>
  <c r="I12" i="3" s="1"/>
  <c r="F6" i="3"/>
  <c r="G33" i="6"/>
  <c r="G12" i="3" s="1"/>
  <c r="M24" i="6"/>
  <c r="M29" i="6" s="1"/>
  <c r="M6" i="3" s="1"/>
  <c r="M14" i="6"/>
  <c r="M9" i="3"/>
  <c r="K33" i="6"/>
  <c r="K12" i="3" s="1"/>
  <c r="K6" i="3"/>
  <c r="L9" i="3"/>
  <c r="L14" i="6"/>
  <c r="L24" i="6"/>
  <c r="L29" i="6" s="1"/>
  <c r="L13" i="6"/>
  <c r="M13" i="6" s="1"/>
  <c r="C34" i="6"/>
  <c r="C15" i="3" s="1"/>
  <c r="C17" i="3" s="1"/>
  <c r="I33" i="7"/>
  <c r="I7" i="3"/>
  <c r="H13" i="3"/>
  <c r="E16" i="3"/>
  <c r="F34" i="7"/>
  <c r="I30" i="7"/>
  <c r="J24" i="7"/>
  <c r="J29" i="7" s="1"/>
  <c r="O9" i="3" l="1"/>
  <c r="P10" i="3" s="1"/>
  <c r="M33" i="6"/>
  <c r="M12" i="3" s="1"/>
  <c r="L33" i="6"/>
  <c r="L12" i="3" s="1"/>
  <c r="L6" i="3"/>
  <c r="O6" i="3" s="1"/>
  <c r="D34" i="6"/>
  <c r="E34" i="6" s="1"/>
  <c r="L30" i="6"/>
  <c r="M30" i="6" s="1"/>
  <c r="J33" i="7"/>
  <c r="J7" i="3"/>
  <c r="F16" i="3"/>
  <c r="G34" i="7"/>
  <c r="I13" i="3"/>
  <c r="J30" i="7"/>
  <c r="K24" i="7"/>
  <c r="K29" i="7" s="1"/>
  <c r="O12" i="3" l="1"/>
  <c r="D15" i="3"/>
  <c r="E15" i="3"/>
  <c r="E17" i="3" s="1"/>
  <c r="F34" i="6"/>
  <c r="K33" i="7"/>
  <c r="K7" i="3"/>
  <c r="G16" i="3"/>
  <c r="H34" i="7"/>
  <c r="J13" i="3"/>
  <c r="M24" i="7"/>
  <c r="M29" i="7" s="1"/>
  <c r="L24" i="7"/>
  <c r="L29" i="7" s="1"/>
  <c r="K30" i="7"/>
  <c r="D17" i="3" l="1"/>
  <c r="F15" i="3"/>
  <c r="F17" i="3" s="1"/>
  <c r="G34" i="6"/>
  <c r="L30" i="7"/>
  <c r="M30" i="7" s="1"/>
  <c r="L33" i="7"/>
  <c r="L7" i="3"/>
  <c r="H16" i="3"/>
  <c r="I34" i="7"/>
  <c r="M33" i="7"/>
  <c r="M13" i="3" s="1"/>
  <c r="M7" i="3"/>
  <c r="K13" i="3"/>
  <c r="O7" i="3" l="1"/>
  <c r="P7" i="3" s="1"/>
  <c r="G15" i="3"/>
  <c r="H34" i="6"/>
  <c r="I16" i="3"/>
  <c r="J34" i="7"/>
  <c r="L13" i="3"/>
  <c r="O13" i="3" s="1"/>
  <c r="P13" i="3" s="1"/>
  <c r="G17" i="3" l="1"/>
  <c r="I34" i="6"/>
  <c r="H15" i="3"/>
  <c r="H17" i="3" s="1"/>
  <c r="J16" i="3"/>
  <c r="K34" i="7"/>
  <c r="I15" i="3" l="1"/>
  <c r="I17" i="3" s="1"/>
  <c r="J34" i="6"/>
  <c r="K16" i="3"/>
  <c r="L34" i="7"/>
  <c r="J15" i="3" l="1"/>
  <c r="J17" i="3" s="1"/>
  <c r="K34" i="6"/>
  <c r="M34" i="7"/>
  <c r="M16" i="3" s="1"/>
  <c r="L16" i="3"/>
  <c r="O16" i="3" l="1"/>
  <c r="L34" i="6"/>
  <c r="K15" i="3"/>
  <c r="K17" i="3" s="1"/>
  <c r="L15" i="3" l="1"/>
  <c r="L17" i="3" s="1"/>
  <c r="M34" i="6"/>
  <c r="M15" i="3" s="1"/>
  <c r="M17" i="3" l="1"/>
  <c r="O15" i="3"/>
  <c r="P16" i="3" s="1"/>
</calcChain>
</file>

<file path=xl/sharedStrings.xml><?xml version="1.0" encoding="utf-8"?>
<sst xmlns="http://schemas.openxmlformats.org/spreadsheetml/2006/main" count="169" uniqueCount="80">
  <si>
    <t>Proyecto:</t>
  </si>
  <si>
    <t>ID:</t>
  </si>
  <si>
    <t>Mes</t>
  </si>
  <si>
    <t>volumen</t>
  </si>
  <si>
    <t>tkt promedio</t>
  </si>
  <si>
    <t>Reputación actual</t>
  </si>
  <si>
    <t>Bueno</t>
  </si>
  <si>
    <t>Regular</t>
  </si>
  <si>
    <t>Mala</t>
  </si>
  <si>
    <t>Ventas</t>
  </si>
  <si>
    <t>nueva facturacion anual</t>
  </si>
  <si>
    <t>Incremento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</si>
  <si>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</si>
  <si>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</si>
  <si>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</si>
  <si>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</si>
  <si>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</si>
  <si>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</si>
  <si>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</si>
  <si>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</si>
  <si>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</si>
  <si>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</si>
  <si>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</si>
  <si>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</si>
  <si>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Impacto en resultados</t>
  </si>
  <si>
    <t>Facturación (millones)</t>
  </si>
  <si>
    <t>Ingresos</t>
  </si>
  <si>
    <t>Egresos</t>
  </si>
  <si>
    <t>Horas consultoria</t>
  </si>
  <si>
    <t>Licencias y hardware</t>
  </si>
  <si>
    <t>Diseño</t>
  </si>
  <si>
    <t>Desarrollo</t>
  </si>
  <si>
    <t>Capacitación</t>
  </si>
  <si>
    <t>Gastos operativos</t>
  </si>
  <si>
    <t>Comunicación</t>
  </si>
  <si>
    <t>Kickoff y Meets</t>
  </si>
  <si>
    <t>Egresos totales (millones)</t>
  </si>
  <si>
    <t>Egresos acumulados (millones)</t>
  </si>
  <si>
    <t>variación anual proyectada</t>
  </si>
  <si>
    <t>Resultado neto mes</t>
  </si>
  <si>
    <t>Resultado neto acumulado</t>
  </si>
  <si>
    <t>Fee por resultado</t>
  </si>
  <si>
    <t>Puesta en marcha</t>
  </si>
  <si>
    <t>Ingresos Planificado</t>
  </si>
  <si>
    <t>Ingresos Real</t>
  </si>
  <si>
    <t>Egresos Planificado</t>
  </si>
  <si>
    <t>Egresos Real</t>
  </si>
  <si>
    <t>Neto Planificado</t>
  </si>
  <si>
    <t>Neto Planificado Acumulado</t>
  </si>
  <si>
    <t>Neto Real</t>
  </si>
  <si>
    <t>Neto Real Acumulado</t>
  </si>
  <si>
    <t>GAP</t>
  </si>
  <si>
    <t>En millones de $</t>
  </si>
  <si>
    <t>Grupo 15</t>
  </si>
  <si>
    <t>Social Media Listening</t>
  </si>
  <si>
    <t>Visitas web</t>
  </si>
  <si>
    <t>Conversión a ventas</t>
  </si>
  <si>
    <t>$ tkt promedio</t>
  </si>
  <si>
    <t>Variación (millones)</t>
  </si>
  <si>
    <t>Variacion  acumulada</t>
  </si>
  <si>
    <t>Variación anual proyectada</t>
  </si>
  <si>
    <t>TKT promedio</t>
  </si>
  <si>
    <t>Volumen</t>
  </si>
  <si>
    <t>Precio</t>
  </si>
  <si>
    <t>Total</t>
  </si>
  <si>
    <t>Visitas anuales web</t>
  </si>
  <si>
    <t>Ratio de conversion web actual</t>
  </si>
  <si>
    <t>Ventas Anuales</t>
  </si>
  <si>
    <t>Facturación actual</t>
  </si>
  <si>
    <t>Reputación</t>
  </si>
  <si>
    <t>Repercusión positiva incremental</t>
  </si>
  <si>
    <t>Visitas nuevas por caida de detractores</t>
  </si>
  <si>
    <t>Nuevas visitas anuales</t>
  </si>
  <si>
    <t>Ventas proyectadas</t>
  </si>
  <si>
    <t>Fee por meta ($10 MM)</t>
  </si>
  <si>
    <t>Año</t>
  </si>
  <si>
    <t>delta</t>
  </si>
  <si>
    <t>Mejora proyectada en repercusion</t>
  </si>
  <si>
    <t>Repercusion positiva  X2 (fans)</t>
  </si>
  <si>
    <t>Repercusion negativa X20 (detractores)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</si>
</sst>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_-;\-* #,##0.00_-;_-* &quot;-&quot;??_-;_-@_-"/>
    <numFmt numFmtId="165" formatCode="_-&quot;$&quot;* #,##0.00_-;\-&quot;$&quot;* #,##0.00_-;_-&quot;$&quot;* &quot;-&quot;??_-;_-@"/>
    <numFmt numFmtId="167" formatCode="_-* #,##0_-;\-* #,##0_-;_-* &quot;-&quot;??_-;_-@_-"/>
    <numFmt numFmtId="172" formatCode="_-[$$-2C0A]\ * #,##0.00_-;\-[$$-2C0A]\ * #,##0.00_-;_-[$$-2C0A]\ * &quot;-&quot;??_-;_-@_-"/>
    <numFmt numFmtId="174" formatCode="_-[$$-2C0A]\ * #,##0_-;\-[$$-2C0A]\ * #,##0_-;_-[$$-2C0A]\ * &quot;-&quot;??_-;_-@_-"/>
    <numFmt numFmtId="181" formatCode="_-* #,##0.00\ _€_-;\-* #,##0.00\ _€_-;_-* &quot;-&quot;??\ _€_-;_-@_-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8"/>
      <name val="Calibri"/>
      <scheme val="minor"/>
    </font>
    <font>
      <sz val="11"/>
      <name val="Calibri"/>
      <family val="2"/>
      <scheme val="major"/>
    </font>
    <font>
      <i/>
      <sz val="11"/>
      <name val="Calibri"/>
      <family val="2"/>
      <scheme val="major"/>
    </font>
    <font>
      <i/>
      <sz val="9"/>
      <name val="Verdana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rgb="FFFF9900"/>
      </patternFill>
    </fill>
    <fill>
      <patternFill patternType="solid">
        <fgColor theme="9" tint="0.59999389629810485"/>
        <bgColor rgb="FFFF99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7">
    <xf numFmtId="0" fontId="0" fillId="0" borderId="0" xfId="0"/>
    <xf numFmtId="9" fontId="0" fillId="0" borderId="0" xfId="3" applyFont="1"/>
    <xf numFmtId="172" fontId="0" fillId="0" borderId="0" xfId="2" applyNumberFormat="1" applyFont="1"/>
    <xf numFmtId="172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  <xf numFmtId="165" fontId="5" fillId="0" borderId="1" xfId="0" applyNumberFormat="1" applyFont="1" applyBorder="1"/>
    <xf numFmtId="0" fontId="5" fillId="5" borderId="8" xfId="0" applyFont="1" applyFill="1" applyBorder="1" applyAlignment="1">
      <alignment horizontal="right"/>
    </xf>
    <xf numFmtId="165" fontId="5" fillId="2" borderId="7" xfId="0" applyNumberFormat="1" applyFont="1" applyFill="1" applyBorder="1"/>
    <xf numFmtId="165" fontId="5" fillId="2" borderId="1" xfId="0" applyNumberFormat="1" applyFont="1" applyFill="1" applyBorder="1"/>
    <xf numFmtId="0" fontId="5" fillId="6" borderId="1" xfId="0" applyFont="1" applyFill="1" applyBorder="1" applyAlignment="1">
      <alignment horizontal="right"/>
    </xf>
    <xf numFmtId="0" fontId="7" fillId="6" borderId="1" xfId="0" applyFont="1" applyFill="1" applyBorder="1"/>
    <xf numFmtId="0" fontId="5" fillId="6" borderId="1" xfId="0" applyFont="1" applyFill="1" applyBorder="1"/>
    <xf numFmtId="0" fontId="5" fillId="6" borderId="9" xfId="0" applyFont="1" applyFill="1" applyBorder="1" applyAlignment="1">
      <alignment horizontal="right"/>
    </xf>
    <xf numFmtId="0" fontId="5" fillId="6" borderId="1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0" xfId="0" applyFont="1"/>
    <xf numFmtId="0" fontId="0" fillId="0" borderId="8" xfId="0" applyBorder="1"/>
    <xf numFmtId="0" fontId="0" fillId="0" borderId="8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72" fontId="0" fillId="0" borderId="8" xfId="0" applyNumberFormat="1" applyBorder="1" applyAlignment="1">
      <alignment horizontal="center"/>
    </xf>
    <xf numFmtId="0" fontId="3" fillId="0" borderId="8" xfId="0" applyFont="1" applyBorder="1"/>
    <xf numFmtId="0" fontId="0" fillId="4" borderId="8" xfId="0" applyFill="1" applyBorder="1"/>
    <xf numFmtId="0" fontId="1" fillId="4" borderId="8" xfId="0" applyFont="1" applyFill="1" applyBorder="1"/>
    <xf numFmtId="0" fontId="3" fillId="4" borderId="8" xfId="0" applyFont="1" applyFill="1" applyBorder="1"/>
    <xf numFmtId="0" fontId="3" fillId="4" borderId="8" xfId="0" applyFont="1" applyFill="1" applyBorder="1" applyAlignment="1">
      <alignment horizontal="center"/>
    </xf>
    <xf numFmtId="172" fontId="3" fillId="4" borderId="8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/>
    </xf>
    <xf numFmtId="0" fontId="3" fillId="3" borderId="10" xfId="0" applyFont="1" applyFill="1" applyBorder="1" applyAlignment="1">
      <alignment horizontal="center"/>
    </xf>
    <xf numFmtId="0" fontId="3" fillId="3" borderId="8" xfId="0" applyFont="1" applyFill="1" applyBorder="1"/>
    <xf numFmtId="0" fontId="0" fillId="3" borderId="8" xfId="0" applyFill="1" applyBorder="1" applyAlignment="1">
      <alignment horizontal="right"/>
    </xf>
    <xf numFmtId="174" fontId="0" fillId="0" borderId="8" xfId="0" applyNumberFormat="1" applyBorder="1"/>
    <xf numFmtId="0" fontId="0" fillId="3" borderId="8" xfId="0" applyFill="1" applyBorder="1"/>
    <xf numFmtId="174" fontId="3" fillId="3" borderId="8" xfId="0" applyNumberFormat="1" applyFont="1" applyFill="1" applyBorder="1"/>
    <xf numFmtId="172" fontId="3" fillId="0" borderId="8" xfId="0" applyNumberFormat="1" applyFont="1" applyBorder="1"/>
    <xf numFmtId="172" fontId="3" fillId="3" borderId="8" xfId="0" applyNumberFormat="1" applyFont="1" applyFill="1" applyBorder="1"/>
    <xf numFmtId="172" fontId="3" fillId="4" borderId="8" xfId="0" applyNumberFormat="1" applyFont="1" applyFill="1" applyBorder="1"/>
    <xf numFmtId="0" fontId="8" fillId="0" borderId="8" xfId="0" applyFont="1" applyBorder="1"/>
    <xf numFmtId="172" fontId="8" fillId="0" borderId="8" xfId="0" applyNumberFormat="1" applyFont="1" applyBorder="1"/>
    <xf numFmtId="172" fontId="8" fillId="3" borderId="8" xfId="0" applyNumberFormat="1" applyFont="1" applyFill="1" applyBorder="1"/>
    <xf numFmtId="172" fontId="8" fillId="4" borderId="8" xfId="0" applyNumberFormat="1" applyFont="1" applyFill="1" applyBorder="1"/>
    <xf numFmtId="0" fontId="6" fillId="3" borderId="1" xfId="0" applyFont="1" applyFill="1" applyBorder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center"/>
    </xf>
    <xf numFmtId="0" fontId="10" fillId="0" borderId="0" xfId="0" applyFont="1"/>
    <xf numFmtId="0" fontId="10" fillId="4" borderId="8" xfId="0" applyFont="1" applyFill="1" applyBorder="1"/>
    <xf numFmtId="0" fontId="8" fillId="4" borderId="8" xfId="0" applyFont="1" applyFill="1" applyBorder="1" applyAlignment="1">
      <alignment horizontal="center"/>
    </xf>
    <xf numFmtId="9" fontId="10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1" fontId="10" fillId="0" borderId="8" xfId="0" applyNumberFormat="1" applyFont="1" applyBorder="1" applyAlignment="1">
      <alignment horizontal="center"/>
    </xf>
    <xf numFmtId="10" fontId="10" fillId="0" borderId="8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8" fillId="4" borderId="8" xfId="0" applyFont="1" applyFill="1" applyBorder="1"/>
    <xf numFmtId="172" fontId="8" fillId="4" borderId="8" xfId="0" applyNumberFormat="1" applyFont="1" applyFill="1" applyBorder="1" applyAlignment="1">
      <alignment horizontal="center"/>
    </xf>
    <xf numFmtId="0" fontId="10" fillId="3" borderId="8" xfId="0" applyFont="1" applyFill="1" applyBorder="1"/>
    <xf numFmtId="0" fontId="8" fillId="3" borderId="10" xfId="0" applyFont="1" applyFill="1" applyBorder="1" applyAlignment="1">
      <alignment horizontal="center"/>
    </xf>
    <xf numFmtId="0" fontId="8" fillId="3" borderId="8" xfId="0" applyFont="1" applyFill="1" applyBorder="1"/>
    <xf numFmtId="0" fontId="10" fillId="0" borderId="8" xfId="0" applyFont="1" applyBorder="1"/>
    <xf numFmtId="0" fontId="10" fillId="3" borderId="8" xfId="0" applyFont="1" applyFill="1" applyBorder="1" applyAlignment="1">
      <alignment horizontal="right"/>
    </xf>
    <xf numFmtId="174" fontId="10" fillId="0" borderId="8" xfId="0" applyNumberFormat="1" applyFont="1" applyBorder="1"/>
    <xf numFmtId="174" fontId="8" fillId="3" borderId="8" xfId="0" applyNumberFormat="1" applyFont="1" applyFill="1" applyBorder="1"/>
    <xf numFmtId="172" fontId="1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165" fontId="5" fillId="0" borderId="0" xfId="0" applyNumberFormat="1" applyFont="1"/>
    <xf numFmtId="181" fontId="5" fillId="0" borderId="0" xfId="0" applyNumberFormat="1" applyFont="1"/>
    <xf numFmtId="167" fontId="0" fillId="0" borderId="0" xfId="1" applyNumberFormat="1" applyFont="1" applyAlignment="1">
      <alignment horizontal="center"/>
    </xf>
    <xf numFmtId="9" fontId="0" fillId="0" borderId="0" xfId="3" applyFont="1" applyAlignment="1">
      <alignment horizontal="center"/>
    </xf>
    <xf numFmtId="174" fontId="10" fillId="0" borderId="8" xfId="0" applyNumberFormat="1" applyFont="1" applyBorder="1" applyAlignment="1">
      <alignment horizontal="center"/>
    </xf>
    <xf numFmtId="174" fontId="0" fillId="0" borderId="8" xfId="0" applyNumberFormat="1" applyBorder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 i="1" u="sng"/>
              <a:t>Ingresos Netos</a:t>
            </a:r>
            <a:r>
              <a:rPr lang="es-AR" b="1" i="1" u="sng" baseline="0"/>
              <a:t> Acumulados (Real vs Proyectado)</a:t>
            </a:r>
            <a:endParaRPr lang="es-AR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9844238768399566"/>
          <c:y val="0.10225721784776903"/>
          <c:w val="0.75890480191216791"/>
          <c:h val="0.71376617284987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'Curva S'!$A$15</c:f>
              <c:strCache>
                <c:ptCount val="1"/>
                <c:pt idx="0">
                  <c:v>Neto Planificado Acumulado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'Curva S'!$B$5:$M$5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'Curva S'!$B$15:$M$15</c:f>
              <c:numCache>
                <c:formatCode>_-"$"* #,##0.00_-;\-"$"* #,##0.00_-;_-"$"* "-"??_-;_-@</c:formatCode>
                <c:ptCount val="12"/>
                <c:pt idx="0">
                  <c:v>-5.5350000000000001</c:v>
                </c:pt>
                <c:pt idx="1">
                  <c:v>-7.32</c:v>
                </c:pt>
                <c:pt idx="2">
                  <c:v>-9.0129771622446508</c:v>
                </c:pt>
                <c:pt idx="3">
                  <c:v>-8.6239314867339569</c:v>
                </c:pt>
                <c:pt idx="4">
                  <c:v>-7.9028629734679132</c:v>
                </c:pt>
                <c:pt idx="5">
                  <c:v>-6.8497716224465259</c:v>
                </c:pt>
                <c:pt idx="6">
                  <c:v>-5.4646574336697888</c:v>
                </c:pt>
                <c:pt idx="7">
                  <c:v>-3.7475204071377082</c:v>
                </c:pt>
                <c:pt idx="8">
                  <c:v>-1.4233605428502774</c:v>
                </c:pt>
                <c:pt idx="9">
                  <c:v>0.23282215919249682</c:v>
                </c:pt>
                <c:pt idx="10">
                  <c:v>3.2210276989906141</c:v>
                </c:pt>
                <c:pt idx="11">
                  <c:v>6.541256076544089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1-4157-9445-3BA2DBD78B4A}"/>
            </c:ext>
          </c:extLst>
        </c:ser>
        <c:ser>
          <c:idx val="1"/>
          <c:order val="1"/>
          <c:tx>
            <c:strRef>
              <c:f>'Curva S'!$A$16</c:f>
              <c:strCache>
                <c:ptCount val="1"/>
                <c:pt idx="0">
                  <c:v>Neto Real Acumulado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'Curva S'!$B$5:$M$5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'Curva S'!$B$16:$M$16</c:f>
              <c:numCache>
                <c:formatCode>_-"$"* #,##0.00_-;\-"$"* #,##0.00_-;_-"$"* "-"??_-;_-@</c:formatCode>
                <c:ptCount val="12"/>
                <c:pt idx="0">
                  <c:v>-5.0975000000000001</c:v>
                </c:pt>
                <c:pt idx="1">
                  <c:v>-6.3431580174475091</c:v>
                </c:pt>
                <c:pt idx="2">
                  <c:v>-8.1504582846946665</c:v>
                </c:pt>
                <c:pt idx="3">
                  <c:v>-9.6316339614886708</c:v>
                </c:pt>
                <c:pt idx="4">
                  <c:v>-8.5936890401664137</c:v>
                </c:pt>
                <c:pt idx="5">
                  <c:v>-9.620796674691027</c:v>
                </c:pt>
                <c:pt idx="6">
                  <c:v>-6.6470016569751422</c:v>
                </c:pt>
                <c:pt idx="7">
                  <c:v>-2.7920779151928148</c:v>
                </c:pt>
                <c:pt idx="8">
                  <c:v>-0.99519453423856086</c:v>
                </c:pt>
                <c:pt idx="9">
                  <c:v>2.0832316053643396</c:v>
                </c:pt>
                <c:pt idx="10">
                  <c:v>4.7739782543636684</c:v>
                </c:pt>
                <c:pt idx="11">
                  <c:v>7.0528542942154271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1-4157-9445-3BA2DBD7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27519"/>
        <c:axId val="1375412527"/>
      </c:barChart>
      <c:catAx>
        <c:axId val="84742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0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AR"/>
          </a:p>
        </c:txPr>
        <c:crossAx val="1375412527"/>
        <c:crosses val="autoZero"/>
        <c:auto val="1"/>
        <c:lblAlgn val="ctr"/>
        <c:lblOffset val="100"/>
        <c:noMultiLvlLbl val="0"/>
      </c:catAx>
      <c:valAx>
        <c:axId val="1375412527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Neto en Millones de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&quot;$&quot;* #,##0.00_-;\-&quot;$&quot;* #,##0.00_-;_-&quot;$&quot;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474275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133350</xdr:rowOff>
    </xdr:from>
    <xdr:to>
      <xdr:col>13</xdr:col>
      <xdr:colOff>0</xdr:colOff>
      <xdr:row>40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5F4507-3DE6-08CB-98AE-A2F0C88A1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1</xdr:row>
      <xdr:rowOff>57150</xdr:rowOff>
    </xdr:from>
    <xdr:to>
      <xdr:col>15</xdr:col>
      <xdr:colOff>571500</xdr:colOff>
      <xdr:row>18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652394B-4FEC-4240-A490-76196FCF21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08" t="14483" r="9837" b="14693"/>
        <a:stretch/>
      </xdr:blipFill>
      <xdr:spPr>
        <a:xfrm>
          <a:off x="4657725" y="247650"/>
          <a:ext cx="7343775" cy="32099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6DE8D-9671-473A-A508-AC85FE5D5E27}">
  <dimension ref="A1:N34"/>
  <sheetViews>
    <sheetView showGridLines="0" topLeftCell="A22" workbookViewId="0">
      <selection activeCell="E42" sqref="E42"/>
    </sheetView>
  </sheetViews>
  <sheetFormatPr baseColWidth="10" defaultColWidth="11.7109375" defaultRowHeight="15" x14ac:dyDescent="0.25"/>
  <cols>
    <col min="1" max="1" width="29.42578125" style="60" bestFit="1" customWidth="1"/>
    <col min="2" max="4" width="12.5703125" style="60" bestFit="1" customWidth="1"/>
    <col min="5" max="10" width="11" style="60" bestFit="1" customWidth="1"/>
    <col min="11" max="11" width="12.5703125" style="60" bestFit="1" customWidth="1"/>
    <col min="12" max="13" width="11" style="60" bestFit="1" customWidth="1"/>
    <col min="14" max="16384" width="11.7109375" style="60"/>
  </cols>
  <sheetData>
    <row r="1" spans="1:13" s="58" customFormat="1" x14ac:dyDescent="0.25">
      <c r="A1" s="54" t="s">
        <v>0</v>
      </c>
      <c r="B1" s="55" t="s">
        <v>54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3" s="58" customFormat="1" x14ac:dyDescent="0.25">
      <c r="A2" s="54" t="s">
        <v>1</v>
      </c>
      <c r="B2" s="55" t="s">
        <v>53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7"/>
    </row>
    <row r="3" spans="1:13" s="58" customFormat="1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1:13" x14ac:dyDescent="0.25">
      <c r="A4" s="27" t="s">
        <v>26</v>
      </c>
    </row>
    <row r="5" spans="1:13" x14ac:dyDescent="0.25">
      <c r="A5" s="61"/>
      <c r="B5" s="62" t="s">
        <v>12</v>
      </c>
      <c r="C5" s="62" t="s">
        <v>13</v>
      </c>
      <c r="D5" s="62" t="s">
        <v>14</v>
      </c>
      <c r="E5" s="62" t="s">
        <v>15</v>
      </c>
      <c r="F5" s="62" t="s">
        <v>16</v>
      </c>
      <c r="G5" s="62" t="s">
        <v>17</v>
      </c>
      <c r="H5" s="62" t="s">
        <v>18</v>
      </c>
      <c r="I5" s="62" t="s">
        <v>19</v>
      </c>
      <c r="J5" s="62" t="s">
        <v>20</v>
      </c>
      <c r="K5" s="62" t="s">
        <v>21</v>
      </c>
      <c r="L5" s="62" t="s">
        <v>22</v>
      </c>
      <c r="M5" s="62" t="s">
        <v>23</v>
      </c>
    </row>
    <row r="6" spans="1:13" hidden="1" x14ac:dyDescent="0.25">
      <c r="A6" s="61" t="s">
        <v>24</v>
      </c>
      <c r="B6" s="63">
        <v>0</v>
      </c>
      <c r="C6" s="63">
        <v>0</v>
      </c>
      <c r="D6" s="63">
        <v>0.1</v>
      </c>
      <c r="E6" s="63">
        <f>D6+($M$6-$D$6)/9</f>
        <v>0.2</v>
      </c>
      <c r="F6" s="63">
        <f t="shared" ref="F6:L6" si="0">E6+($M$6-$D$6)/9</f>
        <v>0.30000000000000004</v>
      </c>
      <c r="G6" s="63">
        <f t="shared" si="0"/>
        <v>0.4</v>
      </c>
      <c r="H6" s="63">
        <f t="shared" si="0"/>
        <v>0.5</v>
      </c>
      <c r="I6" s="63">
        <f t="shared" si="0"/>
        <v>0.6</v>
      </c>
      <c r="J6" s="63">
        <f t="shared" si="0"/>
        <v>0.7</v>
      </c>
      <c r="K6" s="63">
        <f t="shared" si="0"/>
        <v>0.79999999999999993</v>
      </c>
      <c r="L6" s="63">
        <f t="shared" si="0"/>
        <v>0.89999999999999991</v>
      </c>
      <c r="M6" s="63">
        <v>1</v>
      </c>
    </row>
    <row r="7" spans="1:13" x14ac:dyDescent="0.25">
      <c r="A7" s="61" t="s">
        <v>55</v>
      </c>
      <c r="B7" s="64">
        <f>Supuestos!C2/12</f>
        <v>26624</v>
      </c>
      <c r="C7" s="65">
        <f>$B$7+C6*Supuestos!$E$16</f>
        <v>26624</v>
      </c>
      <c r="D7" s="65">
        <f>$B$7+D6*Supuestos!$E$16</f>
        <v>26917.871715610512</v>
      </c>
      <c r="E7" s="65">
        <f>$B$7+E6*Supuestos!$E$16</f>
        <v>27211.743431221021</v>
      </c>
      <c r="F7" s="65">
        <f>$B$7+F6*Supuestos!$E$16</f>
        <v>27505.615146831533</v>
      </c>
      <c r="G7" s="65">
        <f>$B$7+G6*Supuestos!$E$16</f>
        <v>27799.486862442041</v>
      </c>
      <c r="H7" s="65">
        <f>$B$7+H6*Supuestos!$E$16</f>
        <v>28093.358578052554</v>
      </c>
      <c r="I7" s="65">
        <f>$B$7+I6*Supuestos!$E$16</f>
        <v>28387.230293663062</v>
      </c>
      <c r="J7" s="65">
        <f>$B$7+J6*Supuestos!$E$16</f>
        <v>28681.102009273571</v>
      </c>
      <c r="K7" s="65">
        <f>$B$7+K6*Supuestos!$E$16</f>
        <v>28974.973724884083</v>
      </c>
      <c r="L7" s="65">
        <f>$B$7+L6*Supuestos!$E$16</f>
        <v>29268.845440494591</v>
      </c>
      <c r="M7" s="65">
        <f>$B$7+M6*Supuestos!$E$16</f>
        <v>29562.717156105104</v>
      </c>
    </row>
    <row r="8" spans="1:13" x14ac:dyDescent="0.25">
      <c r="A8" s="61" t="s">
        <v>56</v>
      </c>
      <c r="B8" s="66">
        <f>Supuestos!$C$3</f>
        <v>3.1300000000000001E-2</v>
      </c>
      <c r="C8" s="66">
        <f>Supuestos!$C$3</f>
        <v>3.1300000000000001E-2</v>
      </c>
      <c r="D8" s="66">
        <f>Supuestos!$C$3</f>
        <v>3.1300000000000001E-2</v>
      </c>
      <c r="E8" s="66">
        <f>Supuestos!$C$3</f>
        <v>3.1300000000000001E-2</v>
      </c>
      <c r="F8" s="66">
        <f>Supuestos!$C$3</f>
        <v>3.1300000000000001E-2</v>
      </c>
      <c r="G8" s="66">
        <f>Supuestos!$C$3</f>
        <v>3.1300000000000001E-2</v>
      </c>
      <c r="H8" s="66">
        <f>Supuestos!$C$3</f>
        <v>3.1300000000000001E-2</v>
      </c>
      <c r="I8" s="66">
        <f>Supuestos!$C$3</f>
        <v>3.1300000000000001E-2</v>
      </c>
      <c r="J8" s="66">
        <f>Supuestos!$C$3</f>
        <v>3.1300000000000001E-2</v>
      </c>
      <c r="K8" s="66">
        <f>Supuestos!$C$3</f>
        <v>3.1300000000000001E-2</v>
      </c>
      <c r="L8" s="66">
        <f>Supuestos!$C$3</f>
        <v>3.1300000000000001E-2</v>
      </c>
      <c r="M8" s="66">
        <f>Supuestos!$C$3</f>
        <v>3.1300000000000001E-2</v>
      </c>
    </row>
    <row r="9" spans="1:13" x14ac:dyDescent="0.25">
      <c r="A9" s="61" t="s">
        <v>9</v>
      </c>
      <c r="B9" s="65">
        <f>B8*B7</f>
        <v>833.33120000000008</v>
      </c>
      <c r="C9" s="65">
        <f t="shared" ref="C9:M9" si="1">C8*C7</f>
        <v>833.33120000000008</v>
      </c>
      <c r="D9" s="65">
        <f t="shared" si="1"/>
        <v>842.52938469860908</v>
      </c>
      <c r="E9" s="65">
        <f t="shared" si="1"/>
        <v>851.72756939721796</v>
      </c>
      <c r="F9" s="65">
        <f t="shared" si="1"/>
        <v>860.92575409582707</v>
      </c>
      <c r="G9" s="65">
        <f t="shared" si="1"/>
        <v>870.12393879443596</v>
      </c>
      <c r="H9" s="65">
        <f t="shared" si="1"/>
        <v>879.32212349304496</v>
      </c>
      <c r="I9" s="65">
        <f t="shared" si="1"/>
        <v>888.52030819165384</v>
      </c>
      <c r="J9" s="65">
        <f t="shared" si="1"/>
        <v>897.71849289026284</v>
      </c>
      <c r="K9" s="65">
        <f t="shared" si="1"/>
        <v>906.91667758887183</v>
      </c>
      <c r="L9" s="65">
        <f t="shared" si="1"/>
        <v>916.11486228748072</v>
      </c>
      <c r="M9" s="65">
        <f t="shared" si="1"/>
        <v>925.31304698608983</v>
      </c>
    </row>
    <row r="10" spans="1:13" x14ac:dyDescent="0.25">
      <c r="A10" s="61" t="s">
        <v>57</v>
      </c>
      <c r="B10" s="85">
        <f>'Calculos de apoyo'!$B$2</f>
        <v>37996.380308154832</v>
      </c>
      <c r="C10" s="85">
        <f>'Calculos de apoyo'!$B$2</f>
        <v>37996.380308154832</v>
      </c>
      <c r="D10" s="85">
        <f>'Calculos de apoyo'!$B$2</f>
        <v>37996.380308154832</v>
      </c>
      <c r="E10" s="85">
        <f>'Calculos de apoyo'!$B$2</f>
        <v>37996.380308154832</v>
      </c>
      <c r="F10" s="85">
        <f>'Calculos de apoyo'!$B$2</f>
        <v>37996.380308154832</v>
      </c>
      <c r="G10" s="85">
        <f>'Calculos de apoyo'!$B$2</f>
        <v>37996.380308154832</v>
      </c>
      <c r="H10" s="85">
        <f>'Calculos de apoyo'!$B$2</f>
        <v>37996.380308154832</v>
      </c>
      <c r="I10" s="85">
        <f>'Calculos de apoyo'!$B$2</f>
        <v>37996.380308154832</v>
      </c>
      <c r="J10" s="85">
        <f>'Calculos de apoyo'!$B$2</f>
        <v>37996.380308154832</v>
      </c>
      <c r="K10" s="85">
        <f>'Calculos de apoyo'!$B$2</f>
        <v>37996.380308154832</v>
      </c>
      <c r="L10" s="85">
        <f>'Calculos de apoyo'!$B$2</f>
        <v>37996.380308154832</v>
      </c>
      <c r="M10" s="85">
        <f>'Calculos de apoyo'!$B$2</f>
        <v>37996.380308154832</v>
      </c>
    </row>
    <row r="11" spans="1:13" x14ac:dyDescent="0.25">
      <c r="A11" s="61" t="s">
        <v>25</v>
      </c>
      <c r="B11" s="67">
        <f>(B10*B9)/1000000</f>
        <v>31.663569197851039</v>
      </c>
      <c r="C11" s="67">
        <f>(C10*C9)/1000000</f>
        <v>31.663569197851039</v>
      </c>
      <c r="D11" s="67">
        <f>(D10*D9)/1000000</f>
        <v>32.01306692180404</v>
      </c>
      <c r="E11" s="67">
        <f>(E10*E9)/1000000</f>
        <v>32.362564645757033</v>
      </c>
      <c r="F11" s="67">
        <f>(F10*F9)/1000000</f>
        <v>32.712062369710033</v>
      </c>
      <c r="G11" s="67">
        <f>(G10*G9)/1000000</f>
        <v>33.061560093663026</v>
      </c>
      <c r="H11" s="67">
        <f>(H10*H9)/1000000</f>
        <v>33.411057817616026</v>
      </c>
      <c r="I11" s="67">
        <f>(I10*I9)/1000000</f>
        <v>33.760555541569019</v>
      </c>
      <c r="J11" s="67">
        <f>(J10*J9)/1000000</f>
        <v>34.110053265522019</v>
      </c>
      <c r="K11" s="67">
        <f>(K10*K9)/1000000</f>
        <v>34.459550989475012</v>
      </c>
      <c r="L11" s="67">
        <f>(L10*L9)/1000000</f>
        <v>34.809048713428005</v>
      </c>
      <c r="M11" s="67">
        <f>(M10*M9)/1000000</f>
        <v>35.158546437381013</v>
      </c>
    </row>
    <row r="12" spans="1:13" x14ac:dyDescent="0.25">
      <c r="A12" s="61" t="s">
        <v>58</v>
      </c>
      <c r="B12" s="67">
        <f>B11-$B$11</f>
        <v>0</v>
      </c>
      <c r="C12" s="67">
        <f t="shared" ref="C12:M12" si="2">C11-$B$11</f>
        <v>0</v>
      </c>
      <c r="D12" s="67">
        <f t="shared" si="2"/>
        <v>0.34949772395300016</v>
      </c>
      <c r="E12" s="67">
        <f t="shared" si="2"/>
        <v>0.69899544790599322</v>
      </c>
      <c r="F12" s="67">
        <f t="shared" si="2"/>
        <v>1.0484931718589934</v>
      </c>
      <c r="G12" s="67">
        <f t="shared" si="2"/>
        <v>1.3979908958119864</v>
      </c>
      <c r="H12" s="67">
        <f t="shared" si="2"/>
        <v>1.7474886197649866</v>
      </c>
      <c r="I12" s="67">
        <f t="shared" si="2"/>
        <v>2.0969863437179797</v>
      </c>
      <c r="J12" s="67">
        <f t="shared" si="2"/>
        <v>2.4464840676709798</v>
      </c>
      <c r="K12" s="67">
        <f t="shared" si="2"/>
        <v>2.7959817916239729</v>
      </c>
      <c r="L12" s="67">
        <f t="shared" si="2"/>
        <v>3.1454795155769659</v>
      </c>
      <c r="M12" s="67">
        <f t="shared" si="2"/>
        <v>3.4949772395299732</v>
      </c>
    </row>
    <row r="13" spans="1:13" x14ac:dyDescent="0.25">
      <c r="A13" s="68" t="s">
        <v>59</v>
      </c>
      <c r="B13" s="69">
        <f>B12</f>
        <v>0</v>
      </c>
      <c r="C13" s="69">
        <f>C12+B13</f>
        <v>0</v>
      </c>
      <c r="D13" s="69">
        <f t="shared" ref="D13:M13" si="3">D12+C13</f>
        <v>0.34949772395300016</v>
      </c>
      <c r="E13" s="69">
        <f t="shared" si="3"/>
        <v>1.0484931718589934</v>
      </c>
      <c r="F13" s="69">
        <f t="shared" si="3"/>
        <v>2.0969863437179868</v>
      </c>
      <c r="G13" s="69">
        <f t="shared" si="3"/>
        <v>3.4949772395299732</v>
      </c>
      <c r="H13" s="69">
        <f t="shared" si="3"/>
        <v>5.2424658592949598</v>
      </c>
      <c r="I13" s="69">
        <f t="shared" si="3"/>
        <v>7.3394522030129394</v>
      </c>
      <c r="J13" s="69">
        <f t="shared" si="3"/>
        <v>9.7859362706839192</v>
      </c>
      <c r="K13" s="69">
        <f t="shared" si="3"/>
        <v>12.581918062307892</v>
      </c>
      <c r="L13" s="69">
        <f t="shared" si="3"/>
        <v>15.727397577884858</v>
      </c>
      <c r="M13" s="69">
        <f t="shared" si="3"/>
        <v>19.222374817414831</v>
      </c>
    </row>
    <row r="14" spans="1:13" hidden="1" x14ac:dyDescent="0.25">
      <c r="A14" s="61" t="s">
        <v>60</v>
      </c>
      <c r="B14" s="67">
        <f t="shared" ref="B14:C14" si="4">B12*12</f>
        <v>0</v>
      </c>
      <c r="C14" s="67">
        <f t="shared" si="4"/>
        <v>0</v>
      </c>
      <c r="D14" s="67">
        <f>D12*12</f>
        <v>4.1939726874360019</v>
      </c>
      <c r="E14" s="67">
        <f t="shared" ref="E14:M14" si="5">E12*12</f>
        <v>8.3879453748719186</v>
      </c>
      <c r="F14" s="67">
        <f t="shared" si="5"/>
        <v>12.581918062307921</v>
      </c>
      <c r="G14" s="67">
        <f t="shared" si="5"/>
        <v>16.775890749743837</v>
      </c>
      <c r="H14" s="67">
        <f t="shared" si="5"/>
        <v>20.969863437179839</v>
      </c>
      <c r="I14" s="67">
        <f t="shared" si="5"/>
        <v>25.163836124615756</v>
      </c>
      <c r="J14" s="67">
        <f t="shared" si="5"/>
        <v>29.357808812051758</v>
      </c>
      <c r="K14" s="67">
        <f t="shared" si="5"/>
        <v>33.551781499487674</v>
      </c>
      <c r="L14" s="67">
        <f t="shared" si="5"/>
        <v>37.745754186923591</v>
      </c>
      <c r="M14" s="67">
        <f t="shared" si="5"/>
        <v>41.939726874359678</v>
      </c>
    </row>
    <row r="16" spans="1:13" x14ac:dyDescent="0.25">
      <c r="A16" s="27" t="s">
        <v>27</v>
      </c>
    </row>
    <row r="17" spans="1:13" x14ac:dyDescent="0.25">
      <c r="A17" s="70"/>
      <c r="B17" s="71" t="s">
        <v>12</v>
      </c>
      <c r="C17" s="71" t="s">
        <v>13</v>
      </c>
      <c r="D17" s="71" t="s">
        <v>14</v>
      </c>
      <c r="E17" s="71" t="s">
        <v>15</v>
      </c>
      <c r="F17" s="71" t="s">
        <v>16</v>
      </c>
      <c r="G17" s="71" t="s">
        <v>17</v>
      </c>
      <c r="H17" s="71" t="s">
        <v>18</v>
      </c>
      <c r="I17" s="71" t="s">
        <v>19</v>
      </c>
      <c r="J17" s="71" t="s">
        <v>20</v>
      </c>
      <c r="K17" s="71" t="s">
        <v>21</v>
      </c>
      <c r="L17" s="71" t="s">
        <v>22</v>
      </c>
      <c r="M17" s="71" t="s">
        <v>23</v>
      </c>
    </row>
    <row r="18" spans="1:13" x14ac:dyDescent="0.25">
      <c r="A18" s="72" t="s">
        <v>28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</row>
    <row r="19" spans="1:13" x14ac:dyDescent="0.25">
      <c r="A19" s="74" t="s">
        <v>30</v>
      </c>
      <c r="B19" s="75">
        <f>350*100*100</f>
        <v>3500000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</row>
    <row r="20" spans="1:13" x14ac:dyDescent="0.25">
      <c r="A20" s="74" t="s">
        <v>31</v>
      </c>
      <c r="B20" s="75">
        <f>350*50*100</f>
        <v>1750000</v>
      </c>
      <c r="C20" s="75">
        <f>350*50*100</f>
        <v>1750000</v>
      </c>
      <c r="D20" s="73"/>
      <c r="E20" s="73"/>
      <c r="F20" s="73"/>
      <c r="G20" s="73"/>
      <c r="H20" s="73"/>
      <c r="I20" s="73"/>
      <c r="J20" s="73"/>
      <c r="K20" s="73"/>
      <c r="L20" s="73"/>
      <c r="M20" s="73"/>
    </row>
    <row r="21" spans="1:13" x14ac:dyDescent="0.25">
      <c r="A21" s="74" t="s">
        <v>42</v>
      </c>
      <c r="B21" s="75"/>
      <c r="C21" s="75"/>
      <c r="D21" s="75">
        <f>C20</f>
        <v>1750000</v>
      </c>
      <c r="E21" s="73"/>
      <c r="F21" s="73"/>
      <c r="G21" s="73"/>
      <c r="H21" s="73"/>
      <c r="I21" s="73"/>
      <c r="J21" s="73"/>
      <c r="K21" s="73"/>
      <c r="L21" s="73"/>
      <c r="M21" s="73"/>
    </row>
    <row r="22" spans="1:13" x14ac:dyDescent="0.25">
      <c r="A22" s="74" t="s">
        <v>34</v>
      </c>
      <c r="B22" s="73"/>
      <c r="C22" s="73"/>
      <c r="D22" s="75">
        <f>350*50*8</f>
        <v>140000</v>
      </c>
      <c r="E22" s="73"/>
      <c r="F22" s="75">
        <f>350*50*8</f>
        <v>140000</v>
      </c>
      <c r="G22" s="73"/>
      <c r="H22" s="75">
        <f>350*50*8</f>
        <v>140000</v>
      </c>
      <c r="I22" s="73"/>
      <c r="J22" s="75"/>
      <c r="K22" s="73"/>
      <c r="L22" s="73"/>
      <c r="M22" s="73"/>
    </row>
    <row r="23" spans="1:13" x14ac:dyDescent="0.25">
      <c r="A23" s="74" t="s">
        <v>32</v>
      </c>
      <c r="B23" s="73"/>
      <c r="C23" s="73"/>
      <c r="D23" s="73"/>
      <c r="E23" s="75">
        <f>D22</f>
        <v>140000</v>
      </c>
      <c r="F23" s="73"/>
      <c r="G23" s="75">
        <f>F22</f>
        <v>140000</v>
      </c>
      <c r="H23" s="73"/>
      <c r="I23" s="75">
        <f>H22</f>
        <v>140000</v>
      </c>
      <c r="J23" s="73"/>
      <c r="K23" s="73"/>
      <c r="L23" s="73"/>
      <c r="M23" s="73"/>
    </row>
    <row r="24" spans="1:13" x14ac:dyDescent="0.25">
      <c r="A24" s="72" t="s">
        <v>41</v>
      </c>
      <c r="B24" s="75">
        <f>B12*5%*1000000</f>
        <v>0</v>
      </c>
      <c r="C24" s="75">
        <f t="shared" ref="C24:M24" si="6">C12*5%*1000000</f>
        <v>0</v>
      </c>
      <c r="D24" s="75">
        <f t="shared" si="6"/>
        <v>17474.886197650008</v>
      </c>
      <c r="E24" s="75">
        <f t="shared" si="6"/>
        <v>34949.772395299668</v>
      </c>
      <c r="F24" s="75">
        <f t="shared" si="6"/>
        <v>52424.658592949672</v>
      </c>
      <c r="G24" s="75">
        <f t="shared" si="6"/>
        <v>69899.544790599335</v>
      </c>
      <c r="H24" s="75">
        <f t="shared" si="6"/>
        <v>87374.430988249325</v>
      </c>
      <c r="I24" s="75">
        <f t="shared" si="6"/>
        <v>104849.31718589898</v>
      </c>
      <c r="J24" s="75">
        <f t="shared" si="6"/>
        <v>122324.20338354899</v>
      </c>
      <c r="K24" s="75">
        <f t="shared" si="6"/>
        <v>139799.08958119867</v>
      </c>
      <c r="L24" s="75">
        <f t="shared" si="6"/>
        <v>157273.97577884831</v>
      </c>
      <c r="M24" s="75">
        <f t="shared" si="6"/>
        <v>174748.86197649865</v>
      </c>
    </row>
    <row r="25" spans="1:13" x14ac:dyDescent="0.25">
      <c r="A25" s="72" t="s">
        <v>74</v>
      </c>
      <c r="B25" s="73"/>
      <c r="C25" s="73"/>
      <c r="D25" s="73"/>
      <c r="E25" s="73"/>
      <c r="F25" s="73"/>
      <c r="G25" s="73"/>
      <c r="H25" s="73"/>
      <c r="I25" s="73"/>
      <c r="J25" s="73"/>
      <c r="K25" s="75">
        <v>1000000</v>
      </c>
      <c r="L25" s="75"/>
      <c r="M25" s="73"/>
    </row>
    <row r="26" spans="1:13" x14ac:dyDescent="0.25">
      <c r="A26" s="72" t="s">
        <v>33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</row>
    <row r="27" spans="1:13" x14ac:dyDescent="0.25">
      <c r="A27" s="74" t="s">
        <v>29</v>
      </c>
      <c r="B27" s="75">
        <f>100*350</f>
        <v>35000</v>
      </c>
      <c r="C27" s="75">
        <f t="shared" ref="C27:I27" si="7">100*350</f>
        <v>35000</v>
      </c>
      <c r="D27" s="75">
        <f t="shared" si="7"/>
        <v>35000</v>
      </c>
      <c r="E27" s="75">
        <f t="shared" si="7"/>
        <v>35000</v>
      </c>
      <c r="F27" s="75">
        <f t="shared" si="7"/>
        <v>35000</v>
      </c>
      <c r="G27" s="75">
        <f t="shared" si="7"/>
        <v>35000</v>
      </c>
      <c r="H27" s="75">
        <f t="shared" si="7"/>
        <v>35000</v>
      </c>
      <c r="I27" s="75">
        <f t="shared" si="7"/>
        <v>35000</v>
      </c>
      <c r="J27" s="75"/>
      <c r="K27" s="75"/>
      <c r="L27" s="75"/>
      <c r="M27" s="75"/>
    </row>
    <row r="28" spans="1:13" x14ac:dyDescent="0.25">
      <c r="A28" s="74" t="s">
        <v>35</v>
      </c>
      <c r="B28" s="75">
        <v>250000</v>
      </c>
      <c r="C28" s="75"/>
      <c r="D28" s="75">
        <v>100000</v>
      </c>
      <c r="E28" s="75">
        <v>100000</v>
      </c>
      <c r="F28" s="75">
        <v>100000</v>
      </c>
      <c r="G28" s="75">
        <v>100000</v>
      </c>
      <c r="H28" s="75">
        <v>100000</v>
      </c>
      <c r="I28" s="75">
        <v>100000</v>
      </c>
      <c r="J28" s="75"/>
      <c r="K28" s="75"/>
      <c r="L28" s="75"/>
      <c r="M28" s="75"/>
    </row>
    <row r="29" spans="1:13" x14ac:dyDescent="0.25">
      <c r="A29" s="70" t="s">
        <v>36</v>
      </c>
      <c r="B29" s="75">
        <f>SUM(B19:B28)/1000000</f>
        <v>5.5350000000000001</v>
      </c>
      <c r="C29" s="75">
        <f>SUM(C19:C28)/1000000</f>
        <v>1.7849999999999999</v>
      </c>
      <c r="D29" s="75">
        <f>SUM(D19:D28)/1000000</f>
        <v>2.0424748861976503</v>
      </c>
      <c r="E29" s="75">
        <f>SUM(E19:E28)/1000000</f>
        <v>0.30994977239529964</v>
      </c>
      <c r="F29" s="75">
        <f>SUM(F19:F28)/1000000</f>
        <v>0.32742465859294967</v>
      </c>
      <c r="G29" s="75">
        <f>SUM(G19:G28)/1000000</f>
        <v>0.34489954479059931</v>
      </c>
      <c r="H29" s="75">
        <f>SUM(H19:H28)/1000000</f>
        <v>0.36237443098824929</v>
      </c>
      <c r="I29" s="75">
        <f>SUM(I19:I28)/1000000</f>
        <v>0.37984931718589898</v>
      </c>
      <c r="J29" s="75">
        <f>SUM(J19:J28)/1000000</f>
        <v>0.12232420338354899</v>
      </c>
      <c r="K29" s="75">
        <f>SUM(K19:K28)/1000000</f>
        <v>1.1397990895811987</v>
      </c>
      <c r="L29" s="75">
        <f>SUM(L19:L28)/1000000</f>
        <v>0.1572739757788483</v>
      </c>
      <c r="M29" s="75">
        <f>SUM(M19:M28)/1000000</f>
        <v>0.17474886197649864</v>
      </c>
    </row>
    <row r="30" spans="1:13" x14ac:dyDescent="0.25">
      <c r="A30" s="72" t="s">
        <v>37</v>
      </c>
      <c r="B30" s="76">
        <f>B29</f>
        <v>5.5350000000000001</v>
      </c>
      <c r="C30" s="76">
        <f>B30+C29</f>
        <v>7.32</v>
      </c>
      <c r="D30" s="76">
        <f t="shared" ref="D30:M30" si="8">C30+D29</f>
        <v>9.362474886197651</v>
      </c>
      <c r="E30" s="76">
        <f t="shared" si="8"/>
        <v>9.6724246585929503</v>
      </c>
      <c r="F30" s="76">
        <f t="shared" si="8"/>
        <v>9.9998493171859</v>
      </c>
      <c r="G30" s="76">
        <f t="shared" si="8"/>
        <v>10.3447488619765</v>
      </c>
      <c r="H30" s="76">
        <f t="shared" si="8"/>
        <v>10.707123292964749</v>
      </c>
      <c r="I30" s="76">
        <f t="shared" si="8"/>
        <v>11.086972610150648</v>
      </c>
      <c r="J30" s="76">
        <f t="shared" si="8"/>
        <v>11.209296813534197</v>
      </c>
      <c r="K30" s="76">
        <f t="shared" si="8"/>
        <v>12.349095903115396</v>
      </c>
      <c r="L30" s="76">
        <f t="shared" si="8"/>
        <v>12.506369878894244</v>
      </c>
      <c r="M30" s="76">
        <f t="shared" si="8"/>
        <v>12.681118740870742</v>
      </c>
    </row>
    <row r="33" spans="1:14" x14ac:dyDescent="0.25">
      <c r="A33" s="50" t="s">
        <v>39</v>
      </c>
      <c r="B33" s="51">
        <f>B12-B29</f>
        <v>-5.5350000000000001</v>
      </c>
      <c r="C33" s="51">
        <f>C12-C29</f>
        <v>-1.7849999999999999</v>
      </c>
      <c r="D33" s="51">
        <f>D12-D29</f>
        <v>-1.6929771622446501</v>
      </c>
      <c r="E33" s="51">
        <f>E12-E29</f>
        <v>0.38904567551069358</v>
      </c>
      <c r="F33" s="51">
        <f>F12-F29</f>
        <v>0.72106851326604371</v>
      </c>
      <c r="G33" s="51">
        <f>G12-G29</f>
        <v>1.0530913510213871</v>
      </c>
      <c r="H33" s="51">
        <f>H12-H29</f>
        <v>1.3851141887767373</v>
      </c>
      <c r="I33" s="51">
        <f>I12-I29</f>
        <v>1.7171370265320807</v>
      </c>
      <c r="J33" s="51">
        <f>J12-J29</f>
        <v>2.3241598642874308</v>
      </c>
      <c r="K33" s="51">
        <f>K12-K29</f>
        <v>1.6561827020427742</v>
      </c>
      <c r="L33" s="51">
        <f>L12-L29</f>
        <v>2.9882055397981175</v>
      </c>
      <c r="M33" s="51">
        <f>M12-M29</f>
        <v>3.3202283775534744</v>
      </c>
      <c r="N33" s="77"/>
    </row>
    <row r="34" spans="1:14" x14ac:dyDescent="0.25">
      <c r="A34" s="50" t="s">
        <v>40</v>
      </c>
      <c r="B34" s="52">
        <f>B33</f>
        <v>-5.5350000000000001</v>
      </c>
      <c r="C34" s="52">
        <f>B34+C33</f>
        <v>-7.32</v>
      </c>
      <c r="D34" s="52">
        <f t="shared" ref="D34:M34" si="9">C34+D33</f>
        <v>-9.0129771622446508</v>
      </c>
      <c r="E34" s="52">
        <f t="shared" si="9"/>
        <v>-8.6239314867339569</v>
      </c>
      <c r="F34" s="52">
        <f t="shared" si="9"/>
        <v>-7.9028629734679132</v>
      </c>
      <c r="G34" s="52">
        <f t="shared" si="9"/>
        <v>-6.8497716224465259</v>
      </c>
      <c r="H34" s="52">
        <f t="shared" si="9"/>
        <v>-5.4646574336697888</v>
      </c>
      <c r="I34" s="52">
        <f t="shared" si="9"/>
        <v>-3.7475204071377082</v>
      </c>
      <c r="J34" s="52">
        <f t="shared" si="9"/>
        <v>-1.4233605428502774</v>
      </c>
      <c r="K34" s="53">
        <f t="shared" si="9"/>
        <v>0.23282215919249682</v>
      </c>
      <c r="L34" s="53">
        <f t="shared" si="9"/>
        <v>3.2210276989906141</v>
      </c>
      <c r="M34" s="53">
        <f t="shared" si="9"/>
        <v>6.541256076544089</v>
      </c>
    </row>
  </sheetData>
  <mergeCells count="2">
    <mergeCell ref="B1:M1"/>
    <mergeCell ref="B2:M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24BC-2889-4F50-835C-B9BBC3098BCA}">
  <dimension ref="A1:N34"/>
  <sheetViews>
    <sheetView showGridLines="0" topLeftCell="A20" workbookViewId="0">
      <selection activeCell="A4" sqref="A4:M34"/>
    </sheetView>
  </sheetViews>
  <sheetFormatPr baseColWidth="10" defaultColWidth="11.28515625" defaultRowHeight="15" x14ac:dyDescent="0.25"/>
  <cols>
    <col min="1" max="1" width="28.7109375" bestFit="1" customWidth="1"/>
    <col min="2" max="4" width="12" bestFit="1" customWidth="1"/>
    <col min="5" max="9" width="10.42578125" bestFit="1" customWidth="1"/>
    <col min="10" max="10" width="12.5703125" bestFit="1" customWidth="1"/>
    <col min="11" max="13" width="10.42578125" bestFit="1" customWidth="1"/>
  </cols>
  <sheetData>
    <row r="1" spans="1:13" s="10" customFormat="1" x14ac:dyDescent="0.25">
      <c r="A1" s="40" t="s">
        <v>0</v>
      </c>
      <c r="B1" s="23" t="s">
        <v>54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</row>
    <row r="2" spans="1:13" s="10" customFormat="1" x14ac:dyDescent="0.25">
      <c r="A2" s="40" t="s">
        <v>1</v>
      </c>
      <c r="B2" s="23" t="s">
        <v>53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</row>
    <row r="3" spans="1:13" s="10" customFormat="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x14ac:dyDescent="0.25">
      <c r="A4" s="27" t="s">
        <v>26</v>
      </c>
    </row>
    <row r="5" spans="1:13" x14ac:dyDescent="0.25">
      <c r="A5" s="35"/>
      <c r="B5" s="38" t="s">
        <v>12</v>
      </c>
      <c r="C5" s="38" t="s">
        <v>13</v>
      </c>
      <c r="D5" s="38" t="s">
        <v>14</v>
      </c>
      <c r="E5" s="38" t="s">
        <v>15</v>
      </c>
      <c r="F5" s="38" t="s">
        <v>16</v>
      </c>
      <c r="G5" s="38" t="s">
        <v>17</v>
      </c>
      <c r="H5" s="38" t="s">
        <v>18</v>
      </c>
      <c r="I5" s="38" t="s">
        <v>19</v>
      </c>
      <c r="J5" s="38" t="s">
        <v>20</v>
      </c>
      <c r="K5" s="38" t="s">
        <v>21</v>
      </c>
      <c r="L5" s="38" t="s">
        <v>22</v>
      </c>
      <c r="M5" s="38" t="s">
        <v>23</v>
      </c>
    </row>
    <row r="6" spans="1:13" hidden="1" x14ac:dyDescent="0.25">
      <c r="A6" s="35" t="s">
        <v>24</v>
      </c>
      <c r="B6" s="30">
        <v>0</v>
      </c>
      <c r="C6" s="30">
        <v>0</v>
      </c>
      <c r="D6" s="30">
        <v>0.1</v>
      </c>
      <c r="E6" s="30">
        <v>0.18</v>
      </c>
      <c r="F6" s="30">
        <v>0.185</v>
      </c>
      <c r="G6" s="30">
        <v>0.28999999999999998</v>
      </c>
      <c r="H6" s="30">
        <v>0.39555555555555555</v>
      </c>
      <c r="I6" s="30">
        <v>0.45</v>
      </c>
      <c r="J6" s="30">
        <v>0.55555555555555558</v>
      </c>
      <c r="K6" s="30">
        <v>0.68</v>
      </c>
      <c r="L6" s="30">
        <v>0.79</v>
      </c>
      <c r="M6" s="30">
        <v>1.05</v>
      </c>
    </row>
    <row r="7" spans="1:13" x14ac:dyDescent="0.25">
      <c r="A7" s="36" t="s">
        <v>55</v>
      </c>
      <c r="B7" s="29">
        <v>26624</v>
      </c>
      <c r="C7" s="31">
        <v>26357.759999999998</v>
      </c>
      <c r="D7" s="31">
        <v>26917.871715610512</v>
      </c>
      <c r="E7" s="31">
        <v>27300.213168469902</v>
      </c>
      <c r="F7" s="31">
        <v>28605.839752704793</v>
      </c>
      <c r="G7" s="31">
        <v>27409.512519319898</v>
      </c>
      <c r="H7" s="31">
        <v>29217.092921174659</v>
      </c>
      <c r="I7" s="31">
        <v>29238.847202472953</v>
      </c>
      <c r="J7" s="31">
        <v>28681.102009273571</v>
      </c>
      <c r="K7" s="31">
        <v>28395.4742503864</v>
      </c>
      <c r="L7" s="31">
        <v>30146.91080370943</v>
      </c>
      <c r="M7" s="31">
        <v>28971.462812983002</v>
      </c>
    </row>
    <row r="8" spans="1:13" x14ac:dyDescent="0.25">
      <c r="A8" s="36" t="s">
        <v>56</v>
      </c>
      <c r="B8" s="32">
        <v>3.1300000000000001E-2</v>
      </c>
      <c r="C8" s="32">
        <v>3.1551999999999997E-2</v>
      </c>
      <c r="D8" s="32">
        <v>3.0924400000000005E-2</v>
      </c>
      <c r="E8" s="32">
        <v>2.9378180000000004E-2</v>
      </c>
      <c r="F8" s="32">
        <v>2.9084398200000004E-2</v>
      </c>
      <c r="G8" s="32">
        <v>3.0247774128000001E-2</v>
      </c>
      <c r="H8" s="32">
        <v>3.0852729610560001E-2</v>
      </c>
      <c r="I8" s="32">
        <v>3.1778311498876798E-2</v>
      </c>
      <c r="J8" s="32">
        <v>3.2300000000000002E-2</v>
      </c>
      <c r="K8" s="32">
        <v>3.3099999999999997E-2</v>
      </c>
      <c r="L8" s="32">
        <v>3.1699999999999999E-2</v>
      </c>
      <c r="M8" s="32">
        <v>3.1899999999999998E-2</v>
      </c>
    </row>
    <row r="9" spans="1:13" x14ac:dyDescent="0.25">
      <c r="A9" s="36" t="s">
        <v>9</v>
      </c>
      <c r="B9" s="31">
        <f>B8*B7</f>
        <v>833.33120000000008</v>
      </c>
      <c r="C9" s="31">
        <f t="shared" ref="C9:M9" si="0">C8*C7</f>
        <v>831.64004351999984</v>
      </c>
      <c r="D9" s="31">
        <f t="shared" si="0"/>
        <v>832.41903208222584</v>
      </c>
      <c r="E9" s="31">
        <f t="shared" si="0"/>
        <v>802.03057650167921</v>
      </c>
      <c r="F9" s="31">
        <f t="shared" si="0"/>
        <v>831.98363421305578</v>
      </c>
      <c r="G9" s="31">
        <f t="shared" si="0"/>
        <v>829.07674364297657</v>
      </c>
      <c r="H9" s="31">
        <f t="shared" si="0"/>
        <v>901.42706790360842</v>
      </c>
      <c r="I9" s="31">
        <f t="shared" si="0"/>
        <v>929.16119426824787</v>
      </c>
      <c r="J9" s="31">
        <f t="shared" si="0"/>
        <v>926.3995948995364</v>
      </c>
      <c r="K9" s="31">
        <f t="shared" si="0"/>
        <v>939.89019768778974</v>
      </c>
      <c r="L9" s="31">
        <f t="shared" si="0"/>
        <v>955.65707247758894</v>
      </c>
      <c r="M9" s="31">
        <f t="shared" si="0"/>
        <v>924.18966373415765</v>
      </c>
    </row>
    <row r="10" spans="1:13" x14ac:dyDescent="0.25">
      <c r="A10" s="36" t="s">
        <v>57</v>
      </c>
      <c r="B10" s="86">
        <v>37996.380308154832</v>
      </c>
      <c r="C10" s="86">
        <v>38756.307914317927</v>
      </c>
      <c r="D10" s="86">
        <v>38136.271717399497</v>
      </c>
      <c r="E10" s="86">
        <v>37896.1993235626</v>
      </c>
      <c r="F10" s="86">
        <v>39896.199323562578</v>
      </c>
      <c r="G10" s="86">
        <v>37236.452701991737</v>
      </c>
      <c r="H10" s="86">
        <v>38756.307914317927</v>
      </c>
      <c r="I10" s="86">
        <v>38756.307914317927</v>
      </c>
      <c r="J10" s="86">
        <v>37516.235520481001</v>
      </c>
      <c r="K10" s="86">
        <v>37136.271717399497</v>
      </c>
      <c r="L10" s="86">
        <v>36096.561292747094</v>
      </c>
      <c r="M10" s="86">
        <v>36856.488898910189</v>
      </c>
    </row>
    <row r="11" spans="1:13" x14ac:dyDescent="0.25">
      <c r="A11" s="36" t="s">
        <v>25</v>
      </c>
      <c r="B11" s="33">
        <f>B10*B9/1000000</f>
        <v>31.663569197851039</v>
      </c>
      <c r="C11" s="33">
        <f t="shared" ref="C11:M11" si="1">C10*C9/1000000</f>
        <v>32.231297600537872</v>
      </c>
      <c r="D11" s="33">
        <f t="shared" si="1"/>
        <v>31.745358390222453</v>
      </c>
      <c r="E11" s="33">
        <f t="shared" si="1"/>
        <v>30.393910590699456</v>
      </c>
      <c r="F11" s="33">
        <f t="shared" si="1"/>
        <v>33.192984904506048</v>
      </c>
      <c r="G11" s="33">
        <f t="shared" si="1"/>
        <v>30.871876950983026</v>
      </c>
      <c r="H11" s="33">
        <f t="shared" si="1"/>
        <v>34.935985005973023</v>
      </c>
      <c r="I11" s="33">
        <f t="shared" si="1"/>
        <v>36.010857347095595</v>
      </c>
      <c r="J11" s="33">
        <f t="shared" si="1"/>
        <v>34.755025388329202</v>
      </c>
      <c r="K11" s="33">
        <f t="shared" si="1"/>
        <v>34.904017765854093</v>
      </c>
      <c r="L11" s="33">
        <f t="shared" si="1"/>
        <v>34.495934091534544</v>
      </c>
      <c r="M11" s="33">
        <f t="shared" si="1"/>
        <v>34.062386081905522</v>
      </c>
    </row>
    <row r="12" spans="1:13" x14ac:dyDescent="0.25">
      <c r="A12" s="36" t="s">
        <v>58</v>
      </c>
      <c r="B12" s="33">
        <f>B11-$B$11</f>
        <v>0</v>
      </c>
      <c r="C12" s="33">
        <f t="shared" ref="C12:M12" si="2">C11-$B$11</f>
        <v>0.56772840268683211</v>
      </c>
      <c r="D12" s="33">
        <f t="shared" si="2"/>
        <v>8.1789192371413577E-2</v>
      </c>
      <c r="E12" s="33">
        <f t="shared" si="2"/>
        <v>-1.2696586071515839</v>
      </c>
      <c r="F12" s="33">
        <f t="shared" si="2"/>
        <v>1.5294157066550085</v>
      </c>
      <c r="G12" s="33">
        <f t="shared" si="2"/>
        <v>-0.79169224686801343</v>
      </c>
      <c r="H12" s="33">
        <f t="shared" si="2"/>
        <v>3.2724158081219841</v>
      </c>
      <c r="I12" s="33">
        <f t="shared" si="2"/>
        <v>4.3472881492445552</v>
      </c>
      <c r="J12" s="33">
        <f t="shared" si="2"/>
        <v>3.0914561904781621</v>
      </c>
      <c r="K12" s="33">
        <f t="shared" si="2"/>
        <v>3.2404485680030533</v>
      </c>
      <c r="L12" s="33">
        <f t="shared" si="2"/>
        <v>2.8323648936835042</v>
      </c>
      <c r="M12" s="33">
        <f t="shared" si="2"/>
        <v>2.398816884054483</v>
      </c>
    </row>
    <row r="13" spans="1:13" x14ac:dyDescent="0.25">
      <c r="A13" s="37" t="s">
        <v>59</v>
      </c>
      <c r="B13" s="39">
        <v>0</v>
      </c>
      <c r="C13" s="39">
        <f>B13+C12</f>
        <v>0.56772840268683211</v>
      </c>
      <c r="D13" s="39">
        <f t="shared" ref="D13:M13" si="3">C13+D12</f>
        <v>0.64951759505824569</v>
      </c>
      <c r="E13" s="39">
        <f t="shared" si="3"/>
        <v>-0.62014101209333816</v>
      </c>
      <c r="F13" s="39">
        <f t="shared" si="3"/>
        <v>0.90927469456167032</v>
      </c>
      <c r="G13" s="39">
        <f t="shared" si="3"/>
        <v>0.11758244769365689</v>
      </c>
      <c r="H13" s="39">
        <f t="shared" si="3"/>
        <v>3.389998255815641</v>
      </c>
      <c r="I13" s="39">
        <f t="shared" si="3"/>
        <v>7.7372864050601962</v>
      </c>
      <c r="J13" s="39">
        <f t="shared" si="3"/>
        <v>10.828742595538358</v>
      </c>
      <c r="K13" s="39">
        <f t="shared" si="3"/>
        <v>14.069191163541412</v>
      </c>
      <c r="L13" s="39">
        <f t="shared" si="3"/>
        <v>16.901556057224916</v>
      </c>
      <c r="M13" s="39">
        <f t="shared" si="3"/>
        <v>19.300372941279399</v>
      </c>
    </row>
    <row r="14" spans="1:13" hidden="1" x14ac:dyDescent="0.25">
      <c r="A14" s="36" t="s">
        <v>38</v>
      </c>
      <c r="B14" s="33">
        <v>0</v>
      </c>
      <c r="C14" s="33">
        <v>23.101740086752159</v>
      </c>
      <c r="D14" s="33">
        <v>23.946240949183846</v>
      </c>
      <c r="E14" s="33">
        <v>24.561216760691906</v>
      </c>
      <c r="F14" s="33">
        <v>21.342606459538473</v>
      </c>
      <c r="G14" s="33">
        <v>26.421009701683857</v>
      </c>
      <c r="H14" s="33">
        <v>69.450713698679266</v>
      </c>
      <c r="I14" s="33">
        <v>92.486926208111072</v>
      </c>
      <c r="J14" s="33">
        <v>145.6664899353467</v>
      </c>
      <c r="K14" s="33">
        <v>190.95274827047231</v>
      </c>
      <c r="L14" s="33">
        <v>150.03862842092983</v>
      </c>
      <c r="M14" s="33">
        <v>207.59656652798643</v>
      </c>
    </row>
    <row r="16" spans="1:13" x14ac:dyDescent="0.25">
      <c r="A16" s="27" t="s">
        <v>27</v>
      </c>
    </row>
    <row r="17" spans="1:13" x14ac:dyDescent="0.25">
      <c r="A17" s="45"/>
      <c r="B17" s="41" t="s">
        <v>12</v>
      </c>
      <c r="C17" s="41" t="s">
        <v>13</v>
      </c>
      <c r="D17" s="41" t="s">
        <v>14</v>
      </c>
      <c r="E17" s="41" t="s">
        <v>15</v>
      </c>
      <c r="F17" s="41" t="s">
        <v>16</v>
      </c>
      <c r="G17" s="41" t="s">
        <v>17</v>
      </c>
      <c r="H17" s="41" t="s">
        <v>18</v>
      </c>
      <c r="I17" s="41" t="s">
        <v>19</v>
      </c>
      <c r="J17" s="41" t="s">
        <v>20</v>
      </c>
      <c r="K17" s="41" t="s">
        <v>21</v>
      </c>
      <c r="L17" s="41" t="s">
        <v>22</v>
      </c>
      <c r="M17" s="41" t="s">
        <v>23</v>
      </c>
    </row>
    <row r="18" spans="1:13" x14ac:dyDescent="0.25">
      <c r="A18" s="42" t="s">
        <v>28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19" spans="1:13" x14ac:dyDescent="0.25">
      <c r="A19" s="43" t="s">
        <v>30</v>
      </c>
      <c r="B19" s="44">
        <f>350*100*100</f>
        <v>3500000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  <row r="20" spans="1:13" x14ac:dyDescent="0.25">
      <c r="A20" s="43" t="s">
        <v>31</v>
      </c>
      <c r="B20" s="44">
        <f>350*50*75</f>
        <v>1312500</v>
      </c>
      <c r="C20" s="44">
        <f>350*50*100</f>
        <v>1750000</v>
      </c>
      <c r="D20" s="44">
        <f>350*50*25</f>
        <v>437500</v>
      </c>
      <c r="E20" s="28"/>
      <c r="F20" s="28"/>
      <c r="G20" s="28"/>
      <c r="H20" s="28"/>
      <c r="I20" s="28"/>
      <c r="J20" s="28"/>
      <c r="K20" s="28"/>
      <c r="L20" s="28"/>
      <c r="M20" s="28"/>
    </row>
    <row r="21" spans="1:13" x14ac:dyDescent="0.25">
      <c r="A21" s="43" t="s">
        <v>42</v>
      </c>
      <c r="B21" s="44"/>
      <c r="C21" s="44"/>
      <c r="D21" s="44">
        <f>C20*0.75</f>
        <v>1312500</v>
      </c>
      <c r="E21" s="28"/>
      <c r="F21" s="28"/>
      <c r="G21" s="28"/>
      <c r="H21" s="28"/>
      <c r="I21" s="28"/>
      <c r="J21" s="28"/>
      <c r="K21" s="28"/>
      <c r="L21" s="28"/>
      <c r="M21" s="28"/>
    </row>
    <row r="22" spans="1:13" x14ac:dyDescent="0.25">
      <c r="A22" s="43" t="s">
        <v>34</v>
      </c>
      <c r="B22" s="28"/>
      <c r="C22" s="28"/>
      <c r="D22" s="44"/>
      <c r="E22" s="44">
        <f>350*50*8</f>
        <v>140000</v>
      </c>
      <c r="F22" s="44">
        <f>350*50*8</f>
        <v>140000</v>
      </c>
      <c r="G22" s="28"/>
      <c r="H22" s="44"/>
      <c r="I22" s="44">
        <f>350*50*8</f>
        <v>140000</v>
      </c>
      <c r="J22" s="44"/>
      <c r="K22" s="28"/>
      <c r="L22" s="28"/>
      <c r="M22" s="28"/>
    </row>
    <row r="23" spans="1:13" x14ac:dyDescent="0.25">
      <c r="A23" s="43" t="s">
        <v>32</v>
      </c>
      <c r="B23" s="28"/>
      <c r="C23" s="28"/>
      <c r="D23" s="28"/>
      <c r="E23" s="44"/>
      <c r="F23" s="44">
        <f>E22</f>
        <v>140000</v>
      </c>
      <c r="G23" s="44">
        <f>F22</f>
        <v>140000</v>
      </c>
      <c r="H23" s="28"/>
      <c r="I23" s="44"/>
      <c r="J23" s="44">
        <f>I22</f>
        <v>140000</v>
      </c>
      <c r="K23" s="28"/>
      <c r="L23" s="28"/>
      <c r="M23" s="28"/>
    </row>
    <row r="24" spans="1:13" x14ac:dyDescent="0.25">
      <c r="A24" s="42" t="s">
        <v>41</v>
      </c>
      <c r="B24" s="44">
        <f>B12*5%*1000000</f>
        <v>0</v>
      </c>
      <c r="C24" s="44">
        <f t="shared" ref="C24:M24" si="4">C12*5%*1000000</f>
        <v>28386.420134341606</v>
      </c>
      <c r="D24" s="44">
        <f t="shared" si="4"/>
        <v>4089.4596185706791</v>
      </c>
      <c r="E24" s="44">
        <f t="shared" si="4"/>
        <v>-63482.930357579193</v>
      </c>
      <c r="F24" s="44">
        <f t="shared" si="4"/>
        <v>76470.785332750427</v>
      </c>
      <c r="G24" s="44">
        <f t="shared" si="4"/>
        <v>-39584.612343400673</v>
      </c>
      <c r="H24" s="44">
        <f t="shared" si="4"/>
        <v>163620.79040609923</v>
      </c>
      <c r="I24" s="44">
        <f t="shared" si="4"/>
        <v>217364.40746222777</v>
      </c>
      <c r="J24" s="44">
        <f t="shared" si="4"/>
        <v>154572.80952390813</v>
      </c>
      <c r="K24" s="44">
        <f t="shared" si="4"/>
        <v>162022.42840015268</v>
      </c>
      <c r="L24" s="44">
        <f t="shared" si="4"/>
        <v>141618.24468417521</v>
      </c>
      <c r="M24" s="44">
        <f t="shared" si="4"/>
        <v>119940.84420272415</v>
      </c>
    </row>
    <row r="25" spans="1:13" x14ac:dyDescent="0.25">
      <c r="A25" s="72" t="s">
        <v>74</v>
      </c>
      <c r="B25" s="73"/>
      <c r="C25" s="73"/>
      <c r="D25" s="73"/>
      <c r="E25" s="73"/>
      <c r="F25" s="73"/>
      <c r="G25" s="73"/>
      <c r="H25" s="75"/>
      <c r="I25" s="75"/>
      <c r="J25" s="75">
        <v>1000000</v>
      </c>
      <c r="K25" s="75"/>
      <c r="L25" s="44"/>
      <c r="M25" s="28"/>
    </row>
    <row r="26" spans="1:13" x14ac:dyDescent="0.25">
      <c r="A26" s="42" t="s">
        <v>33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</row>
    <row r="27" spans="1:13" x14ac:dyDescent="0.25">
      <c r="A27" s="43" t="s">
        <v>29</v>
      </c>
      <c r="B27" s="44">
        <f>100*350</f>
        <v>35000</v>
      </c>
      <c r="C27" s="44">
        <f t="shared" ref="C27:I27" si="5">100*350</f>
        <v>35000</v>
      </c>
      <c r="D27" s="44">
        <f t="shared" si="5"/>
        <v>35000</v>
      </c>
      <c r="E27" s="44">
        <f t="shared" si="5"/>
        <v>35000</v>
      </c>
      <c r="F27" s="44">
        <f t="shared" si="5"/>
        <v>35000</v>
      </c>
      <c r="G27" s="44">
        <f t="shared" si="5"/>
        <v>35000</v>
      </c>
      <c r="H27" s="44">
        <f t="shared" si="5"/>
        <v>35000</v>
      </c>
      <c r="I27" s="44">
        <f t="shared" si="5"/>
        <v>35000</v>
      </c>
      <c r="J27" s="44"/>
      <c r="K27" s="44"/>
      <c r="L27" s="44"/>
      <c r="M27" s="44"/>
    </row>
    <row r="28" spans="1:13" x14ac:dyDescent="0.25">
      <c r="A28" s="43" t="s">
        <v>35</v>
      </c>
      <c r="B28" s="44">
        <v>250000</v>
      </c>
      <c r="C28" s="44"/>
      <c r="D28" s="44">
        <v>100000</v>
      </c>
      <c r="E28" s="44">
        <v>100000</v>
      </c>
      <c r="F28" s="44">
        <v>100000</v>
      </c>
      <c r="G28" s="44">
        <v>100000</v>
      </c>
      <c r="H28" s="44">
        <v>100000</v>
      </c>
      <c r="I28" s="44">
        <v>100000</v>
      </c>
      <c r="J28" s="44"/>
      <c r="K28" s="44"/>
      <c r="L28" s="44"/>
      <c r="M28" s="44"/>
    </row>
    <row r="29" spans="1:13" x14ac:dyDescent="0.25">
      <c r="A29" s="45" t="s">
        <v>36</v>
      </c>
      <c r="B29" s="44">
        <f>SUM(B19:B28)/1000000</f>
        <v>5.0975000000000001</v>
      </c>
      <c r="C29" s="44">
        <f>SUM(C19:C28)/1000000</f>
        <v>1.8133864201343415</v>
      </c>
      <c r="D29" s="44">
        <f>SUM(D19:D28)/1000000</f>
        <v>1.8890894596185708</v>
      </c>
      <c r="E29" s="44">
        <f>SUM(E19:E28)/1000000</f>
        <v>0.21151706964242081</v>
      </c>
      <c r="F29" s="44">
        <f>SUM(F19:F28)/1000000</f>
        <v>0.4914707853327504</v>
      </c>
      <c r="G29" s="44">
        <f>SUM(G19:G28)/1000000</f>
        <v>0.23541538765659933</v>
      </c>
      <c r="H29" s="44">
        <f>SUM(H19:H28)/1000000</f>
        <v>0.29862079040609923</v>
      </c>
      <c r="I29" s="44">
        <f>SUM(I19:I28)/1000000</f>
        <v>0.49236440746222776</v>
      </c>
      <c r="J29" s="44">
        <f>SUM(J19:J28)/1000000</f>
        <v>1.2945728095239082</v>
      </c>
      <c r="K29" s="44">
        <f>SUM(K19:K28)/1000000</f>
        <v>0.16202242840015268</v>
      </c>
      <c r="L29" s="44">
        <f>SUM(L19:L28)/1000000</f>
        <v>0.14161824468417522</v>
      </c>
      <c r="M29" s="44">
        <f>SUM(M19:M28)/1000000</f>
        <v>0.11994084420272415</v>
      </c>
    </row>
    <row r="30" spans="1:13" x14ac:dyDescent="0.25">
      <c r="A30" s="42" t="s">
        <v>37</v>
      </c>
      <c r="B30" s="46">
        <f>B29</f>
        <v>5.0975000000000001</v>
      </c>
      <c r="C30" s="46">
        <f>B30+C29</f>
        <v>6.9108864201343412</v>
      </c>
      <c r="D30" s="46">
        <f t="shared" ref="D30:M30" si="6">C30+D29</f>
        <v>8.7999758797529122</v>
      </c>
      <c r="E30" s="46">
        <f t="shared" si="6"/>
        <v>9.0114929493953326</v>
      </c>
      <c r="F30" s="46">
        <f t="shared" si="6"/>
        <v>9.5029637347280822</v>
      </c>
      <c r="G30" s="46">
        <f t="shared" si="6"/>
        <v>9.7383791223846821</v>
      </c>
      <c r="H30" s="46">
        <f t="shared" si="6"/>
        <v>10.036999912790781</v>
      </c>
      <c r="I30" s="46">
        <f t="shared" si="6"/>
        <v>10.529364320253009</v>
      </c>
      <c r="J30" s="46">
        <f t="shared" si="6"/>
        <v>11.823937129776917</v>
      </c>
      <c r="K30" s="46">
        <f t="shared" si="6"/>
        <v>11.98595955817707</v>
      </c>
      <c r="L30" s="46">
        <f t="shared" si="6"/>
        <v>12.127577802861245</v>
      </c>
      <c r="M30" s="46">
        <f t="shared" si="6"/>
        <v>12.247518647063968</v>
      </c>
    </row>
    <row r="33" spans="1:14" x14ac:dyDescent="0.25">
      <c r="A33" s="34" t="s">
        <v>39</v>
      </c>
      <c r="B33" s="47">
        <f>B12-B29</f>
        <v>-5.0975000000000001</v>
      </c>
      <c r="C33" s="47">
        <f>C12-C29</f>
        <v>-1.2456580174475094</v>
      </c>
      <c r="D33" s="47">
        <f>D12-D29</f>
        <v>-1.8073002672471572</v>
      </c>
      <c r="E33" s="47">
        <f>E12-E29</f>
        <v>-1.4811756767940047</v>
      </c>
      <c r="F33" s="47">
        <f>F12-F29</f>
        <v>1.037944921322258</v>
      </c>
      <c r="G33" s="47">
        <f>G12-G29</f>
        <v>-1.0271076345246128</v>
      </c>
      <c r="H33" s="47">
        <f>H12-H29</f>
        <v>2.9737950177158847</v>
      </c>
      <c r="I33" s="47">
        <f>I12-I29</f>
        <v>3.8549237417823274</v>
      </c>
      <c r="J33" s="47">
        <f>J12-J29</f>
        <v>1.7968833809542539</v>
      </c>
      <c r="K33" s="47">
        <f>K12-K29</f>
        <v>3.0784261396029007</v>
      </c>
      <c r="L33" s="47">
        <f>L12-L29</f>
        <v>2.6907466489993288</v>
      </c>
      <c r="M33" s="47">
        <f>M12-M29</f>
        <v>2.2788760398517587</v>
      </c>
      <c r="N33" s="3"/>
    </row>
    <row r="34" spans="1:14" x14ac:dyDescent="0.25">
      <c r="A34" s="34" t="s">
        <v>40</v>
      </c>
      <c r="B34" s="48">
        <f>B33</f>
        <v>-5.0975000000000001</v>
      </c>
      <c r="C34" s="48">
        <f>B34+C33</f>
        <v>-6.3431580174475091</v>
      </c>
      <c r="D34" s="48">
        <f t="shared" ref="D34:M34" si="7">C34+D33</f>
        <v>-8.1504582846946665</v>
      </c>
      <c r="E34" s="48">
        <f t="shared" si="7"/>
        <v>-9.6316339614886708</v>
      </c>
      <c r="F34" s="48">
        <f t="shared" si="7"/>
        <v>-8.5936890401664137</v>
      </c>
      <c r="G34" s="48">
        <f t="shared" si="7"/>
        <v>-9.620796674691027</v>
      </c>
      <c r="H34" s="48">
        <f t="shared" si="7"/>
        <v>-6.6470016569751422</v>
      </c>
      <c r="I34" s="48">
        <f t="shared" si="7"/>
        <v>-2.7920779151928148</v>
      </c>
      <c r="J34" s="48">
        <f t="shared" si="7"/>
        <v>-0.99519453423856086</v>
      </c>
      <c r="K34" s="49">
        <f t="shared" si="7"/>
        <v>2.0832316053643396</v>
      </c>
      <c r="L34" s="49">
        <f t="shared" si="7"/>
        <v>4.7739782543636684</v>
      </c>
      <c r="M34" s="49">
        <f t="shared" si="7"/>
        <v>7.0528542942154271</v>
      </c>
    </row>
  </sheetData>
  <mergeCells count="2">
    <mergeCell ref="B1:M1"/>
    <mergeCell ref="B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17"/>
  <sheetViews>
    <sheetView showGridLines="0" tabSelected="1" topLeftCell="A17" workbookViewId="0">
      <selection activeCell="P30" sqref="P30"/>
    </sheetView>
  </sheetViews>
  <sheetFormatPr baseColWidth="10" defaultColWidth="10" defaultRowHeight="15" customHeight="1" x14ac:dyDescent="0.25"/>
  <cols>
    <col min="1" max="1" width="26.5703125" style="10" bestFit="1" customWidth="1"/>
    <col min="2" max="16384" width="10" style="10"/>
  </cols>
  <sheetData>
    <row r="2" spans="1:16" x14ac:dyDescent="0.25">
      <c r="A2" s="18" t="s">
        <v>0</v>
      </c>
      <c r="B2" s="23" t="s">
        <v>54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</row>
    <row r="3" spans="1:16" x14ac:dyDescent="0.25">
      <c r="A3" s="18" t="s">
        <v>1</v>
      </c>
      <c r="B3" s="23" t="s">
        <v>53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5"/>
    </row>
    <row r="4" spans="1:16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</row>
    <row r="5" spans="1:16" x14ac:dyDescent="0.25">
      <c r="A5" s="19" t="s">
        <v>52</v>
      </c>
      <c r="B5" s="22" t="s">
        <v>12</v>
      </c>
      <c r="C5" s="22" t="s">
        <v>13</v>
      </c>
      <c r="D5" s="22" t="s">
        <v>14</v>
      </c>
      <c r="E5" s="22" t="s">
        <v>15</v>
      </c>
      <c r="F5" s="22" t="s">
        <v>16</v>
      </c>
      <c r="G5" s="22" t="s">
        <v>17</v>
      </c>
      <c r="H5" s="22" t="s">
        <v>18</v>
      </c>
      <c r="I5" s="22" t="s">
        <v>19</v>
      </c>
      <c r="J5" s="22" t="s">
        <v>20</v>
      </c>
      <c r="K5" s="22" t="s">
        <v>21</v>
      </c>
      <c r="L5" s="22" t="s">
        <v>22</v>
      </c>
      <c r="M5" s="22" t="s">
        <v>23</v>
      </c>
      <c r="O5" s="10" t="s">
        <v>64</v>
      </c>
      <c r="P5" s="10" t="s">
        <v>51</v>
      </c>
    </row>
    <row r="6" spans="1:16" ht="15" customHeight="1" x14ac:dyDescent="0.25">
      <c r="A6" s="18" t="s">
        <v>45</v>
      </c>
      <c r="B6" s="14">
        <f>'Ingresos y Egresos Planificados'!B29</f>
        <v>5.5350000000000001</v>
      </c>
      <c r="C6" s="14">
        <f>'Ingresos y Egresos Planificados'!C29</f>
        <v>1.7849999999999999</v>
      </c>
      <c r="D6" s="14">
        <f>'Ingresos y Egresos Planificados'!D29</f>
        <v>2.0424748861976503</v>
      </c>
      <c r="E6" s="14">
        <f>'Ingresos y Egresos Planificados'!E29</f>
        <v>0.30994977239529964</v>
      </c>
      <c r="F6" s="14">
        <f>'Ingresos y Egresos Planificados'!F29</f>
        <v>0.32742465859294967</v>
      </c>
      <c r="G6" s="14">
        <f>'Ingresos y Egresos Planificados'!G29</f>
        <v>0.34489954479059931</v>
      </c>
      <c r="H6" s="14">
        <f>'Ingresos y Egresos Planificados'!H29</f>
        <v>0.36237443098824929</v>
      </c>
      <c r="I6" s="14">
        <f>'Ingresos y Egresos Planificados'!I29</f>
        <v>0.37984931718589898</v>
      </c>
      <c r="J6" s="14">
        <f>'Ingresos y Egresos Planificados'!J29</f>
        <v>0.12232420338354899</v>
      </c>
      <c r="K6" s="14">
        <f>'Ingresos y Egresos Planificados'!K29</f>
        <v>1.1397990895811987</v>
      </c>
      <c r="L6" s="14">
        <f>'Ingresos y Egresos Planificados'!L29</f>
        <v>0.1572739757788483</v>
      </c>
      <c r="M6" s="14">
        <f>'Ingresos y Egresos Planificados'!M29</f>
        <v>0.17474886197649864</v>
      </c>
      <c r="O6" s="81">
        <f>SUM(B6:M6)</f>
        <v>12.681118740870742</v>
      </c>
    </row>
    <row r="7" spans="1:16" ht="15" customHeight="1" x14ac:dyDescent="0.25">
      <c r="A7" s="18" t="s">
        <v>46</v>
      </c>
      <c r="B7" s="14">
        <f>'Ingresos y Egresos reales'!B29</f>
        <v>5.0975000000000001</v>
      </c>
      <c r="C7" s="14">
        <f>'Ingresos y Egresos reales'!C29</f>
        <v>1.8133864201343415</v>
      </c>
      <c r="D7" s="14">
        <f>'Ingresos y Egresos reales'!D29</f>
        <v>1.8890894596185708</v>
      </c>
      <c r="E7" s="14">
        <f>'Ingresos y Egresos reales'!E29</f>
        <v>0.21151706964242081</v>
      </c>
      <c r="F7" s="14">
        <f>'Ingresos y Egresos reales'!F29</f>
        <v>0.4914707853327504</v>
      </c>
      <c r="G7" s="14">
        <f>'Ingresos y Egresos reales'!G29</f>
        <v>0.23541538765659933</v>
      </c>
      <c r="H7" s="14">
        <f>'Ingresos y Egresos reales'!H29</f>
        <v>0.29862079040609923</v>
      </c>
      <c r="I7" s="14">
        <f>'Ingresos y Egresos reales'!I29</f>
        <v>0.49236440746222776</v>
      </c>
      <c r="J7" s="14">
        <f>'Ingresos y Egresos reales'!J29</f>
        <v>1.2945728095239082</v>
      </c>
      <c r="K7" s="14">
        <f>'Ingresos y Egresos reales'!K29</f>
        <v>0.16202242840015268</v>
      </c>
      <c r="L7" s="14">
        <f>'Ingresos y Egresos reales'!L29</f>
        <v>0.14161824468417522</v>
      </c>
      <c r="M7" s="14">
        <f>'Ingresos y Egresos reales'!M29</f>
        <v>0.11994084420272415</v>
      </c>
      <c r="O7" s="81">
        <f>SUM(B7:M7)</f>
        <v>12.247518647063968</v>
      </c>
      <c r="P7" s="82">
        <f>O7-O6</f>
        <v>-0.43360009380677411</v>
      </c>
    </row>
    <row r="8" spans="1:16" ht="7.5" customHeight="1" x14ac:dyDescent="0.25">
      <c r="A8" s="20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6" x14ac:dyDescent="0.25">
      <c r="A9" s="18" t="s">
        <v>43</v>
      </c>
      <c r="B9" s="14">
        <f>'Ingresos y Egresos Planificados'!B12</f>
        <v>0</v>
      </c>
      <c r="C9" s="14">
        <f>'Ingresos y Egresos Planificados'!C12</f>
        <v>0</v>
      </c>
      <c r="D9" s="14">
        <f>'Ingresos y Egresos Planificados'!D12</f>
        <v>0.34949772395300016</v>
      </c>
      <c r="E9" s="14">
        <f>'Ingresos y Egresos Planificados'!E12</f>
        <v>0.69899544790599322</v>
      </c>
      <c r="F9" s="14">
        <f>'Ingresos y Egresos Planificados'!F12</f>
        <v>1.0484931718589934</v>
      </c>
      <c r="G9" s="14">
        <f>'Ingresos y Egresos Planificados'!G12</f>
        <v>1.3979908958119864</v>
      </c>
      <c r="H9" s="14">
        <f>'Ingresos y Egresos Planificados'!H12</f>
        <v>1.7474886197649866</v>
      </c>
      <c r="I9" s="14">
        <f>'Ingresos y Egresos Planificados'!I12</f>
        <v>2.0969863437179797</v>
      </c>
      <c r="J9" s="14">
        <f>'Ingresos y Egresos Planificados'!J12</f>
        <v>2.4464840676709798</v>
      </c>
      <c r="K9" s="14">
        <f>'Ingresos y Egresos Planificados'!K12</f>
        <v>2.7959817916239729</v>
      </c>
      <c r="L9" s="14">
        <f>'Ingresos y Egresos Planificados'!L12</f>
        <v>3.1454795155769659</v>
      </c>
      <c r="M9" s="14">
        <f>'Ingresos y Egresos Planificados'!M12</f>
        <v>3.4949772395299732</v>
      </c>
      <c r="O9" s="81">
        <f>SUM(B9:M9)</f>
        <v>19.222374817414831</v>
      </c>
    </row>
    <row r="10" spans="1:16" x14ac:dyDescent="0.25">
      <c r="A10" s="18" t="s">
        <v>44</v>
      </c>
      <c r="B10" s="14">
        <f>'Ingresos y Egresos reales'!B12</f>
        <v>0</v>
      </c>
      <c r="C10" s="14">
        <f>'Ingresos y Egresos reales'!C12</f>
        <v>0.56772840268683211</v>
      </c>
      <c r="D10" s="14">
        <f>'Ingresos y Egresos reales'!D12</f>
        <v>8.1789192371413577E-2</v>
      </c>
      <c r="E10" s="14">
        <f>'Ingresos y Egresos reales'!E12</f>
        <v>-1.2696586071515839</v>
      </c>
      <c r="F10" s="14">
        <f>'Ingresos y Egresos reales'!F12</f>
        <v>1.5294157066550085</v>
      </c>
      <c r="G10" s="14">
        <f>'Ingresos y Egresos reales'!G12</f>
        <v>-0.79169224686801343</v>
      </c>
      <c r="H10" s="14">
        <f>'Ingresos y Egresos reales'!H12</f>
        <v>3.2724158081219841</v>
      </c>
      <c r="I10" s="14">
        <f>'Ingresos y Egresos reales'!I12</f>
        <v>4.3472881492445552</v>
      </c>
      <c r="J10" s="14">
        <f>'Ingresos y Egresos reales'!J12</f>
        <v>3.0914561904781621</v>
      </c>
      <c r="K10" s="14">
        <f>'Ingresos y Egresos reales'!K12</f>
        <v>3.2404485680030533</v>
      </c>
      <c r="L10" s="14">
        <f>'Ingresos y Egresos reales'!L12</f>
        <v>2.8323648936835042</v>
      </c>
      <c r="M10" s="14">
        <f>'Ingresos y Egresos reales'!M12</f>
        <v>2.398816884054483</v>
      </c>
      <c r="O10" s="81">
        <f>SUM(B10:M10)</f>
        <v>19.300372941279399</v>
      </c>
      <c r="P10" s="82">
        <f>O10-O9</f>
        <v>7.7998123864567503E-2</v>
      </c>
    </row>
    <row r="11" spans="1:16" ht="6.75" customHeight="1" x14ac:dyDescent="0.25">
      <c r="A11" s="20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6" ht="15" customHeight="1" x14ac:dyDescent="0.25">
      <c r="A12" s="18" t="s">
        <v>47</v>
      </c>
      <c r="B12" s="14">
        <f>'Ingresos y Egresos Planificados'!B33</f>
        <v>-5.5350000000000001</v>
      </c>
      <c r="C12" s="14">
        <f>'Ingresos y Egresos Planificados'!C33</f>
        <v>-1.7849999999999999</v>
      </c>
      <c r="D12" s="14">
        <f>'Ingresos y Egresos Planificados'!D33</f>
        <v>-1.6929771622446501</v>
      </c>
      <c r="E12" s="14">
        <f>'Ingresos y Egresos Planificados'!E33</f>
        <v>0.38904567551069358</v>
      </c>
      <c r="F12" s="14">
        <f>'Ingresos y Egresos Planificados'!F33</f>
        <v>0.72106851326604371</v>
      </c>
      <c r="G12" s="14">
        <f>'Ingresos y Egresos Planificados'!G33</f>
        <v>1.0530913510213871</v>
      </c>
      <c r="H12" s="14">
        <f>'Ingresos y Egresos Planificados'!H33</f>
        <v>1.3851141887767373</v>
      </c>
      <c r="I12" s="14">
        <f>'Ingresos y Egresos Planificados'!I33</f>
        <v>1.7171370265320807</v>
      </c>
      <c r="J12" s="14">
        <f>'Ingresos y Egresos Planificados'!J33</f>
        <v>2.3241598642874308</v>
      </c>
      <c r="K12" s="14">
        <f>'Ingresos y Egresos Planificados'!K33</f>
        <v>1.6561827020427742</v>
      </c>
      <c r="L12" s="14">
        <f>'Ingresos y Egresos Planificados'!L33</f>
        <v>2.9882055397981175</v>
      </c>
      <c r="M12" s="14">
        <f>'Ingresos y Egresos Planificados'!M33</f>
        <v>3.3202283775534744</v>
      </c>
      <c r="O12" s="81">
        <f>SUM(B12:M12)</f>
        <v>6.541256076544089</v>
      </c>
    </row>
    <row r="13" spans="1:16" ht="15" customHeight="1" x14ac:dyDescent="0.25">
      <c r="A13" s="18" t="s">
        <v>49</v>
      </c>
      <c r="B13" s="14">
        <f>'Ingresos y Egresos reales'!B33</f>
        <v>-5.0975000000000001</v>
      </c>
      <c r="C13" s="14">
        <f>'Ingresos y Egresos reales'!C33</f>
        <v>-1.2456580174475094</v>
      </c>
      <c r="D13" s="14">
        <f>'Ingresos y Egresos reales'!D33</f>
        <v>-1.8073002672471572</v>
      </c>
      <c r="E13" s="14">
        <f>'Ingresos y Egresos reales'!E33</f>
        <v>-1.4811756767940047</v>
      </c>
      <c r="F13" s="14">
        <f>'Ingresos y Egresos reales'!F33</f>
        <v>1.037944921322258</v>
      </c>
      <c r="G13" s="14">
        <f>'Ingresos y Egresos reales'!G33</f>
        <v>-1.0271076345246128</v>
      </c>
      <c r="H13" s="14">
        <f>'Ingresos y Egresos reales'!H33</f>
        <v>2.9737950177158847</v>
      </c>
      <c r="I13" s="14">
        <f>'Ingresos y Egresos reales'!I33</f>
        <v>3.8549237417823274</v>
      </c>
      <c r="J13" s="14">
        <f>'Ingresos y Egresos reales'!J33</f>
        <v>1.7968833809542539</v>
      </c>
      <c r="K13" s="14">
        <f>'Ingresos y Egresos reales'!K33</f>
        <v>3.0784261396029007</v>
      </c>
      <c r="L13" s="14">
        <f>'Ingresos y Egresos reales'!L33</f>
        <v>2.6907466489993288</v>
      </c>
      <c r="M13" s="14">
        <f>'Ingresos y Egresos reales'!M33</f>
        <v>2.2788760398517587</v>
      </c>
      <c r="O13" s="81">
        <f>SUM(B13:M13)</f>
        <v>7.0528542942154271</v>
      </c>
      <c r="P13" s="82">
        <f>O13-O12</f>
        <v>0.51159821767133806</v>
      </c>
    </row>
    <row r="14" spans="1:16" ht="6.75" customHeight="1" x14ac:dyDescent="0.25">
      <c r="A14" s="2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6" ht="15" customHeight="1" x14ac:dyDescent="0.25">
      <c r="A15" s="18" t="s">
        <v>48</v>
      </c>
      <c r="B15" s="14">
        <f>'Ingresos y Egresos Planificados'!B34</f>
        <v>-5.5350000000000001</v>
      </c>
      <c r="C15" s="14">
        <f>'Ingresos y Egresos Planificados'!C34</f>
        <v>-7.32</v>
      </c>
      <c r="D15" s="14">
        <f>'Ingresos y Egresos Planificados'!D34</f>
        <v>-9.0129771622446508</v>
      </c>
      <c r="E15" s="14">
        <f>'Ingresos y Egresos Planificados'!E34</f>
        <v>-8.6239314867339569</v>
      </c>
      <c r="F15" s="14">
        <f>'Ingresos y Egresos Planificados'!F34</f>
        <v>-7.9028629734679132</v>
      </c>
      <c r="G15" s="14">
        <f>'Ingresos y Egresos Planificados'!G34</f>
        <v>-6.8497716224465259</v>
      </c>
      <c r="H15" s="14">
        <f>'Ingresos y Egresos Planificados'!H34</f>
        <v>-5.4646574336697888</v>
      </c>
      <c r="I15" s="14">
        <f>'Ingresos y Egresos Planificados'!I34</f>
        <v>-3.7475204071377082</v>
      </c>
      <c r="J15" s="14">
        <f>'Ingresos y Egresos Planificados'!J34</f>
        <v>-1.4233605428502774</v>
      </c>
      <c r="K15" s="14">
        <f>'Ingresos y Egresos Planificados'!K34</f>
        <v>0.23282215919249682</v>
      </c>
      <c r="L15" s="14">
        <f>'Ingresos y Egresos Planificados'!L34</f>
        <v>3.2210276989906141</v>
      </c>
      <c r="M15" s="14">
        <f>'Ingresos y Egresos Planificados'!M34</f>
        <v>6.541256076544089</v>
      </c>
      <c r="O15" s="81">
        <f>SUM(B15:M15)</f>
        <v>-45.88497569382362</v>
      </c>
    </row>
    <row r="16" spans="1:16" ht="15" customHeight="1" x14ac:dyDescent="0.25">
      <c r="A16" s="21" t="s">
        <v>50</v>
      </c>
      <c r="B16" s="14">
        <f>'Ingresos y Egresos reales'!B34</f>
        <v>-5.0975000000000001</v>
      </c>
      <c r="C16" s="14">
        <f>'Ingresos y Egresos reales'!C34</f>
        <v>-6.3431580174475091</v>
      </c>
      <c r="D16" s="14">
        <f>'Ingresos y Egresos reales'!D34</f>
        <v>-8.1504582846946665</v>
      </c>
      <c r="E16" s="14">
        <f>'Ingresos y Egresos reales'!E34</f>
        <v>-9.6316339614886708</v>
      </c>
      <c r="F16" s="14">
        <f>'Ingresos y Egresos reales'!F34</f>
        <v>-8.5936890401664137</v>
      </c>
      <c r="G16" s="14">
        <f>'Ingresos y Egresos reales'!G34</f>
        <v>-9.620796674691027</v>
      </c>
      <c r="H16" s="14">
        <f>'Ingresos y Egresos reales'!H34</f>
        <v>-6.6470016569751422</v>
      </c>
      <c r="I16" s="14">
        <f>'Ingresos y Egresos reales'!I34</f>
        <v>-2.7920779151928148</v>
      </c>
      <c r="J16" s="14">
        <f>'Ingresos y Egresos reales'!J34</f>
        <v>-0.99519453423856086</v>
      </c>
      <c r="K16" s="14">
        <f>'Ingresos y Egresos reales'!K34</f>
        <v>2.0832316053643396</v>
      </c>
      <c r="L16" s="14">
        <f>'Ingresos y Egresos reales'!L34</f>
        <v>4.7739782543636684</v>
      </c>
      <c r="M16" s="14">
        <f>'Ingresos y Egresos reales'!M34</f>
        <v>7.0528542942154271</v>
      </c>
      <c r="O16" s="81">
        <f>SUM(B16:M16)</f>
        <v>-43.961445930951371</v>
      </c>
      <c r="P16" s="82">
        <f>O16-O15</f>
        <v>1.9235297628722492</v>
      </c>
    </row>
    <row r="17" spans="1:13" ht="15" customHeight="1" x14ac:dyDescent="0.25">
      <c r="A17" s="15" t="s">
        <v>51</v>
      </c>
      <c r="B17" s="16">
        <f>B16-B15</f>
        <v>0.4375</v>
      </c>
      <c r="C17" s="17">
        <f t="shared" ref="C17:M17" si="0">C16-C15</f>
        <v>0.97684198255249122</v>
      </c>
      <c r="D17" s="17">
        <f t="shared" si="0"/>
        <v>0.86251887754998435</v>
      </c>
      <c r="E17" s="17">
        <f t="shared" si="0"/>
        <v>-1.0077024747547139</v>
      </c>
      <c r="F17" s="17">
        <f t="shared" si="0"/>
        <v>-0.69082606669850044</v>
      </c>
      <c r="G17" s="17">
        <f t="shared" si="0"/>
        <v>-2.771025052244501</v>
      </c>
      <c r="H17" s="17">
        <f t="shared" si="0"/>
        <v>-1.1823442233053534</v>
      </c>
      <c r="I17" s="17">
        <f t="shared" si="0"/>
        <v>0.95544249194489339</v>
      </c>
      <c r="J17" s="17">
        <f t="shared" si="0"/>
        <v>0.4281660086117165</v>
      </c>
      <c r="K17" s="17">
        <f t="shared" si="0"/>
        <v>1.8504094461718428</v>
      </c>
      <c r="L17" s="17">
        <f t="shared" si="0"/>
        <v>1.5529505553730543</v>
      </c>
      <c r="M17" s="17">
        <f t="shared" si="0"/>
        <v>0.51159821767133806</v>
      </c>
    </row>
  </sheetData>
  <mergeCells count="2">
    <mergeCell ref="B3:M3"/>
    <mergeCell ref="B2:M2"/>
  </mergeCells>
  <phoneticPr fontId="4" type="noConversion"/>
  <pageMargins left="0.7" right="0.7" top="0.75" bottom="0.75" header="0" footer="0"/>
  <pageSetup scale="32" orientation="portrait"/>
  <headerFooter>
    <oddFooter>&amp;L_x000D_&amp;1#&amp;"Arial"&amp;7&amp;K000000 ***Este documento está clasificado como PUBLICO por TELEFÓNICA.
***This document is classified as PUBLIC by TELEFÓNICA.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B0EE-6A04-4132-8416-EE9F01DDBEA6}">
  <dimension ref="A1:N19"/>
  <sheetViews>
    <sheetView workbookViewId="0">
      <selection activeCell="B1" sqref="B1"/>
    </sheetView>
  </sheetViews>
  <sheetFormatPr baseColWidth="10" defaultRowHeight="15" x14ac:dyDescent="0.25"/>
  <cols>
    <col min="1" max="1" width="28.42578125" style="4" bestFit="1" customWidth="1"/>
    <col min="2" max="2" width="11.42578125" style="4"/>
    <col min="3" max="3" width="16.7109375" style="4" bestFit="1" customWidth="1"/>
    <col min="4" max="4" width="12" style="4" customWidth="1"/>
    <col min="5" max="5" width="16.85546875" style="4" bestFit="1" customWidth="1"/>
    <col min="6" max="6" width="11.42578125" style="4"/>
    <col min="7" max="7" width="12.5703125" style="4" customWidth="1"/>
    <col min="8" max="8" width="12" style="4" customWidth="1"/>
    <col min="9" max="16384" width="11.42578125" style="4"/>
  </cols>
  <sheetData>
    <row r="1" spans="1:14" x14ac:dyDescent="0.25">
      <c r="C1" s="79" t="s">
        <v>75</v>
      </c>
      <c r="D1" s="79" t="s">
        <v>2</v>
      </c>
    </row>
    <row r="2" spans="1:14" x14ac:dyDescent="0.25">
      <c r="A2" s="79" t="s">
        <v>65</v>
      </c>
      <c r="C2" s="4">
        <v>319488</v>
      </c>
      <c r="D2" s="4">
        <f>C2/12</f>
        <v>26624</v>
      </c>
    </row>
    <row r="3" spans="1:14" x14ac:dyDescent="0.25">
      <c r="A3" s="79" t="s">
        <v>66</v>
      </c>
      <c r="C3" s="7">
        <v>3.1300000000000001E-2</v>
      </c>
    </row>
    <row r="4" spans="1:14" x14ac:dyDescent="0.25">
      <c r="A4" s="79" t="s">
        <v>67</v>
      </c>
      <c r="C4" s="83">
        <f>C3*C2</f>
        <v>9999.974400000001</v>
      </c>
      <c r="K4" s="6"/>
      <c r="N4" s="6"/>
    </row>
    <row r="5" spans="1:14" hidden="1" x14ac:dyDescent="0.25">
      <c r="A5" s="4" t="s">
        <v>3</v>
      </c>
      <c r="C5" s="4">
        <v>10000</v>
      </c>
    </row>
    <row r="6" spans="1:14" x14ac:dyDescent="0.25">
      <c r="A6" s="4" t="s">
        <v>4</v>
      </c>
      <c r="C6" s="8">
        <f>'Calculos de apoyo'!B2</f>
        <v>37996.380308154832</v>
      </c>
    </row>
    <row r="7" spans="1:14" x14ac:dyDescent="0.25">
      <c r="A7" s="79" t="s">
        <v>68</v>
      </c>
      <c r="C7" s="8">
        <f>C5*'Calculos de apoyo'!B2</f>
        <v>379963803.08154833</v>
      </c>
    </row>
    <row r="8" spans="1:14" x14ac:dyDescent="0.25">
      <c r="A8" s="79"/>
      <c r="C8" s="8"/>
    </row>
    <row r="9" spans="1:14" ht="75" x14ac:dyDescent="0.25">
      <c r="A9" s="79" t="s">
        <v>69</v>
      </c>
      <c r="C9" s="80" t="s">
        <v>9</v>
      </c>
      <c r="D9" s="80" t="s">
        <v>78</v>
      </c>
      <c r="E9" s="80" t="s">
        <v>79</v>
      </c>
      <c r="F9" s="80" t="s">
        <v>77</v>
      </c>
      <c r="G9" s="80" t="s">
        <v>70</v>
      </c>
      <c r="H9" s="80" t="s">
        <v>71</v>
      </c>
    </row>
    <row r="10" spans="1:14" x14ac:dyDescent="0.25">
      <c r="A10" s="84" t="s">
        <v>6</v>
      </c>
      <c r="B10" s="5">
        <f>'Calculos de apoyo'!F3</f>
        <v>0.76970633693972179</v>
      </c>
      <c r="C10" s="6">
        <f>'Calculos de apoyo'!F3*$C$5</f>
        <v>7697.0633693972177</v>
      </c>
      <c r="D10" s="6">
        <f>C10*2</f>
        <v>15394.126738794435</v>
      </c>
      <c r="F10" s="5">
        <v>0.93</v>
      </c>
      <c r="G10" s="6">
        <f>F10*C13*2-D10</f>
        <v>3205.8732612055646</v>
      </c>
    </row>
    <row r="11" spans="1:14" x14ac:dyDescent="0.25">
      <c r="A11" s="84" t="s">
        <v>7</v>
      </c>
      <c r="B11" s="5">
        <f>'Calculos de apoyo'!F4</f>
        <v>2.1638330757341576E-2</v>
      </c>
      <c r="C11" s="6">
        <f>'Calculos de apoyo'!F4*$C$5</f>
        <v>216.38330757341575</v>
      </c>
      <c r="F11" s="5">
        <f>B11</f>
        <v>2.1638330757341576E-2</v>
      </c>
    </row>
    <row r="12" spans="1:14" x14ac:dyDescent="0.25">
      <c r="A12" s="84" t="s">
        <v>8</v>
      </c>
      <c r="B12" s="5">
        <f>'Calculos de apoyo'!F5</f>
        <v>0.20865533230293662</v>
      </c>
      <c r="C12" s="6">
        <f>'Calculos de apoyo'!F5*$C$5</f>
        <v>2086.5533230293663</v>
      </c>
      <c r="E12" s="6">
        <f>C12*20</f>
        <v>41731.066460587324</v>
      </c>
      <c r="F12" s="5">
        <f>1-F10-F11</f>
        <v>4.8361669242658376E-2</v>
      </c>
      <c r="H12" s="6">
        <f>(B12-F12)*20*C13</f>
        <v>32058.73261205565</v>
      </c>
    </row>
    <row r="13" spans="1:14" x14ac:dyDescent="0.25">
      <c r="B13" s="5">
        <f>SUM(B10:B12)</f>
        <v>1</v>
      </c>
      <c r="C13" s="6">
        <f>SUM(C10:C12)</f>
        <v>10000</v>
      </c>
    </row>
    <row r="14" spans="1:14" x14ac:dyDescent="0.25">
      <c r="C14" s="5"/>
      <c r="D14" s="6"/>
    </row>
    <row r="15" spans="1:14" x14ac:dyDescent="0.25">
      <c r="C15" s="79" t="s">
        <v>75</v>
      </c>
      <c r="D15" s="79" t="s">
        <v>2</v>
      </c>
      <c r="E15" s="79" t="s">
        <v>76</v>
      </c>
    </row>
    <row r="16" spans="1:14" x14ac:dyDescent="0.25">
      <c r="A16" s="79" t="s">
        <v>72</v>
      </c>
      <c r="C16" s="6">
        <f>C2+G10+H12</f>
        <v>354752.60587326123</v>
      </c>
      <c r="D16" s="6">
        <f>C16/12</f>
        <v>29562.717156105104</v>
      </c>
      <c r="E16" s="6">
        <f>D16-D2</f>
        <v>2938.7171561051036</v>
      </c>
    </row>
    <row r="17" spans="1:3" x14ac:dyDescent="0.25">
      <c r="A17" s="79" t="s">
        <v>73</v>
      </c>
      <c r="C17" s="6">
        <f>C16*C3</f>
        <v>11103.756563833076</v>
      </c>
    </row>
    <row r="18" spans="1:3" x14ac:dyDescent="0.25">
      <c r="A18" s="4" t="s">
        <v>10</v>
      </c>
      <c r="C18" s="8">
        <f>C17*'Calculos de apoyo'!B2</f>
        <v>421902557.24857205</v>
      </c>
    </row>
    <row r="19" spans="1:3" x14ac:dyDescent="0.25">
      <c r="A19" s="4" t="s">
        <v>11</v>
      </c>
      <c r="C19" s="8">
        <f>C18-C7</f>
        <v>41938754.167023718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22E2-D957-4974-AF08-E3A1FCBC3FAB}">
  <dimension ref="A2:F51"/>
  <sheetViews>
    <sheetView workbookViewId="0">
      <selection activeCell="E4" sqref="E4"/>
    </sheetView>
  </sheetViews>
  <sheetFormatPr baseColWidth="10" defaultRowHeight="15" x14ac:dyDescent="0.25"/>
  <cols>
    <col min="2" max="2" width="13" bestFit="1" customWidth="1"/>
  </cols>
  <sheetData>
    <row r="2" spans="1:6" x14ac:dyDescent="0.25">
      <c r="A2" s="78" t="s">
        <v>61</v>
      </c>
      <c r="B2" s="2">
        <f>B51</f>
        <v>37996.380308154832</v>
      </c>
      <c r="D2" t="s">
        <v>5</v>
      </c>
    </row>
    <row r="3" spans="1:6" x14ac:dyDescent="0.25">
      <c r="A3" s="78"/>
      <c r="B3" s="2"/>
      <c r="D3">
        <v>498</v>
      </c>
      <c r="E3" s="1" t="s">
        <v>6</v>
      </c>
      <c r="F3" s="1">
        <f>D3/$D$6</f>
        <v>0.76970633693972179</v>
      </c>
    </row>
    <row r="4" spans="1:6" x14ac:dyDescent="0.25">
      <c r="A4" s="78" t="s">
        <v>62</v>
      </c>
      <c r="B4" s="78" t="s">
        <v>63</v>
      </c>
      <c r="D4">
        <v>14</v>
      </c>
      <c r="E4" s="1" t="s">
        <v>7</v>
      </c>
      <c r="F4" s="1">
        <f>D4/$D$6</f>
        <v>2.1638330757341576E-2</v>
      </c>
    </row>
    <row r="5" spans="1:6" x14ac:dyDescent="0.25">
      <c r="A5">
        <v>132</v>
      </c>
      <c r="B5" s="9">
        <v>17783</v>
      </c>
      <c r="D5">
        <v>135</v>
      </c>
      <c r="E5" s="1" t="s">
        <v>8</v>
      </c>
      <c r="F5" s="1">
        <f>D5/$D$6</f>
        <v>0.20865533230293662</v>
      </c>
    </row>
    <row r="6" spans="1:6" x14ac:dyDescent="0.25">
      <c r="A6">
        <v>21</v>
      </c>
      <c r="B6" s="9">
        <v>13748</v>
      </c>
      <c r="D6">
        <f>SUM(D3:D5)</f>
        <v>647</v>
      </c>
    </row>
    <row r="7" spans="1:6" x14ac:dyDescent="0.25">
      <c r="A7">
        <v>98</v>
      </c>
      <c r="B7" s="9">
        <v>18474</v>
      </c>
    </row>
    <row r="8" spans="1:6" x14ac:dyDescent="0.25">
      <c r="A8">
        <v>29</v>
      </c>
      <c r="B8" s="9">
        <v>5483</v>
      </c>
    </row>
    <row r="9" spans="1:6" x14ac:dyDescent="0.25">
      <c r="A9">
        <v>30</v>
      </c>
      <c r="B9" s="9">
        <v>16680</v>
      </c>
    </row>
    <row r="10" spans="1:6" x14ac:dyDescent="0.25">
      <c r="A10">
        <v>95</v>
      </c>
      <c r="B10" s="9">
        <v>16935</v>
      </c>
    </row>
    <row r="11" spans="1:6" x14ac:dyDescent="0.25">
      <c r="A11">
        <v>5</v>
      </c>
      <c r="B11" s="9">
        <v>34741</v>
      </c>
    </row>
    <row r="12" spans="1:6" x14ac:dyDescent="0.25">
      <c r="A12">
        <v>29</v>
      </c>
      <c r="B12" s="9">
        <v>90701</v>
      </c>
    </row>
    <row r="13" spans="1:6" x14ac:dyDescent="0.25">
      <c r="A13">
        <v>79</v>
      </c>
      <c r="B13" s="9">
        <v>29456</v>
      </c>
    </row>
    <row r="14" spans="1:6" x14ac:dyDescent="0.25">
      <c r="A14">
        <v>15</v>
      </c>
      <c r="B14" s="9">
        <v>14605</v>
      </c>
    </row>
    <row r="15" spans="1:6" x14ac:dyDescent="0.25">
      <c r="A15">
        <v>31</v>
      </c>
      <c r="B15" s="9">
        <v>22314</v>
      </c>
    </row>
    <row r="16" spans="1:6" x14ac:dyDescent="0.25">
      <c r="A16">
        <v>595</v>
      </c>
      <c r="B16" s="9">
        <v>17132</v>
      </c>
    </row>
    <row r="17" spans="1:2" x14ac:dyDescent="0.25">
      <c r="A17">
        <v>2</v>
      </c>
      <c r="B17" s="9">
        <v>21966</v>
      </c>
    </row>
    <row r="18" spans="1:2" x14ac:dyDescent="0.25">
      <c r="A18">
        <v>6</v>
      </c>
      <c r="B18" s="9">
        <v>130848</v>
      </c>
    </row>
    <row r="19" spans="1:2" x14ac:dyDescent="0.25">
      <c r="A19">
        <v>9</v>
      </c>
      <c r="B19" s="9">
        <v>77708</v>
      </c>
    </row>
    <row r="20" spans="1:2" x14ac:dyDescent="0.25">
      <c r="A20">
        <v>88</v>
      </c>
      <c r="B20" s="9">
        <v>34777</v>
      </c>
    </row>
    <row r="21" spans="1:2" x14ac:dyDescent="0.25">
      <c r="A21">
        <v>37</v>
      </c>
      <c r="B21" s="9">
        <v>106417</v>
      </c>
    </row>
    <row r="22" spans="1:2" x14ac:dyDescent="0.25">
      <c r="A22">
        <v>67</v>
      </c>
      <c r="B22" s="9">
        <v>12410</v>
      </c>
    </row>
    <row r="23" spans="1:2" x14ac:dyDescent="0.25">
      <c r="A23">
        <v>14</v>
      </c>
      <c r="B23" s="9">
        <v>13157</v>
      </c>
    </row>
    <row r="24" spans="1:2" x14ac:dyDescent="0.25">
      <c r="A24">
        <v>58</v>
      </c>
      <c r="B24" s="9">
        <v>5723</v>
      </c>
    </row>
    <row r="25" spans="1:2" x14ac:dyDescent="0.25">
      <c r="A25">
        <v>26</v>
      </c>
      <c r="B25" s="9">
        <v>128849</v>
      </c>
    </row>
    <row r="26" spans="1:2" x14ac:dyDescent="0.25">
      <c r="A26">
        <v>56</v>
      </c>
      <c r="B26" s="9">
        <v>13416</v>
      </c>
    </row>
    <row r="27" spans="1:2" x14ac:dyDescent="0.25">
      <c r="A27">
        <v>44</v>
      </c>
      <c r="B27" s="9">
        <v>157557</v>
      </c>
    </row>
    <row r="28" spans="1:2" x14ac:dyDescent="0.25">
      <c r="A28">
        <v>106</v>
      </c>
      <c r="B28" s="9">
        <v>23854</v>
      </c>
    </row>
    <row r="29" spans="1:2" x14ac:dyDescent="0.25">
      <c r="A29">
        <v>23</v>
      </c>
      <c r="B29" s="9">
        <v>20981</v>
      </c>
    </row>
    <row r="30" spans="1:2" x14ac:dyDescent="0.25">
      <c r="A30">
        <v>44</v>
      </c>
      <c r="B30" s="9">
        <v>331996</v>
      </c>
    </row>
    <row r="31" spans="1:2" x14ac:dyDescent="0.25">
      <c r="A31">
        <v>25</v>
      </c>
      <c r="B31" s="9">
        <v>29079</v>
      </c>
    </row>
    <row r="32" spans="1:2" x14ac:dyDescent="0.25">
      <c r="A32">
        <v>46</v>
      </c>
      <c r="B32" s="9">
        <v>16672</v>
      </c>
    </row>
    <row r="33" spans="1:2" x14ac:dyDescent="0.25">
      <c r="A33">
        <v>16</v>
      </c>
      <c r="B33" s="9">
        <v>35461</v>
      </c>
    </row>
    <row r="34" spans="1:2" x14ac:dyDescent="0.25">
      <c r="A34">
        <v>37</v>
      </c>
      <c r="B34" s="9">
        <v>19099</v>
      </c>
    </row>
    <row r="35" spans="1:2" x14ac:dyDescent="0.25">
      <c r="A35">
        <v>46</v>
      </c>
      <c r="B35" s="9">
        <v>13120</v>
      </c>
    </row>
    <row r="36" spans="1:2" x14ac:dyDescent="0.25">
      <c r="A36">
        <v>34</v>
      </c>
      <c r="B36" s="9">
        <v>30171</v>
      </c>
    </row>
    <row r="37" spans="1:2" x14ac:dyDescent="0.25">
      <c r="A37">
        <v>79</v>
      </c>
      <c r="B37" s="9">
        <v>27317</v>
      </c>
    </row>
    <row r="38" spans="1:2" x14ac:dyDescent="0.25">
      <c r="A38">
        <v>32</v>
      </c>
      <c r="B38" s="9">
        <v>606361</v>
      </c>
    </row>
    <row r="39" spans="1:2" x14ac:dyDescent="0.25">
      <c r="A39">
        <v>34</v>
      </c>
      <c r="B39" s="9">
        <v>16433</v>
      </c>
    </row>
    <row r="40" spans="1:2" x14ac:dyDescent="0.25">
      <c r="A40">
        <v>20</v>
      </c>
      <c r="B40" s="9">
        <v>24233</v>
      </c>
    </row>
    <row r="41" spans="1:2" x14ac:dyDescent="0.25">
      <c r="A41">
        <v>174</v>
      </c>
      <c r="B41" s="9">
        <v>23538</v>
      </c>
    </row>
    <row r="42" spans="1:2" x14ac:dyDescent="0.25">
      <c r="A42">
        <v>35</v>
      </c>
      <c r="B42" s="9">
        <v>11330</v>
      </c>
    </row>
    <row r="43" spans="1:2" x14ac:dyDescent="0.25">
      <c r="A43">
        <v>23</v>
      </c>
      <c r="B43" s="9">
        <v>31602</v>
      </c>
    </row>
    <row r="44" spans="1:2" x14ac:dyDescent="0.25">
      <c r="A44">
        <v>31</v>
      </c>
      <c r="B44" s="9">
        <v>19879</v>
      </c>
    </row>
    <row r="45" spans="1:2" x14ac:dyDescent="0.25">
      <c r="A45">
        <v>29</v>
      </c>
      <c r="B45" s="9">
        <v>11168</v>
      </c>
    </row>
    <row r="46" spans="1:2" x14ac:dyDescent="0.25">
      <c r="A46">
        <v>71</v>
      </c>
      <c r="B46" s="9">
        <v>38248</v>
      </c>
    </row>
    <row r="47" spans="1:2" x14ac:dyDescent="0.25">
      <c r="A47">
        <v>36</v>
      </c>
      <c r="B47" s="9">
        <v>42529</v>
      </c>
    </row>
    <row r="48" spans="1:2" x14ac:dyDescent="0.25">
      <c r="A48">
        <v>48</v>
      </c>
      <c r="B48" s="9">
        <v>23914</v>
      </c>
    </row>
    <row r="49" spans="1:3" x14ac:dyDescent="0.25">
      <c r="A49">
        <v>29</v>
      </c>
      <c r="B49" s="9">
        <v>22536</v>
      </c>
    </row>
    <row r="50" spans="1:3" x14ac:dyDescent="0.25">
      <c r="A50">
        <v>77</v>
      </c>
      <c r="B50" s="9">
        <v>5483</v>
      </c>
    </row>
    <row r="51" spans="1:3" x14ac:dyDescent="0.25">
      <c r="A51">
        <f>SUM(A5:A50)</f>
        <v>2661</v>
      </c>
      <c r="B51" s="9">
        <f>SUMPRODUCT(A5:A50,B5:B50)/A51</f>
        <v>37996.380308154832</v>
      </c>
      <c r="C51" s="78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Ingresos y Egresos Planificados</vt:lpstr>
      <vt:lpstr>Ingresos y Egresos reales</vt:lpstr>
      <vt:lpstr>Curva S</vt:lpstr>
      <vt:lpstr>Supuestos</vt:lpstr>
      <vt:lpstr>Calculos de apoyo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Farias Ana Graciela</dc:creator>
  <cp:lastModifiedBy>Roberto Schiaffino</cp:lastModifiedBy>
  <dcterms:created xsi:type="dcterms:W3CDTF">2023-10-11T21:13:48Z</dcterms:created>
  <dcterms:modified xsi:type="dcterms:W3CDTF">2023-10-27T20:50:19Z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5bd4d2-aa7c-445f-9ef8-222ebb1d2b43_Enabled">
    <vt:lpwstr>true</vt:lpwstr>
  </property>
  <property fmtid="{D5CDD505-2E9C-101B-9397-08002B2CF9AE}" pid="3" name="MSIP_Label_e65bd4d2-aa7c-445f-9ef8-222ebb1d2b43_SetDate">
    <vt:lpwstr>2023-10-11T21:13:48Z</vt:lpwstr>
  </property>
  <property fmtid="{D5CDD505-2E9C-101B-9397-08002B2CF9AE}" pid="4" name="MSIP_Label_e65bd4d2-aa7c-445f-9ef8-222ebb1d2b43_Method">
    <vt:lpwstr>Privileged</vt:lpwstr>
  </property>
  <property fmtid="{D5CDD505-2E9C-101B-9397-08002B2CF9AE}" pid="5" name="MSIP_Label_e65bd4d2-aa7c-445f-9ef8-222ebb1d2b43_Name">
    <vt:lpwstr>e65bd4d2-aa7c-445f-9ef8-222ebb1d2b43</vt:lpwstr>
  </property>
  <property fmtid="{D5CDD505-2E9C-101B-9397-08002B2CF9AE}" pid="6" name="MSIP_Label_e65bd4d2-aa7c-445f-9ef8-222ebb1d2b43_SiteId">
    <vt:lpwstr>9744600e-3e04-492e-baa1-25ec245c6f10</vt:lpwstr>
  </property>
  <property fmtid="{D5CDD505-2E9C-101B-9397-08002B2CF9AE}" pid="7" name="MSIP_Label_e65bd4d2-aa7c-445f-9ef8-222ebb1d2b43_ActionId">
    <vt:lpwstr>b46cdfd7-33eb-44e6-8ad6-071d44b87054</vt:lpwstr>
  </property>
  <property fmtid="{D5CDD505-2E9C-101B-9397-08002B2CF9AE}" pid="8" name="MSIP_Label_e65bd4d2-aa7c-445f-9ef8-222ebb1d2b43_ContentBits">
    <vt:lpwstr>2</vt:lpwstr>
  </property>
</Properties>
</file>